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 (BIWS)\BIWS-All-Courses\80-Real-Estate-2017-2018-Edition\RE-05-Office-Acquisition-Renovation-FIXED\"/>
    </mc:Choice>
  </mc:AlternateContent>
  <xr:revisionPtr revIDLastSave="0" documentId="13_ncr:1_{78A43AAF-D9D6-4A17-AE09-D15620182CE1}" xr6:coauthVersionLast="38" xr6:coauthVersionMax="38" xr10:uidLastSave="{00000000-0000-0000-0000-000000000000}"/>
  <bookViews>
    <workbookView xWindow="2205" yWindow="465" windowWidth="23295" windowHeight="13785" tabRatio="500" xr2:uid="{00000000-000D-0000-FFFF-FFFF00000000}"/>
  </bookViews>
  <sheets>
    <sheet name="Annual" sheetId="1" r:id="rId1"/>
    <sheet name="Monthly" sheetId="2" r:id="rId2"/>
  </sheets>
  <definedNames>
    <definedName name="Acq_Date">Annual!$E$11</definedName>
    <definedName name="Acq_Price">Annual!$E$21</definedName>
    <definedName name="Additional_Reserves">Annual!$E$32</definedName>
    <definedName name="CAM_per_SF">Annual!$E$111</definedName>
    <definedName name="Down_Months">Annual!$E$97</definedName>
    <definedName name="Exit_Date">Annual!$E$38</definedName>
    <definedName name="Exit_Fee_Pct">Annual!$E$43</definedName>
    <definedName name="Exit_Price">Annual!$E$40</definedName>
    <definedName name="GP_Catchup_Return">Annual!$E$47</definedName>
    <definedName name="GP_Equity_Pct">Annual!$J$12</definedName>
    <definedName name="GP_Name">Annual!$J$9</definedName>
    <definedName name="Gross_Sq_Ft">Annual!$E$14</definedName>
    <definedName name="Holdback_Release_per_SF">Annual!$J$28</definedName>
    <definedName name="Insurance_per_SF">Annual!$E$112</definedName>
    <definedName name="Loan_Issuance_Fees">Annual!$J$21</definedName>
    <definedName name="Loan_Prepay_Penalty">Annual!$J$22</definedName>
    <definedName name="LP_Equity_Pct">Annual!$J$13</definedName>
    <definedName name="LP_Name">Annual!$J$10</definedName>
    <definedName name="LP_Pref_Return">Annual!$E$46</definedName>
    <definedName name="Mezz_Balance">Annual!$J$40</definedName>
    <definedName name="Mezz_Cash_Interest">Annual!$J$42</definedName>
    <definedName name="Mezz_LTV">Annual!$J$39</definedName>
    <definedName name="Mezz_Maturity">Annual!$J$47</definedName>
    <definedName name="Mezz_PIK_Interest">Annual!$J$43</definedName>
    <definedName name="Months">Annual!$E$12</definedName>
    <definedName name="New_Free_Rent_Months">Annual!$E$99</definedName>
    <definedName name="New_LC_Pct">Annual!$E$105</definedName>
    <definedName name="New_Lease_Years">Annual!$E$119</definedName>
    <definedName name="New_TIs">Annual!$E$102</definedName>
    <definedName name="_xlnm.Print_Area" localSheetId="0">Annual!$A$1:$L$399</definedName>
    <definedName name="_xlnm.Print_Area" localSheetId="1">Monthly!$A$1:$BZ$355</definedName>
    <definedName name="Prop_Mgmt_Fee_Pct">Annual!$E$118</definedName>
    <definedName name="Purchase_Cap_Rate">Annual!$E$22</definedName>
    <definedName name="RE_Taxes_Pct_Property_Value">Annual!$E$113</definedName>
    <definedName name="Renewal_Free_Rent_Months">Annual!$E$100</definedName>
    <definedName name="Renewal_LC_Pct">Annual!$E$106</definedName>
    <definedName name="Renewal_Probability">Annual!$E$96</definedName>
    <definedName name="Renewal_TIs">Annual!$E$103</definedName>
    <definedName name="Renovation_Costs">Annual!$E$28</definedName>
    <definedName name="Rentable_Sq_Ft">Annual!$E$16</definedName>
    <definedName name="Reserves_per_SF">Annual!$E$115</definedName>
    <definedName name="Scenario">Annual!$J$7</definedName>
    <definedName name="Senior_Loan_Amort_Period">Annual!$J$34</definedName>
    <definedName name="Senior_Loan_Ann_Interest">Annual!$I$30</definedName>
    <definedName name="Senior_Loan_Balance">Annual!$J$26</definedName>
    <definedName name="Senior_Loan_Holdback">Annual!$J$27</definedName>
    <definedName name="Senior_Loan_IO_Period">Annual!$J$33</definedName>
    <definedName name="Senior_Loan_LIBOR_Floor">Annual!$J$31</definedName>
    <definedName name="Senior_Loan_LIBOR_Spread">Annual!$J$30</definedName>
    <definedName name="Senior_Loan_LTV">Annual!$J$25</definedName>
    <definedName name="Senior_Loan_Maturity">Annual!$J$36</definedName>
    <definedName name="Tier_3_IRR_Max">Annual!$E$49</definedName>
    <definedName name="Tier_3_IRR_Min">Annual!$D$49</definedName>
    <definedName name="Tier_3_LP_Split">Annual!$E$52</definedName>
    <definedName name="Total_Acq_Costs">Annual!$E$35</definedName>
    <definedName name="Utilities_per_SF">Annual!$E$116</definedName>
  </definedNames>
  <calcPr calcId="181029" calcMode="autoNoTable" iterate="1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97" i="1" l="1"/>
  <c r="E361" i="1"/>
  <c r="F361" i="1" s="1"/>
  <c r="G361" i="1" s="1"/>
  <c r="H361" i="1" s="1"/>
  <c r="I361" i="1" s="1"/>
  <c r="J361" i="1" s="1"/>
  <c r="K361" i="1" s="1"/>
  <c r="C372" i="1"/>
  <c r="C371" i="1"/>
  <c r="C370" i="1"/>
  <c r="D369" i="1"/>
  <c r="C364" i="1"/>
  <c r="C363" i="1"/>
  <c r="C362" i="1"/>
  <c r="E345" i="1"/>
  <c r="F345" i="1" s="1"/>
  <c r="G345" i="1" s="1"/>
  <c r="H345" i="1" s="1"/>
  <c r="I345" i="1" s="1"/>
  <c r="J345" i="1" s="1"/>
  <c r="K345" i="1" s="1"/>
  <c r="C356" i="1"/>
  <c r="C355" i="1"/>
  <c r="C354" i="1"/>
  <c r="D353" i="1"/>
  <c r="C348" i="1"/>
  <c r="C347" i="1"/>
  <c r="C346" i="1"/>
  <c r="C391" i="1"/>
  <c r="C379" i="1"/>
  <c r="C392" i="1" s="1"/>
  <c r="C340" i="1"/>
  <c r="C339" i="1"/>
  <c r="C338" i="1"/>
  <c r="C332" i="1"/>
  <c r="C331" i="1"/>
  <c r="C330" i="1"/>
  <c r="D337" i="1"/>
  <c r="E329" i="1"/>
  <c r="E337" i="1" s="1"/>
  <c r="C324" i="1"/>
  <c r="C323" i="1"/>
  <c r="C322" i="1"/>
  <c r="E321" i="1"/>
  <c r="E377" i="1" s="1"/>
  <c r="E390" i="1" s="1"/>
  <c r="D321" i="1"/>
  <c r="D377" i="1" s="1"/>
  <c r="D390" i="1" s="1"/>
  <c r="C316" i="1"/>
  <c r="C315" i="1"/>
  <c r="C314" i="1"/>
  <c r="E313" i="1"/>
  <c r="F313" i="1" s="1"/>
  <c r="E369" i="1" l="1"/>
  <c r="G313" i="1"/>
  <c r="F321" i="1"/>
  <c r="F377" i="1" s="1"/>
  <c r="F390" i="1" s="1"/>
  <c r="F329" i="1"/>
  <c r="C380" i="1"/>
  <c r="F353" i="1"/>
  <c r="E353" i="1"/>
  <c r="E274" i="1"/>
  <c r="E265" i="1"/>
  <c r="C381" i="1" l="1"/>
  <c r="C393" i="1"/>
  <c r="G329" i="1"/>
  <c r="F337" i="1"/>
  <c r="H313" i="1"/>
  <c r="G321" i="1"/>
  <c r="G377" i="1" s="1"/>
  <c r="G390" i="1" s="1"/>
  <c r="F369" i="1"/>
  <c r="G353" i="1"/>
  <c r="H242" i="1"/>
  <c r="I242" i="1" s="1"/>
  <c r="J242" i="1" s="1"/>
  <c r="H240" i="1"/>
  <c r="I240" i="1" s="1"/>
  <c r="J240" i="1" s="1"/>
  <c r="H225" i="1"/>
  <c r="I225" i="1" s="1"/>
  <c r="J225" i="1" s="1"/>
  <c r="H202" i="1"/>
  <c r="I202" i="1" s="1"/>
  <c r="J202" i="1" s="1"/>
  <c r="I197" i="1"/>
  <c r="H197" i="1"/>
  <c r="G197" i="1"/>
  <c r="F197" i="1"/>
  <c r="H329" i="1" l="1"/>
  <c r="G337" i="1"/>
  <c r="C382" i="1"/>
  <c r="C394" i="1"/>
  <c r="I313" i="1"/>
  <c r="H321" i="1"/>
  <c r="H377" i="1" s="1"/>
  <c r="H390" i="1" s="1"/>
  <c r="G369" i="1"/>
  <c r="H353" i="1"/>
  <c r="J173" i="1"/>
  <c r="I173" i="1"/>
  <c r="H173" i="1"/>
  <c r="G173" i="1"/>
  <c r="J313" i="1" l="1"/>
  <c r="I321" i="1"/>
  <c r="I377" i="1" s="1"/>
  <c r="I390" i="1" s="1"/>
  <c r="C383" i="1"/>
  <c r="C395" i="1"/>
  <c r="I329" i="1"/>
  <c r="H337" i="1"/>
  <c r="H369" i="1"/>
  <c r="I353" i="1"/>
  <c r="G311" i="2"/>
  <c r="H311" i="2" s="1"/>
  <c r="I311" i="2" s="1"/>
  <c r="J311" i="2" s="1"/>
  <c r="K311" i="2" s="1"/>
  <c r="L311" i="2" s="1"/>
  <c r="M311" i="2" s="1"/>
  <c r="N311" i="2" s="1"/>
  <c r="O311" i="2" s="1"/>
  <c r="P311" i="2" s="1"/>
  <c r="Q311" i="2" s="1"/>
  <c r="R311" i="2" s="1"/>
  <c r="S311" i="2" s="1"/>
  <c r="T311" i="2" s="1"/>
  <c r="U311" i="2" s="1"/>
  <c r="V311" i="2" s="1"/>
  <c r="W311" i="2" s="1"/>
  <c r="X311" i="2" s="1"/>
  <c r="Y311" i="2" s="1"/>
  <c r="Z311" i="2" s="1"/>
  <c r="AA311" i="2" s="1"/>
  <c r="AB311" i="2" s="1"/>
  <c r="AC311" i="2" s="1"/>
  <c r="AD311" i="2" s="1"/>
  <c r="AE311" i="2" s="1"/>
  <c r="AF311" i="2" s="1"/>
  <c r="AG311" i="2" s="1"/>
  <c r="AH311" i="2" s="1"/>
  <c r="AI311" i="2" s="1"/>
  <c r="AJ311" i="2" s="1"/>
  <c r="AK311" i="2" s="1"/>
  <c r="AL311" i="2" s="1"/>
  <c r="AM311" i="2" s="1"/>
  <c r="AN311" i="2" s="1"/>
  <c r="AO311" i="2" s="1"/>
  <c r="AP311" i="2" s="1"/>
  <c r="AQ311" i="2" s="1"/>
  <c r="AR311" i="2" s="1"/>
  <c r="AS311" i="2" s="1"/>
  <c r="AT311" i="2" s="1"/>
  <c r="AU311" i="2" s="1"/>
  <c r="AV311" i="2" s="1"/>
  <c r="AW311" i="2" s="1"/>
  <c r="AX311" i="2" s="1"/>
  <c r="AY311" i="2" s="1"/>
  <c r="AZ311" i="2" s="1"/>
  <c r="BA311" i="2" s="1"/>
  <c r="BB311" i="2" s="1"/>
  <c r="BC311" i="2" s="1"/>
  <c r="BD311" i="2" s="1"/>
  <c r="BE311" i="2" s="1"/>
  <c r="BF311" i="2" s="1"/>
  <c r="BG311" i="2" s="1"/>
  <c r="BH311" i="2" s="1"/>
  <c r="BI311" i="2" s="1"/>
  <c r="BJ311" i="2" s="1"/>
  <c r="BK311" i="2" s="1"/>
  <c r="BL311" i="2" s="1"/>
  <c r="BM311" i="2" s="1"/>
  <c r="BN311" i="2" s="1"/>
  <c r="BO311" i="2" s="1"/>
  <c r="BP311" i="2" s="1"/>
  <c r="BQ311" i="2" s="1"/>
  <c r="BR311" i="2" s="1"/>
  <c r="BS311" i="2" s="1"/>
  <c r="BT311" i="2" s="1"/>
  <c r="BU311" i="2" s="1"/>
  <c r="BV311" i="2" s="1"/>
  <c r="BW311" i="2" s="1"/>
  <c r="BX311" i="2" s="1"/>
  <c r="BY311" i="2" s="1"/>
  <c r="F311" i="2"/>
  <c r="E276" i="2"/>
  <c r="E271" i="2"/>
  <c r="E239" i="2"/>
  <c r="E234" i="2"/>
  <c r="E192" i="2"/>
  <c r="E187" i="2"/>
  <c r="E153" i="2"/>
  <c r="E148" i="2"/>
  <c r="E114" i="2"/>
  <c r="E109" i="2"/>
  <c r="E75" i="2"/>
  <c r="E70" i="2"/>
  <c r="E228" i="2"/>
  <c r="E143" i="2"/>
  <c r="E147" i="2" s="1"/>
  <c r="E104" i="2"/>
  <c r="E108" i="2" s="1"/>
  <c r="E65" i="2"/>
  <c r="E69" i="2" s="1"/>
  <c r="C384" i="1" l="1"/>
  <c r="C396" i="1"/>
  <c r="K313" i="1"/>
  <c r="K321" i="1" s="1"/>
  <c r="K377" i="1" s="1"/>
  <c r="K390" i="1" s="1"/>
  <c r="J321" i="1"/>
  <c r="J377" i="1" s="1"/>
  <c r="J390" i="1" s="1"/>
  <c r="J329" i="1"/>
  <c r="I337" i="1"/>
  <c r="I369" i="1"/>
  <c r="J353" i="1"/>
  <c r="K353" i="1"/>
  <c r="E110" i="2"/>
  <c r="E149" i="2"/>
  <c r="E71" i="2"/>
  <c r="AC303" i="2"/>
  <c r="AO303" i="2" s="1"/>
  <c r="BA303" i="2" s="1"/>
  <c r="BM303" i="2" s="1"/>
  <c r="BY303" i="2" s="1"/>
  <c r="AB303" i="2"/>
  <c r="AN303" i="2" s="1"/>
  <c r="AZ303" i="2" s="1"/>
  <c r="BL303" i="2" s="1"/>
  <c r="BX303" i="2" s="1"/>
  <c r="AA303" i="2"/>
  <c r="AM303" i="2" s="1"/>
  <c r="AY303" i="2" s="1"/>
  <c r="BK303" i="2" s="1"/>
  <c r="BW303" i="2" s="1"/>
  <c r="Z303" i="2"/>
  <c r="AL303" i="2" s="1"/>
  <c r="AX303" i="2" s="1"/>
  <c r="BJ303" i="2" s="1"/>
  <c r="BV303" i="2" s="1"/>
  <c r="Y303" i="2"/>
  <c r="AK303" i="2" s="1"/>
  <c r="AW303" i="2" s="1"/>
  <c r="BI303" i="2" s="1"/>
  <c r="BU303" i="2" s="1"/>
  <c r="X303" i="2"/>
  <c r="AJ303" i="2" s="1"/>
  <c r="AV303" i="2" s="1"/>
  <c r="BH303" i="2" s="1"/>
  <c r="BT303" i="2" s="1"/>
  <c r="W303" i="2"/>
  <c r="AI303" i="2" s="1"/>
  <c r="AU303" i="2" s="1"/>
  <c r="BG303" i="2" s="1"/>
  <c r="BS303" i="2" s="1"/>
  <c r="V303" i="2"/>
  <c r="AH303" i="2" s="1"/>
  <c r="AT303" i="2" s="1"/>
  <c r="BF303" i="2" s="1"/>
  <c r="BR303" i="2" s="1"/>
  <c r="U303" i="2"/>
  <c r="AG303" i="2" s="1"/>
  <c r="AS303" i="2" s="1"/>
  <c r="BE303" i="2" s="1"/>
  <c r="BQ303" i="2" s="1"/>
  <c r="T303" i="2"/>
  <c r="AF303" i="2" s="1"/>
  <c r="AR303" i="2" s="1"/>
  <c r="BD303" i="2" s="1"/>
  <c r="BP303" i="2" s="1"/>
  <c r="S303" i="2"/>
  <c r="AE303" i="2" s="1"/>
  <c r="AQ303" i="2" s="1"/>
  <c r="BC303" i="2" s="1"/>
  <c r="BO303" i="2" s="1"/>
  <c r="R303" i="2"/>
  <c r="AD303" i="2" s="1"/>
  <c r="AP303" i="2" s="1"/>
  <c r="BB303" i="2" s="1"/>
  <c r="BN303" i="2" s="1"/>
  <c r="E265" i="2"/>
  <c r="E262" i="2"/>
  <c r="E182" i="2"/>
  <c r="E186" i="2" s="1"/>
  <c r="AC219" i="2"/>
  <c r="AO219" i="2" s="1"/>
  <c r="BA219" i="2" s="1"/>
  <c r="BM219" i="2" s="1"/>
  <c r="BY219" i="2" s="1"/>
  <c r="AB219" i="2"/>
  <c r="AN219" i="2" s="1"/>
  <c r="AZ219" i="2" s="1"/>
  <c r="BL219" i="2" s="1"/>
  <c r="BX219" i="2" s="1"/>
  <c r="AA219" i="2"/>
  <c r="AM219" i="2" s="1"/>
  <c r="AY219" i="2" s="1"/>
  <c r="BK219" i="2" s="1"/>
  <c r="BW219" i="2" s="1"/>
  <c r="Z219" i="2"/>
  <c r="AL219" i="2" s="1"/>
  <c r="AX219" i="2" s="1"/>
  <c r="BJ219" i="2" s="1"/>
  <c r="BV219" i="2" s="1"/>
  <c r="Y219" i="2"/>
  <c r="AK219" i="2" s="1"/>
  <c r="AW219" i="2" s="1"/>
  <c r="BI219" i="2" s="1"/>
  <c r="BU219" i="2" s="1"/>
  <c r="X219" i="2"/>
  <c r="AJ219" i="2" s="1"/>
  <c r="AV219" i="2" s="1"/>
  <c r="BH219" i="2" s="1"/>
  <c r="BT219" i="2" s="1"/>
  <c r="W219" i="2"/>
  <c r="AI219" i="2" s="1"/>
  <c r="AU219" i="2" s="1"/>
  <c r="BG219" i="2" s="1"/>
  <c r="BS219" i="2" s="1"/>
  <c r="V219" i="2"/>
  <c r="AH219" i="2" s="1"/>
  <c r="AT219" i="2" s="1"/>
  <c r="BF219" i="2" s="1"/>
  <c r="BR219" i="2" s="1"/>
  <c r="U219" i="2"/>
  <c r="AG219" i="2" s="1"/>
  <c r="AS219" i="2" s="1"/>
  <c r="BE219" i="2" s="1"/>
  <c r="BQ219" i="2" s="1"/>
  <c r="T219" i="2"/>
  <c r="AF219" i="2" s="1"/>
  <c r="AR219" i="2" s="1"/>
  <c r="BD219" i="2" s="1"/>
  <c r="BP219" i="2" s="1"/>
  <c r="S219" i="2"/>
  <c r="AE219" i="2" s="1"/>
  <c r="AQ219" i="2" s="1"/>
  <c r="BC219" i="2" s="1"/>
  <c r="BO219" i="2" s="1"/>
  <c r="R219" i="2"/>
  <c r="AD219" i="2" s="1"/>
  <c r="AP219" i="2" s="1"/>
  <c r="BB219" i="2" s="1"/>
  <c r="BN219" i="2" s="1"/>
  <c r="K329" i="1" l="1"/>
  <c r="K337" i="1" s="1"/>
  <c r="J337" i="1"/>
  <c r="C385" i="1"/>
  <c r="C398" i="1" s="1"/>
  <c r="C397" i="1"/>
  <c r="K369" i="1"/>
  <c r="J369" i="1"/>
  <c r="E188" i="2"/>
  <c r="E36" i="2"/>
  <c r="E31" i="2"/>
  <c r="E26" i="2"/>
  <c r="E30" i="2" l="1"/>
  <c r="E32" i="2" s="1"/>
  <c r="F9" i="2"/>
  <c r="G7" i="2"/>
  <c r="G9" i="2" s="1"/>
  <c r="J58" i="1"/>
  <c r="K58" i="1" s="1"/>
  <c r="J57" i="1"/>
  <c r="K57" i="1" s="1"/>
  <c r="K74" i="1"/>
  <c r="J74" i="1"/>
  <c r="I74" i="1"/>
  <c r="H74" i="1"/>
  <c r="G74" i="1"/>
  <c r="F74" i="1"/>
  <c r="J47" i="1"/>
  <c r="J36" i="1"/>
  <c r="E51" i="1"/>
  <c r="E52" i="1" s="1"/>
  <c r="E282" i="1" s="1"/>
  <c r="E283" i="1" s="1"/>
  <c r="E32" i="1"/>
  <c r="E28" i="1"/>
  <c r="J13" i="1"/>
  <c r="E16" i="1"/>
  <c r="E35" i="1" l="1"/>
  <c r="J40" i="1" s="1"/>
  <c r="J60" i="1"/>
  <c r="BR313" i="2"/>
  <c r="BR348" i="2" s="1"/>
  <c r="BJ313" i="2"/>
  <c r="BJ348" i="2" s="1"/>
  <c r="BB313" i="2"/>
  <c r="BB348" i="2" s="1"/>
  <c r="AT313" i="2"/>
  <c r="AT348" i="2" s="1"/>
  <c r="AL313" i="2"/>
  <c r="AL348" i="2" s="1"/>
  <c r="AD313" i="2"/>
  <c r="AD348" i="2" s="1"/>
  <c r="V313" i="2"/>
  <c r="V348" i="2" s="1"/>
  <c r="N313" i="2"/>
  <c r="N348" i="2" s="1"/>
  <c r="BU313" i="2"/>
  <c r="BU348" i="2" s="1"/>
  <c r="AW313" i="2"/>
  <c r="AW348" i="2" s="1"/>
  <c r="Y313" i="2"/>
  <c r="Y348" i="2" s="1"/>
  <c r="BY313" i="2"/>
  <c r="BY348" i="2" s="1"/>
  <c r="BQ313" i="2"/>
  <c r="BQ348" i="2" s="1"/>
  <c r="BI313" i="2"/>
  <c r="BI348" i="2" s="1"/>
  <c r="BA313" i="2"/>
  <c r="BA348" i="2" s="1"/>
  <c r="AS313" i="2"/>
  <c r="AS348" i="2" s="1"/>
  <c r="AK313" i="2"/>
  <c r="AK348" i="2" s="1"/>
  <c r="AC313" i="2"/>
  <c r="AC348" i="2" s="1"/>
  <c r="U313" i="2"/>
  <c r="U348" i="2" s="1"/>
  <c r="M313" i="2"/>
  <c r="M348" i="2" s="1"/>
  <c r="F313" i="2"/>
  <c r="F348" i="2" s="1"/>
  <c r="BM313" i="2"/>
  <c r="BM348" i="2" s="1"/>
  <c r="BE313" i="2"/>
  <c r="BE348" i="2" s="1"/>
  <c r="AG313" i="2"/>
  <c r="AG348" i="2" s="1"/>
  <c r="BX313" i="2"/>
  <c r="BX348" i="2" s="1"/>
  <c r="BP313" i="2"/>
  <c r="BP348" i="2" s="1"/>
  <c r="BH313" i="2"/>
  <c r="BH348" i="2" s="1"/>
  <c r="AZ313" i="2"/>
  <c r="AZ348" i="2" s="1"/>
  <c r="AR313" i="2"/>
  <c r="AR348" i="2" s="1"/>
  <c r="AJ313" i="2"/>
  <c r="AJ348" i="2" s="1"/>
  <c r="AB313" i="2"/>
  <c r="AB348" i="2" s="1"/>
  <c r="T313" i="2"/>
  <c r="T348" i="2" s="1"/>
  <c r="L313" i="2"/>
  <c r="L348" i="2" s="1"/>
  <c r="BW313" i="2"/>
  <c r="BW348" i="2" s="1"/>
  <c r="BO313" i="2"/>
  <c r="BO348" i="2" s="1"/>
  <c r="BG313" i="2"/>
  <c r="BG348" i="2" s="1"/>
  <c r="AY313" i="2"/>
  <c r="AY348" i="2" s="1"/>
  <c r="AQ313" i="2"/>
  <c r="AQ348" i="2" s="1"/>
  <c r="AI313" i="2"/>
  <c r="AI348" i="2" s="1"/>
  <c r="AA313" i="2"/>
  <c r="AA348" i="2" s="1"/>
  <c r="S313" i="2"/>
  <c r="S348" i="2" s="1"/>
  <c r="K313" i="2"/>
  <c r="K348" i="2" s="1"/>
  <c r="BV313" i="2"/>
  <c r="BV348" i="2" s="1"/>
  <c r="BN313" i="2"/>
  <c r="BN348" i="2" s="1"/>
  <c r="BF313" i="2"/>
  <c r="BF348" i="2" s="1"/>
  <c r="AX313" i="2"/>
  <c r="AX348" i="2" s="1"/>
  <c r="AP313" i="2"/>
  <c r="AP348" i="2" s="1"/>
  <c r="AH313" i="2"/>
  <c r="AH348" i="2" s="1"/>
  <c r="Z313" i="2"/>
  <c r="Z348" i="2" s="1"/>
  <c r="R313" i="2"/>
  <c r="R348" i="2" s="1"/>
  <c r="J313" i="2"/>
  <c r="J348" i="2" s="1"/>
  <c r="BT313" i="2"/>
  <c r="BT348" i="2" s="1"/>
  <c r="BL313" i="2"/>
  <c r="BL348" i="2" s="1"/>
  <c r="BD313" i="2"/>
  <c r="BD348" i="2" s="1"/>
  <c r="AV313" i="2"/>
  <c r="AV348" i="2" s="1"/>
  <c r="AN313" i="2"/>
  <c r="AN348" i="2" s="1"/>
  <c r="AF313" i="2"/>
  <c r="AF348" i="2" s="1"/>
  <c r="X313" i="2"/>
  <c r="X348" i="2" s="1"/>
  <c r="P313" i="2"/>
  <c r="P348" i="2" s="1"/>
  <c r="H313" i="2"/>
  <c r="H348" i="2" s="1"/>
  <c r="AO313" i="2"/>
  <c r="AO348" i="2" s="1"/>
  <c r="I313" i="2"/>
  <c r="I348" i="2" s="1"/>
  <c r="BS313" i="2"/>
  <c r="BS348" i="2" s="1"/>
  <c r="BK313" i="2"/>
  <c r="BK348" i="2" s="1"/>
  <c r="BC313" i="2"/>
  <c r="BC348" i="2" s="1"/>
  <c r="AU313" i="2"/>
  <c r="AU348" i="2" s="1"/>
  <c r="AM313" i="2"/>
  <c r="AM348" i="2" s="1"/>
  <c r="AE313" i="2"/>
  <c r="AE348" i="2" s="1"/>
  <c r="W313" i="2"/>
  <c r="W348" i="2" s="1"/>
  <c r="O313" i="2"/>
  <c r="O348" i="2" s="1"/>
  <c r="G313" i="2"/>
  <c r="G348" i="2" s="1"/>
  <c r="Q313" i="2"/>
  <c r="Q348" i="2" s="1"/>
  <c r="E29" i="1"/>
  <c r="E62" i="2"/>
  <c r="E140" i="2"/>
  <c r="E101" i="2"/>
  <c r="E226" i="2"/>
  <c r="E179" i="2"/>
  <c r="E216" i="2" s="1"/>
  <c r="E263" i="2"/>
  <c r="E300" i="2" s="1"/>
  <c r="E23" i="2"/>
  <c r="H7" i="2"/>
  <c r="E23" i="1"/>
  <c r="J27" i="1"/>
  <c r="F18" i="2"/>
  <c r="J61" i="1"/>
  <c r="E33" i="1"/>
  <c r="E310" i="2"/>
  <c r="E36" i="1" l="1"/>
  <c r="J26" i="1"/>
  <c r="F225" i="1" s="1"/>
  <c r="J59" i="1"/>
  <c r="K59" i="1" s="1"/>
  <c r="K62" i="1" s="1"/>
  <c r="D58" i="1"/>
  <c r="F169" i="1" s="1"/>
  <c r="F242" i="1"/>
  <c r="F318" i="2"/>
  <c r="G318" i="2" s="1"/>
  <c r="G18" i="2"/>
  <c r="F304" i="2"/>
  <c r="F220" i="2"/>
  <c r="H9" i="2"/>
  <c r="I7" i="2"/>
  <c r="C79" i="1"/>
  <c r="C78" i="1"/>
  <c r="C77" i="1"/>
  <c r="D57" i="1" l="1"/>
  <c r="F168" i="1" s="1"/>
  <c r="F170" i="1" s="1"/>
  <c r="E58" i="1"/>
  <c r="F240" i="1" s="1"/>
  <c r="F245" i="1" s="1"/>
  <c r="J62" i="1"/>
  <c r="K80" i="1"/>
  <c r="H80" i="1"/>
  <c r="F80" i="1"/>
  <c r="I80" i="1"/>
  <c r="J80" i="1"/>
  <c r="G80" i="1"/>
  <c r="G165" i="1"/>
  <c r="G169" i="1" s="1"/>
  <c r="G160" i="1"/>
  <c r="H318" i="2"/>
  <c r="G304" i="2"/>
  <c r="G220" i="2"/>
  <c r="J7" i="2"/>
  <c r="I9" i="2"/>
  <c r="H18" i="2"/>
  <c r="C387" i="1"/>
  <c r="C374" i="1"/>
  <c r="F94" i="1" a="1"/>
  <c r="F94" i="1" s="1"/>
  <c r="D238" i="1"/>
  <c r="G237" i="1"/>
  <c r="F237" i="1"/>
  <c r="D220" i="1"/>
  <c r="G219" i="1"/>
  <c r="F219" i="1"/>
  <c r="F251" i="1" l="1"/>
  <c r="E57" i="1"/>
  <c r="F222" i="1" s="1"/>
  <c r="D59" i="1"/>
  <c r="D60" i="1" s="1"/>
  <c r="G159" i="1"/>
  <c r="E105" i="1"/>
  <c r="H165" i="1"/>
  <c r="H169" i="1" s="1"/>
  <c r="H160" i="1"/>
  <c r="I318" i="2"/>
  <c r="H220" i="2"/>
  <c r="H304" i="2"/>
  <c r="I18" i="2"/>
  <c r="K7" i="2"/>
  <c r="J9" i="2"/>
  <c r="H94" i="1"/>
  <c r="G94" i="1"/>
  <c r="E99" i="1" s="1"/>
  <c r="E100" i="1" l="1"/>
  <c r="E108" i="1"/>
  <c r="E227" i="2" s="1"/>
  <c r="E229" i="2" s="1"/>
  <c r="E233" i="2" s="1"/>
  <c r="E235" i="2" s="1"/>
  <c r="E103" i="1"/>
  <c r="E102" i="1"/>
  <c r="F175" i="1"/>
  <c r="E59" i="1"/>
  <c r="E60" i="1" s="1"/>
  <c r="E268" i="2"/>
  <c r="E231" i="2"/>
  <c r="E106" i="1"/>
  <c r="E109" i="1"/>
  <c r="E96" i="1"/>
  <c r="E97" i="1"/>
  <c r="F228" i="1"/>
  <c r="I165" i="1"/>
  <c r="I169" i="1" s="1"/>
  <c r="I160" i="1"/>
  <c r="J318" i="2"/>
  <c r="I304" i="2"/>
  <c r="I220" i="2"/>
  <c r="L7" i="2"/>
  <c r="K9" i="2"/>
  <c r="J18" i="2"/>
  <c r="D288" i="1"/>
  <c r="G287" i="1"/>
  <c r="F287" i="1"/>
  <c r="C262" i="1"/>
  <c r="C271" i="1"/>
  <c r="D255" i="1"/>
  <c r="G254" i="1"/>
  <c r="F254" i="1"/>
  <c r="F202" i="1" l="1"/>
  <c r="F216" i="1" s="1"/>
  <c r="E152" i="2"/>
  <c r="E154" i="2" s="1"/>
  <c r="E113" i="2"/>
  <c r="E115" i="2" s="1"/>
  <c r="E35" i="2"/>
  <c r="E37" i="2" s="1"/>
  <c r="E191" i="2"/>
  <c r="E193" i="2" s="1"/>
  <c r="E74" i="2"/>
  <c r="E76" i="2" s="1"/>
  <c r="E238" i="2"/>
  <c r="E240" i="2" s="1"/>
  <c r="J165" i="1"/>
  <c r="J169" i="1" s="1"/>
  <c r="J160" i="1"/>
  <c r="K318" i="2"/>
  <c r="J220" i="2"/>
  <c r="J304" i="2"/>
  <c r="K18" i="2"/>
  <c r="M7" i="2"/>
  <c r="L9" i="2"/>
  <c r="C52" i="1"/>
  <c r="C51" i="1"/>
  <c r="F211" i="1" l="1"/>
  <c r="F259" i="1" s="1"/>
  <c r="L318" i="2"/>
  <c r="M318" i="2" s="1"/>
  <c r="N318" i="2" s="1"/>
  <c r="O318" i="2" s="1"/>
  <c r="K220" i="2"/>
  <c r="K304" i="2"/>
  <c r="L18" i="2"/>
  <c r="M9" i="2"/>
  <c r="N7" i="2"/>
  <c r="C89" i="1"/>
  <c r="C91" i="1"/>
  <c r="C90" i="1"/>
  <c r="C83" i="1"/>
  <c r="C85" i="1"/>
  <c r="C84" i="1"/>
  <c r="D190" i="1"/>
  <c r="G189" i="1"/>
  <c r="F189" i="1"/>
  <c r="F258" i="1" l="1"/>
  <c r="F260" i="1" s="1"/>
  <c r="F290" i="1" s="1"/>
  <c r="K92" i="1"/>
  <c r="J92" i="1"/>
  <c r="F92" i="1"/>
  <c r="I92" i="1"/>
  <c r="H92" i="1"/>
  <c r="G92" i="1"/>
  <c r="J86" i="1"/>
  <c r="I86" i="1"/>
  <c r="H86" i="1"/>
  <c r="G86" i="1"/>
  <c r="F86" i="1"/>
  <c r="K86" i="1"/>
  <c r="P318" i="2"/>
  <c r="Q318" i="2" s="1"/>
  <c r="R318" i="2" s="1"/>
  <c r="S318" i="2" s="1"/>
  <c r="T318" i="2" s="1"/>
  <c r="U318" i="2" s="1"/>
  <c r="V318" i="2" s="1"/>
  <c r="W318" i="2" s="1"/>
  <c r="X318" i="2" s="1"/>
  <c r="Y318" i="2" s="1"/>
  <c r="Z318" i="2" s="1"/>
  <c r="AA318" i="2" s="1"/>
  <c r="AB318" i="2" s="1"/>
  <c r="AC318" i="2" s="1"/>
  <c r="AD318" i="2" s="1"/>
  <c r="AE318" i="2" s="1"/>
  <c r="AF318" i="2" s="1"/>
  <c r="AG318" i="2" s="1"/>
  <c r="AH318" i="2" s="1"/>
  <c r="AI318" i="2" s="1"/>
  <c r="AJ318" i="2" s="1"/>
  <c r="AK318" i="2" s="1"/>
  <c r="AL318" i="2" s="1"/>
  <c r="AM318" i="2" s="1"/>
  <c r="AN318" i="2" s="1"/>
  <c r="AO318" i="2" s="1"/>
  <c r="AP318" i="2" s="1"/>
  <c r="AQ318" i="2" s="1"/>
  <c r="AR318" i="2" s="1"/>
  <c r="AS318" i="2" s="1"/>
  <c r="AT318" i="2" s="1"/>
  <c r="AU318" i="2" s="1"/>
  <c r="AV318" i="2" s="1"/>
  <c r="AW318" i="2" s="1"/>
  <c r="AX318" i="2" s="1"/>
  <c r="AY318" i="2" s="1"/>
  <c r="AZ318" i="2" s="1"/>
  <c r="BA318" i="2" s="1"/>
  <c r="BB318" i="2" s="1"/>
  <c r="BC318" i="2" s="1"/>
  <c r="BD318" i="2" s="1"/>
  <c r="BE318" i="2" s="1"/>
  <c r="BF318" i="2" s="1"/>
  <c r="BG318" i="2" s="1"/>
  <c r="BH318" i="2" s="1"/>
  <c r="BI318" i="2" s="1"/>
  <c r="BJ318" i="2" s="1"/>
  <c r="BK318" i="2" s="1"/>
  <c r="BL318" i="2" s="1"/>
  <c r="BM318" i="2" s="1"/>
  <c r="BN318" i="2" s="1"/>
  <c r="BO318" i="2" s="1"/>
  <c r="BP318" i="2" s="1"/>
  <c r="BQ318" i="2" s="1"/>
  <c r="BR318" i="2" s="1"/>
  <c r="BS318" i="2" s="1"/>
  <c r="BT318" i="2" s="1"/>
  <c r="BU318" i="2" s="1"/>
  <c r="BV318" i="2" s="1"/>
  <c r="BW318" i="2" s="1"/>
  <c r="BX318" i="2" s="1"/>
  <c r="BY318" i="2" s="1"/>
  <c r="L220" i="2"/>
  <c r="L304" i="2"/>
  <c r="M18" i="2"/>
  <c r="N9" i="2"/>
  <c r="O7" i="2"/>
  <c r="F65" i="1"/>
  <c r="F238" i="1" s="1"/>
  <c r="F264" i="1" l="1"/>
  <c r="F267" i="1" s="1"/>
  <c r="G263" i="1" s="1"/>
  <c r="G265" i="1" s="1"/>
  <c r="F273" i="1"/>
  <c r="F276" i="1" s="1"/>
  <c r="G272" i="1" s="1"/>
  <c r="G274" i="1" s="1"/>
  <c r="M304" i="2"/>
  <c r="M220" i="2"/>
  <c r="O9" i="2"/>
  <c r="P7" i="2"/>
  <c r="N18" i="2"/>
  <c r="F288" i="1"/>
  <c r="F220" i="1"/>
  <c r="F190" i="1"/>
  <c r="F255" i="1"/>
  <c r="F302" i="1" l="1"/>
  <c r="F296" i="1"/>
  <c r="N304" i="2"/>
  <c r="N220" i="2"/>
  <c r="P9" i="2"/>
  <c r="Q7" i="2"/>
  <c r="O18" i="2"/>
  <c r="K56" i="1"/>
  <c r="J56" i="1"/>
  <c r="O304" i="2" l="1"/>
  <c r="O220" i="2"/>
  <c r="Q9" i="2"/>
  <c r="R7" i="2"/>
  <c r="P18" i="2"/>
  <c r="G124" i="1"/>
  <c r="K124" i="1"/>
  <c r="F124" i="1"/>
  <c r="F322" i="2"/>
  <c r="G322" i="2" s="1"/>
  <c r="H322" i="2" s="1"/>
  <c r="I322" i="2" s="1"/>
  <c r="J322" i="2" s="1"/>
  <c r="K322" i="2" s="1"/>
  <c r="L322" i="2" s="1"/>
  <c r="M322" i="2" s="1"/>
  <c r="N322" i="2" s="1"/>
  <c r="O322" i="2" s="1"/>
  <c r="P322" i="2" s="1"/>
  <c r="Q322" i="2" s="1"/>
  <c r="R322" i="2" s="1"/>
  <c r="S322" i="2" s="1"/>
  <c r="T322" i="2" s="1"/>
  <c r="U322" i="2" s="1"/>
  <c r="V322" i="2" s="1"/>
  <c r="W322" i="2" s="1"/>
  <c r="X322" i="2" s="1"/>
  <c r="Y322" i="2" s="1"/>
  <c r="Z322" i="2" s="1"/>
  <c r="AA322" i="2" s="1"/>
  <c r="AB322" i="2" s="1"/>
  <c r="AC322" i="2" s="1"/>
  <c r="AD322" i="2" s="1"/>
  <c r="AE322" i="2" s="1"/>
  <c r="AF322" i="2" s="1"/>
  <c r="AG322" i="2" s="1"/>
  <c r="AH322" i="2" s="1"/>
  <c r="AI322" i="2" s="1"/>
  <c r="AJ322" i="2" s="1"/>
  <c r="AK322" i="2" s="1"/>
  <c r="AL322" i="2" s="1"/>
  <c r="AM322" i="2" s="1"/>
  <c r="AN322" i="2" s="1"/>
  <c r="AO322" i="2" s="1"/>
  <c r="AP322" i="2" s="1"/>
  <c r="AQ322" i="2" s="1"/>
  <c r="AR322" i="2" s="1"/>
  <c r="AS322" i="2" s="1"/>
  <c r="AT322" i="2" s="1"/>
  <c r="AU322" i="2" s="1"/>
  <c r="AV322" i="2" s="1"/>
  <c r="AW322" i="2" s="1"/>
  <c r="AX322" i="2" s="1"/>
  <c r="AY322" i="2" s="1"/>
  <c r="AZ322" i="2" s="1"/>
  <c r="BA322" i="2" s="1"/>
  <c r="BB322" i="2" s="1"/>
  <c r="BC322" i="2" s="1"/>
  <c r="BD322" i="2" s="1"/>
  <c r="BE322" i="2" s="1"/>
  <c r="BF322" i="2" s="1"/>
  <c r="BG322" i="2" s="1"/>
  <c r="BH322" i="2" s="1"/>
  <c r="BI322" i="2" s="1"/>
  <c r="BJ322" i="2" s="1"/>
  <c r="BK322" i="2" s="1"/>
  <c r="BL322" i="2" s="1"/>
  <c r="BM322" i="2" s="1"/>
  <c r="BN322" i="2" s="1"/>
  <c r="BO322" i="2" s="1"/>
  <c r="BP322" i="2" s="1"/>
  <c r="BQ322" i="2" s="1"/>
  <c r="BR322" i="2" s="1"/>
  <c r="BS322" i="2" s="1"/>
  <c r="BT322" i="2" s="1"/>
  <c r="BU322" i="2" s="1"/>
  <c r="BV322" i="2" s="1"/>
  <c r="BW322" i="2" s="1"/>
  <c r="BX322" i="2" s="1"/>
  <c r="BY322" i="2" s="1"/>
  <c r="F5" i="2"/>
  <c r="F120" i="2" l="1"/>
  <c r="F125" i="2" s="1"/>
  <c r="F183" i="2"/>
  <c r="F197" i="2" s="1"/>
  <c r="F202" i="2" s="1"/>
  <c r="F213" i="2"/>
  <c r="F159" i="2"/>
  <c r="F164" i="2" s="1"/>
  <c r="F105" i="2"/>
  <c r="F119" i="2" s="1"/>
  <c r="F124" i="2" s="1"/>
  <c r="F96" i="2"/>
  <c r="F135" i="2"/>
  <c r="F198" i="2"/>
  <c r="F203" i="2" s="1"/>
  <c r="F174" i="2"/>
  <c r="F66" i="2"/>
  <c r="F80" i="2" s="1"/>
  <c r="F85" i="2" s="1"/>
  <c r="F91" i="2" s="1"/>
  <c r="F81" i="2"/>
  <c r="F86" i="2" s="1"/>
  <c r="F144" i="2"/>
  <c r="F158" i="2" s="1"/>
  <c r="F163" i="2" s="1"/>
  <c r="F72" i="2"/>
  <c r="F150" i="2"/>
  <c r="F111" i="2"/>
  <c r="F189" i="2"/>
  <c r="F230" i="2"/>
  <c r="F169" i="2"/>
  <c r="F253" i="2"/>
  <c r="F130" i="2"/>
  <c r="F121" i="2"/>
  <c r="F126" i="2" s="1"/>
  <c r="F208" i="2"/>
  <c r="F131" i="2"/>
  <c r="F244" i="2"/>
  <c r="F249" i="2" s="1"/>
  <c r="F160" i="2"/>
  <c r="F165" i="2" s="1"/>
  <c r="F210" i="2"/>
  <c r="F199" i="2"/>
  <c r="F204" i="2" s="1"/>
  <c r="F207" i="2"/>
  <c r="F170" i="2"/>
  <c r="F92" i="2"/>
  <c r="F129" i="2"/>
  <c r="F168" i="2"/>
  <c r="F171" i="2"/>
  <c r="F132" i="2"/>
  <c r="F93" i="2"/>
  <c r="F90" i="2"/>
  <c r="F82" i="2"/>
  <c r="F87" i="2" s="1"/>
  <c r="F209" i="2"/>
  <c r="F155" i="2"/>
  <c r="F257" i="2"/>
  <c r="F77" i="2"/>
  <c r="F194" i="2"/>
  <c r="F116" i="2"/>
  <c r="F255" i="2"/>
  <c r="F256" i="2"/>
  <c r="F254" i="2"/>
  <c r="F246" i="2"/>
  <c r="F251" i="2" s="1"/>
  <c r="F245" i="2"/>
  <c r="F250" i="2" s="1"/>
  <c r="F241" i="2"/>
  <c r="F236" i="2"/>
  <c r="F222" i="2"/>
  <c r="P304" i="2"/>
  <c r="P220" i="2"/>
  <c r="F57" i="2"/>
  <c r="F54" i="2"/>
  <c r="F52" i="2"/>
  <c r="F53" i="2"/>
  <c r="F51" i="2"/>
  <c r="F8" i="2"/>
  <c r="F27" i="2"/>
  <c r="F41" i="2" s="1"/>
  <c r="F43" i="2"/>
  <c r="F48" i="2" s="1"/>
  <c r="F42" i="2"/>
  <c r="F47" i="2" s="1"/>
  <c r="F33" i="2"/>
  <c r="F38" i="2"/>
  <c r="R9" i="2"/>
  <c r="S7" i="2"/>
  <c r="Q18" i="2"/>
  <c r="F125" i="1"/>
  <c r="F121" i="1" s="1"/>
  <c r="F122" i="1" s="1"/>
  <c r="Q304" i="2" l="1"/>
  <c r="Q220" i="2"/>
  <c r="F46" i="2"/>
  <c r="T7" i="2"/>
  <c r="S9" i="2"/>
  <c r="G68" i="1"/>
  <c r="U7" i="2" l="1"/>
  <c r="T9" i="2"/>
  <c r="F67" i="1"/>
  <c r="H68" i="1"/>
  <c r="S17" i="2" s="1"/>
  <c r="S14" i="2" l="1"/>
  <c r="S11" i="2"/>
  <c r="F17" i="2"/>
  <c r="G14" i="2"/>
  <c r="G11" i="2"/>
  <c r="G17" i="2"/>
  <c r="F11" i="2"/>
  <c r="F12" i="2" s="1"/>
  <c r="F14" i="2"/>
  <c r="F15" i="2" s="1"/>
  <c r="H17" i="2"/>
  <c r="H11" i="2"/>
  <c r="H14" i="2"/>
  <c r="I17" i="2"/>
  <c r="I11" i="2"/>
  <c r="I14" i="2"/>
  <c r="J11" i="2"/>
  <c r="J14" i="2"/>
  <c r="J17" i="2"/>
  <c r="K11" i="2"/>
  <c r="K17" i="2"/>
  <c r="K14" i="2"/>
  <c r="L14" i="2"/>
  <c r="L17" i="2"/>
  <c r="L11" i="2"/>
  <c r="M17" i="2"/>
  <c r="M11" i="2"/>
  <c r="M14" i="2"/>
  <c r="N14" i="2"/>
  <c r="N17" i="2"/>
  <c r="N11" i="2"/>
  <c r="O11" i="2"/>
  <c r="O14" i="2"/>
  <c r="O17" i="2"/>
  <c r="P17" i="2"/>
  <c r="P11" i="2"/>
  <c r="P14" i="2"/>
  <c r="Q17" i="2"/>
  <c r="Q11" i="2"/>
  <c r="Q14" i="2"/>
  <c r="R11" i="2"/>
  <c r="R17" i="2"/>
  <c r="R18" i="2" s="1"/>
  <c r="R14" i="2"/>
  <c r="T14" i="2"/>
  <c r="T17" i="2"/>
  <c r="T11" i="2"/>
  <c r="V7" i="2"/>
  <c r="U9" i="2"/>
  <c r="I68" i="1"/>
  <c r="F342" i="2" l="1"/>
  <c r="F338" i="2"/>
  <c r="F339" i="2"/>
  <c r="G15" i="2"/>
  <c r="F341" i="2"/>
  <c r="F340" i="2"/>
  <c r="F243" i="2"/>
  <c r="F280" i="2"/>
  <c r="F285" i="2" s="1"/>
  <c r="F196" i="2"/>
  <c r="F201" i="2" s="1"/>
  <c r="F206" i="2" s="1"/>
  <c r="G12" i="2"/>
  <c r="F118" i="2"/>
  <c r="F123" i="2" s="1"/>
  <c r="F128" i="2" s="1"/>
  <c r="F157" i="2"/>
  <c r="F162" i="2" s="1"/>
  <c r="F167" i="2" s="1"/>
  <c r="F79" i="2"/>
  <c r="F84" i="2" s="1"/>
  <c r="F89" i="2" s="1"/>
  <c r="F40" i="2"/>
  <c r="F45" i="2" s="1"/>
  <c r="R220" i="2"/>
  <c r="R304" i="2"/>
  <c r="S18" i="2"/>
  <c r="U11" i="2"/>
  <c r="U17" i="2"/>
  <c r="U14" i="2"/>
  <c r="W7" i="2"/>
  <c r="V9" i="2"/>
  <c r="J68" i="1"/>
  <c r="S304" i="2" l="1"/>
  <c r="S220" i="2"/>
  <c r="T18" i="2"/>
  <c r="G196" i="2"/>
  <c r="G201" i="2" s="1"/>
  <c r="G280" i="2"/>
  <c r="G285" i="2" s="1"/>
  <c r="G243" i="2"/>
  <c r="G248" i="2" s="1"/>
  <c r="G40" i="2"/>
  <c r="G45" i="2" s="1"/>
  <c r="G157" i="2"/>
  <c r="G162" i="2" s="1"/>
  <c r="G118" i="2"/>
  <c r="G123" i="2" s="1"/>
  <c r="G79" i="2"/>
  <c r="G84" i="2" s="1"/>
  <c r="G342" i="2"/>
  <c r="G340" i="2"/>
  <c r="G339" i="2"/>
  <c r="G338" i="2"/>
  <c r="G341" i="2"/>
  <c r="F212" i="2"/>
  <c r="F56" i="2"/>
  <c r="F134" i="2"/>
  <c r="F173" i="2"/>
  <c r="F95" i="2"/>
  <c r="H12" i="2"/>
  <c r="F248" i="2"/>
  <c r="F325" i="2" s="1"/>
  <c r="F259" i="2"/>
  <c r="H15" i="2"/>
  <c r="F50" i="2"/>
  <c r="V17" i="2"/>
  <c r="V11" i="2"/>
  <c r="V14" i="2"/>
  <c r="W9" i="2"/>
  <c r="X7" i="2"/>
  <c r="K68" i="1"/>
  <c r="H79" i="2" l="1"/>
  <c r="H84" i="2" s="1"/>
  <c r="H157" i="2"/>
  <c r="H162" i="2" s="1"/>
  <c r="H118" i="2"/>
  <c r="H123" i="2" s="1"/>
  <c r="H40" i="2"/>
  <c r="H45" i="2" s="1"/>
  <c r="H280" i="2"/>
  <c r="H285" i="2" s="1"/>
  <c r="H243" i="2"/>
  <c r="H248" i="2" s="1"/>
  <c r="H196" i="2"/>
  <c r="H201" i="2" s="1"/>
  <c r="I12" i="2"/>
  <c r="G325" i="2"/>
  <c r="U18" i="2"/>
  <c r="T220" i="2"/>
  <c r="T304" i="2"/>
  <c r="H340" i="2"/>
  <c r="H339" i="2"/>
  <c r="H342" i="2"/>
  <c r="H341" i="2"/>
  <c r="H338" i="2"/>
  <c r="I15" i="2"/>
  <c r="W11" i="2"/>
  <c r="W14" i="2"/>
  <c r="W17" i="2"/>
  <c r="X9" i="2"/>
  <c r="Y7" i="2"/>
  <c r="D322" i="2"/>
  <c r="D5" i="2"/>
  <c r="I280" i="2" l="1"/>
  <c r="I285" i="2" s="1"/>
  <c r="I196" i="2"/>
  <c r="I201" i="2" s="1"/>
  <c r="I157" i="2"/>
  <c r="I162" i="2" s="1"/>
  <c r="I79" i="2"/>
  <c r="I84" i="2" s="1"/>
  <c r="I40" i="2"/>
  <c r="I45" i="2" s="1"/>
  <c r="I243" i="2"/>
  <c r="I248" i="2" s="1"/>
  <c r="I118" i="2"/>
  <c r="I123" i="2" s="1"/>
  <c r="J12" i="2"/>
  <c r="H325" i="2"/>
  <c r="V18" i="2"/>
  <c r="U304" i="2"/>
  <c r="U220" i="2"/>
  <c r="I342" i="2"/>
  <c r="I339" i="2"/>
  <c r="I341" i="2"/>
  <c r="I338" i="2"/>
  <c r="I340" i="2"/>
  <c r="J15" i="2"/>
  <c r="Y9" i="2"/>
  <c r="Z7" i="2"/>
  <c r="X11" i="2"/>
  <c r="X17" i="2"/>
  <c r="X14" i="2"/>
  <c r="G5" i="2"/>
  <c r="I325" i="2" l="1"/>
  <c r="W18" i="2"/>
  <c r="V220" i="2"/>
  <c r="V304" i="2"/>
  <c r="J157" i="2"/>
  <c r="J162" i="2" s="1"/>
  <c r="J280" i="2"/>
  <c r="J285" i="2" s="1"/>
  <c r="J79" i="2"/>
  <c r="J84" i="2" s="1"/>
  <c r="J40" i="2"/>
  <c r="J45" i="2" s="1"/>
  <c r="J243" i="2"/>
  <c r="J248" i="2" s="1"/>
  <c r="J196" i="2"/>
  <c r="J201" i="2" s="1"/>
  <c r="J118" i="2"/>
  <c r="J123" i="2" s="1"/>
  <c r="K12" i="2"/>
  <c r="J342" i="2"/>
  <c r="J339" i="2"/>
  <c r="J341" i="2"/>
  <c r="J338" i="2"/>
  <c r="J340" i="2"/>
  <c r="K15" i="2"/>
  <c r="G198" i="2"/>
  <c r="G203" i="2" s="1"/>
  <c r="G159" i="2"/>
  <c r="G164" i="2" s="1"/>
  <c r="G213" i="2"/>
  <c r="G135" i="2"/>
  <c r="G120" i="2"/>
  <c r="G125" i="2" s="1"/>
  <c r="G174" i="2"/>
  <c r="G81" i="2"/>
  <c r="G86" i="2" s="1"/>
  <c r="G96" i="2"/>
  <c r="G244" i="2"/>
  <c r="G249" i="2" s="1"/>
  <c r="G130" i="2"/>
  <c r="G253" i="2"/>
  <c r="G169" i="2"/>
  <c r="G129" i="2"/>
  <c r="G131" i="2"/>
  <c r="G170" i="2"/>
  <c r="G121" i="2"/>
  <c r="G126" i="2" s="1"/>
  <c r="G171" i="2"/>
  <c r="G168" i="2"/>
  <c r="G132" i="2"/>
  <c r="G209" i="2"/>
  <c r="G82" i="2"/>
  <c r="G87" i="2" s="1"/>
  <c r="G208" i="2"/>
  <c r="G210" i="2"/>
  <c r="G160" i="2"/>
  <c r="G165" i="2" s="1"/>
  <c r="G199" i="2"/>
  <c r="G204" i="2" s="1"/>
  <c r="G207" i="2"/>
  <c r="G93" i="2"/>
  <c r="G90" i="2"/>
  <c r="G92" i="2"/>
  <c r="G257" i="2"/>
  <c r="G246" i="2"/>
  <c r="G251" i="2" s="1"/>
  <c r="G256" i="2"/>
  <c r="G255" i="2"/>
  <c r="G254" i="2"/>
  <c r="G259" i="2"/>
  <c r="G245" i="2"/>
  <c r="G250" i="2" s="1"/>
  <c r="G212" i="2"/>
  <c r="G173" i="2"/>
  <c r="G95" i="2"/>
  <c r="G134" i="2"/>
  <c r="G183" i="2"/>
  <c r="G197" i="2" s="1"/>
  <c r="G202" i="2" s="1"/>
  <c r="G77" i="2"/>
  <c r="G116" i="2"/>
  <c r="G155" i="2"/>
  <c r="G236" i="2"/>
  <c r="G144" i="2"/>
  <c r="G158" i="2" s="1"/>
  <c r="G163" i="2" s="1"/>
  <c r="G105" i="2"/>
  <c r="G119" i="2" s="1"/>
  <c r="G124" i="2" s="1"/>
  <c r="G194" i="2"/>
  <c r="G241" i="2"/>
  <c r="G189" i="2"/>
  <c r="G66" i="2"/>
  <c r="G80" i="2" s="1"/>
  <c r="G85" i="2" s="1"/>
  <c r="G150" i="2"/>
  <c r="G111" i="2"/>
  <c r="G72" i="2"/>
  <c r="G230" i="2"/>
  <c r="G222" i="2"/>
  <c r="G57" i="2"/>
  <c r="G56" i="2"/>
  <c r="G52" i="2"/>
  <c r="G53" i="2"/>
  <c r="G51" i="2"/>
  <c r="G54" i="2"/>
  <c r="G8" i="2"/>
  <c r="G42" i="2"/>
  <c r="G47" i="2" s="1"/>
  <c r="G43" i="2"/>
  <c r="G48" i="2" s="1"/>
  <c r="G33" i="2"/>
  <c r="G27" i="2"/>
  <c r="G41" i="2" s="1"/>
  <c r="G38" i="2"/>
  <c r="Z9" i="2"/>
  <c r="AA7" i="2"/>
  <c r="Y11" i="2"/>
  <c r="Y14" i="2"/>
  <c r="Y17" i="2"/>
  <c r="H5" i="2"/>
  <c r="H72" i="2" s="1"/>
  <c r="G206" i="2" l="1"/>
  <c r="J325" i="2"/>
  <c r="K339" i="2"/>
  <c r="K342" i="2"/>
  <c r="K341" i="2"/>
  <c r="K340" i="2"/>
  <c r="K338" i="2"/>
  <c r="L15" i="2"/>
  <c r="W220" i="2"/>
  <c r="X18" i="2"/>
  <c r="W304" i="2"/>
  <c r="K157" i="2"/>
  <c r="K162" i="2" s="1"/>
  <c r="K118" i="2"/>
  <c r="K123" i="2" s="1"/>
  <c r="K79" i="2"/>
  <c r="K84" i="2" s="1"/>
  <c r="K280" i="2"/>
  <c r="K285" i="2" s="1"/>
  <c r="K196" i="2"/>
  <c r="K201" i="2" s="1"/>
  <c r="K40" i="2"/>
  <c r="K45" i="2" s="1"/>
  <c r="K243" i="2"/>
  <c r="K248" i="2" s="1"/>
  <c r="L12" i="2"/>
  <c r="G128" i="2"/>
  <c r="G167" i="2"/>
  <c r="G91" i="2"/>
  <c r="G89" i="2"/>
  <c r="H111" i="2"/>
  <c r="H144" i="2"/>
  <c r="H158" i="2" s="1"/>
  <c r="H163" i="2" s="1"/>
  <c r="H150" i="2"/>
  <c r="H116" i="2"/>
  <c r="H194" i="2"/>
  <c r="H183" i="2"/>
  <c r="H197" i="2" s="1"/>
  <c r="H202" i="2" s="1"/>
  <c r="H66" i="2"/>
  <c r="H80" i="2" s="1"/>
  <c r="H85" i="2" s="1"/>
  <c r="H189" i="2"/>
  <c r="H241" i="2"/>
  <c r="H155" i="2"/>
  <c r="H174" i="2"/>
  <c r="H213" i="2"/>
  <c r="H159" i="2"/>
  <c r="H164" i="2" s="1"/>
  <c r="H120" i="2"/>
  <c r="H125" i="2" s="1"/>
  <c r="H198" i="2"/>
  <c r="H203" i="2" s="1"/>
  <c r="H81" i="2"/>
  <c r="H86" i="2" s="1"/>
  <c r="H135" i="2"/>
  <c r="H96" i="2"/>
  <c r="H130" i="2"/>
  <c r="H253" i="2"/>
  <c r="H169" i="2"/>
  <c r="H91" i="2"/>
  <c r="H132" i="2"/>
  <c r="H131" i="2"/>
  <c r="H170" i="2"/>
  <c r="H129" i="2"/>
  <c r="H160" i="2"/>
  <c r="H165" i="2" s="1"/>
  <c r="H171" i="2"/>
  <c r="H244" i="2"/>
  <c r="H249" i="2" s="1"/>
  <c r="H121" i="2"/>
  <c r="H126" i="2" s="1"/>
  <c r="H168" i="2"/>
  <c r="H208" i="2"/>
  <c r="H207" i="2"/>
  <c r="H92" i="2"/>
  <c r="H210" i="2"/>
  <c r="H93" i="2"/>
  <c r="H199" i="2"/>
  <c r="H204" i="2" s="1"/>
  <c r="H209" i="2"/>
  <c r="H90" i="2"/>
  <c r="H82" i="2"/>
  <c r="H87" i="2" s="1"/>
  <c r="H256" i="2"/>
  <c r="H246" i="2"/>
  <c r="H251" i="2" s="1"/>
  <c r="H257" i="2"/>
  <c r="H254" i="2"/>
  <c r="H255" i="2"/>
  <c r="H245" i="2"/>
  <c r="H250" i="2" s="1"/>
  <c r="H173" i="2"/>
  <c r="H95" i="2"/>
  <c r="H259" i="2"/>
  <c r="H212" i="2"/>
  <c r="H134" i="2"/>
  <c r="H236" i="2"/>
  <c r="H230" i="2"/>
  <c r="H77" i="2"/>
  <c r="H105" i="2"/>
  <c r="H119" i="2" s="1"/>
  <c r="H124" i="2" s="1"/>
  <c r="H222" i="2"/>
  <c r="H33" i="2"/>
  <c r="H57" i="2"/>
  <c r="H56" i="2"/>
  <c r="H53" i="2"/>
  <c r="H52" i="2"/>
  <c r="H54" i="2"/>
  <c r="H51" i="2"/>
  <c r="H8" i="2"/>
  <c r="H42" i="2"/>
  <c r="H47" i="2" s="1"/>
  <c r="H43" i="2"/>
  <c r="H48" i="2" s="1"/>
  <c r="G46" i="2"/>
  <c r="G50" i="2" s="1"/>
  <c r="H27" i="2"/>
  <c r="H41" i="2" s="1"/>
  <c r="H38" i="2"/>
  <c r="AA9" i="2"/>
  <c r="AB7" i="2"/>
  <c r="Z17" i="2"/>
  <c r="Z11" i="2"/>
  <c r="Z14" i="2"/>
  <c r="I5" i="2"/>
  <c r="I183" i="2" s="1"/>
  <c r="K325" i="2" l="1"/>
  <c r="Y18" i="2"/>
  <c r="X304" i="2"/>
  <c r="X220" i="2"/>
  <c r="L243" i="2"/>
  <c r="L248" i="2" s="1"/>
  <c r="L118" i="2"/>
  <c r="L123" i="2" s="1"/>
  <c r="L40" i="2"/>
  <c r="L45" i="2" s="1"/>
  <c r="L157" i="2"/>
  <c r="L162" i="2" s="1"/>
  <c r="L196" i="2"/>
  <c r="L201" i="2" s="1"/>
  <c r="L79" i="2"/>
  <c r="L84" i="2" s="1"/>
  <c r="L280" i="2"/>
  <c r="L285" i="2" s="1"/>
  <c r="M12" i="2"/>
  <c r="L342" i="2"/>
  <c r="L338" i="2"/>
  <c r="L341" i="2"/>
  <c r="L340" i="2"/>
  <c r="L339" i="2"/>
  <c r="M15" i="2"/>
  <c r="H167" i="2"/>
  <c r="H128" i="2"/>
  <c r="H206" i="2"/>
  <c r="I189" i="2"/>
  <c r="I66" i="2"/>
  <c r="I80" i="2" s="1"/>
  <c r="I85" i="2" s="1"/>
  <c r="I236" i="2"/>
  <c r="H89" i="2"/>
  <c r="I150" i="2"/>
  <c r="I194" i="2"/>
  <c r="I77" i="2"/>
  <c r="I144" i="2"/>
  <c r="I241" i="2"/>
  <c r="I72" i="2"/>
  <c r="I174" i="2"/>
  <c r="I213" i="2"/>
  <c r="I159" i="2"/>
  <c r="I164" i="2" s="1"/>
  <c r="I135" i="2"/>
  <c r="I198" i="2"/>
  <c r="I203" i="2" s="1"/>
  <c r="I81" i="2"/>
  <c r="I86" i="2" s="1"/>
  <c r="I96" i="2"/>
  <c r="I120" i="2"/>
  <c r="I125" i="2" s="1"/>
  <c r="I197" i="2"/>
  <c r="I202" i="2" s="1"/>
  <c r="I158" i="2"/>
  <c r="I163" i="2" s="1"/>
  <c r="I253" i="2"/>
  <c r="I130" i="2"/>
  <c r="I169" i="2"/>
  <c r="I91" i="2"/>
  <c r="I244" i="2"/>
  <c r="I249" i="2" s="1"/>
  <c r="I121" i="2"/>
  <c r="I126" i="2" s="1"/>
  <c r="I171" i="2"/>
  <c r="I132" i="2"/>
  <c r="I168" i="2"/>
  <c r="I208" i="2"/>
  <c r="I129" i="2"/>
  <c r="I170" i="2"/>
  <c r="I131" i="2"/>
  <c r="I207" i="2"/>
  <c r="I209" i="2"/>
  <c r="I160" i="2"/>
  <c r="I165" i="2" s="1"/>
  <c r="I210" i="2"/>
  <c r="I199" i="2"/>
  <c r="I204" i="2" s="1"/>
  <c r="I92" i="2"/>
  <c r="I90" i="2"/>
  <c r="I93" i="2"/>
  <c r="I82" i="2"/>
  <c r="I87" i="2" s="1"/>
  <c r="I256" i="2"/>
  <c r="I255" i="2"/>
  <c r="I246" i="2"/>
  <c r="I251" i="2" s="1"/>
  <c r="I257" i="2"/>
  <c r="I254" i="2"/>
  <c r="I245" i="2"/>
  <c r="I250" i="2" s="1"/>
  <c r="I173" i="2"/>
  <c r="I259" i="2"/>
  <c r="I212" i="2"/>
  <c r="I134" i="2"/>
  <c r="I95" i="2"/>
  <c r="I111" i="2"/>
  <c r="I155" i="2"/>
  <c r="I230" i="2"/>
  <c r="I105" i="2"/>
  <c r="I119" i="2" s="1"/>
  <c r="I124" i="2" s="1"/>
  <c r="I116" i="2"/>
  <c r="I222" i="2"/>
  <c r="I38" i="2"/>
  <c r="I57" i="2"/>
  <c r="I53" i="2"/>
  <c r="I52" i="2"/>
  <c r="I51" i="2"/>
  <c r="I56" i="2"/>
  <c r="I54" i="2"/>
  <c r="H46" i="2"/>
  <c r="H50" i="2" s="1"/>
  <c r="I8" i="2"/>
  <c r="I42" i="2"/>
  <c r="I47" i="2" s="1"/>
  <c r="I43" i="2"/>
  <c r="I48" i="2" s="1"/>
  <c r="I33" i="2"/>
  <c r="I27" i="2"/>
  <c r="I41" i="2" s="1"/>
  <c r="AB9" i="2"/>
  <c r="AC7" i="2"/>
  <c r="AA17" i="2"/>
  <c r="AA11" i="2"/>
  <c r="AA14" i="2"/>
  <c r="J5" i="2"/>
  <c r="J144" i="2" s="1"/>
  <c r="M280" i="2" l="1"/>
  <c r="M285" i="2" s="1"/>
  <c r="M157" i="2"/>
  <c r="M162" i="2" s="1"/>
  <c r="M79" i="2"/>
  <c r="M84" i="2" s="1"/>
  <c r="M243" i="2"/>
  <c r="M248" i="2" s="1"/>
  <c r="M196" i="2"/>
  <c r="M201" i="2" s="1"/>
  <c r="M118" i="2"/>
  <c r="M123" i="2" s="1"/>
  <c r="M40" i="2"/>
  <c r="M45" i="2" s="1"/>
  <c r="N12" i="2"/>
  <c r="M342" i="2"/>
  <c r="M338" i="2"/>
  <c r="M341" i="2"/>
  <c r="M340" i="2"/>
  <c r="M339" i="2"/>
  <c r="N15" i="2"/>
  <c r="L325" i="2"/>
  <c r="Y304" i="2"/>
  <c r="Z18" i="2"/>
  <c r="Y220" i="2"/>
  <c r="I89" i="2"/>
  <c r="I128" i="2"/>
  <c r="I167" i="2"/>
  <c r="I206" i="2"/>
  <c r="J72" i="2"/>
  <c r="J236" i="2"/>
  <c r="J213" i="2"/>
  <c r="J159" i="2"/>
  <c r="J164" i="2" s="1"/>
  <c r="J135" i="2"/>
  <c r="J198" i="2"/>
  <c r="J203" i="2" s="1"/>
  <c r="J174" i="2"/>
  <c r="J120" i="2"/>
  <c r="J125" i="2" s="1"/>
  <c r="J96" i="2"/>
  <c r="J81" i="2"/>
  <c r="J86" i="2" s="1"/>
  <c r="J253" i="2"/>
  <c r="J91" i="2"/>
  <c r="J158" i="2"/>
  <c r="J163" i="2" s="1"/>
  <c r="J130" i="2"/>
  <c r="J131" i="2"/>
  <c r="J160" i="2"/>
  <c r="J165" i="2" s="1"/>
  <c r="J121" i="2"/>
  <c r="J126" i="2" s="1"/>
  <c r="J171" i="2"/>
  <c r="J169" i="2"/>
  <c r="J132" i="2"/>
  <c r="J168" i="2"/>
  <c r="J208" i="2"/>
  <c r="J244" i="2"/>
  <c r="J249" i="2" s="1"/>
  <c r="J129" i="2"/>
  <c r="J210" i="2"/>
  <c r="J199" i="2"/>
  <c r="J204" i="2" s="1"/>
  <c r="J209" i="2"/>
  <c r="J92" i="2"/>
  <c r="J82" i="2"/>
  <c r="J87" i="2" s="1"/>
  <c r="J170" i="2"/>
  <c r="J93" i="2"/>
  <c r="J207" i="2"/>
  <c r="J90" i="2"/>
  <c r="J257" i="2"/>
  <c r="J255" i="2"/>
  <c r="J256" i="2"/>
  <c r="J246" i="2"/>
  <c r="J251" i="2" s="1"/>
  <c r="J254" i="2"/>
  <c r="J245" i="2"/>
  <c r="J250" i="2" s="1"/>
  <c r="J212" i="2"/>
  <c r="J134" i="2"/>
  <c r="J259" i="2"/>
  <c r="J173" i="2"/>
  <c r="J95" i="2"/>
  <c r="J150" i="2"/>
  <c r="J155" i="2"/>
  <c r="J111" i="2"/>
  <c r="J189" i="2"/>
  <c r="J116" i="2"/>
  <c r="J230" i="2"/>
  <c r="J183" i="2"/>
  <c r="J197" i="2" s="1"/>
  <c r="J202" i="2" s="1"/>
  <c r="J194" i="2"/>
  <c r="J77" i="2"/>
  <c r="J105" i="2"/>
  <c r="J119" i="2" s="1"/>
  <c r="J124" i="2" s="1"/>
  <c r="J241" i="2"/>
  <c r="J66" i="2"/>
  <c r="J80" i="2" s="1"/>
  <c r="J85" i="2" s="1"/>
  <c r="J222" i="2"/>
  <c r="J57" i="2"/>
  <c r="J52" i="2"/>
  <c r="J51" i="2"/>
  <c r="J56" i="2"/>
  <c r="J54" i="2"/>
  <c r="J53" i="2"/>
  <c r="I46" i="2"/>
  <c r="I50" i="2" s="1"/>
  <c r="J8" i="2"/>
  <c r="J42" i="2"/>
  <c r="J47" i="2" s="1"/>
  <c r="J43" i="2"/>
  <c r="J48" i="2" s="1"/>
  <c r="J33" i="2"/>
  <c r="J27" i="2"/>
  <c r="J41" i="2" s="1"/>
  <c r="J38" i="2"/>
  <c r="AC9" i="2"/>
  <c r="AD7" i="2"/>
  <c r="AB11" i="2"/>
  <c r="AB14" i="2"/>
  <c r="AB17" i="2"/>
  <c r="K5" i="2"/>
  <c r="K150" i="2" s="1"/>
  <c r="M325" i="2" l="1"/>
  <c r="N118" i="2"/>
  <c r="N123" i="2" s="1"/>
  <c r="N79" i="2"/>
  <c r="N84" i="2" s="1"/>
  <c r="N280" i="2"/>
  <c r="N285" i="2" s="1"/>
  <c r="N40" i="2"/>
  <c r="N45" i="2" s="1"/>
  <c r="N157" i="2"/>
  <c r="N162" i="2" s="1"/>
  <c r="N196" i="2"/>
  <c r="N201" i="2" s="1"/>
  <c r="N243" i="2"/>
  <c r="N248" i="2" s="1"/>
  <c r="O12" i="2"/>
  <c r="Z304" i="2"/>
  <c r="Z220" i="2"/>
  <c r="AA18" i="2"/>
  <c r="N341" i="2"/>
  <c r="N342" i="2"/>
  <c r="N338" i="2"/>
  <c r="N339" i="2"/>
  <c r="N340" i="2"/>
  <c r="O15" i="2"/>
  <c r="J128" i="2"/>
  <c r="J206" i="2"/>
  <c r="J167" i="2"/>
  <c r="K155" i="2"/>
  <c r="K241" i="2"/>
  <c r="K105" i="2"/>
  <c r="J89" i="2"/>
  <c r="K194" i="2"/>
  <c r="K111" i="2"/>
  <c r="K66" i="2"/>
  <c r="K80" i="2" s="1"/>
  <c r="K85" i="2" s="1"/>
  <c r="K144" i="2"/>
  <c r="K158" i="2" s="1"/>
  <c r="K163" i="2" s="1"/>
  <c r="K72" i="2"/>
  <c r="K174" i="2"/>
  <c r="K213" i="2"/>
  <c r="K159" i="2"/>
  <c r="K164" i="2" s="1"/>
  <c r="K198" i="2"/>
  <c r="K203" i="2" s="1"/>
  <c r="K120" i="2"/>
  <c r="K125" i="2" s="1"/>
  <c r="K81" i="2"/>
  <c r="K86" i="2" s="1"/>
  <c r="K96" i="2"/>
  <c r="K135" i="2"/>
  <c r="K244" i="2"/>
  <c r="K249" i="2" s="1"/>
  <c r="K130" i="2"/>
  <c r="K91" i="2"/>
  <c r="K253" i="2"/>
  <c r="K208" i="2"/>
  <c r="K132" i="2"/>
  <c r="K160" i="2"/>
  <c r="K165" i="2" s="1"/>
  <c r="K169" i="2"/>
  <c r="K168" i="2"/>
  <c r="K131" i="2"/>
  <c r="K207" i="2"/>
  <c r="K171" i="2"/>
  <c r="K129" i="2"/>
  <c r="K170" i="2"/>
  <c r="K209" i="2"/>
  <c r="K121" i="2"/>
  <c r="K126" i="2" s="1"/>
  <c r="K82" i="2"/>
  <c r="K87" i="2" s="1"/>
  <c r="K92" i="2"/>
  <c r="K199" i="2"/>
  <c r="K204" i="2" s="1"/>
  <c r="K93" i="2"/>
  <c r="K90" i="2"/>
  <c r="K119" i="2"/>
  <c r="K124" i="2" s="1"/>
  <c r="K210" i="2"/>
  <c r="K246" i="2"/>
  <c r="K251" i="2" s="1"/>
  <c r="K255" i="2"/>
  <c r="K254" i="2"/>
  <c r="K256" i="2"/>
  <c r="K257" i="2"/>
  <c r="K245" i="2"/>
  <c r="K250" i="2" s="1"/>
  <c r="K134" i="2"/>
  <c r="K212" i="2"/>
  <c r="K173" i="2"/>
  <c r="K259" i="2"/>
  <c r="K95" i="2"/>
  <c r="K116" i="2"/>
  <c r="K77" i="2"/>
  <c r="K230" i="2"/>
  <c r="K183" i="2"/>
  <c r="K197" i="2" s="1"/>
  <c r="K202" i="2" s="1"/>
  <c r="K189" i="2"/>
  <c r="K236" i="2"/>
  <c r="K222" i="2"/>
  <c r="K57" i="2"/>
  <c r="K54" i="2"/>
  <c r="K51" i="2"/>
  <c r="K53" i="2"/>
  <c r="K56" i="2"/>
  <c r="K52" i="2"/>
  <c r="J46" i="2"/>
  <c r="J50" i="2" s="1"/>
  <c r="K8" i="2"/>
  <c r="K42" i="2"/>
  <c r="K47" i="2" s="1"/>
  <c r="K43" i="2"/>
  <c r="K48" i="2" s="1"/>
  <c r="K38" i="2"/>
  <c r="K33" i="2"/>
  <c r="K27" i="2"/>
  <c r="K41" i="2" s="1"/>
  <c r="AE7" i="2"/>
  <c r="AD9" i="2"/>
  <c r="AC14" i="2"/>
  <c r="AC11" i="2"/>
  <c r="AC17" i="2"/>
  <c r="L5" i="2"/>
  <c r="L105" i="2" s="1"/>
  <c r="K206" i="2" l="1"/>
  <c r="O196" i="2"/>
  <c r="O201" i="2" s="1"/>
  <c r="O157" i="2"/>
  <c r="O162" i="2" s="1"/>
  <c r="O118" i="2"/>
  <c r="O123" i="2" s="1"/>
  <c r="O79" i="2"/>
  <c r="O84" i="2" s="1"/>
  <c r="O40" i="2"/>
  <c r="O45" i="2" s="1"/>
  <c r="O280" i="2"/>
  <c r="O285" i="2" s="1"/>
  <c r="O243" i="2"/>
  <c r="O248" i="2" s="1"/>
  <c r="P12" i="2"/>
  <c r="O340" i="2"/>
  <c r="O338" i="2"/>
  <c r="O342" i="2"/>
  <c r="O339" i="2"/>
  <c r="O341" i="2"/>
  <c r="P15" i="2"/>
  <c r="N325" i="2"/>
  <c r="AA304" i="2"/>
  <c r="AA220" i="2"/>
  <c r="AB18" i="2"/>
  <c r="K128" i="2"/>
  <c r="K89" i="2"/>
  <c r="K167" i="2"/>
  <c r="L189" i="2"/>
  <c r="L155" i="2"/>
  <c r="L111" i="2"/>
  <c r="L66" i="2"/>
  <c r="L80" i="2" s="1"/>
  <c r="L85" i="2" s="1"/>
  <c r="L194" i="2"/>
  <c r="L144" i="2"/>
  <c r="L158" i="2" s="1"/>
  <c r="L163" i="2" s="1"/>
  <c r="L72" i="2"/>
  <c r="L241" i="2"/>
  <c r="L116" i="2"/>
  <c r="L230" i="2"/>
  <c r="L150" i="2"/>
  <c r="L236" i="2"/>
  <c r="L198" i="2"/>
  <c r="L203" i="2" s="1"/>
  <c r="L159" i="2"/>
  <c r="L164" i="2" s="1"/>
  <c r="L213" i="2"/>
  <c r="L135" i="2"/>
  <c r="L120" i="2"/>
  <c r="L125" i="2" s="1"/>
  <c r="L174" i="2"/>
  <c r="L81" i="2"/>
  <c r="L86" i="2" s="1"/>
  <c r="L96" i="2"/>
  <c r="L253" i="2"/>
  <c r="L169" i="2"/>
  <c r="L91" i="2"/>
  <c r="L244" i="2"/>
  <c r="L249" i="2" s="1"/>
  <c r="L130" i="2"/>
  <c r="L121" i="2"/>
  <c r="L126" i="2" s="1"/>
  <c r="L131" i="2"/>
  <c r="L208" i="2"/>
  <c r="L170" i="2"/>
  <c r="L132" i="2"/>
  <c r="L129" i="2"/>
  <c r="L92" i="2"/>
  <c r="L209" i="2"/>
  <c r="L90" i="2"/>
  <c r="L199" i="2"/>
  <c r="L204" i="2" s="1"/>
  <c r="L210" i="2"/>
  <c r="L171" i="2"/>
  <c r="L168" i="2"/>
  <c r="L160" i="2"/>
  <c r="L165" i="2" s="1"/>
  <c r="L93" i="2"/>
  <c r="L207" i="2"/>
  <c r="L82" i="2"/>
  <c r="L87" i="2" s="1"/>
  <c r="L254" i="2"/>
  <c r="L246" i="2"/>
  <c r="L251" i="2" s="1"/>
  <c r="L255" i="2"/>
  <c r="L256" i="2"/>
  <c r="L119" i="2"/>
  <c r="L124" i="2" s="1"/>
  <c r="L257" i="2"/>
  <c r="L245" i="2"/>
  <c r="L250" i="2" s="1"/>
  <c r="L134" i="2"/>
  <c r="L95" i="2"/>
  <c r="L259" i="2"/>
  <c r="L212" i="2"/>
  <c r="L173" i="2"/>
  <c r="L77" i="2"/>
  <c r="L183" i="2"/>
  <c r="L197" i="2" s="1"/>
  <c r="L202" i="2" s="1"/>
  <c r="L222" i="2"/>
  <c r="L27" i="2"/>
  <c r="L41" i="2" s="1"/>
  <c r="L57" i="2"/>
  <c r="L54" i="2"/>
  <c r="L53" i="2"/>
  <c r="L52" i="2"/>
  <c r="L56" i="2"/>
  <c r="L51" i="2"/>
  <c r="K46" i="2"/>
  <c r="K50" i="2" s="1"/>
  <c r="L38" i="2"/>
  <c r="L33" i="2"/>
  <c r="L8" i="2"/>
  <c r="L42" i="2"/>
  <c r="L47" i="2" s="1"/>
  <c r="L43" i="2"/>
  <c r="L48" i="2" s="1"/>
  <c r="AD14" i="2"/>
  <c r="AD17" i="2"/>
  <c r="AD11" i="2"/>
  <c r="AE9" i="2"/>
  <c r="AF7" i="2"/>
  <c r="M5" i="2"/>
  <c r="M72" i="2" s="1"/>
  <c r="AB220" i="2" l="1"/>
  <c r="AC18" i="2"/>
  <c r="AB304" i="2"/>
  <c r="P157" i="2"/>
  <c r="P162" i="2" s="1"/>
  <c r="P280" i="2"/>
  <c r="P285" i="2" s="1"/>
  <c r="P243" i="2"/>
  <c r="P248" i="2" s="1"/>
  <c r="P196" i="2"/>
  <c r="P201" i="2" s="1"/>
  <c r="P118" i="2"/>
  <c r="P123" i="2" s="1"/>
  <c r="P79" i="2"/>
  <c r="P84" i="2" s="1"/>
  <c r="P40" i="2"/>
  <c r="P45" i="2" s="1"/>
  <c r="Q12" i="2"/>
  <c r="O325" i="2"/>
  <c r="P338" i="2"/>
  <c r="P341" i="2"/>
  <c r="P339" i="2"/>
  <c r="P340" i="2"/>
  <c r="P342" i="2"/>
  <c r="Q15" i="2"/>
  <c r="L206" i="2"/>
  <c r="L89" i="2"/>
  <c r="L167" i="2"/>
  <c r="L128" i="2"/>
  <c r="M155" i="2"/>
  <c r="M77" i="2"/>
  <c r="M230" i="2"/>
  <c r="M150" i="2"/>
  <c r="M236" i="2"/>
  <c r="M66" i="2"/>
  <c r="M80" i="2" s="1"/>
  <c r="M85" i="2" s="1"/>
  <c r="M116" i="2"/>
  <c r="M213" i="2"/>
  <c r="M198" i="2"/>
  <c r="M203" i="2" s="1"/>
  <c r="M159" i="2"/>
  <c r="M164" i="2" s="1"/>
  <c r="M174" i="2"/>
  <c r="M120" i="2"/>
  <c r="M125" i="2" s="1"/>
  <c r="M96" i="2"/>
  <c r="M135" i="2"/>
  <c r="M81" i="2"/>
  <c r="M86" i="2" s="1"/>
  <c r="M244" i="2"/>
  <c r="M249" i="2" s="1"/>
  <c r="M91" i="2"/>
  <c r="M253" i="2"/>
  <c r="M131" i="2"/>
  <c r="M129" i="2"/>
  <c r="M121" i="2"/>
  <c r="M126" i="2" s="1"/>
  <c r="M132" i="2"/>
  <c r="M130" i="2"/>
  <c r="M169" i="2"/>
  <c r="M170" i="2"/>
  <c r="M92" i="2"/>
  <c r="M207" i="2"/>
  <c r="M199" i="2"/>
  <c r="M204" i="2" s="1"/>
  <c r="M90" i="2"/>
  <c r="M160" i="2"/>
  <c r="M165" i="2" s="1"/>
  <c r="M171" i="2"/>
  <c r="M168" i="2"/>
  <c r="M93" i="2"/>
  <c r="M208" i="2"/>
  <c r="M209" i="2"/>
  <c r="M210" i="2"/>
  <c r="M82" i="2"/>
  <c r="M87" i="2" s="1"/>
  <c r="M255" i="2"/>
  <c r="M246" i="2"/>
  <c r="M251" i="2" s="1"/>
  <c r="M254" i="2"/>
  <c r="M256" i="2"/>
  <c r="M257" i="2"/>
  <c r="M245" i="2"/>
  <c r="M250" i="2" s="1"/>
  <c r="M134" i="2"/>
  <c r="M173" i="2"/>
  <c r="M95" i="2"/>
  <c r="M259" i="2"/>
  <c r="M212" i="2"/>
  <c r="M111" i="2"/>
  <c r="M183" i="2"/>
  <c r="M197" i="2" s="1"/>
  <c r="M202" i="2" s="1"/>
  <c r="M241" i="2"/>
  <c r="M194" i="2"/>
  <c r="M144" i="2"/>
  <c r="M158" i="2" s="1"/>
  <c r="M163" i="2" s="1"/>
  <c r="M105" i="2"/>
  <c r="M119" i="2" s="1"/>
  <c r="M124" i="2" s="1"/>
  <c r="M189" i="2"/>
  <c r="M33" i="2"/>
  <c r="M222" i="2"/>
  <c r="M38" i="2"/>
  <c r="M27" i="2"/>
  <c r="M41" i="2" s="1"/>
  <c r="M57" i="2"/>
  <c r="M54" i="2"/>
  <c r="M51" i="2"/>
  <c r="M56" i="2"/>
  <c r="M52" i="2"/>
  <c r="M53" i="2"/>
  <c r="M8" i="2"/>
  <c r="M42" i="2"/>
  <c r="M47" i="2" s="1"/>
  <c r="M43" i="2"/>
  <c r="M48" i="2" s="1"/>
  <c r="L46" i="2"/>
  <c r="L50" i="2" s="1"/>
  <c r="AF9" i="2"/>
  <c r="AG7" i="2"/>
  <c r="AE14" i="2"/>
  <c r="AE17" i="2"/>
  <c r="AE11" i="2"/>
  <c r="N5" i="2"/>
  <c r="N150" i="2" s="1"/>
  <c r="M167" i="2" l="1"/>
  <c r="P325" i="2"/>
  <c r="Q243" i="2"/>
  <c r="Q248" i="2" s="1"/>
  <c r="Q280" i="2"/>
  <c r="Q285" i="2" s="1"/>
  <c r="E301" i="2" s="1"/>
  <c r="Q40" i="2"/>
  <c r="Q45" i="2" s="1"/>
  <c r="Q196" i="2"/>
  <c r="Q201" i="2" s="1"/>
  <c r="Q118" i="2"/>
  <c r="Q123" i="2" s="1"/>
  <c r="Q79" i="2"/>
  <c r="Q84" i="2" s="1"/>
  <c r="Q157" i="2"/>
  <c r="Q162" i="2" s="1"/>
  <c r="R12" i="2"/>
  <c r="Q340" i="2"/>
  <c r="Q339" i="2"/>
  <c r="Q338" i="2"/>
  <c r="Q342" i="2"/>
  <c r="Q341" i="2"/>
  <c r="R15" i="2"/>
  <c r="AC304" i="2"/>
  <c r="AC220" i="2"/>
  <c r="AD18" i="2"/>
  <c r="M89" i="2"/>
  <c r="M206" i="2"/>
  <c r="N230" i="2"/>
  <c r="M128" i="2"/>
  <c r="N116" i="2"/>
  <c r="N189" i="2"/>
  <c r="N155" i="2"/>
  <c r="N105" i="2"/>
  <c r="N119" i="2" s="1"/>
  <c r="N124" i="2" s="1"/>
  <c r="N194" i="2"/>
  <c r="N77" i="2"/>
  <c r="N66" i="2"/>
  <c r="N80" i="2" s="1"/>
  <c r="N85" i="2" s="1"/>
  <c r="N183" i="2"/>
  <c r="N197" i="2" s="1"/>
  <c r="N202" i="2" s="1"/>
  <c r="N111" i="2"/>
  <c r="N120" i="2"/>
  <c r="N125" i="2" s="1"/>
  <c r="N198" i="2"/>
  <c r="N203" i="2" s="1"/>
  <c r="N174" i="2"/>
  <c r="N96" i="2"/>
  <c r="N135" i="2"/>
  <c r="N81" i="2"/>
  <c r="N86" i="2" s="1"/>
  <c r="N213" i="2"/>
  <c r="N159" i="2"/>
  <c r="N164" i="2" s="1"/>
  <c r="N253" i="2"/>
  <c r="N130" i="2"/>
  <c r="N208" i="2"/>
  <c r="N91" i="2"/>
  <c r="N169" i="2"/>
  <c r="N132" i="2"/>
  <c r="N129" i="2"/>
  <c r="N121" i="2"/>
  <c r="N126" i="2" s="1"/>
  <c r="N209" i="2"/>
  <c r="N207" i="2"/>
  <c r="N244" i="2"/>
  <c r="N249" i="2" s="1"/>
  <c r="N168" i="2"/>
  <c r="N160" i="2"/>
  <c r="N165" i="2" s="1"/>
  <c r="N171" i="2"/>
  <c r="N199" i="2"/>
  <c r="N204" i="2" s="1"/>
  <c r="N92" i="2"/>
  <c r="N90" i="2"/>
  <c r="N170" i="2"/>
  <c r="N82" i="2"/>
  <c r="N87" i="2" s="1"/>
  <c r="N131" i="2"/>
  <c r="N210" i="2"/>
  <c r="N93" i="2"/>
  <c r="N256" i="2"/>
  <c r="N246" i="2"/>
  <c r="N251" i="2" s="1"/>
  <c r="N255" i="2"/>
  <c r="N257" i="2"/>
  <c r="N254" i="2"/>
  <c r="N245" i="2"/>
  <c r="N250" i="2" s="1"/>
  <c r="N173" i="2"/>
  <c r="N134" i="2"/>
  <c r="N212" i="2"/>
  <c r="N259" i="2"/>
  <c r="N95" i="2"/>
  <c r="N241" i="2"/>
  <c r="N236" i="2"/>
  <c r="N72" i="2"/>
  <c r="N144" i="2"/>
  <c r="N158" i="2" s="1"/>
  <c r="N163" i="2" s="1"/>
  <c r="N222" i="2"/>
  <c r="N27" i="2"/>
  <c r="N41" i="2" s="1"/>
  <c r="N57" i="2"/>
  <c r="N52" i="2"/>
  <c r="N54" i="2"/>
  <c r="N53" i="2"/>
  <c r="N51" i="2"/>
  <c r="N56" i="2"/>
  <c r="M46" i="2"/>
  <c r="M50" i="2" s="1"/>
  <c r="N38" i="2"/>
  <c r="N33" i="2"/>
  <c r="N8" i="2"/>
  <c r="N42" i="2"/>
  <c r="N47" i="2" s="1"/>
  <c r="N43" i="2"/>
  <c r="N48" i="2" s="1"/>
  <c r="AG9" i="2"/>
  <c r="AH7" i="2"/>
  <c r="AF11" i="2"/>
  <c r="AF14" i="2"/>
  <c r="AF17" i="2"/>
  <c r="O5" i="2"/>
  <c r="O183" i="2" s="1"/>
  <c r="R79" i="2" l="1"/>
  <c r="R84" i="2" s="1"/>
  <c r="R243" i="2"/>
  <c r="R248" i="2" s="1"/>
  <c r="R196" i="2"/>
  <c r="R201" i="2" s="1"/>
  <c r="R157" i="2"/>
  <c r="R162" i="2" s="1"/>
  <c r="R118" i="2"/>
  <c r="R123" i="2" s="1"/>
  <c r="R40" i="2"/>
  <c r="R45" i="2" s="1"/>
  <c r="R280" i="2"/>
  <c r="R285" i="2" s="1"/>
  <c r="S12" i="2"/>
  <c r="AD220" i="2"/>
  <c r="AD304" i="2"/>
  <c r="AE18" i="2"/>
  <c r="R338" i="2"/>
  <c r="R340" i="2"/>
  <c r="R341" i="2"/>
  <c r="R342" i="2"/>
  <c r="R339" i="2"/>
  <c r="S15" i="2"/>
  <c r="Q325" i="2"/>
  <c r="O150" i="2"/>
  <c r="N128" i="2"/>
  <c r="N167" i="2"/>
  <c r="N89" i="2"/>
  <c r="O241" i="2"/>
  <c r="O105" i="2"/>
  <c r="O119" i="2" s="1"/>
  <c r="O124" i="2" s="1"/>
  <c r="N206" i="2"/>
  <c r="O77" i="2"/>
  <c r="O189" i="2"/>
  <c r="O198" i="2"/>
  <c r="O203" i="2" s="1"/>
  <c r="O159" i="2"/>
  <c r="O164" i="2" s="1"/>
  <c r="O174" i="2"/>
  <c r="O213" i="2"/>
  <c r="O135" i="2"/>
  <c r="O81" i="2"/>
  <c r="O86" i="2" s="1"/>
  <c r="O120" i="2"/>
  <c r="O125" i="2" s="1"/>
  <c r="O96" i="2"/>
  <c r="O130" i="2"/>
  <c r="O91" i="2"/>
  <c r="O253" i="2"/>
  <c r="O208" i="2"/>
  <c r="O131" i="2"/>
  <c r="O244" i="2"/>
  <c r="O249" i="2" s="1"/>
  <c r="O169" i="2"/>
  <c r="O132" i="2"/>
  <c r="O121" i="2"/>
  <c r="O126" i="2" s="1"/>
  <c r="O92" i="2"/>
  <c r="O168" i="2"/>
  <c r="O171" i="2"/>
  <c r="O160" i="2"/>
  <c r="O165" i="2" s="1"/>
  <c r="O170" i="2"/>
  <c r="O199" i="2"/>
  <c r="O204" i="2" s="1"/>
  <c r="O209" i="2"/>
  <c r="O129" i="2"/>
  <c r="O210" i="2"/>
  <c r="O93" i="2"/>
  <c r="O207" i="2"/>
  <c r="O90" i="2"/>
  <c r="O82" i="2"/>
  <c r="O87" i="2" s="1"/>
  <c r="O255" i="2"/>
  <c r="O257" i="2"/>
  <c r="O256" i="2"/>
  <c r="O246" i="2"/>
  <c r="O251" i="2" s="1"/>
  <c r="O254" i="2"/>
  <c r="O245" i="2"/>
  <c r="O250" i="2" s="1"/>
  <c r="O197" i="2"/>
  <c r="O202" i="2" s="1"/>
  <c r="O173" i="2"/>
  <c r="O134" i="2"/>
  <c r="O259" i="2"/>
  <c r="O212" i="2"/>
  <c r="O95" i="2"/>
  <c r="O116" i="2"/>
  <c r="O66" i="2"/>
  <c r="O80" i="2" s="1"/>
  <c r="O85" i="2" s="1"/>
  <c r="O72" i="2"/>
  <c r="O155" i="2"/>
  <c r="O230" i="2"/>
  <c r="O111" i="2"/>
  <c r="O236" i="2"/>
  <c r="O194" i="2"/>
  <c r="O144" i="2"/>
  <c r="O158" i="2" s="1"/>
  <c r="O163" i="2" s="1"/>
  <c r="O222" i="2"/>
  <c r="O27" i="2"/>
  <c r="O41" i="2" s="1"/>
  <c r="O57" i="2"/>
  <c r="O51" i="2"/>
  <c r="O56" i="2"/>
  <c r="O53" i="2"/>
  <c r="O52" i="2"/>
  <c r="O54" i="2"/>
  <c r="O33" i="2"/>
  <c r="O38" i="2"/>
  <c r="O8" i="2"/>
  <c r="O42" i="2"/>
  <c r="O47" i="2" s="1"/>
  <c r="O43" i="2"/>
  <c r="O48" i="2" s="1"/>
  <c r="N46" i="2"/>
  <c r="N50" i="2" s="1"/>
  <c r="AH9" i="2"/>
  <c r="AI7" i="2"/>
  <c r="AG14" i="2"/>
  <c r="AG17" i="2"/>
  <c r="AG11" i="2"/>
  <c r="P5" i="2"/>
  <c r="P144" i="2" s="1"/>
  <c r="R325" i="2" l="1"/>
  <c r="AF18" i="2"/>
  <c r="AE220" i="2"/>
  <c r="AE304" i="2"/>
  <c r="S118" i="2"/>
  <c r="S123" i="2" s="1"/>
  <c r="S243" i="2"/>
  <c r="S248" i="2" s="1"/>
  <c r="S40" i="2"/>
  <c r="S45" i="2" s="1"/>
  <c r="S196" i="2"/>
  <c r="S201" i="2" s="1"/>
  <c r="S157" i="2"/>
  <c r="S162" i="2" s="1"/>
  <c r="S280" i="2"/>
  <c r="S285" i="2" s="1"/>
  <c r="S79" i="2"/>
  <c r="S84" i="2" s="1"/>
  <c r="T12" i="2"/>
  <c r="S341" i="2"/>
  <c r="S340" i="2"/>
  <c r="S338" i="2"/>
  <c r="S342" i="2"/>
  <c r="S339" i="2"/>
  <c r="T15" i="2"/>
  <c r="O89" i="2"/>
  <c r="O206" i="2"/>
  <c r="O167" i="2"/>
  <c r="O128" i="2"/>
  <c r="P230" i="2"/>
  <c r="P155" i="2"/>
  <c r="P241" i="2"/>
  <c r="P105" i="2"/>
  <c r="P119" i="2" s="1"/>
  <c r="P124" i="2" s="1"/>
  <c r="P174" i="2"/>
  <c r="P198" i="2"/>
  <c r="P203" i="2" s="1"/>
  <c r="P213" i="2"/>
  <c r="P81" i="2"/>
  <c r="P86" i="2" s="1"/>
  <c r="P120" i="2"/>
  <c r="P125" i="2" s="1"/>
  <c r="P135" i="2"/>
  <c r="P96" i="2"/>
  <c r="P159" i="2"/>
  <c r="P164" i="2" s="1"/>
  <c r="P91" i="2"/>
  <c r="P208" i="2"/>
  <c r="P130" i="2"/>
  <c r="P253" i="2"/>
  <c r="P132" i="2"/>
  <c r="P244" i="2"/>
  <c r="P249" i="2" s="1"/>
  <c r="P131" i="2"/>
  <c r="P171" i="2"/>
  <c r="P160" i="2"/>
  <c r="P165" i="2" s="1"/>
  <c r="P90" i="2"/>
  <c r="P129" i="2"/>
  <c r="P121" i="2"/>
  <c r="P126" i="2" s="1"/>
  <c r="P169" i="2"/>
  <c r="P170" i="2"/>
  <c r="P199" i="2"/>
  <c r="P204" i="2" s="1"/>
  <c r="P209" i="2"/>
  <c r="P210" i="2"/>
  <c r="P93" i="2"/>
  <c r="P168" i="2"/>
  <c r="P82" i="2"/>
  <c r="P87" i="2" s="1"/>
  <c r="P207" i="2"/>
  <c r="P92" i="2"/>
  <c r="P257" i="2"/>
  <c r="P255" i="2"/>
  <c r="P254" i="2"/>
  <c r="P246" i="2"/>
  <c r="P251" i="2" s="1"/>
  <c r="P256" i="2"/>
  <c r="P245" i="2"/>
  <c r="P250" i="2" s="1"/>
  <c r="P158" i="2"/>
  <c r="P163" i="2" s="1"/>
  <c r="P173" i="2"/>
  <c r="P95" i="2"/>
  <c r="P259" i="2"/>
  <c r="P134" i="2"/>
  <c r="P212" i="2"/>
  <c r="P111" i="2"/>
  <c r="P194" i="2"/>
  <c r="P150" i="2"/>
  <c r="P236" i="2"/>
  <c r="P66" i="2"/>
  <c r="P80" i="2" s="1"/>
  <c r="P85" i="2" s="1"/>
  <c r="P183" i="2"/>
  <c r="P197" i="2" s="1"/>
  <c r="P202" i="2" s="1"/>
  <c r="P116" i="2"/>
  <c r="P77" i="2"/>
  <c r="P72" i="2"/>
  <c r="P189" i="2"/>
  <c r="P222" i="2"/>
  <c r="P27" i="2"/>
  <c r="P41" i="2" s="1"/>
  <c r="P54" i="2" s="1"/>
  <c r="P57" i="2"/>
  <c r="P56" i="2"/>
  <c r="P51" i="2"/>
  <c r="P53" i="2"/>
  <c r="P33" i="2"/>
  <c r="O46" i="2"/>
  <c r="O50" i="2" s="1"/>
  <c r="P38" i="2"/>
  <c r="P8" i="2"/>
  <c r="P43" i="2"/>
  <c r="P48" i="2" s="1"/>
  <c r="P42" i="2"/>
  <c r="P47" i="2" s="1"/>
  <c r="AI9" i="2"/>
  <c r="AJ7" i="2"/>
  <c r="AH17" i="2"/>
  <c r="AH14" i="2"/>
  <c r="AH11" i="2"/>
  <c r="Q5" i="2"/>
  <c r="Q150" i="2" s="1"/>
  <c r="T157" i="2" l="1"/>
  <c r="T162" i="2" s="1"/>
  <c r="T40" i="2"/>
  <c r="T45" i="2" s="1"/>
  <c r="T280" i="2"/>
  <c r="T285" i="2" s="1"/>
  <c r="T243" i="2"/>
  <c r="T248" i="2" s="1"/>
  <c r="T196" i="2"/>
  <c r="T201" i="2" s="1"/>
  <c r="T118" i="2"/>
  <c r="T123" i="2" s="1"/>
  <c r="T79" i="2"/>
  <c r="T84" i="2" s="1"/>
  <c r="U12" i="2"/>
  <c r="S325" i="2"/>
  <c r="T342" i="2"/>
  <c r="T338" i="2"/>
  <c r="T339" i="2"/>
  <c r="T341" i="2"/>
  <c r="T340" i="2"/>
  <c r="U15" i="2"/>
  <c r="AF220" i="2"/>
  <c r="AG18" i="2"/>
  <c r="AF304" i="2"/>
  <c r="P206" i="2"/>
  <c r="P128" i="2"/>
  <c r="P89" i="2"/>
  <c r="P167" i="2"/>
  <c r="Q144" i="2"/>
  <c r="Q155" i="2"/>
  <c r="Q77" i="2"/>
  <c r="Q194" i="2"/>
  <c r="Q230" i="2"/>
  <c r="Q105" i="2"/>
  <c r="Q119" i="2" s="1"/>
  <c r="Q124" i="2" s="1"/>
  <c r="Q174" i="2"/>
  <c r="Q135" i="2"/>
  <c r="Q213" i="2"/>
  <c r="Q198" i="2"/>
  <c r="Q203" i="2" s="1"/>
  <c r="Q81" i="2"/>
  <c r="Q86" i="2" s="1"/>
  <c r="Q159" i="2"/>
  <c r="Q164" i="2" s="1"/>
  <c r="Q120" i="2"/>
  <c r="Q125" i="2" s="1"/>
  <c r="Q96" i="2"/>
  <c r="Q130" i="2"/>
  <c r="Q253" i="2"/>
  <c r="Q91" i="2"/>
  <c r="Q208" i="2"/>
  <c r="Q121" i="2"/>
  <c r="Q126" i="2" s="1"/>
  <c r="Q169" i="2"/>
  <c r="Q244" i="2"/>
  <c r="Q249" i="2" s="1"/>
  <c r="Q132" i="2"/>
  <c r="Q129" i="2"/>
  <c r="Q170" i="2"/>
  <c r="Q171" i="2"/>
  <c r="Q131" i="2"/>
  <c r="Q168" i="2"/>
  <c r="Q207" i="2"/>
  <c r="Q160" i="2"/>
  <c r="Q165" i="2" s="1"/>
  <c r="Q209" i="2"/>
  <c r="Q210" i="2"/>
  <c r="Q90" i="2"/>
  <c r="Q93" i="2"/>
  <c r="Q199" i="2"/>
  <c r="Q204" i="2" s="1"/>
  <c r="Q92" i="2"/>
  <c r="Q82" i="2"/>
  <c r="Q87" i="2" s="1"/>
  <c r="Q257" i="2"/>
  <c r="Q254" i="2"/>
  <c r="Q256" i="2"/>
  <c r="Q246" i="2"/>
  <c r="Q251" i="2" s="1"/>
  <c r="Q255" i="2"/>
  <c r="Q245" i="2"/>
  <c r="Q250" i="2" s="1"/>
  <c r="Q158" i="2"/>
  <c r="Q163" i="2" s="1"/>
  <c r="Q134" i="2"/>
  <c r="Q259" i="2"/>
  <c r="Q212" i="2"/>
  <c r="Q173" i="2"/>
  <c r="Q95" i="2"/>
  <c r="Q236" i="2"/>
  <c r="Q66" i="2"/>
  <c r="Q80" i="2" s="1"/>
  <c r="Q85" i="2" s="1"/>
  <c r="Q183" i="2"/>
  <c r="Q197" i="2" s="1"/>
  <c r="Q202" i="2" s="1"/>
  <c r="Q241" i="2"/>
  <c r="Q72" i="2"/>
  <c r="Q189" i="2"/>
  <c r="Q116" i="2"/>
  <c r="Q111" i="2"/>
  <c r="Q222" i="2"/>
  <c r="Q27" i="2"/>
  <c r="Q41" i="2" s="1"/>
  <c r="Q46" i="2" s="1"/>
  <c r="Q52" i="2" s="1"/>
  <c r="Q57" i="2"/>
  <c r="Q53" i="2"/>
  <c r="Q54" i="2"/>
  <c r="Q56" i="2"/>
  <c r="Q51" i="2"/>
  <c r="Q33" i="2"/>
  <c r="Q8" i="2"/>
  <c r="Q43" i="2"/>
  <c r="Q48" i="2" s="1"/>
  <c r="Q42" i="2"/>
  <c r="Q47" i="2" s="1"/>
  <c r="P46" i="2"/>
  <c r="Q38" i="2"/>
  <c r="AJ9" i="2"/>
  <c r="AK7" i="2"/>
  <c r="AI14" i="2"/>
  <c r="AI11" i="2"/>
  <c r="AI17" i="2"/>
  <c r="R5" i="2"/>
  <c r="R183" i="2" s="1"/>
  <c r="U280" i="2" l="1"/>
  <c r="U285" i="2" s="1"/>
  <c r="U40" i="2"/>
  <c r="U45" i="2" s="1"/>
  <c r="U79" i="2"/>
  <c r="U84" i="2" s="1"/>
  <c r="U157" i="2"/>
  <c r="U162" i="2" s="1"/>
  <c r="U243" i="2"/>
  <c r="U248" i="2" s="1"/>
  <c r="U118" i="2"/>
  <c r="U123" i="2" s="1"/>
  <c r="U196" i="2"/>
  <c r="U201" i="2" s="1"/>
  <c r="V12" i="2"/>
  <c r="AG220" i="2"/>
  <c r="AG304" i="2"/>
  <c r="AH18" i="2"/>
  <c r="U338" i="2"/>
  <c r="U342" i="2"/>
  <c r="U340" i="2"/>
  <c r="U339" i="2"/>
  <c r="U341" i="2"/>
  <c r="V15" i="2"/>
  <c r="T325" i="2"/>
  <c r="Q167" i="2"/>
  <c r="R241" i="2"/>
  <c r="R155" i="2"/>
  <c r="Q128" i="2"/>
  <c r="R194" i="2"/>
  <c r="R189" i="2"/>
  <c r="Q206" i="2"/>
  <c r="Q89" i="2"/>
  <c r="R111" i="2"/>
  <c r="R72" i="2"/>
  <c r="R230" i="2"/>
  <c r="R213" i="2"/>
  <c r="R135" i="2"/>
  <c r="R174" i="2"/>
  <c r="R159" i="2"/>
  <c r="R164" i="2" s="1"/>
  <c r="R120" i="2"/>
  <c r="R125" i="2" s="1"/>
  <c r="R96" i="2"/>
  <c r="R81" i="2"/>
  <c r="R86" i="2" s="1"/>
  <c r="R198" i="2"/>
  <c r="R203" i="2" s="1"/>
  <c r="R169" i="2"/>
  <c r="R91" i="2"/>
  <c r="R253" i="2"/>
  <c r="R130" i="2"/>
  <c r="R121" i="2"/>
  <c r="R126" i="2" s="1"/>
  <c r="R168" i="2"/>
  <c r="R244" i="2"/>
  <c r="R249" i="2" s="1"/>
  <c r="R208" i="2"/>
  <c r="R131" i="2"/>
  <c r="R132" i="2"/>
  <c r="R160" i="2"/>
  <c r="R165" i="2" s="1"/>
  <c r="R170" i="2"/>
  <c r="R92" i="2"/>
  <c r="R129" i="2"/>
  <c r="R171" i="2"/>
  <c r="R210" i="2"/>
  <c r="R199" i="2"/>
  <c r="R204" i="2" s="1"/>
  <c r="R93" i="2"/>
  <c r="R209" i="2"/>
  <c r="R90" i="2"/>
  <c r="R207" i="2"/>
  <c r="R82" i="2"/>
  <c r="R87" i="2" s="1"/>
  <c r="R254" i="2"/>
  <c r="R256" i="2"/>
  <c r="R255" i="2"/>
  <c r="R257" i="2"/>
  <c r="R246" i="2"/>
  <c r="R251" i="2" s="1"/>
  <c r="R245" i="2"/>
  <c r="R250" i="2" s="1"/>
  <c r="R197" i="2"/>
  <c r="R202" i="2" s="1"/>
  <c r="R259" i="2"/>
  <c r="R95" i="2"/>
  <c r="R173" i="2"/>
  <c r="R134" i="2"/>
  <c r="R212" i="2"/>
  <c r="R150" i="2"/>
  <c r="R105" i="2"/>
  <c r="R119" i="2" s="1"/>
  <c r="R124" i="2" s="1"/>
  <c r="R66" i="2"/>
  <c r="R80" i="2" s="1"/>
  <c r="R85" i="2" s="1"/>
  <c r="R236" i="2"/>
  <c r="R116" i="2"/>
  <c r="R77" i="2"/>
  <c r="R144" i="2"/>
  <c r="R158" i="2" s="1"/>
  <c r="R163" i="2" s="1"/>
  <c r="R222" i="2"/>
  <c r="R57" i="2"/>
  <c r="R51" i="2"/>
  <c r="R54" i="2"/>
  <c r="R56" i="2"/>
  <c r="R53" i="2"/>
  <c r="P50" i="2"/>
  <c r="P52" i="2"/>
  <c r="Q50" i="2"/>
  <c r="R8" i="2"/>
  <c r="R42" i="2"/>
  <c r="R47" i="2" s="1"/>
  <c r="R43" i="2"/>
  <c r="R48" i="2" s="1"/>
  <c r="R38" i="2"/>
  <c r="R33" i="2"/>
  <c r="R27" i="2"/>
  <c r="R41" i="2" s="1"/>
  <c r="AK9" i="2"/>
  <c r="AL7" i="2"/>
  <c r="AJ14" i="2"/>
  <c r="AJ17" i="2"/>
  <c r="AJ11" i="2"/>
  <c r="S5" i="2"/>
  <c r="S66" i="2" s="1"/>
  <c r="R89" i="2" l="1"/>
  <c r="AH304" i="2"/>
  <c r="AI18" i="2"/>
  <c r="AH220" i="2"/>
  <c r="V40" i="2"/>
  <c r="V45" i="2" s="1"/>
  <c r="V280" i="2"/>
  <c r="V285" i="2" s="1"/>
  <c r="V79" i="2"/>
  <c r="V84" i="2" s="1"/>
  <c r="V243" i="2"/>
  <c r="V248" i="2" s="1"/>
  <c r="V196" i="2"/>
  <c r="V201" i="2" s="1"/>
  <c r="V118" i="2"/>
  <c r="V123" i="2" s="1"/>
  <c r="V157" i="2"/>
  <c r="V162" i="2" s="1"/>
  <c r="W12" i="2"/>
  <c r="V340" i="2"/>
  <c r="V342" i="2"/>
  <c r="V338" i="2"/>
  <c r="V339" i="2"/>
  <c r="V341" i="2"/>
  <c r="W15" i="2"/>
  <c r="U325" i="2"/>
  <c r="R128" i="2"/>
  <c r="R206" i="2"/>
  <c r="R167" i="2"/>
  <c r="S155" i="2"/>
  <c r="S174" i="2"/>
  <c r="S213" i="2"/>
  <c r="S159" i="2"/>
  <c r="S164" i="2" s="1"/>
  <c r="S120" i="2"/>
  <c r="S125" i="2" s="1"/>
  <c r="S198" i="2"/>
  <c r="S203" i="2" s="1"/>
  <c r="S135" i="2"/>
  <c r="S81" i="2"/>
  <c r="S86" i="2" s="1"/>
  <c r="S96" i="2"/>
  <c r="S91" i="2"/>
  <c r="S253" i="2"/>
  <c r="S131" i="2"/>
  <c r="S129" i="2"/>
  <c r="S160" i="2"/>
  <c r="S165" i="2" s="1"/>
  <c r="S169" i="2"/>
  <c r="S244" i="2"/>
  <c r="S249" i="2" s="1"/>
  <c r="S121" i="2"/>
  <c r="S126" i="2" s="1"/>
  <c r="S171" i="2"/>
  <c r="S168" i="2"/>
  <c r="S132" i="2"/>
  <c r="S209" i="2"/>
  <c r="S82" i="2"/>
  <c r="S87" i="2" s="1"/>
  <c r="S208" i="2"/>
  <c r="S130" i="2"/>
  <c r="S170" i="2"/>
  <c r="S199" i="2"/>
  <c r="S204" i="2" s="1"/>
  <c r="S207" i="2"/>
  <c r="S93" i="2"/>
  <c r="S90" i="2"/>
  <c r="S92" i="2"/>
  <c r="S210" i="2"/>
  <c r="S246" i="2"/>
  <c r="S251" i="2" s="1"/>
  <c r="S257" i="2"/>
  <c r="S255" i="2"/>
  <c r="S254" i="2"/>
  <c r="S256" i="2"/>
  <c r="S245" i="2"/>
  <c r="S250" i="2" s="1"/>
  <c r="S80" i="2"/>
  <c r="S85" i="2" s="1"/>
  <c r="S259" i="2"/>
  <c r="S134" i="2"/>
  <c r="S212" i="2"/>
  <c r="S95" i="2"/>
  <c r="S173" i="2"/>
  <c r="S77" i="2"/>
  <c r="S111" i="2"/>
  <c r="S72" i="2"/>
  <c r="S105" i="2"/>
  <c r="S119" i="2" s="1"/>
  <c r="S124" i="2" s="1"/>
  <c r="S189" i="2"/>
  <c r="S236" i="2"/>
  <c r="S194" i="2"/>
  <c r="S230" i="2"/>
  <c r="S144" i="2"/>
  <c r="S158" i="2" s="1"/>
  <c r="S163" i="2" s="1"/>
  <c r="S150" i="2"/>
  <c r="S241" i="2"/>
  <c r="S116" i="2"/>
  <c r="S183" i="2"/>
  <c r="S197" i="2" s="1"/>
  <c r="S202" i="2" s="1"/>
  <c r="S222" i="2"/>
  <c r="S57" i="2"/>
  <c r="S56" i="2"/>
  <c r="S53" i="2"/>
  <c r="S51" i="2"/>
  <c r="S54" i="2"/>
  <c r="R46" i="2"/>
  <c r="S8" i="2"/>
  <c r="S42" i="2"/>
  <c r="S47" i="2" s="1"/>
  <c r="S43" i="2"/>
  <c r="S48" i="2" s="1"/>
  <c r="S27" i="2"/>
  <c r="S41" i="2" s="1"/>
  <c r="S38" i="2"/>
  <c r="S33" i="2"/>
  <c r="AL9" i="2"/>
  <c r="AM7" i="2"/>
  <c r="AK11" i="2"/>
  <c r="AK14" i="2"/>
  <c r="AK17" i="2"/>
  <c r="T5" i="2"/>
  <c r="T241" i="2" s="1"/>
  <c r="W196" i="2" l="1"/>
  <c r="W201" i="2" s="1"/>
  <c r="W280" i="2"/>
  <c r="W285" i="2" s="1"/>
  <c r="W243" i="2"/>
  <c r="W248" i="2" s="1"/>
  <c r="W157" i="2"/>
  <c r="W162" i="2" s="1"/>
  <c r="W118" i="2"/>
  <c r="W123" i="2" s="1"/>
  <c r="W79" i="2"/>
  <c r="W84" i="2" s="1"/>
  <c r="W40" i="2"/>
  <c r="W45" i="2" s="1"/>
  <c r="X12" i="2"/>
  <c r="W342" i="2"/>
  <c r="W338" i="2"/>
  <c r="W339" i="2"/>
  <c r="W341" i="2"/>
  <c r="W340" i="2"/>
  <c r="X15" i="2"/>
  <c r="V325" i="2"/>
  <c r="AI220" i="2"/>
  <c r="AI304" i="2"/>
  <c r="AJ18" i="2"/>
  <c r="S89" i="2"/>
  <c r="S128" i="2"/>
  <c r="S167" i="2"/>
  <c r="T236" i="2"/>
  <c r="S206" i="2"/>
  <c r="T77" i="2"/>
  <c r="T183" i="2"/>
  <c r="T150" i="2"/>
  <c r="T198" i="2"/>
  <c r="T203" i="2" s="1"/>
  <c r="T159" i="2"/>
  <c r="T164" i="2" s="1"/>
  <c r="T135" i="2"/>
  <c r="T120" i="2"/>
  <c r="T125" i="2" s="1"/>
  <c r="T213" i="2"/>
  <c r="T81" i="2"/>
  <c r="T86" i="2" s="1"/>
  <c r="T174" i="2"/>
  <c r="T96" i="2"/>
  <c r="T91" i="2"/>
  <c r="T130" i="2"/>
  <c r="T169" i="2"/>
  <c r="T253" i="2"/>
  <c r="T244" i="2"/>
  <c r="T249" i="2" s="1"/>
  <c r="T131" i="2"/>
  <c r="T170" i="2"/>
  <c r="T129" i="2"/>
  <c r="T160" i="2"/>
  <c r="T165" i="2" s="1"/>
  <c r="T171" i="2"/>
  <c r="T132" i="2"/>
  <c r="T121" i="2"/>
  <c r="T126" i="2" s="1"/>
  <c r="T168" i="2"/>
  <c r="T199" i="2"/>
  <c r="T204" i="2" s="1"/>
  <c r="T82" i="2"/>
  <c r="T87" i="2" s="1"/>
  <c r="T209" i="2"/>
  <c r="T208" i="2"/>
  <c r="T93" i="2"/>
  <c r="T207" i="2"/>
  <c r="T92" i="2"/>
  <c r="T210" i="2"/>
  <c r="T90" i="2"/>
  <c r="T246" i="2"/>
  <c r="T251" i="2" s="1"/>
  <c r="T257" i="2"/>
  <c r="T254" i="2"/>
  <c r="T256" i="2"/>
  <c r="T255" i="2"/>
  <c r="T245" i="2"/>
  <c r="T250" i="2" s="1"/>
  <c r="T197" i="2"/>
  <c r="T202" i="2" s="1"/>
  <c r="T95" i="2"/>
  <c r="T134" i="2"/>
  <c r="T173" i="2"/>
  <c r="T259" i="2"/>
  <c r="T212" i="2"/>
  <c r="T116" i="2"/>
  <c r="T230" i="2"/>
  <c r="T66" i="2"/>
  <c r="T80" i="2" s="1"/>
  <c r="T85" i="2" s="1"/>
  <c r="T144" i="2"/>
  <c r="T158" i="2" s="1"/>
  <c r="T163" i="2" s="1"/>
  <c r="T72" i="2"/>
  <c r="T155" i="2"/>
  <c r="T105" i="2"/>
  <c r="T119" i="2" s="1"/>
  <c r="T124" i="2" s="1"/>
  <c r="T189" i="2"/>
  <c r="T194" i="2"/>
  <c r="T111" i="2"/>
  <c r="T222" i="2"/>
  <c r="T57" i="2"/>
  <c r="T53" i="2"/>
  <c r="T51" i="2"/>
  <c r="T54" i="2"/>
  <c r="T56" i="2"/>
  <c r="R50" i="2"/>
  <c r="R52" i="2"/>
  <c r="S46" i="2"/>
  <c r="T8" i="2"/>
  <c r="T42" i="2"/>
  <c r="T47" i="2" s="1"/>
  <c r="T43" i="2"/>
  <c r="T48" i="2" s="1"/>
  <c r="T33" i="2"/>
  <c r="T38" i="2"/>
  <c r="T27" i="2"/>
  <c r="T41" i="2" s="1"/>
  <c r="AN7" i="2"/>
  <c r="AM9" i="2"/>
  <c r="AL17" i="2"/>
  <c r="AL11" i="2"/>
  <c r="AL14" i="2"/>
  <c r="U5" i="2"/>
  <c r="U150" i="2" s="1"/>
  <c r="W325" i="2" l="1"/>
  <c r="X243" i="2"/>
  <c r="X248" i="2" s="1"/>
  <c r="X157" i="2"/>
  <c r="X162" i="2" s="1"/>
  <c r="X196" i="2"/>
  <c r="X201" i="2" s="1"/>
  <c r="X40" i="2"/>
  <c r="X45" i="2" s="1"/>
  <c r="X118" i="2"/>
  <c r="X123" i="2" s="1"/>
  <c r="X79" i="2"/>
  <c r="X84" i="2" s="1"/>
  <c r="X280" i="2"/>
  <c r="X285" i="2" s="1"/>
  <c r="Y12" i="2"/>
  <c r="AK18" i="2"/>
  <c r="AJ220" i="2"/>
  <c r="AJ304" i="2"/>
  <c r="X339" i="2"/>
  <c r="X338" i="2"/>
  <c r="X341" i="2"/>
  <c r="X340" i="2"/>
  <c r="X342" i="2"/>
  <c r="Y15" i="2"/>
  <c r="T89" i="2"/>
  <c r="T167" i="2"/>
  <c r="T206" i="2"/>
  <c r="U116" i="2"/>
  <c r="U105" i="2"/>
  <c r="T128" i="2"/>
  <c r="U66" i="2"/>
  <c r="U80" i="2" s="1"/>
  <c r="U85" i="2" s="1"/>
  <c r="U111" i="2"/>
  <c r="U189" i="2"/>
  <c r="U194" i="2"/>
  <c r="U230" i="2"/>
  <c r="U72" i="2"/>
  <c r="U241" i="2"/>
  <c r="U155" i="2"/>
  <c r="U77" i="2"/>
  <c r="U213" i="2"/>
  <c r="U198" i="2"/>
  <c r="U203" i="2" s="1"/>
  <c r="U159" i="2"/>
  <c r="U164" i="2" s="1"/>
  <c r="U135" i="2"/>
  <c r="U96" i="2"/>
  <c r="U120" i="2"/>
  <c r="U125" i="2" s="1"/>
  <c r="U81" i="2"/>
  <c r="U86" i="2" s="1"/>
  <c r="U174" i="2"/>
  <c r="U253" i="2"/>
  <c r="U244" i="2"/>
  <c r="U249" i="2" s="1"/>
  <c r="U130" i="2"/>
  <c r="U168" i="2"/>
  <c r="U131" i="2"/>
  <c r="U208" i="2"/>
  <c r="U129" i="2"/>
  <c r="U170" i="2"/>
  <c r="U91" i="2"/>
  <c r="U160" i="2"/>
  <c r="U165" i="2" s="1"/>
  <c r="U209" i="2"/>
  <c r="U171" i="2"/>
  <c r="U132" i="2"/>
  <c r="U169" i="2"/>
  <c r="U82" i="2"/>
  <c r="U87" i="2" s="1"/>
  <c r="U210" i="2"/>
  <c r="U92" i="2"/>
  <c r="U121" i="2"/>
  <c r="U126" i="2" s="1"/>
  <c r="U207" i="2"/>
  <c r="U93" i="2"/>
  <c r="U199" i="2"/>
  <c r="U204" i="2" s="1"/>
  <c r="U90" i="2"/>
  <c r="U254" i="2"/>
  <c r="U255" i="2"/>
  <c r="U246" i="2"/>
  <c r="U251" i="2" s="1"/>
  <c r="U257" i="2"/>
  <c r="U256" i="2"/>
  <c r="U245" i="2"/>
  <c r="U250" i="2" s="1"/>
  <c r="U119" i="2"/>
  <c r="U124" i="2" s="1"/>
  <c r="U134" i="2"/>
  <c r="U259" i="2"/>
  <c r="U212" i="2"/>
  <c r="U173" i="2"/>
  <c r="U95" i="2"/>
  <c r="U236" i="2"/>
  <c r="U144" i="2"/>
  <c r="U158" i="2" s="1"/>
  <c r="U163" i="2" s="1"/>
  <c r="U183" i="2"/>
  <c r="U197" i="2" s="1"/>
  <c r="U202" i="2" s="1"/>
  <c r="U222" i="2"/>
  <c r="U38" i="2"/>
  <c r="U57" i="2"/>
  <c r="U51" i="2"/>
  <c r="U56" i="2"/>
  <c r="U53" i="2"/>
  <c r="U54" i="2"/>
  <c r="S50" i="2"/>
  <c r="S52" i="2"/>
  <c r="T46" i="2"/>
  <c r="T52" i="2" s="1"/>
  <c r="U8" i="2"/>
  <c r="U42" i="2"/>
  <c r="U47" i="2" s="1"/>
  <c r="U43" i="2"/>
  <c r="U48" i="2" s="1"/>
  <c r="U27" i="2"/>
  <c r="U41" i="2" s="1"/>
  <c r="U33" i="2"/>
  <c r="AM17" i="2"/>
  <c r="AM11" i="2"/>
  <c r="AM14" i="2"/>
  <c r="AN9" i="2"/>
  <c r="AO7" i="2"/>
  <c r="V5" i="2"/>
  <c r="V116" i="2" s="1"/>
  <c r="AK220" i="2" l="1"/>
  <c r="AK304" i="2"/>
  <c r="AL18" i="2"/>
  <c r="Y280" i="2"/>
  <c r="Y285" i="2" s="1"/>
  <c r="Y79" i="2"/>
  <c r="Y84" i="2" s="1"/>
  <c r="Y243" i="2"/>
  <c r="Y248" i="2" s="1"/>
  <c r="Y40" i="2"/>
  <c r="Y45" i="2" s="1"/>
  <c r="Y196" i="2"/>
  <c r="Y201" i="2" s="1"/>
  <c r="Y157" i="2"/>
  <c r="Y162" i="2" s="1"/>
  <c r="Y118" i="2"/>
  <c r="Y123" i="2" s="1"/>
  <c r="Z12" i="2"/>
  <c r="Y342" i="2"/>
  <c r="Y341" i="2"/>
  <c r="Y338" i="2"/>
  <c r="Y340" i="2"/>
  <c r="Y339" i="2"/>
  <c r="Z15" i="2"/>
  <c r="X325" i="2"/>
  <c r="U167" i="2"/>
  <c r="U89" i="2"/>
  <c r="U128" i="2"/>
  <c r="U206" i="2"/>
  <c r="V194" i="2"/>
  <c r="V236" i="2"/>
  <c r="V183" i="2"/>
  <c r="V197" i="2" s="1"/>
  <c r="V202" i="2" s="1"/>
  <c r="V241" i="2"/>
  <c r="V77" i="2"/>
  <c r="V230" i="2"/>
  <c r="V144" i="2"/>
  <c r="V158" i="2" s="1"/>
  <c r="V163" i="2" s="1"/>
  <c r="V155" i="2"/>
  <c r="V66" i="2"/>
  <c r="V189" i="2"/>
  <c r="V111" i="2"/>
  <c r="V120" i="2"/>
  <c r="V125" i="2" s="1"/>
  <c r="V213" i="2"/>
  <c r="V159" i="2"/>
  <c r="V164" i="2" s="1"/>
  <c r="V198" i="2"/>
  <c r="V203" i="2" s="1"/>
  <c r="V174" i="2"/>
  <c r="V96" i="2"/>
  <c r="V135" i="2"/>
  <c r="V81" i="2"/>
  <c r="V86" i="2" s="1"/>
  <c r="V91" i="2"/>
  <c r="V130" i="2"/>
  <c r="V253" i="2"/>
  <c r="V121" i="2"/>
  <c r="V126" i="2" s="1"/>
  <c r="V171" i="2"/>
  <c r="V132" i="2"/>
  <c r="V169" i="2"/>
  <c r="V168" i="2"/>
  <c r="V129" i="2"/>
  <c r="V210" i="2"/>
  <c r="V199" i="2"/>
  <c r="V204" i="2" s="1"/>
  <c r="V244" i="2"/>
  <c r="V249" i="2" s="1"/>
  <c r="V93" i="2"/>
  <c r="V131" i="2"/>
  <c r="V208" i="2"/>
  <c r="V160" i="2"/>
  <c r="V165" i="2" s="1"/>
  <c r="V82" i="2"/>
  <c r="V87" i="2" s="1"/>
  <c r="V90" i="2"/>
  <c r="V92" i="2"/>
  <c r="V209" i="2"/>
  <c r="V207" i="2"/>
  <c r="V170" i="2"/>
  <c r="V254" i="2"/>
  <c r="V255" i="2"/>
  <c r="V256" i="2"/>
  <c r="V257" i="2"/>
  <c r="V246" i="2"/>
  <c r="V251" i="2" s="1"/>
  <c r="V245" i="2"/>
  <c r="V250" i="2" s="1"/>
  <c r="V80" i="2"/>
  <c r="V85" i="2" s="1"/>
  <c r="V134" i="2"/>
  <c r="V212" i="2"/>
  <c r="V173" i="2"/>
  <c r="V259" i="2"/>
  <c r="V95" i="2"/>
  <c r="V72" i="2"/>
  <c r="V150" i="2"/>
  <c r="V105" i="2"/>
  <c r="V119" i="2" s="1"/>
  <c r="V124" i="2" s="1"/>
  <c r="V222" i="2"/>
  <c r="T50" i="2"/>
  <c r="V27" i="2"/>
  <c r="V41" i="2" s="1"/>
  <c r="V57" i="2"/>
  <c r="V52" i="2"/>
  <c r="V54" i="2"/>
  <c r="V51" i="2"/>
  <c r="V56" i="2"/>
  <c r="V53" i="2"/>
  <c r="U46" i="2"/>
  <c r="V38" i="2"/>
  <c r="V33" i="2"/>
  <c r="V8" i="2"/>
  <c r="V42" i="2"/>
  <c r="V47" i="2" s="1"/>
  <c r="V43" i="2"/>
  <c r="V48" i="2" s="1"/>
  <c r="AN11" i="2"/>
  <c r="AN14" i="2"/>
  <c r="AN17" i="2"/>
  <c r="AP7" i="2"/>
  <c r="AO9" i="2"/>
  <c r="W5" i="2"/>
  <c r="W241" i="2" s="1"/>
  <c r="Z243" i="2" l="1"/>
  <c r="Z248" i="2" s="1"/>
  <c r="Z157" i="2"/>
  <c r="Z162" i="2" s="1"/>
  <c r="Z40" i="2"/>
  <c r="Z45" i="2" s="1"/>
  <c r="Z196" i="2"/>
  <c r="Z201" i="2" s="1"/>
  <c r="Z118" i="2"/>
  <c r="Z123" i="2" s="1"/>
  <c r="Z79" i="2"/>
  <c r="Z84" i="2" s="1"/>
  <c r="Z280" i="2"/>
  <c r="Z285" i="2" s="1"/>
  <c r="AA12" i="2"/>
  <c r="Y325" i="2"/>
  <c r="Z340" i="2"/>
  <c r="Z342" i="2"/>
  <c r="Z341" i="2"/>
  <c r="Z338" i="2"/>
  <c r="Z339" i="2"/>
  <c r="AA15" i="2"/>
  <c r="AM18" i="2"/>
  <c r="AL304" i="2"/>
  <c r="AL220" i="2"/>
  <c r="V206" i="2"/>
  <c r="V128" i="2"/>
  <c r="V89" i="2"/>
  <c r="V167" i="2"/>
  <c r="W198" i="2"/>
  <c r="W203" i="2" s="1"/>
  <c r="W159" i="2"/>
  <c r="W164" i="2" s="1"/>
  <c r="W213" i="2"/>
  <c r="W174" i="2"/>
  <c r="W81" i="2"/>
  <c r="W86" i="2" s="1"/>
  <c r="W135" i="2"/>
  <c r="W96" i="2"/>
  <c r="W120" i="2"/>
  <c r="W125" i="2" s="1"/>
  <c r="W130" i="2"/>
  <c r="W91" i="2"/>
  <c r="W253" i="2"/>
  <c r="W169" i="2"/>
  <c r="W208" i="2"/>
  <c r="W160" i="2"/>
  <c r="W165" i="2" s="1"/>
  <c r="W244" i="2"/>
  <c r="W249" i="2" s="1"/>
  <c r="W132" i="2"/>
  <c r="W168" i="2"/>
  <c r="W121" i="2"/>
  <c r="W126" i="2" s="1"/>
  <c r="W207" i="2"/>
  <c r="W90" i="2"/>
  <c r="W129" i="2"/>
  <c r="W171" i="2"/>
  <c r="W209" i="2"/>
  <c r="W199" i="2"/>
  <c r="W204" i="2" s="1"/>
  <c r="W210" i="2"/>
  <c r="W131" i="2"/>
  <c r="W93" i="2"/>
  <c r="W92" i="2"/>
  <c r="W170" i="2"/>
  <c r="W82" i="2"/>
  <c r="W87" i="2" s="1"/>
  <c r="W246" i="2"/>
  <c r="W251" i="2" s="1"/>
  <c r="W254" i="2"/>
  <c r="W256" i="2"/>
  <c r="W255" i="2"/>
  <c r="W257" i="2"/>
  <c r="W245" i="2"/>
  <c r="W250" i="2" s="1"/>
  <c r="W212" i="2"/>
  <c r="W95" i="2"/>
  <c r="W173" i="2"/>
  <c r="W134" i="2"/>
  <c r="W259" i="2"/>
  <c r="W66" i="2"/>
  <c r="W80" i="2" s="1"/>
  <c r="W85" i="2" s="1"/>
  <c r="W144" i="2"/>
  <c r="W158" i="2" s="1"/>
  <c r="W163" i="2" s="1"/>
  <c r="W194" i="2"/>
  <c r="W230" i="2"/>
  <c r="W72" i="2"/>
  <c r="W236" i="2"/>
  <c r="W77" i="2"/>
  <c r="W150" i="2"/>
  <c r="W111" i="2"/>
  <c r="W189" i="2"/>
  <c r="W155" i="2"/>
  <c r="W183" i="2"/>
  <c r="W197" i="2" s="1"/>
  <c r="W202" i="2" s="1"/>
  <c r="W116" i="2"/>
  <c r="W105" i="2"/>
  <c r="W119" i="2" s="1"/>
  <c r="W124" i="2" s="1"/>
  <c r="W222" i="2"/>
  <c r="W38" i="2"/>
  <c r="W57" i="2"/>
  <c r="W54" i="2"/>
  <c r="W52" i="2"/>
  <c r="W53" i="2"/>
  <c r="W51" i="2"/>
  <c r="W56" i="2"/>
  <c r="U50" i="2"/>
  <c r="U52" i="2"/>
  <c r="W33" i="2"/>
  <c r="W27" i="2"/>
  <c r="W41" i="2" s="1"/>
  <c r="W8" i="2"/>
  <c r="W42" i="2"/>
  <c r="W47" i="2" s="1"/>
  <c r="W43" i="2"/>
  <c r="W48" i="2" s="1"/>
  <c r="V46" i="2"/>
  <c r="V50" i="2" s="1"/>
  <c r="AQ7" i="2"/>
  <c r="AP9" i="2"/>
  <c r="AO17" i="2"/>
  <c r="AO14" i="2"/>
  <c r="AO11" i="2"/>
  <c r="X5" i="2"/>
  <c r="X189" i="2" s="1"/>
  <c r="W206" i="2" l="1"/>
  <c r="AA196" i="2"/>
  <c r="AA201" i="2" s="1"/>
  <c r="AA40" i="2"/>
  <c r="AA45" i="2" s="1"/>
  <c r="AA157" i="2"/>
  <c r="AA162" i="2" s="1"/>
  <c r="AA118" i="2"/>
  <c r="AA123" i="2" s="1"/>
  <c r="AA79" i="2"/>
  <c r="AA84" i="2" s="1"/>
  <c r="AA243" i="2"/>
  <c r="AA248" i="2" s="1"/>
  <c r="AA280" i="2"/>
  <c r="AA285" i="2" s="1"/>
  <c r="AB12" i="2"/>
  <c r="AM304" i="2"/>
  <c r="AN18" i="2"/>
  <c r="AM220" i="2"/>
  <c r="AA340" i="2"/>
  <c r="AA341" i="2"/>
  <c r="AA338" i="2"/>
  <c r="AA342" i="2"/>
  <c r="AA339" i="2"/>
  <c r="AB15" i="2"/>
  <c r="Z325" i="2"/>
  <c r="W167" i="2"/>
  <c r="W128" i="2"/>
  <c r="X116" i="2"/>
  <c r="X66" i="2"/>
  <c r="X80" i="2" s="1"/>
  <c r="X85" i="2" s="1"/>
  <c r="X155" i="2"/>
  <c r="X111" i="2"/>
  <c r="X150" i="2"/>
  <c r="X236" i="2"/>
  <c r="W89" i="2"/>
  <c r="X183" i="2"/>
  <c r="X230" i="2"/>
  <c r="X72" i="2"/>
  <c r="X174" i="2"/>
  <c r="X213" i="2"/>
  <c r="X159" i="2"/>
  <c r="X164" i="2" s="1"/>
  <c r="X198" i="2"/>
  <c r="X203" i="2" s="1"/>
  <c r="X81" i="2"/>
  <c r="X86" i="2" s="1"/>
  <c r="X135" i="2"/>
  <c r="X119" i="2"/>
  <c r="X124" i="2" s="1"/>
  <c r="X96" i="2"/>
  <c r="X253" i="2"/>
  <c r="X208" i="2"/>
  <c r="X169" i="2"/>
  <c r="X91" i="2"/>
  <c r="X244" i="2"/>
  <c r="X249" i="2" s="1"/>
  <c r="X170" i="2"/>
  <c r="X210" i="2"/>
  <c r="X199" i="2"/>
  <c r="X204" i="2" s="1"/>
  <c r="X171" i="2"/>
  <c r="X207" i="2"/>
  <c r="X92" i="2"/>
  <c r="X93" i="2"/>
  <c r="X160" i="2"/>
  <c r="X165" i="2" s="1"/>
  <c r="X209" i="2"/>
  <c r="X168" i="2"/>
  <c r="X90" i="2"/>
  <c r="X82" i="2"/>
  <c r="X87" i="2" s="1"/>
  <c r="X254" i="2"/>
  <c r="X256" i="2"/>
  <c r="X246" i="2"/>
  <c r="X251" i="2" s="1"/>
  <c r="X255" i="2"/>
  <c r="X257" i="2"/>
  <c r="X245" i="2"/>
  <c r="X250" i="2" s="1"/>
  <c r="X197" i="2"/>
  <c r="X202" i="2" s="1"/>
  <c r="X131" i="2"/>
  <c r="X259" i="2"/>
  <c r="X212" i="2"/>
  <c r="X121" i="2"/>
  <c r="X126" i="2" s="1"/>
  <c r="X129" i="2" s="1"/>
  <c r="X173" i="2"/>
  <c r="X134" i="2"/>
  <c r="X95" i="2"/>
  <c r="X120" i="2"/>
  <c r="X125" i="2" s="1"/>
  <c r="X194" i="2"/>
  <c r="X144" i="2"/>
  <c r="X158" i="2" s="1"/>
  <c r="X163" i="2" s="1"/>
  <c r="X241" i="2"/>
  <c r="X77" i="2"/>
  <c r="X105" i="2"/>
  <c r="X222" i="2"/>
  <c r="X27" i="2"/>
  <c r="X41" i="2" s="1"/>
  <c r="X57" i="2"/>
  <c r="X53" i="2"/>
  <c r="X52" i="2"/>
  <c r="X51" i="2"/>
  <c r="X56" i="2"/>
  <c r="X54" i="2"/>
  <c r="W46" i="2"/>
  <c r="W50" i="2" s="1"/>
  <c r="X38" i="2"/>
  <c r="X33" i="2"/>
  <c r="X8" i="2"/>
  <c r="X42" i="2"/>
  <c r="X47" i="2" s="1"/>
  <c r="X43" i="2"/>
  <c r="X48" i="2" s="1"/>
  <c r="AP14" i="2"/>
  <c r="AP17" i="2"/>
  <c r="AP11" i="2"/>
  <c r="AQ9" i="2"/>
  <c r="AR7" i="2"/>
  <c r="Y5" i="2"/>
  <c r="Y144" i="2" s="1"/>
  <c r="AN220" i="2" l="1"/>
  <c r="AO18" i="2"/>
  <c r="AP18" i="2" s="1"/>
  <c r="AN304" i="2"/>
  <c r="AB243" i="2"/>
  <c r="AB248" i="2" s="1"/>
  <c r="AB196" i="2"/>
  <c r="AB201" i="2" s="1"/>
  <c r="AB40" i="2"/>
  <c r="AB45" i="2" s="1"/>
  <c r="AB79" i="2"/>
  <c r="AB84" i="2" s="1"/>
  <c r="AB157" i="2"/>
  <c r="AB162" i="2" s="1"/>
  <c r="AB118" i="2"/>
  <c r="AB123" i="2" s="1"/>
  <c r="AB280" i="2"/>
  <c r="AB285" i="2" s="1"/>
  <c r="AC12" i="2"/>
  <c r="AB340" i="2"/>
  <c r="AB342" i="2"/>
  <c r="AB339" i="2"/>
  <c r="AB338" i="2"/>
  <c r="AB341" i="2"/>
  <c r="AC15" i="2"/>
  <c r="AA325" i="2"/>
  <c r="X89" i="2"/>
  <c r="X167" i="2"/>
  <c r="X128" i="2"/>
  <c r="X206" i="2"/>
  <c r="Y72" i="2"/>
  <c r="Y194" i="2"/>
  <c r="Y105" i="2"/>
  <c r="Y189" i="2"/>
  <c r="Y155" i="2"/>
  <c r="Y77" i="2"/>
  <c r="Y230" i="2"/>
  <c r="Y241" i="2"/>
  <c r="Y111" i="2"/>
  <c r="Y120" i="2" s="1"/>
  <c r="Y125" i="2" s="1"/>
  <c r="Y130" i="2" s="1"/>
  <c r="Y174" i="2"/>
  <c r="Y159" i="2"/>
  <c r="Y164" i="2" s="1"/>
  <c r="Y198" i="2"/>
  <c r="Y203" i="2" s="1"/>
  <c r="Y135" i="2"/>
  <c r="Y81" i="2"/>
  <c r="Y86" i="2" s="1"/>
  <c r="Y119" i="2"/>
  <c r="Y124" i="2" s="1"/>
  <c r="Y96" i="2"/>
  <c r="Y213" i="2"/>
  <c r="Y244" i="2"/>
  <c r="Y249" i="2" s="1"/>
  <c r="Y91" i="2"/>
  <c r="Y253" i="2"/>
  <c r="Y131" i="2"/>
  <c r="Y171" i="2"/>
  <c r="Y207" i="2"/>
  <c r="Y199" i="2"/>
  <c r="Y204" i="2" s="1"/>
  <c r="Y90" i="2"/>
  <c r="Y170" i="2"/>
  <c r="Y160" i="2"/>
  <c r="Y165" i="2" s="1"/>
  <c r="Y209" i="2"/>
  <c r="Y132" i="2"/>
  <c r="Y92" i="2"/>
  <c r="Y208" i="2"/>
  <c r="Y168" i="2"/>
  <c r="Y93" i="2"/>
  <c r="Y210" i="2"/>
  <c r="Y169" i="2"/>
  <c r="Y82" i="2"/>
  <c r="Y87" i="2" s="1"/>
  <c r="Y256" i="2"/>
  <c r="Y257" i="2"/>
  <c r="Y254" i="2"/>
  <c r="Y255" i="2"/>
  <c r="Y246" i="2"/>
  <c r="Y251" i="2" s="1"/>
  <c r="Y245" i="2"/>
  <c r="Y250" i="2" s="1"/>
  <c r="Y158" i="2"/>
  <c r="Y163" i="2" s="1"/>
  <c r="Y95" i="2"/>
  <c r="Y121" i="2"/>
  <c r="Y126" i="2" s="1"/>
  <c r="Y129" i="2" s="1"/>
  <c r="Y173" i="2"/>
  <c r="Y259" i="2"/>
  <c r="Y212" i="2"/>
  <c r="Y134" i="2"/>
  <c r="Y183" i="2"/>
  <c r="Y197" i="2" s="1"/>
  <c r="Y202" i="2" s="1"/>
  <c r="Y236" i="2"/>
  <c r="Y116" i="2"/>
  <c r="X130" i="2"/>
  <c r="Y66" i="2"/>
  <c r="Y80" i="2" s="1"/>
  <c r="Y85" i="2" s="1"/>
  <c r="Y150" i="2"/>
  <c r="Y222" i="2"/>
  <c r="Y33" i="2"/>
  <c r="Y57" i="2"/>
  <c r="Y54" i="2"/>
  <c r="Y56" i="2"/>
  <c r="Y52" i="2"/>
  <c r="Y53" i="2"/>
  <c r="Y51" i="2"/>
  <c r="Y8" i="2"/>
  <c r="Y42" i="2"/>
  <c r="Y47" i="2" s="1"/>
  <c r="Y43" i="2"/>
  <c r="Y48" i="2" s="1"/>
  <c r="Y38" i="2"/>
  <c r="Y27" i="2"/>
  <c r="Y41" i="2" s="1"/>
  <c r="X46" i="2"/>
  <c r="X50" i="2" s="1"/>
  <c r="AS7" i="2"/>
  <c r="AR9" i="2"/>
  <c r="AQ17" i="2"/>
  <c r="AQ11" i="2"/>
  <c r="AQ14" i="2"/>
  <c r="Z5" i="2"/>
  <c r="Z189" i="2" s="1"/>
  <c r="AP220" i="2" l="1"/>
  <c r="AP304" i="2"/>
  <c r="AQ18" i="2"/>
  <c r="AR18" i="2" s="1"/>
  <c r="Y167" i="2"/>
  <c r="AC157" i="2"/>
  <c r="AC162" i="2" s="1"/>
  <c r="AC40" i="2"/>
  <c r="AC45" i="2" s="1"/>
  <c r="AC118" i="2"/>
  <c r="AC123" i="2" s="1"/>
  <c r="AC243" i="2"/>
  <c r="AC248" i="2" s="1"/>
  <c r="AC196" i="2"/>
  <c r="AC201" i="2" s="1"/>
  <c r="AC79" i="2"/>
  <c r="AC84" i="2" s="1"/>
  <c r="AC280" i="2"/>
  <c r="AC285" i="2" s="1"/>
  <c r="AD12" i="2"/>
  <c r="AB325" i="2"/>
  <c r="AC341" i="2"/>
  <c r="AC340" i="2"/>
  <c r="AC338" i="2"/>
  <c r="AC342" i="2"/>
  <c r="AC339" i="2"/>
  <c r="AD15" i="2"/>
  <c r="AO304" i="2"/>
  <c r="AO220" i="2"/>
  <c r="Y89" i="2"/>
  <c r="Y206" i="2"/>
  <c r="Y128" i="2"/>
  <c r="Z150" i="2"/>
  <c r="Z213" i="2"/>
  <c r="Z198" i="2"/>
  <c r="Z203" i="2" s="1"/>
  <c r="Z174" i="2"/>
  <c r="Z135" i="2"/>
  <c r="Z159" i="2"/>
  <c r="Z164" i="2" s="1"/>
  <c r="Z119" i="2"/>
  <c r="Z124" i="2" s="1"/>
  <c r="Z96" i="2"/>
  <c r="Z81" i="2"/>
  <c r="Z86" i="2" s="1"/>
  <c r="Z91" i="2"/>
  <c r="Z253" i="2"/>
  <c r="Z208" i="2"/>
  <c r="Z169" i="2"/>
  <c r="Z244" i="2"/>
  <c r="Z249" i="2" s="1"/>
  <c r="Z131" i="2"/>
  <c r="Z132" i="2"/>
  <c r="Z160" i="2"/>
  <c r="Z165" i="2" s="1"/>
  <c r="Z210" i="2"/>
  <c r="Z168" i="2"/>
  <c r="Z170" i="2"/>
  <c r="Z92" i="2"/>
  <c r="Z207" i="2"/>
  <c r="Z90" i="2"/>
  <c r="Z93" i="2"/>
  <c r="Z171" i="2"/>
  <c r="Z209" i="2"/>
  <c r="Z199" i="2"/>
  <c r="Z204" i="2" s="1"/>
  <c r="Z82" i="2"/>
  <c r="Z87" i="2" s="1"/>
  <c r="Z246" i="2"/>
  <c r="Z251" i="2" s="1"/>
  <c r="Z254" i="2"/>
  <c r="Z256" i="2"/>
  <c r="Z255" i="2"/>
  <c r="Z257" i="2"/>
  <c r="Z245" i="2"/>
  <c r="Z250" i="2" s="1"/>
  <c r="Z95" i="2"/>
  <c r="Z134" i="2"/>
  <c r="Z121" i="2"/>
  <c r="Z126" i="2" s="1"/>
  <c r="Z129" i="2" s="1"/>
  <c r="Z173" i="2"/>
  <c r="Z212" i="2"/>
  <c r="Z259" i="2"/>
  <c r="Z116" i="2"/>
  <c r="Z230" i="2"/>
  <c r="Z241" i="2"/>
  <c r="Z77" i="2"/>
  <c r="Z72" i="2"/>
  <c r="Z144" i="2"/>
  <c r="Z158" i="2" s="1"/>
  <c r="Z163" i="2" s="1"/>
  <c r="Z236" i="2"/>
  <c r="Z111" i="2"/>
  <c r="Z120" i="2" s="1"/>
  <c r="Z125" i="2" s="1"/>
  <c r="Z66" i="2"/>
  <c r="Z80" i="2" s="1"/>
  <c r="Z85" i="2" s="1"/>
  <c r="Z183" i="2"/>
  <c r="Z197" i="2" s="1"/>
  <c r="Z202" i="2" s="1"/>
  <c r="Z155" i="2"/>
  <c r="Z194" i="2"/>
  <c r="Z105" i="2"/>
  <c r="Z222" i="2"/>
  <c r="Z38" i="2"/>
  <c r="Z57" i="2"/>
  <c r="Z51" i="2"/>
  <c r="Z52" i="2"/>
  <c r="Z54" i="2"/>
  <c r="Z53" i="2"/>
  <c r="Z56" i="2"/>
  <c r="Y46" i="2"/>
  <c r="Y50" i="2" s="1"/>
  <c r="Z8" i="2"/>
  <c r="Z42" i="2"/>
  <c r="Z47" i="2" s="1"/>
  <c r="Z43" i="2"/>
  <c r="Z48" i="2" s="1"/>
  <c r="Z33" i="2"/>
  <c r="Z27" i="2"/>
  <c r="Z41" i="2" s="1"/>
  <c r="AR14" i="2"/>
  <c r="AR17" i="2"/>
  <c r="AR11" i="2"/>
  <c r="AS9" i="2"/>
  <c r="AT7" i="2"/>
  <c r="AA5" i="2"/>
  <c r="AA189" i="2" s="1"/>
  <c r="AQ220" i="2" l="1"/>
  <c r="AQ304" i="2"/>
  <c r="Z206" i="2"/>
  <c r="AD243" i="2"/>
  <c r="AD248" i="2" s="1"/>
  <c r="AD157" i="2"/>
  <c r="AD162" i="2" s="1"/>
  <c r="AD280" i="2"/>
  <c r="AD285" i="2" s="1"/>
  <c r="AD196" i="2"/>
  <c r="AD201" i="2" s="1"/>
  <c r="AD40" i="2"/>
  <c r="AD45" i="2" s="1"/>
  <c r="AD79" i="2"/>
  <c r="AD84" i="2" s="1"/>
  <c r="AD118" i="2"/>
  <c r="AD123" i="2" s="1"/>
  <c r="AE12" i="2"/>
  <c r="AD341" i="2"/>
  <c r="AD338" i="2"/>
  <c r="AD342" i="2"/>
  <c r="AD339" i="2"/>
  <c r="AD340" i="2"/>
  <c r="AE15" i="2"/>
  <c r="AC325" i="2"/>
  <c r="Z128" i="2"/>
  <c r="Z130" i="2"/>
  <c r="Z167" i="2"/>
  <c r="Z89" i="2"/>
  <c r="AA183" i="2"/>
  <c r="AA197" i="2" s="1"/>
  <c r="AA202" i="2" s="1"/>
  <c r="AA72" i="2"/>
  <c r="AA144" i="2"/>
  <c r="AA158" i="2" s="1"/>
  <c r="AA163" i="2" s="1"/>
  <c r="AA241" i="2"/>
  <c r="AA116" i="2"/>
  <c r="AA155" i="2"/>
  <c r="AA66" i="2"/>
  <c r="AA80" i="2" s="1"/>
  <c r="AA85" i="2" s="1"/>
  <c r="AA150" i="2"/>
  <c r="AA230" i="2"/>
  <c r="AA111" i="2"/>
  <c r="AA120" i="2" s="1"/>
  <c r="AA125" i="2" s="1"/>
  <c r="AA174" i="2"/>
  <c r="AA213" i="2"/>
  <c r="AA198" i="2"/>
  <c r="AA203" i="2" s="1"/>
  <c r="AA119" i="2"/>
  <c r="AA124" i="2" s="1"/>
  <c r="AA81" i="2"/>
  <c r="AA86" i="2" s="1"/>
  <c r="AA96" i="2"/>
  <c r="AA135" i="2"/>
  <c r="AA159" i="2"/>
  <c r="AA164" i="2" s="1"/>
  <c r="AA91" i="2"/>
  <c r="AA253" i="2"/>
  <c r="AA208" i="2"/>
  <c r="AA169" i="2"/>
  <c r="AA168" i="2"/>
  <c r="AA82" i="2"/>
  <c r="AA87" i="2" s="1"/>
  <c r="AA210" i="2"/>
  <c r="AA93" i="2"/>
  <c r="AA171" i="2"/>
  <c r="AA244" i="2"/>
  <c r="AA249" i="2" s="1"/>
  <c r="AA170" i="2"/>
  <c r="AA92" i="2"/>
  <c r="AA207" i="2"/>
  <c r="AA90" i="2"/>
  <c r="AA160" i="2"/>
  <c r="AA165" i="2" s="1"/>
  <c r="AA209" i="2"/>
  <c r="AA199" i="2"/>
  <c r="AA204" i="2" s="1"/>
  <c r="AA254" i="2"/>
  <c r="AA256" i="2"/>
  <c r="AA246" i="2"/>
  <c r="AA251" i="2" s="1"/>
  <c r="AA255" i="2"/>
  <c r="AA257" i="2"/>
  <c r="AA245" i="2"/>
  <c r="AA250" i="2" s="1"/>
  <c r="AA131" i="2"/>
  <c r="AA95" i="2"/>
  <c r="AA173" i="2"/>
  <c r="AA134" i="2"/>
  <c r="AA121" i="2"/>
  <c r="AA126" i="2" s="1"/>
  <c r="AA129" i="2" s="1"/>
  <c r="AA259" i="2"/>
  <c r="AA212" i="2"/>
  <c r="AA130" i="2"/>
  <c r="AA194" i="2"/>
  <c r="AA236" i="2"/>
  <c r="AA77" i="2"/>
  <c r="AA105" i="2"/>
  <c r="AA222" i="2"/>
  <c r="AR220" i="2"/>
  <c r="AR304" i="2"/>
  <c r="AA27" i="2"/>
  <c r="AA41" i="2" s="1"/>
  <c r="AA57" i="2"/>
  <c r="AA51" i="2"/>
  <c r="AA53" i="2"/>
  <c r="AA52" i="2"/>
  <c r="AA56" i="2"/>
  <c r="AA54" i="2"/>
  <c r="AA38" i="2"/>
  <c r="AA33" i="2"/>
  <c r="Z46" i="2"/>
  <c r="Z50" i="2" s="1"/>
  <c r="AA8" i="2"/>
  <c r="AA42" i="2"/>
  <c r="AA47" i="2" s="1"/>
  <c r="AA43" i="2"/>
  <c r="AA48" i="2" s="1"/>
  <c r="AS17" i="2"/>
  <c r="AS11" i="2"/>
  <c r="AS14" i="2"/>
  <c r="AU7" i="2"/>
  <c r="AT9" i="2"/>
  <c r="AS18" i="2"/>
  <c r="AB5" i="2"/>
  <c r="AB144" i="2" s="1"/>
  <c r="AE118" i="2" l="1"/>
  <c r="AE123" i="2" s="1"/>
  <c r="AE79" i="2"/>
  <c r="AE84" i="2" s="1"/>
  <c r="AE243" i="2"/>
  <c r="AE248" i="2" s="1"/>
  <c r="AE280" i="2"/>
  <c r="AE285" i="2" s="1"/>
  <c r="AE196" i="2"/>
  <c r="AE201" i="2" s="1"/>
  <c r="AE40" i="2"/>
  <c r="AE45" i="2" s="1"/>
  <c r="AE157" i="2"/>
  <c r="AE162" i="2" s="1"/>
  <c r="AF12" i="2"/>
  <c r="AD325" i="2"/>
  <c r="AA206" i="2"/>
  <c r="AE341" i="2"/>
  <c r="AE342" i="2"/>
  <c r="AE339" i="2"/>
  <c r="AE338" i="2"/>
  <c r="AE340" i="2"/>
  <c r="AF15" i="2"/>
  <c r="AA128" i="2"/>
  <c r="AB183" i="2"/>
  <c r="AA89" i="2"/>
  <c r="AA167" i="2"/>
  <c r="AB198" i="2"/>
  <c r="AB203" i="2" s="1"/>
  <c r="AB159" i="2"/>
  <c r="AB164" i="2" s="1"/>
  <c r="AB135" i="2"/>
  <c r="AB174" i="2"/>
  <c r="AB81" i="2"/>
  <c r="AB86" i="2" s="1"/>
  <c r="AB213" i="2"/>
  <c r="AB96" i="2"/>
  <c r="AB119" i="2"/>
  <c r="AB124" i="2" s="1"/>
  <c r="AB169" i="2"/>
  <c r="AB253" i="2"/>
  <c r="AB91" i="2"/>
  <c r="AB170" i="2"/>
  <c r="AB244" i="2"/>
  <c r="AB249" i="2" s="1"/>
  <c r="AB208" i="2"/>
  <c r="AB131" i="2"/>
  <c r="AB93" i="2"/>
  <c r="AB171" i="2"/>
  <c r="AB168" i="2"/>
  <c r="AB160" i="2"/>
  <c r="AB165" i="2" s="1"/>
  <c r="AB132" i="2"/>
  <c r="AB207" i="2"/>
  <c r="AB82" i="2"/>
  <c r="AB87" i="2" s="1"/>
  <c r="AB90" i="2"/>
  <c r="AB210" i="2"/>
  <c r="AB209" i="2"/>
  <c r="AB92" i="2"/>
  <c r="AB199" i="2"/>
  <c r="AB204" i="2" s="1"/>
  <c r="AB256" i="2"/>
  <c r="AB254" i="2"/>
  <c r="AB246" i="2"/>
  <c r="AB251" i="2" s="1"/>
  <c r="AB257" i="2"/>
  <c r="AB255" i="2"/>
  <c r="AB245" i="2"/>
  <c r="AB250" i="2" s="1"/>
  <c r="AB197" i="2"/>
  <c r="AB202" i="2" s="1"/>
  <c r="AB158" i="2"/>
  <c r="AB163" i="2" s="1"/>
  <c r="AB173" i="2"/>
  <c r="AB95" i="2"/>
  <c r="AB259" i="2"/>
  <c r="AB212" i="2"/>
  <c r="AB134" i="2"/>
  <c r="AB241" i="2"/>
  <c r="AB111" i="2"/>
  <c r="AB120" i="2" s="1"/>
  <c r="AB125" i="2" s="1"/>
  <c r="AB72" i="2"/>
  <c r="AB230" i="2"/>
  <c r="AB189" i="2"/>
  <c r="AB116" i="2"/>
  <c r="AB121" i="2" s="1"/>
  <c r="AB126" i="2" s="1"/>
  <c r="AB194" i="2"/>
  <c r="AB150" i="2"/>
  <c r="AB77" i="2"/>
  <c r="AB105" i="2"/>
  <c r="AB236" i="2"/>
  <c r="AB155" i="2"/>
  <c r="AB66" i="2"/>
  <c r="AB80" i="2" s="1"/>
  <c r="AB85" i="2" s="1"/>
  <c r="AB222" i="2"/>
  <c r="AS304" i="2"/>
  <c r="AS220" i="2"/>
  <c r="AB33" i="2"/>
  <c r="AB57" i="2"/>
  <c r="AB52" i="2"/>
  <c r="AB53" i="2"/>
  <c r="AB56" i="2"/>
  <c r="AB51" i="2"/>
  <c r="AB54" i="2"/>
  <c r="AB27" i="2"/>
  <c r="AB41" i="2" s="1"/>
  <c r="AB38" i="2"/>
  <c r="AB8" i="2"/>
  <c r="AB43" i="2"/>
  <c r="AB48" i="2" s="1"/>
  <c r="AB42" i="2"/>
  <c r="AB47" i="2" s="1"/>
  <c r="AA46" i="2"/>
  <c r="AA50" i="2" s="1"/>
  <c r="AT18" i="2"/>
  <c r="AT14" i="2"/>
  <c r="AT17" i="2"/>
  <c r="AT11" i="2"/>
  <c r="AV7" i="2"/>
  <c r="AU9" i="2"/>
  <c r="AC5" i="2"/>
  <c r="AC72" i="2" s="1"/>
  <c r="AE325" i="2" l="1"/>
  <c r="AF280" i="2"/>
  <c r="AF285" i="2" s="1"/>
  <c r="AF40" i="2"/>
  <c r="AF45" i="2" s="1"/>
  <c r="AF79" i="2"/>
  <c r="AF84" i="2" s="1"/>
  <c r="AF243" i="2"/>
  <c r="AF248" i="2" s="1"/>
  <c r="AF196" i="2"/>
  <c r="AF201" i="2" s="1"/>
  <c r="AF157" i="2"/>
  <c r="AF162" i="2" s="1"/>
  <c r="AF118" i="2"/>
  <c r="AF123" i="2" s="1"/>
  <c r="AG12" i="2"/>
  <c r="AF339" i="2"/>
  <c r="AF341" i="2"/>
  <c r="AF340" i="2"/>
  <c r="AF342" i="2"/>
  <c r="AF338" i="2"/>
  <c r="AG15" i="2"/>
  <c r="AB129" i="2"/>
  <c r="AB130" i="2"/>
  <c r="AB167" i="2"/>
  <c r="AB206" i="2"/>
  <c r="AB89" i="2"/>
  <c r="AC116" i="2"/>
  <c r="AC230" i="2"/>
  <c r="AC213" i="2"/>
  <c r="AC198" i="2"/>
  <c r="AC203" i="2" s="1"/>
  <c r="AC159" i="2"/>
  <c r="AC164" i="2" s="1"/>
  <c r="AC174" i="2"/>
  <c r="AC119" i="2"/>
  <c r="AC124" i="2" s="1"/>
  <c r="AC96" i="2"/>
  <c r="AC135" i="2"/>
  <c r="AC81" i="2"/>
  <c r="AC86" i="2" s="1"/>
  <c r="AC208" i="2"/>
  <c r="AC130" i="2"/>
  <c r="AC169" i="2"/>
  <c r="AC253" i="2"/>
  <c r="AC132" i="2"/>
  <c r="AC170" i="2"/>
  <c r="AC91" i="2"/>
  <c r="AC131" i="2"/>
  <c r="AC171" i="2"/>
  <c r="AC244" i="2"/>
  <c r="AC249" i="2" s="1"/>
  <c r="AC168" i="2"/>
  <c r="AC209" i="2"/>
  <c r="AC210" i="2"/>
  <c r="AC199" i="2"/>
  <c r="AC204" i="2" s="1"/>
  <c r="AC90" i="2"/>
  <c r="AC93" i="2"/>
  <c r="AC160" i="2"/>
  <c r="AC165" i="2" s="1"/>
  <c r="AC207" i="2"/>
  <c r="AC82" i="2"/>
  <c r="AC87" i="2" s="1"/>
  <c r="AC92" i="2"/>
  <c r="AC256" i="2"/>
  <c r="AC254" i="2"/>
  <c r="AC246" i="2"/>
  <c r="AC251" i="2" s="1"/>
  <c r="AC255" i="2"/>
  <c r="AC257" i="2"/>
  <c r="AC245" i="2"/>
  <c r="AC250" i="2" s="1"/>
  <c r="AC212" i="2"/>
  <c r="AC259" i="2"/>
  <c r="AC121" i="2"/>
  <c r="AC126" i="2" s="1"/>
  <c r="AC129" i="2" s="1"/>
  <c r="AC95" i="2"/>
  <c r="AC134" i="2"/>
  <c r="AC173" i="2"/>
  <c r="AC105" i="2"/>
  <c r="AC111" i="2"/>
  <c r="AC120" i="2" s="1"/>
  <c r="AC125" i="2" s="1"/>
  <c r="AC194" i="2"/>
  <c r="AC155" i="2"/>
  <c r="AC189" i="2"/>
  <c r="AC183" i="2"/>
  <c r="AC197" i="2" s="1"/>
  <c r="AC202" i="2" s="1"/>
  <c r="AC150" i="2"/>
  <c r="AC66" i="2"/>
  <c r="AC80" i="2" s="1"/>
  <c r="AC85" i="2" s="1"/>
  <c r="AB128" i="2"/>
  <c r="AC241" i="2"/>
  <c r="AC77" i="2"/>
  <c r="AC236" i="2"/>
  <c r="AC144" i="2"/>
  <c r="AC158" i="2" s="1"/>
  <c r="AC163" i="2" s="1"/>
  <c r="AC222" i="2"/>
  <c r="AT220" i="2"/>
  <c r="AT304" i="2"/>
  <c r="AC33" i="2"/>
  <c r="AC57" i="2"/>
  <c r="AC56" i="2"/>
  <c r="AC54" i="2"/>
  <c r="AC52" i="2"/>
  <c r="AC51" i="2"/>
  <c r="AC53" i="2"/>
  <c r="AB46" i="2"/>
  <c r="AB50" i="2" s="1"/>
  <c r="AC8" i="2"/>
  <c r="AC43" i="2"/>
  <c r="AC48" i="2" s="1"/>
  <c r="AC42" i="2"/>
  <c r="AC47" i="2" s="1"/>
  <c r="AC27" i="2"/>
  <c r="AC41" i="2" s="1"/>
  <c r="AC38" i="2"/>
  <c r="AU11" i="2"/>
  <c r="AU14" i="2"/>
  <c r="AU17" i="2"/>
  <c r="AV9" i="2"/>
  <c r="AW7" i="2"/>
  <c r="AU18" i="2"/>
  <c r="AD5" i="2"/>
  <c r="AD183" i="2" s="1"/>
  <c r="AG157" i="2" l="1"/>
  <c r="AG162" i="2" s="1"/>
  <c r="AG196" i="2"/>
  <c r="AG201" i="2" s="1"/>
  <c r="AG243" i="2"/>
  <c r="AG248" i="2" s="1"/>
  <c r="AG40" i="2"/>
  <c r="AG45" i="2" s="1"/>
  <c r="AG118" i="2"/>
  <c r="AG123" i="2" s="1"/>
  <c r="AG79" i="2"/>
  <c r="AG84" i="2" s="1"/>
  <c r="AG280" i="2"/>
  <c r="AG285" i="2" s="1"/>
  <c r="AH12" i="2"/>
  <c r="AG338" i="2"/>
  <c r="AG340" i="2"/>
  <c r="AG342" i="2"/>
  <c r="AG341" i="2"/>
  <c r="AG339" i="2"/>
  <c r="AH15" i="2"/>
  <c r="AF325" i="2"/>
  <c r="AC206" i="2"/>
  <c r="AC128" i="2"/>
  <c r="AC89" i="2"/>
  <c r="AC167" i="2"/>
  <c r="AD241" i="2"/>
  <c r="AD105" i="2"/>
  <c r="AD66" i="2"/>
  <c r="AD230" i="2"/>
  <c r="AD111" i="2"/>
  <c r="AD120" i="2" s="1"/>
  <c r="AD125" i="2" s="1"/>
  <c r="AD144" i="2"/>
  <c r="AD158" i="2" s="1"/>
  <c r="AD163" i="2" s="1"/>
  <c r="AD194" i="2"/>
  <c r="AD72" i="2"/>
  <c r="AD119" i="2"/>
  <c r="AD124" i="2" s="1"/>
  <c r="AD198" i="2"/>
  <c r="AD203" i="2" s="1"/>
  <c r="AD96" i="2"/>
  <c r="AD174" i="2"/>
  <c r="AD159" i="2"/>
  <c r="AD164" i="2" s="1"/>
  <c r="AD213" i="2"/>
  <c r="AD81" i="2"/>
  <c r="AD86" i="2" s="1"/>
  <c r="AD135" i="2"/>
  <c r="AD208" i="2"/>
  <c r="AD253" i="2"/>
  <c r="AD91" i="2"/>
  <c r="AD171" i="2"/>
  <c r="AD244" i="2"/>
  <c r="AD249" i="2" s="1"/>
  <c r="AD160" i="2"/>
  <c r="AD165" i="2" s="1"/>
  <c r="AD170" i="2"/>
  <c r="AD169" i="2"/>
  <c r="AD93" i="2"/>
  <c r="AD209" i="2"/>
  <c r="AD168" i="2"/>
  <c r="AD90" i="2"/>
  <c r="AD82" i="2"/>
  <c r="AD87" i="2" s="1"/>
  <c r="AD207" i="2"/>
  <c r="AD92" i="2"/>
  <c r="AD210" i="2"/>
  <c r="AD199" i="2"/>
  <c r="AD204" i="2" s="1"/>
  <c r="AD246" i="2"/>
  <c r="AD251" i="2" s="1"/>
  <c r="AD257" i="2"/>
  <c r="AD254" i="2"/>
  <c r="AD256" i="2"/>
  <c r="AD255" i="2"/>
  <c r="AD245" i="2"/>
  <c r="AD250" i="2" s="1"/>
  <c r="AD197" i="2"/>
  <c r="AD202" i="2" s="1"/>
  <c r="AD80" i="2"/>
  <c r="AD85" i="2" s="1"/>
  <c r="AD131" i="2"/>
  <c r="AD212" i="2"/>
  <c r="AD259" i="2"/>
  <c r="AD173" i="2"/>
  <c r="AD95" i="2"/>
  <c r="AD134" i="2"/>
  <c r="AD155" i="2"/>
  <c r="AD77" i="2"/>
  <c r="AD150" i="2"/>
  <c r="AD236" i="2"/>
  <c r="AD116" i="2"/>
  <c r="AD121" i="2" s="1"/>
  <c r="AD189" i="2"/>
  <c r="AD222" i="2"/>
  <c r="AU304" i="2"/>
  <c r="AU220" i="2"/>
  <c r="AD33" i="2"/>
  <c r="AD57" i="2"/>
  <c r="AD54" i="2"/>
  <c r="AD56" i="2"/>
  <c r="AD51" i="2"/>
  <c r="AD52" i="2"/>
  <c r="AD53" i="2"/>
  <c r="AC46" i="2"/>
  <c r="AC50" i="2" s="1"/>
  <c r="AD27" i="2"/>
  <c r="AD41" i="2" s="1"/>
  <c r="AD38" i="2"/>
  <c r="AD8" i="2"/>
  <c r="AD42" i="2"/>
  <c r="AD47" i="2" s="1"/>
  <c r="AD43" i="2"/>
  <c r="AD48" i="2" s="1"/>
  <c r="AV18" i="2"/>
  <c r="AV14" i="2"/>
  <c r="AV17" i="2"/>
  <c r="AV11" i="2"/>
  <c r="AW9" i="2"/>
  <c r="AX7" i="2"/>
  <c r="AE5" i="2"/>
  <c r="AE66" i="2" s="1"/>
  <c r="AH40" i="2" l="1"/>
  <c r="AH45" i="2" s="1"/>
  <c r="AH243" i="2"/>
  <c r="AH248" i="2" s="1"/>
  <c r="AH280" i="2"/>
  <c r="AH285" i="2" s="1"/>
  <c r="AH196" i="2"/>
  <c r="AH201" i="2" s="1"/>
  <c r="AH118" i="2"/>
  <c r="AH123" i="2" s="1"/>
  <c r="AH79" i="2"/>
  <c r="AH84" i="2" s="1"/>
  <c r="AH157" i="2"/>
  <c r="AH162" i="2" s="1"/>
  <c r="AI12" i="2"/>
  <c r="AG325" i="2"/>
  <c r="AH341" i="2"/>
  <c r="AH342" i="2"/>
  <c r="AH338" i="2"/>
  <c r="AH340" i="2"/>
  <c r="AH339" i="2"/>
  <c r="AI15" i="2"/>
  <c r="AD206" i="2"/>
  <c r="AD89" i="2"/>
  <c r="AE116" i="2"/>
  <c r="AD167" i="2"/>
  <c r="AE183" i="2"/>
  <c r="AE197" i="2" s="1"/>
  <c r="AE202" i="2" s="1"/>
  <c r="AE194" i="2"/>
  <c r="AE105" i="2"/>
  <c r="AE198" i="2"/>
  <c r="AE203" i="2" s="1"/>
  <c r="AE159" i="2"/>
  <c r="AE164" i="2" s="1"/>
  <c r="AE213" i="2"/>
  <c r="AE174" i="2"/>
  <c r="AE119" i="2"/>
  <c r="AE124" i="2" s="1"/>
  <c r="AE135" i="2"/>
  <c r="AE81" i="2"/>
  <c r="AE86" i="2" s="1"/>
  <c r="AE96" i="2"/>
  <c r="AE169" i="2"/>
  <c r="AE91" i="2"/>
  <c r="AE208" i="2"/>
  <c r="AE170" i="2"/>
  <c r="AE132" i="2"/>
  <c r="AE171" i="2"/>
  <c r="AE210" i="2"/>
  <c r="AE90" i="2"/>
  <c r="AE168" i="2"/>
  <c r="AE199" i="2"/>
  <c r="AE204" i="2" s="1"/>
  <c r="AE82" i="2"/>
  <c r="AE87" i="2" s="1"/>
  <c r="AE209" i="2"/>
  <c r="AE92" i="2"/>
  <c r="AE93" i="2"/>
  <c r="AE131" i="2"/>
  <c r="AE160" i="2"/>
  <c r="AE165" i="2" s="1"/>
  <c r="AE207" i="2"/>
  <c r="AE246" i="2"/>
  <c r="AE251" i="2" s="1"/>
  <c r="AE254" i="2"/>
  <c r="AE245" i="2"/>
  <c r="AE250" i="2" s="1"/>
  <c r="AE80" i="2"/>
  <c r="AE85" i="2" s="1"/>
  <c r="AE256" i="2"/>
  <c r="AE95" i="2"/>
  <c r="AE121" i="2"/>
  <c r="AE126" i="2" s="1"/>
  <c r="AE130" i="2" s="1"/>
  <c r="AE212" i="2"/>
  <c r="AE244" i="2"/>
  <c r="AE249" i="2" s="1"/>
  <c r="AE255" i="2" s="1"/>
  <c r="AE259" i="2"/>
  <c r="AE173" i="2"/>
  <c r="AE134" i="2"/>
  <c r="AE72" i="2"/>
  <c r="AE189" i="2"/>
  <c r="AD126" i="2"/>
  <c r="AE77" i="2"/>
  <c r="AE111" i="2"/>
  <c r="AE120" i="2" s="1"/>
  <c r="AE125" i="2" s="1"/>
  <c r="AE144" i="2"/>
  <c r="AE158" i="2" s="1"/>
  <c r="AE163" i="2" s="1"/>
  <c r="AE155" i="2"/>
  <c r="AE241" i="2"/>
  <c r="AE236" i="2"/>
  <c r="AE230" i="2"/>
  <c r="AE150" i="2"/>
  <c r="AE222" i="2"/>
  <c r="AV220" i="2"/>
  <c r="AV304" i="2"/>
  <c r="AE33" i="2"/>
  <c r="AE57" i="2"/>
  <c r="AE53" i="2"/>
  <c r="AE56" i="2"/>
  <c r="AE51" i="2"/>
  <c r="AE54" i="2"/>
  <c r="AE52" i="2"/>
  <c r="AE27" i="2"/>
  <c r="AE41" i="2" s="1"/>
  <c r="AD46" i="2"/>
  <c r="AD50" i="2" s="1"/>
  <c r="AE8" i="2"/>
  <c r="AE42" i="2"/>
  <c r="AE47" i="2" s="1"/>
  <c r="AE43" i="2"/>
  <c r="AE48" i="2" s="1"/>
  <c r="AE38" i="2"/>
  <c r="AW11" i="2"/>
  <c r="AW14" i="2"/>
  <c r="AW17" i="2"/>
  <c r="AX9" i="2"/>
  <c r="AY7" i="2"/>
  <c r="AW18" i="2"/>
  <c r="AF5" i="2"/>
  <c r="AF183" i="2" s="1"/>
  <c r="AE129" i="2" l="1"/>
  <c r="AI280" i="2"/>
  <c r="AI285" i="2" s="1"/>
  <c r="AI118" i="2"/>
  <c r="AI123" i="2" s="1"/>
  <c r="AI40" i="2"/>
  <c r="AI45" i="2" s="1"/>
  <c r="AI243" i="2"/>
  <c r="AI248" i="2" s="1"/>
  <c r="AI196" i="2"/>
  <c r="AI201" i="2" s="1"/>
  <c r="AI157" i="2"/>
  <c r="AI162" i="2" s="1"/>
  <c r="AI79" i="2"/>
  <c r="AI84" i="2" s="1"/>
  <c r="AJ12" i="2"/>
  <c r="AI342" i="2"/>
  <c r="AI339" i="2"/>
  <c r="AI338" i="2"/>
  <c r="AI341" i="2"/>
  <c r="AI340" i="2"/>
  <c r="AJ15" i="2"/>
  <c r="AH325" i="2"/>
  <c r="AE167" i="2"/>
  <c r="AD130" i="2"/>
  <c r="AD129" i="2"/>
  <c r="AE253" i="2"/>
  <c r="AE128" i="2"/>
  <c r="AE89" i="2"/>
  <c r="AE206" i="2"/>
  <c r="AF241" i="2"/>
  <c r="AF194" i="2"/>
  <c r="AF105" i="2"/>
  <c r="AF144" i="2"/>
  <c r="AF158" i="2" s="1"/>
  <c r="AF163" i="2" s="1"/>
  <c r="AF66" i="2"/>
  <c r="AF80" i="2" s="1"/>
  <c r="AF85" i="2" s="1"/>
  <c r="AF111" i="2"/>
  <c r="AF120" i="2" s="1"/>
  <c r="AF125" i="2" s="1"/>
  <c r="AF116" i="2"/>
  <c r="AF121" i="2" s="1"/>
  <c r="AF126" i="2" s="1"/>
  <c r="AF129" i="2" s="1"/>
  <c r="AF155" i="2"/>
  <c r="AF236" i="2"/>
  <c r="AF230" i="2"/>
  <c r="AF72" i="2"/>
  <c r="AF150" i="2"/>
  <c r="AF174" i="2"/>
  <c r="AF213" i="2"/>
  <c r="AF159" i="2"/>
  <c r="AF164" i="2" s="1"/>
  <c r="AF135" i="2"/>
  <c r="AF81" i="2"/>
  <c r="AF86" i="2" s="1"/>
  <c r="AF119" i="2"/>
  <c r="AF124" i="2" s="1"/>
  <c r="AF198" i="2"/>
  <c r="AF203" i="2" s="1"/>
  <c r="AF96" i="2"/>
  <c r="AF169" i="2"/>
  <c r="AF131" i="2"/>
  <c r="AF170" i="2"/>
  <c r="AF171" i="2"/>
  <c r="AF132" i="2"/>
  <c r="AF168" i="2"/>
  <c r="AF91" i="2"/>
  <c r="AF210" i="2"/>
  <c r="AF160" i="2"/>
  <c r="AF165" i="2" s="1"/>
  <c r="AF208" i="2"/>
  <c r="AF209" i="2"/>
  <c r="AF199" i="2"/>
  <c r="AF204" i="2" s="1"/>
  <c r="AF93" i="2"/>
  <c r="AF90" i="2"/>
  <c r="AF82" i="2"/>
  <c r="AF87" i="2" s="1"/>
  <c r="AF92" i="2"/>
  <c r="AF207" i="2"/>
  <c r="AF246" i="2"/>
  <c r="AF251" i="2" s="1"/>
  <c r="AF257" i="2"/>
  <c r="AF256" i="2"/>
  <c r="AF254" i="2"/>
  <c r="AF245" i="2"/>
  <c r="AF250" i="2" s="1"/>
  <c r="AF197" i="2"/>
  <c r="AF202" i="2" s="1"/>
  <c r="AF206" i="2" s="1"/>
  <c r="AF259" i="2"/>
  <c r="AF212" i="2"/>
  <c r="AF173" i="2"/>
  <c r="AF134" i="2"/>
  <c r="AF95" i="2"/>
  <c r="AF244" i="2"/>
  <c r="AF249" i="2" s="1"/>
  <c r="AF253" i="2" s="1"/>
  <c r="AF189" i="2"/>
  <c r="AF77" i="2"/>
  <c r="AD128" i="2"/>
  <c r="AF222" i="2"/>
  <c r="AW304" i="2"/>
  <c r="AW220" i="2"/>
  <c r="AF57" i="2"/>
  <c r="AF53" i="2"/>
  <c r="AF56" i="2"/>
  <c r="AF52" i="2"/>
  <c r="AF54" i="2"/>
  <c r="AF51" i="2"/>
  <c r="AF8" i="2"/>
  <c r="AF42" i="2"/>
  <c r="AF47" i="2" s="1"/>
  <c r="AF43" i="2"/>
  <c r="AF48" i="2" s="1"/>
  <c r="AF33" i="2"/>
  <c r="AF38" i="2"/>
  <c r="AF27" i="2"/>
  <c r="AF41" i="2" s="1"/>
  <c r="AE46" i="2"/>
  <c r="AE50" i="2" s="1"/>
  <c r="AX11" i="2"/>
  <c r="AX17" i="2"/>
  <c r="AX14" i="2"/>
  <c r="AY9" i="2"/>
  <c r="AZ7" i="2"/>
  <c r="AX18" i="2"/>
  <c r="AG5" i="2"/>
  <c r="AG236" i="2" s="1"/>
  <c r="AF255" i="2" l="1"/>
  <c r="AJ157" i="2"/>
  <c r="AJ162" i="2" s="1"/>
  <c r="AJ40" i="2"/>
  <c r="AJ45" i="2" s="1"/>
  <c r="AJ196" i="2"/>
  <c r="AJ201" i="2" s="1"/>
  <c r="AJ118" i="2"/>
  <c r="AJ123" i="2" s="1"/>
  <c r="AJ280" i="2"/>
  <c r="AJ285" i="2" s="1"/>
  <c r="AJ79" i="2"/>
  <c r="AJ84" i="2" s="1"/>
  <c r="AJ243" i="2"/>
  <c r="AJ248" i="2" s="1"/>
  <c r="AK12" i="2"/>
  <c r="AJ341" i="2"/>
  <c r="AJ339" i="2"/>
  <c r="AJ342" i="2"/>
  <c r="AJ338" i="2"/>
  <c r="AJ340" i="2"/>
  <c r="AK15" i="2"/>
  <c r="AI325" i="2"/>
  <c r="AF89" i="2"/>
  <c r="AG144" i="2"/>
  <c r="AG158" i="2" s="1"/>
  <c r="AG163" i="2" s="1"/>
  <c r="AG116" i="2"/>
  <c r="AG121" i="2" s="1"/>
  <c r="AF167" i="2"/>
  <c r="AF128" i="2"/>
  <c r="AF130" i="2"/>
  <c r="AG111" i="2"/>
  <c r="AG120" i="2" s="1"/>
  <c r="AG125" i="2" s="1"/>
  <c r="AG77" i="2"/>
  <c r="AG105" i="2"/>
  <c r="AG66" i="2"/>
  <c r="AG183" i="2"/>
  <c r="AG197" i="2" s="1"/>
  <c r="AG202" i="2" s="1"/>
  <c r="AG72" i="2"/>
  <c r="AG189" i="2"/>
  <c r="AG174" i="2"/>
  <c r="AG213" i="2"/>
  <c r="AG159" i="2"/>
  <c r="AG164" i="2" s="1"/>
  <c r="AG135" i="2"/>
  <c r="AG81" i="2"/>
  <c r="AG86" i="2" s="1"/>
  <c r="AG96" i="2"/>
  <c r="AG198" i="2"/>
  <c r="AG203" i="2" s="1"/>
  <c r="AG119" i="2"/>
  <c r="AG124" i="2" s="1"/>
  <c r="AG91" i="2"/>
  <c r="AG208" i="2"/>
  <c r="AG169" i="2"/>
  <c r="AG170" i="2"/>
  <c r="AG160" i="2"/>
  <c r="AG165" i="2" s="1"/>
  <c r="AG129" i="2"/>
  <c r="AG171" i="2"/>
  <c r="AG168" i="2"/>
  <c r="AG210" i="2"/>
  <c r="AG199" i="2"/>
  <c r="AG204" i="2" s="1"/>
  <c r="AG93" i="2"/>
  <c r="AG90" i="2"/>
  <c r="AG92" i="2"/>
  <c r="AG82" i="2"/>
  <c r="AG87" i="2" s="1"/>
  <c r="AG209" i="2"/>
  <c r="AG207" i="2"/>
  <c r="AG246" i="2"/>
  <c r="AG251" i="2" s="1"/>
  <c r="AG256" i="2"/>
  <c r="AG257" i="2"/>
  <c r="AG254" i="2"/>
  <c r="AG255" i="2"/>
  <c r="AG245" i="2"/>
  <c r="AG250" i="2" s="1"/>
  <c r="AG80" i="2"/>
  <c r="AG85" i="2" s="1"/>
  <c r="AG131" i="2"/>
  <c r="AG259" i="2"/>
  <c r="AG212" i="2"/>
  <c r="AG134" i="2"/>
  <c r="AG173" i="2"/>
  <c r="AG95" i="2"/>
  <c r="AG150" i="2"/>
  <c r="AG155" i="2"/>
  <c r="AG241" i="2"/>
  <c r="AG194" i="2"/>
  <c r="AG230" i="2"/>
  <c r="AG244" i="2" s="1"/>
  <c r="AG249" i="2" s="1"/>
  <c r="AG253" i="2" s="1"/>
  <c r="AG222" i="2"/>
  <c r="AX304" i="2"/>
  <c r="AX220" i="2"/>
  <c r="AG27" i="2"/>
  <c r="AG41" i="2" s="1"/>
  <c r="AG57" i="2"/>
  <c r="AG53" i="2"/>
  <c r="AG56" i="2"/>
  <c r="AG51" i="2"/>
  <c r="AG52" i="2"/>
  <c r="AG54" i="2"/>
  <c r="AF46" i="2"/>
  <c r="AF50" i="2" s="1"/>
  <c r="AG33" i="2"/>
  <c r="AG38" i="2"/>
  <c r="AG8" i="2"/>
  <c r="AG42" i="2"/>
  <c r="AG47" i="2" s="1"/>
  <c r="AG43" i="2"/>
  <c r="AG48" i="2" s="1"/>
  <c r="AY14" i="2"/>
  <c r="AY17" i="2"/>
  <c r="AY11" i="2"/>
  <c r="AY18" i="2"/>
  <c r="AZ9" i="2"/>
  <c r="BA7" i="2"/>
  <c r="AH5" i="2"/>
  <c r="AH150" i="2" s="1"/>
  <c r="B2" i="1"/>
  <c r="AK243" i="2" l="1"/>
  <c r="AK248" i="2" s="1"/>
  <c r="AK40" i="2"/>
  <c r="AK45" i="2" s="1"/>
  <c r="AK280" i="2"/>
  <c r="AK285" i="2" s="1"/>
  <c r="AK196" i="2"/>
  <c r="AK201" i="2" s="1"/>
  <c r="AK157" i="2"/>
  <c r="AK162" i="2" s="1"/>
  <c r="AK118" i="2"/>
  <c r="AK123" i="2" s="1"/>
  <c r="AK79" i="2"/>
  <c r="AK84" i="2" s="1"/>
  <c r="AL12" i="2"/>
  <c r="AK342" i="2"/>
  <c r="AK339" i="2"/>
  <c r="AK340" i="2"/>
  <c r="AK338" i="2"/>
  <c r="AK341" i="2"/>
  <c r="AL15" i="2"/>
  <c r="AJ325" i="2"/>
  <c r="AG89" i="2"/>
  <c r="AG206" i="2"/>
  <c r="AG167" i="2"/>
  <c r="AH105" i="2"/>
  <c r="AH155" i="2"/>
  <c r="AH241" i="2"/>
  <c r="AH116" i="2"/>
  <c r="AH121" i="2" s="1"/>
  <c r="AH126" i="2" s="1"/>
  <c r="AH130" i="2" s="1"/>
  <c r="AH144" i="2"/>
  <c r="AH158" i="2" s="1"/>
  <c r="AH163" i="2" s="1"/>
  <c r="AH189" i="2"/>
  <c r="AH183" i="2"/>
  <c r="AH197" i="2" s="1"/>
  <c r="AH202" i="2" s="1"/>
  <c r="AH77" i="2"/>
  <c r="AG126" i="2"/>
  <c r="AH111" i="2"/>
  <c r="AH120" i="2" s="1"/>
  <c r="AH125" i="2" s="1"/>
  <c r="AH230" i="2"/>
  <c r="AH66" i="2"/>
  <c r="AH213" i="2"/>
  <c r="AH159" i="2"/>
  <c r="AH164" i="2" s="1"/>
  <c r="AH135" i="2"/>
  <c r="AH198" i="2"/>
  <c r="AH203" i="2" s="1"/>
  <c r="AH96" i="2"/>
  <c r="AH119" i="2"/>
  <c r="AH124" i="2" s="1"/>
  <c r="AH174" i="2"/>
  <c r="AH81" i="2"/>
  <c r="AH86" i="2" s="1"/>
  <c r="AH169" i="2"/>
  <c r="AH91" i="2"/>
  <c r="AH208" i="2"/>
  <c r="AH168" i="2"/>
  <c r="AH132" i="2"/>
  <c r="AH170" i="2"/>
  <c r="AH129" i="2"/>
  <c r="AH93" i="2"/>
  <c r="AH131" i="2"/>
  <c r="AH171" i="2"/>
  <c r="AH92" i="2"/>
  <c r="AH210" i="2"/>
  <c r="AH207" i="2"/>
  <c r="AH90" i="2"/>
  <c r="AH82" i="2"/>
  <c r="AH87" i="2" s="1"/>
  <c r="AH160" i="2"/>
  <c r="AH165" i="2" s="1"/>
  <c r="AH209" i="2"/>
  <c r="AH199" i="2"/>
  <c r="AH204" i="2" s="1"/>
  <c r="AH255" i="2"/>
  <c r="AH257" i="2"/>
  <c r="AH246" i="2"/>
  <c r="AH251" i="2" s="1"/>
  <c r="AH256" i="2"/>
  <c r="AH254" i="2"/>
  <c r="AH245" i="2"/>
  <c r="AH250" i="2" s="1"/>
  <c r="AH80" i="2"/>
  <c r="AH85" i="2" s="1"/>
  <c r="AH95" i="2"/>
  <c r="AH259" i="2"/>
  <c r="AH134" i="2"/>
  <c r="AH212" i="2"/>
  <c r="AH244" i="2"/>
  <c r="AH249" i="2" s="1"/>
  <c r="AH173" i="2"/>
  <c r="AH236" i="2"/>
  <c r="AH194" i="2"/>
  <c r="AH72" i="2"/>
  <c r="AH222" i="2"/>
  <c r="AY304" i="2"/>
  <c r="AY220" i="2"/>
  <c r="AH33" i="2"/>
  <c r="AH57" i="2"/>
  <c r="AH56" i="2"/>
  <c r="AH51" i="2"/>
  <c r="AH54" i="2"/>
  <c r="AH52" i="2"/>
  <c r="AH53" i="2"/>
  <c r="AH38" i="2"/>
  <c r="AH8" i="2"/>
  <c r="AH42" i="2"/>
  <c r="AH47" i="2" s="1"/>
  <c r="AH43" i="2"/>
  <c r="AH48" i="2" s="1"/>
  <c r="AH27" i="2"/>
  <c r="AH41" i="2" s="1"/>
  <c r="AG46" i="2"/>
  <c r="AG50" i="2" s="1"/>
  <c r="AZ18" i="2"/>
  <c r="BA9" i="2"/>
  <c r="BB7" i="2"/>
  <c r="AZ11" i="2"/>
  <c r="AZ14" i="2"/>
  <c r="AZ17" i="2"/>
  <c r="AI5" i="2"/>
  <c r="AI189" i="2" s="1"/>
  <c r="I18" i="1"/>
  <c r="D18" i="1"/>
  <c r="I5" i="1"/>
  <c r="AL196" i="2" l="1"/>
  <c r="AL201" i="2" s="1"/>
  <c r="AL40" i="2"/>
  <c r="AL45" i="2" s="1"/>
  <c r="AL79" i="2"/>
  <c r="AL84" i="2" s="1"/>
  <c r="AL118" i="2"/>
  <c r="AL123" i="2" s="1"/>
  <c r="AL280" i="2"/>
  <c r="AL285" i="2" s="1"/>
  <c r="AL157" i="2"/>
  <c r="AL162" i="2" s="1"/>
  <c r="AL243" i="2"/>
  <c r="AL248" i="2" s="1"/>
  <c r="AM12" i="2"/>
  <c r="AL339" i="2"/>
  <c r="AL340" i="2"/>
  <c r="AL341" i="2"/>
  <c r="AL342" i="2"/>
  <c r="AL338" i="2"/>
  <c r="AM15" i="2"/>
  <c r="AK325" i="2"/>
  <c r="AH253" i="2"/>
  <c r="AH89" i="2"/>
  <c r="AH206" i="2"/>
  <c r="AH128" i="2"/>
  <c r="AH167" i="2"/>
  <c r="AI155" i="2"/>
  <c r="AI194" i="2"/>
  <c r="AI144" i="2"/>
  <c r="AI158" i="2" s="1"/>
  <c r="AI163" i="2" s="1"/>
  <c r="AG130" i="2"/>
  <c r="AG128" i="2"/>
  <c r="AI230" i="2"/>
  <c r="AI244" i="2" s="1"/>
  <c r="AI249" i="2" s="1"/>
  <c r="AI150" i="2"/>
  <c r="AI116" i="2"/>
  <c r="AI121" i="2" s="1"/>
  <c r="AI126" i="2" s="1"/>
  <c r="AI130" i="2" s="1"/>
  <c r="AI66" i="2"/>
  <c r="AI80" i="2" s="1"/>
  <c r="AI85" i="2" s="1"/>
  <c r="AI183" i="2"/>
  <c r="AI241" i="2"/>
  <c r="AI77" i="2"/>
  <c r="AI72" i="2"/>
  <c r="AI174" i="2"/>
  <c r="AI213" i="2"/>
  <c r="AI159" i="2"/>
  <c r="AI164" i="2" s="1"/>
  <c r="AI198" i="2"/>
  <c r="AI203" i="2" s="1"/>
  <c r="AI119" i="2"/>
  <c r="AI124" i="2" s="1"/>
  <c r="AI81" i="2"/>
  <c r="AI86" i="2" s="1"/>
  <c r="AI96" i="2"/>
  <c r="AI135" i="2"/>
  <c r="AI91" i="2"/>
  <c r="AI208" i="2"/>
  <c r="AI160" i="2"/>
  <c r="AI165" i="2" s="1"/>
  <c r="AI169" i="2"/>
  <c r="AI129" i="2"/>
  <c r="AI168" i="2"/>
  <c r="AI131" i="2"/>
  <c r="AI209" i="2"/>
  <c r="AI210" i="2"/>
  <c r="AI199" i="2"/>
  <c r="AI204" i="2" s="1"/>
  <c r="AI90" i="2"/>
  <c r="AI93" i="2"/>
  <c r="AI171" i="2"/>
  <c r="AI170" i="2"/>
  <c r="AI82" i="2"/>
  <c r="AI87" i="2" s="1"/>
  <c r="AI132" i="2"/>
  <c r="AI92" i="2"/>
  <c r="AI207" i="2"/>
  <c r="AI257" i="2"/>
  <c r="AI254" i="2"/>
  <c r="AI256" i="2"/>
  <c r="AI255" i="2"/>
  <c r="AI246" i="2"/>
  <c r="AI251" i="2" s="1"/>
  <c r="AI245" i="2"/>
  <c r="AI250" i="2" s="1"/>
  <c r="AI197" i="2"/>
  <c r="AI202" i="2" s="1"/>
  <c r="AI134" i="2"/>
  <c r="AI173" i="2"/>
  <c r="AI259" i="2"/>
  <c r="AI95" i="2"/>
  <c r="AI212" i="2"/>
  <c r="AI236" i="2"/>
  <c r="AI111" i="2"/>
  <c r="AI120" i="2" s="1"/>
  <c r="AI125" i="2" s="1"/>
  <c r="AI105" i="2"/>
  <c r="AI222" i="2"/>
  <c r="AZ220" i="2"/>
  <c r="AZ304" i="2"/>
  <c r="AI38" i="2"/>
  <c r="AI57" i="2"/>
  <c r="AI51" i="2"/>
  <c r="AI53" i="2"/>
  <c r="AI52" i="2"/>
  <c r="AI56" i="2"/>
  <c r="AI54" i="2"/>
  <c r="BA18" i="2"/>
  <c r="AI8" i="2"/>
  <c r="AI42" i="2"/>
  <c r="AI47" i="2" s="1"/>
  <c r="AI43" i="2"/>
  <c r="AI48" i="2" s="1"/>
  <c r="AI33" i="2"/>
  <c r="AI27" i="2"/>
  <c r="AI41" i="2" s="1"/>
  <c r="AH46" i="2"/>
  <c r="AH50" i="2" s="1"/>
  <c r="BC7" i="2"/>
  <c r="BB9" i="2"/>
  <c r="BA11" i="2"/>
  <c r="BA14" i="2"/>
  <c r="BA17" i="2"/>
  <c r="AJ5" i="2"/>
  <c r="AJ241" i="2" s="1"/>
  <c r="AI253" i="2" l="1"/>
  <c r="AM79" i="2"/>
  <c r="AM84" i="2" s="1"/>
  <c r="AM40" i="2"/>
  <c r="AM45" i="2" s="1"/>
  <c r="AM280" i="2"/>
  <c r="AM285" i="2" s="1"/>
  <c r="AM243" i="2"/>
  <c r="AM248" i="2" s="1"/>
  <c r="AM196" i="2"/>
  <c r="AM201" i="2" s="1"/>
  <c r="AM157" i="2"/>
  <c r="AM162" i="2" s="1"/>
  <c r="AM118" i="2"/>
  <c r="AM123" i="2" s="1"/>
  <c r="AN12" i="2"/>
  <c r="AM340" i="2"/>
  <c r="AM339" i="2"/>
  <c r="AM338" i="2"/>
  <c r="AM342" i="2"/>
  <c r="AM341" i="2"/>
  <c r="AN15" i="2"/>
  <c r="AL325" i="2"/>
  <c r="AI128" i="2"/>
  <c r="AJ144" i="2"/>
  <c r="AI89" i="2"/>
  <c r="AJ194" i="2"/>
  <c r="AJ66" i="2"/>
  <c r="AJ80" i="2" s="1"/>
  <c r="AJ85" i="2" s="1"/>
  <c r="AJ77" i="2"/>
  <c r="AI167" i="2"/>
  <c r="AI206" i="2"/>
  <c r="AJ198" i="2"/>
  <c r="AJ203" i="2" s="1"/>
  <c r="AJ159" i="2"/>
  <c r="AJ164" i="2" s="1"/>
  <c r="AJ135" i="2"/>
  <c r="AJ213" i="2"/>
  <c r="AJ174" i="2"/>
  <c r="AJ81" i="2"/>
  <c r="AJ86" i="2" s="1"/>
  <c r="AJ119" i="2"/>
  <c r="AJ124" i="2" s="1"/>
  <c r="AJ96" i="2"/>
  <c r="AJ91" i="2"/>
  <c r="AJ132" i="2"/>
  <c r="AJ131" i="2"/>
  <c r="AJ169" i="2"/>
  <c r="AJ129" i="2"/>
  <c r="AJ208" i="2"/>
  <c r="AJ210" i="2"/>
  <c r="AJ171" i="2"/>
  <c r="AJ170" i="2"/>
  <c r="AJ168" i="2"/>
  <c r="AJ209" i="2"/>
  <c r="AJ207" i="2"/>
  <c r="AJ160" i="2"/>
  <c r="AJ165" i="2" s="1"/>
  <c r="AJ199" i="2"/>
  <c r="AJ204" i="2" s="1"/>
  <c r="AJ93" i="2"/>
  <c r="AJ90" i="2"/>
  <c r="AJ82" i="2"/>
  <c r="AJ87" i="2" s="1"/>
  <c r="AJ92" i="2"/>
  <c r="AJ254" i="2"/>
  <c r="AJ246" i="2"/>
  <c r="AJ251" i="2" s="1"/>
  <c r="AJ245" i="2"/>
  <c r="AJ250" i="2" s="1"/>
  <c r="AJ158" i="2"/>
  <c r="AJ163" i="2" s="1"/>
  <c r="AJ256" i="2"/>
  <c r="AJ212" i="2"/>
  <c r="AJ259" i="2"/>
  <c r="AJ173" i="2"/>
  <c r="AJ95" i="2"/>
  <c r="AJ134" i="2"/>
  <c r="AJ236" i="2"/>
  <c r="AJ72" i="2"/>
  <c r="AJ150" i="2"/>
  <c r="AJ116" i="2"/>
  <c r="AJ121" i="2" s="1"/>
  <c r="AJ126" i="2" s="1"/>
  <c r="AJ130" i="2" s="1"/>
  <c r="AJ230" i="2"/>
  <c r="AJ244" i="2" s="1"/>
  <c r="AJ155" i="2"/>
  <c r="AJ183" i="2"/>
  <c r="AJ197" i="2" s="1"/>
  <c r="AJ202" i="2" s="1"/>
  <c r="AJ189" i="2"/>
  <c r="AJ105" i="2"/>
  <c r="AJ222" i="2"/>
  <c r="BA304" i="2"/>
  <c r="BA220" i="2"/>
  <c r="AJ33" i="2"/>
  <c r="AJ57" i="2"/>
  <c r="AJ53" i="2"/>
  <c r="AJ56" i="2"/>
  <c r="AJ51" i="2"/>
  <c r="AJ52" i="2"/>
  <c r="AJ54" i="2"/>
  <c r="AI46" i="2"/>
  <c r="AI50" i="2" s="1"/>
  <c r="AJ38" i="2"/>
  <c r="AJ8" i="2"/>
  <c r="AJ42" i="2"/>
  <c r="AJ47" i="2" s="1"/>
  <c r="AJ43" i="2"/>
  <c r="AJ48" i="2" s="1"/>
  <c r="AJ27" i="2"/>
  <c r="AJ41" i="2" s="1"/>
  <c r="BB14" i="2"/>
  <c r="BB17" i="2"/>
  <c r="BB18" i="2" s="1"/>
  <c r="BB11" i="2"/>
  <c r="BD7" i="2"/>
  <c r="BC9" i="2"/>
  <c r="AK5" i="2"/>
  <c r="AK150" i="2" s="1"/>
  <c r="AN196" i="2" l="1"/>
  <c r="AN201" i="2" s="1"/>
  <c r="AN40" i="2"/>
  <c r="AN45" i="2" s="1"/>
  <c r="AN157" i="2"/>
  <c r="AN162" i="2" s="1"/>
  <c r="AN243" i="2"/>
  <c r="AN248" i="2" s="1"/>
  <c r="AN118" i="2"/>
  <c r="AN123" i="2" s="1"/>
  <c r="AN79" i="2"/>
  <c r="AN84" i="2" s="1"/>
  <c r="AN280" i="2"/>
  <c r="AN285" i="2" s="1"/>
  <c r="AO12" i="2"/>
  <c r="AN340" i="2"/>
  <c r="AN341" i="2"/>
  <c r="AN342" i="2"/>
  <c r="AN338" i="2"/>
  <c r="AN339" i="2"/>
  <c r="AO15" i="2"/>
  <c r="AM325" i="2"/>
  <c r="AJ89" i="2"/>
  <c r="AJ206" i="2"/>
  <c r="AJ167" i="2"/>
  <c r="AJ249" i="2"/>
  <c r="AK105" i="2"/>
  <c r="AK111" i="2"/>
  <c r="AK77" i="2"/>
  <c r="AK213" i="2"/>
  <c r="AK198" i="2"/>
  <c r="AK203" i="2" s="1"/>
  <c r="AK159" i="2"/>
  <c r="AK164" i="2" s="1"/>
  <c r="AK174" i="2"/>
  <c r="AK96" i="2"/>
  <c r="AK119" i="2"/>
  <c r="AK124" i="2" s="1"/>
  <c r="AK81" i="2"/>
  <c r="AK86" i="2" s="1"/>
  <c r="AK135" i="2"/>
  <c r="AK91" i="2"/>
  <c r="AK130" i="2"/>
  <c r="AK132" i="2"/>
  <c r="AK208" i="2"/>
  <c r="AK169" i="2"/>
  <c r="AK171" i="2"/>
  <c r="AK160" i="2"/>
  <c r="AK165" i="2" s="1"/>
  <c r="AK170" i="2"/>
  <c r="AK93" i="2"/>
  <c r="AK129" i="2"/>
  <c r="AK209" i="2"/>
  <c r="AK168" i="2"/>
  <c r="AK199" i="2"/>
  <c r="AK204" i="2" s="1"/>
  <c r="AK90" i="2"/>
  <c r="AK207" i="2"/>
  <c r="AK131" i="2"/>
  <c r="AK82" i="2"/>
  <c r="AK87" i="2" s="1"/>
  <c r="AK92" i="2"/>
  <c r="AK210" i="2"/>
  <c r="AK254" i="2"/>
  <c r="AK246" i="2"/>
  <c r="AK251" i="2" s="1"/>
  <c r="AK256" i="2"/>
  <c r="AK257" i="2"/>
  <c r="AK245" i="2"/>
  <c r="AK250" i="2" s="1"/>
  <c r="AK95" i="2"/>
  <c r="AK173" i="2"/>
  <c r="AK134" i="2"/>
  <c r="AK259" i="2"/>
  <c r="AK212" i="2"/>
  <c r="AK194" i="2"/>
  <c r="AK183" i="2"/>
  <c r="AK197" i="2" s="1"/>
  <c r="AK202" i="2" s="1"/>
  <c r="AK72" i="2"/>
  <c r="AK236" i="2"/>
  <c r="AK116" i="2"/>
  <c r="AK121" i="2" s="1"/>
  <c r="AK126" i="2" s="1"/>
  <c r="AK230" i="2"/>
  <c r="AK244" i="2" s="1"/>
  <c r="AK249" i="2" s="1"/>
  <c r="AK66" i="2"/>
  <c r="AK80" i="2" s="1"/>
  <c r="AK85" i="2" s="1"/>
  <c r="AK189" i="2"/>
  <c r="AK241" i="2"/>
  <c r="AK155" i="2"/>
  <c r="AK144" i="2"/>
  <c r="AK158" i="2" s="1"/>
  <c r="AK163" i="2" s="1"/>
  <c r="AK222" i="2"/>
  <c r="BB220" i="2"/>
  <c r="BB304" i="2"/>
  <c r="AK27" i="2"/>
  <c r="AK41" i="2" s="1"/>
  <c r="AK57" i="2"/>
  <c r="AK56" i="2"/>
  <c r="AK54" i="2"/>
  <c r="AK51" i="2"/>
  <c r="AK52" i="2"/>
  <c r="AK53" i="2"/>
  <c r="AK38" i="2"/>
  <c r="AK33" i="2"/>
  <c r="AJ46" i="2"/>
  <c r="AJ50" i="2" s="1"/>
  <c r="AK8" i="2"/>
  <c r="AK42" i="2"/>
  <c r="AK47" i="2" s="1"/>
  <c r="AK43" i="2"/>
  <c r="AK48" i="2" s="1"/>
  <c r="BC18" i="2"/>
  <c r="BC17" i="2"/>
  <c r="BC14" i="2"/>
  <c r="BC11" i="2"/>
  <c r="BE7" i="2"/>
  <c r="BD9" i="2"/>
  <c r="AL5" i="2"/>
  <c r="AL183" i="2" s="1"/>
  <c r="AO118" i="2" l="1"/>
  <c r="AO123" i="2" s="1"/>
  <c r="AO79" i="2"/>
  <c r="AO84" i="2" s="1"/>
  <c r="AO196" i="2"/>
  <c r="AO201" i="2" s="1"/>
  <c r="AO280" i="2"/>
  <c r="AO285" i="2" s="1"/>
  <c r="AO40" i="2"/>
  <c r="AO45" i="2" s="1"/>
  <c r="AO243" i="2"/>
  <c r="AO248" i="2" s="1"/>
  <c r="AO157" i="2"/>
  <c r="AO162" i="2" s="1"/>
  <c r="AP12" i="2"/>
  <c r="AO340" i="2"/>
  <c r="AO338" i="2"/>
  <c r="AO342" i="2"/>
  <c r="AO341" i="2"/>
  <c r="AO339" i="2"/>
  <c r="AP15" i="2"/>
  <c r="AN325" i="2"/>
  <c r="AK206" i="2"/>
  <c r="AL105" i="2"/>
  <c r="AK167" i="2"/>
  <c r="AL150" i="2"/>
  <c r="AL230" i="2"/>
  <c r="AL244" i="2" s="1"/>
  <c r="AL249" i="2" s="1"/>
  <c r="AK89" i="2"/>
  <c r="AL155" i="2"/>
  <c r="AK253" i="2"/>
  <c r="AK255" i="2"/>
  <c r="AL77" i="2"/>
  <c r="AL66" i="2"/>
  <c r="AL80" i="2" s="1"/>
  <c r="AL85" i="2" s="1"/>
  <c r="AL111" i="2"/>
  <c r="AL72" i="2"/>
  <c r="AL189" i="2"/>
  <c r="AL116" i="2"/>
  <c r="AL121" i="2" s="1"/>
  <c r="AL126" i="2" s="1"/>
  <c r="AL144" i="2"/>
  <c r="AL241" i="2"/>
  <c r="AJ253" i="2"/>
  <c r="AJ255" i="2"/>
  <c r="AL213" i="2"/>
  <c r="AL159" i="2"/>
  <c r="AL164" i="2" s="1"/>
  <c r="AL119" i="2"/>
  <c r="AL124" i="2" s="1"/>
  <c r="AL198" i="2"/>
  <c r="AL203" i="2" s="1"/>
  <c r="AL174" i="2"/>
  <c r="AL96" i="2"/>
  <c r="AL135" i="2"/>
  <c r="AL81" i="2"/>
  <c r="AL86" i="2" s="1"/>
  <c r="AL91" i="2"/>
  <c r="AL208" i="2"/>
  <c r="AL130" i="2"/>
  <c r="AL129" i="2"/>
  <c r="AL169" i="2"/>
  <c r="AL132" i="2"/>
  <c r="AL160" i="2"/>
  <c r="AL165" i="2" s="1"/>
  <c r="AL210" i="2"/>
  <c r="AL170" i="2"/>
  <c r="AL131" i="2"/>
  <c r="AL207" i="2"/>
  <c r="AL171" i="2"/>
  <c r="AL199" i="2"/>
  <c r="AL204" i="2" s="1"/>
  <c r="AL82" i="2"/>
  <c r="AL87" i="2" s="1"/>
  <c r="AL209" i="2"/>
  <c r="AL93" i="2"/>
  <c r="AL90" i="2"/>
  <c r="AL92" i="2"/>
  <c r="AL168" i="2"/>
  <c r="AL256" i="2"/>
  <c r="AL254" i="2"/>
  <c r="AL246" i="2"/>
  <c r="AL251" i="2" s="1"/>
  <c r="AL257" i="2"/>
  <c r="AL245" i="2"/>
  <c r="AL250" i="2" s="1"/>
  <c r="AL158" i="2"/>
  <c r="AL163" i="2" s="1"/>
  <c r="AL197" i="2"/>
  <c r="AL202" i="2" s="1"/>
  <c r="AL259" i="2"/>
  <c r="AL134" i="2"/>
  <c r="AL95" i="2"/>
  <c r="AL173" i="2"/>
  <c r="AL212" i="2"/>
  <c r="AL236" i="2"/>
  <c r="AL194" i="2"/>
  <c r="AL222" i="2"/>
  <c r="BC304" i="2"/>
  <c r="BC220" i="2"/>
  <c r="AL33" i="2"/>
  <c r="AL57" i="2"/>
  <c r="AL54" i="2"/>
  <c r="AL51" i="2"/>
  <c r="AL56" i="2"/>
  <c r="AL53" i="2"/>
  <c r="AL52" i="2"/>
  <c r="AL38" i="2"/>
  <c r="AL8" i="2"/>
  <c r="AL42" i="2"/>
  <c r="AL47" i="2" s="1"/>
  <c r="AL43" i="2"/>
  <c r="AL48" i="2" s="1"/>
  <c r="AL27" i="2"/>
  <c r="AL41" i="2" s="1"/>
  <c r="AK46" i="2"/>
  <c r="AK50" i="2" s="1"/>
  <c r="BD11" i="2"/>
  <c r="BD14" i="2"/>
  <c r="BD17" i="2"/>
  <c r="BF7" i="2"/>
  <c r="BE9" i="2"/>
  <c r="BD18" i="2"/>
  <c r="AM5" i="2"/>
  <c r="AP157" i="2" l="1"/>
  <c r="AP162" i="2" s="1"/>
  <c r="AP40" i="2"/>
  <c r="AP45" i="2" s="1"/>
  <c r="AP243" i="2"/>
  <c r="AP248" i="2" s="1"/>
  <c r="AP280" i="2"/>
  <c r="AP285" i="2" s="1"/>
  <c r="AP79" i="2"/>
  <c r="AP84" i="2" s="1"/>
  <c r="AP196" i="2"/>
  <c r="AP201" i="2" s="1"/>
  <c r="AP118" i="2"/>
  <c r="AP123" i="2" s="1"/>
  <c r="AQ12" i="2"/>
  <c r="AO325" i="2"/>
  <c r="AP342" i="2"/>
  <c r="AP340" i="2"/>
  <c r="AP338" i="2"/>
  <c r="AP341" i="2"/>
  <c r="AP339" i="2"/>
  <c r="AQ15" i="2"/>
  <c r="AL253" i="2"/>
  <c r="AL167" i="2"/>
  <c r="AL255" i="2"/>
  <c r="AL206" i="2"/>
  <c r="AL89" i="2"/>
  <c r="AM194" i="2"/>
  <c r="AM72" i="2"/>
  <c r="AM150" i="2"/>
  <c r="AM198" i="2"/>
  <c r="AM203" i="2" s="1"/>
  <c r="AM159" i="2"/>
  <c r="AM164" i="2" s="1"/>
  <c r="AM174" i="2"/>
  <c r="AM213" i="2"/>
  <c r="AM135" i="2"/>
  <c r="AM81" i="2"/>
  <c r="AM86" i="2" s="1"/>
  <c r="AM96" i="2"/>
  <c r="AM119" i="2"/>
  <c r="AM124" i="2" s="1"/>
  <c r="AM131" i="2"/>
  <c r="AM132" i="2"/>
  <c r="AM129" i="2"/>
  <c r="AM91" i="2"/>
  <c r="AM169" i="2"/>
  <c r="AM170" i="2"/>
  <c r="AM208" i="2"/>
  <c r="AM210" i="2"/>
  <c r="AM93" i="2"/>
  <c r="AM171" i="2"/>
  <c r="AM199" i="2"/>
  <c r="AM204" i="2" s="1"/>
  <c r="AM130" i="2"/>
  <c r="AM168" i="2"/>
  <c r="AM82" i="2"/>
  <c r="AM87" i="2" s="1"/>
  <c r="AM209" i="2"/>
  <c r="AM207" i="2"/>
  <c r="AM90" i="2"/>
  <c r="AM160" i="2"/>
  <c r="AM165" i="2" s="1"/>
  <c r="AM92" i="2"/>
  <c r="AM246" i="2"/>
  <c r="AM251" i="2" s="1"/>
  <c r="AM255" i="2"/>
  <c r="AM254" i="2"/>
  <c r="AM257" i="2"/>
  <c r="AM256" i="2"/>
  <c r="AM245" i="2"/>
  <c r="AM250" i="2" s="1"/>
  <c r="AM95" i="2"/>
  <c r="AM259" i="2"/>
  <c r="AM173" i="2"/>
  <c r="AM134" i="2"/>
  <c r="AM212" i="2"/>
  <c r="AM189" i="2"/>
  <c r="AM155" i="2"/>
  <c r="AM105" i="2"/>
  <c r="AM241" i="2"/>
  <c r="AM77" i="2"/>
  <c r="AM230" i="2"/>
  <c r="AM244" i="2" s="1"/>
  <c r="AM249" i="2" s="1"/>
  <c r="AM144" i="2"/>
  <c r="AM158" i="2" s="1"/>
  <c r="AM163" i="2" s="1"/>
  <c r="AM236" i="2"/>
  <c r="AM111" i="2"/>
  <c r="AM66" i="2"/>
  <c r="AM80" i="2" s="1"/>
  <c r="AM85" i="2" s="1"/>
  <c r="AM183" i="2"/>
  <c r="AM197" i="2" s="1"/>
  <c r="AM202" i="2" s="1"/>
  <c r="AM222" i="2"/>
  <c r="BD220" i="2"/>
  <c r="BD304" i="2"/>
  <c r="AM27" i="2"/>
  <c r="AM41" i="2" s="1"/>
  <c r="AM46" i="2" s="1"/>
  <c r="AM57" i="2"/>
  <c r="AM56" i="2"/>
  <c r="AM51" i="2"/>
  <c r="AM53" i="2"/>
  <c r="AM52" i="2"/>
  <c r="AM54" i="2"/>
  <c r="AM38" i="2"/>
  <c r="AM33" i="2"/>
  <c r="AL46" i="2"/>
  <c r="AL50" i="2" s="1"/>
  <c r="AM8" i="2"/>
  <c r="AM42" i="2"/>
  <c r="AM47" i="2" s="1"/>
  <c r="AM43" i="2"/>
  <c r="AM48" i="2" s="1"/>
  <c r="BG7" i="2"/>
  <c r="BF9" i="2"/>
  <c r="BE14" i="2"/>
  <c r="BE17" i="2"/>
  <c r="BE11" i="2"/>
  <c r="BE18" i="2"/>
  <c r="AN5" i="2"/>
  <c r="AN105" i="2" s="1"/>
  <c r="AQ243" i="2" l="1"/>
  <c r="AQ248" i="2" s="1"/>
  <c r="AQ40" i="2"/>
  <c r="AQ45" i="2" s="1"/>
  <c r="AQ196" i="2"/>
  <c r="AQ201" i="2" s="1"/>
  <c r="AQ118" i="2"/>
  <c r="AQ123" i="2" s="1"/>
  <c r="AQ280" i="2"/>
  <c r="AQ285" i="2" s="1"/>
  <c r="AQ157" i="2"/>
  <c r="AQ162" i="2" s="1"/>
  <c r="AQ79" i="2"/>
  <c r="AQ84" i="2" s="1"/>
  <c r="AR12" i="2"/>
  <c r="AQ342" i="2"/>
  <c r="AQ340" i="2"/>
  <c r="AQ338" i="2"/>
  <c r="AQ341" i="2"/>
  <c r="AQ339" i="2"/>
  <c r="AR15" i="2"/>
  <c r="AP325" i="2"/>
  <c r="AM167" i="2"/>
  <c r="AM89" i="2"/>
  <c r="AM206" i="2"/>
  <c r="AN150" i="2"/>
  <c r="AN116" i="2"/>
  <c r="AN230" i="2"/>
  <c r="AN244" i="2" s="1"/>
  <c r="AN249" i="2" s="1"/>
  <c r="AM253" i="2"/>
  <c r="AN241" i="2"/>
  <c r="AN144" i="2"/>
  <c r="AN158" i="2" s="1"/>
  <c r="AN163" i="2" s="1"/>
  <c r="AN194" i="2"/>
  <c r="AN155" i="2"/>
  <c r="AN77" i="2"/>
  <c r="AN111" i="2"/>
  <c r="AN174" i="2"/>
  <c r="AN198" i="2"/>
  <c r="AN203" i="2" s="1"/>
  <c r="AN119" i="2"/>
  <c r="AN124" i="2" s="1"/>
  <c r="AN213" i="2"/>
  <c r="AN135" i="2"/>
  <c r="AN81" i="2"/>
  <c r="AN86" i="2" s="1"/>
  <c r="AN96" i="2"/>
  <c r="AN159" i="2"/>
  <c r="AN164" i="2" s="1"/>
  <c r="AN91" i="2"/>
  <c r="AN208" i="2"/>
  <c r="AN131" i="2"/>
  <c r="AN132" i="2"/>
  <c r="AN129" i="2"/>
  <c r="AN130" i="2"/>
  <c r="AN169" i="2"/>
  <c r="AN171" i="2"/>
  <c r="AN168" i="2"/>
  <c r="AN209" i="2"/>
  <c r="AN207" i="2"/>
  <c r="AN170" i="2"/>
  <c r="AN160" i="2"/>
  <c r="AN165" i="2" s="1"/>
  <c r="AN90" i="2"/>
  <c r="AN93" i="2"/>
  <c r="AN210" i="2"/>
  <c r="AN82" i="2"/>
  <c r="AN87" i="2" s="1"/>
  <c r="AN199" i="2"/>
  <c r="AN204" i="2" s="1"/>
  <c r="AN92" i="2"/>
  <c r="AN246" i="2"/>
  <c r="AN251" i="2" s="1"/>
  <c r="AN254" i="2"/>
  <c r="AN255" i="2"/>
  <c r="AN256" i="2"/>
  <c r="AN257" i="2"/>
  <c r="AN245" i="2"/>
  <c r="AN250" i="2" s="1"/>
  <c r="AN134" i="2"/>
  <c r="AN173" i="2"/>
  <c r="AN259" i="2"/>
  <c r="AN95" i="2"/>
  <c r="AN212" i="2"/>
  <c r="AN66" i="2"/>
  <c r="AN80" i="2" s="1"/>
  <c r="AN85" i="2" s="1"/>
  <c r="AN183" i="2"/>
  <c r="AN197" i="2" s="1"/>
  <c r="AN202" i="2" s="1"/>
  <c r="AN72" i="2"/>
  <c r="AN189" i="2"/>
  <c r="AN236" i="2"/>
  <c r="AN222" i="2"/>
  <c r="BE304" i="2"/>
  <c r="BE220" i="2"/>
  <c r="AN27" i="2"/>
  <c r="AN57" i="2"/>
  <c r="AN56" i="2"/>
  <c r="AN53" i="2"/>
  <c r="AN38" i="2"/>
  <c r="AN33" i="2"/>
  <c r="AN8" i="2"/>
  <c r="AN41" i="2"/>
  <c r="AN46" i="2" s="1"/>
  <c r="AN43" i="2"/>
  <c r="AN48" i="2" s="1"/>
  <c r="AN51" i="2" s="1"/>
  <c r="AN42" i="2"/>
  <c r="BF18" i="2"/>
  <c r="AM50" i="2"/>
  <c r="BF11" i="2"/>
  <c r="BF17" i="2"/>
  <c r="BF14" i="2"/>
  <c r="BH7" i="2"/>
  <c r="BG9" i="2"/>
  <c r="AO5" i="2"/>
  <c r="AO189" i="2" s="1"/>
  <c r="D125" i="1"/>
  <c r="AR157" i="2" l="1"/>
  <c r="AR162" i="2" s="1"/>
  <c r="AR280" i="2"/>
  <c r="AR285" i="2" s="1"/>
  <c r="AR243" i="2"/>
  <c r="AR248" i="2" s="1"/>
  <c r="AR79" i="2"/>
  <c r="AR84" i="2" s="1"/>
  <c r="AR196" i="2"/>
  <c r="AR201" i="2" s="1"/>
  <c r="AR118" i="2"/>
  <c r="AR123" i="2" s="1"/>
  <c r="AR40" i="2"/>
  <c r="AR45" i="2" s="1"/>
  <c r="AS12" i="2"/>
  <c r="AR339" i="2"/>
  <c r="AR341" i="2"/>
  <c r="AR342" i="2"/>
  <c r="AR338" i="2"/>
  <c r="AR340" i="2"/>
  <c r="AS15" i="2"/>
  <c r="AQ325" i="2"/>
  <c r="AN206" i="2"/>
  <c r="AN167" i="2"/>
  <c r="AN253" i="2"/>
  <c r="AN89" i="2"/>
  <c r="AO72" i="2"/>
  <c r="AO144" i="2"/>
  <c r="AO158" i="2" s="1"/>
  <c r="AO163" i="2" s="1"/>
  <c r="AO241" i="2"/>
  <c r="AO150" i="2"/>
  <c r="AO77" i="2"/>
  <c r="AO183" i="2"/>
  <c r="AO197" i="2" s="1"/>
  <c r="AO202" i="2" s="1"/>
  <c r="AO174" i="2"/>
  <c r="AO198" i="2"/>
  <c r="AO203" i="2" s="1"/>
  <c r="AO135" i="2"/>
  <c r="AO119" i="2"/>
  <c r="AO124" i="2" s="1"/>
  <c r="AO81" i="2"/>
  <c r="AO86" i="2" s="1"/>
  <c r="AO96" i="2"/>
  <c r="AO159" i="2"/>
  <c r="AO164" i="2" s="1"/>
  <c r="AO213" i="2"/>
  <c r="AO91" i="2"/>
  <c r="AO130" i="2"/>
  <c r="AO208" i="2"/>
  <c r="AO132" i="2"/>
  <c r="AO171" i="2"/>
  <c r="AO168" i="2"/>
  <c r="AO129" i="2"/>
  <c r="AO209" i="2"/>
  <c r="AO207" i="2"/>
  <c r="AO169" i="2"/>
  <c r="AO170" i="2"/>
  <c r="AO90" i="2"/>
  <c r="AO93" i="2"/>
  <c r="AO131" i="2"/>
  <c r="AO160" i="2"/>
  <c r="AO165" i="2" s="1"/>
  <c r="AO210" i="2"/>
  <c r="AO199" i="2"/>
  <c r="AO204" i="2" s="1"/>
  <c r="AO82" i="2"/>
  <c r="AO87" i="2" s="1"/>
  <c r="AO92" i="2"/>
  <c r="AO246" i="2"/>
  <c r="AO251" i="2" s="1"/>
  <c r="AO257" i="2"/>
  <c r="AO256" i="2"/>
  <c r="AO254" i="2"/>
  <c r="AO255" i="2"/>
  <c r="AO245" i="2"/>
  <c r="AO250" i="2" s="1"/>
  <c r="AO212" i="2"/>
  <c r="AO95" i="2"/>
  <c r="AO173" i="2"/>
  <c r="AO259" i="2"/>
  <c r="AO134" i="2"/>
  <c r="AO236" i="2"/>
  <c r="AO194" i="2"/>
  <c r="AO105" i="2"/>
  <c r="AO116" i="2"/>
  <c r="AO230" i="2"/>
  <c r="AO244" i="2" s="1"/>
  <c r="AO249" i="2" s="1"/>
  <c r="AO111" i="2"/>
  <c r="AO155" i="2"/>
  <c r="AO66" i="2"/>
  <c r="AO80" i="2" s="1"/>
  <c r="AO85" i="2" s="1"/>
  <c r="AO222" i="2"/>
  <c r="BF220" i="2"/>
  <c r="BF304" i="2"/>
  <c r="AO27" i="2"/>
  <c r="AO57" i="2"/>
  <c r="AO56" i="2"/>
  <c r="AO54" i="2"/>
  <c r="AO53" i="2"/>
  <c r="AN47" i="2"/>
  <c r="AO38" i="2"/>
  <c r="AO33" i="2"/>
  <c r="AO42" i="2" s="1"/>
  <c r="AO8" i="2"/>
  <c r="AO43" i="2"/>
  <c r="AO48" i="2" s="1"/>
  <c r="AO51" i="2" s="1"/>
  <c r="AO41" i="2"/>
  <c r="AO46" i="2" s="1"/>
  <c r="BG18" i="2"/>
  <c r="BG17" i="2"/>
  <c r="BG11" i="2"/>
  <c r="BG14" i="2"/>
  <c r="BH9" i="2"/>
  <c r="BI7" i="2"/>
  <c r="AP5" i="2"/>
  <c r="AP241" i="2" s="1"/>
  <c r="D65" i="1"/>
  <c r="AR325" i="2" l="1"/>
  <c r="AS196" i="2"/>
  <c r="AS201" i="2" s="1"/>
  <c r="AS157" i="2"/>
  <c r="AS162" i="2" s="1"/>
  <c r="AS243" i="2"/>
  <c r="AS248" i="2" s="1"/>
  <c r="AS118" i="2"/>
  <c r="AS123" i="2" s="1"/>
  <c r="AS280" i="2"/>
  <c r="AS285" i="2" s="1"/>
  <c r="AS79" i="2"/>
  <c r="AS84" i="2" s="1"/>
  <c r="AS40" i="2"/>
  <c r="AS45" i="2" s="1"/>
  <c r="AT12" i="2"/>
  <c r="AS341" i="2"/>
  <c r="AS339" i="2"/>
  <c r="AS338" i="2"/>
  <c r="AS340" i="2"/>
  <c r="AS342" i="2"/>
  <c r="AT15" i="2"/>
  <c r="AO253" i="2"/>
  <c r="AO167" i="2"/>
  <c r="AO89" i="2"/>
  <c r="AO206" i="2"/>
  <c r="AP155" i="2"/>
  <c r="AP194" i="2"/>
  <c r="AP144" i="2"/>
  <c r="AP158" i="2" s="1"/>
  <c r="AP163" i="2" s="1"/>
  <c r="AP105" i="2"/>
  <c r="AP183" i="2"/>
  <c r="AP197" i="2" s="1"/>
  <c r="AP202" i="2" s="1"/>
  <c r="AP72" i="2"/>
  <c r="AP150" i="2"/>
  <c r="AP189" i="2"/>
  <c r="AP213" i="2"/>
  <c r="AP174" i="2"/>
  <c r="AP135" i="2"/>
  <c r="AP96" i="2"/>
  <c r="AP198" i="2"/>
  <c r="AP203" i="2" s="1"/>
  <c r="AP159" i="2"/>
  <c r="AP164" i="2" s="1"/>
  <c r="AP81" i="2"/>
  <c r="AP86" i="2" s="1"/>
  <c r="AP119" i="2"/>
  <c r="AP124" i="2" s="1"/>
  <c r="AP91" i="2"/>
  <c r="AP169" i="2"/>
  <c r="AP130" i="2"/>
  <c r="AP131" i="2"/>
  <c r="AP208" i="2"/>
  <c r="AP160" i="2"/>
  <c r="AP165" i="2" s="1"/>
  <c r="AP170" i="2"/>
  <c r="AP132" i="2"/>
  <c r="AP93" i="2"/>
  <c r="AP129" i="2"/>
  <c r="AP209" i="2"/>
  <c r="AP90" i="2"/>
  <c r="AP171" i="2"/>
  <c r="AP207" i="2"/>
  <c r="AP210" i="2"/>
  <c r="AP199" i="2"/>
  <c r="AP204" i="2" s="1"/>
  <c r="AP168" i="2"/>
  <c r="AP82" i="2"/>
  <c r="AP87" i="2" s="1"/>
  <c r="AP92" i="2"/>
  <c r="AP255" i="2"/>
  <c r="AP257" i="2"/>
  <c r="AP246" i="2"/>
  <c r="AP251" i="2" s="1"/>
  <c r="AP256" i="2"/>
  <c r="AP254" i="2"/>
  <c r="AP245" i="2"/>
  <c r="AP250" i="2" s="1"/>
  <c r="AP212" i="2"/>
  <c r="AP134" i="2"/>
  <c r="AP95" i="2"/>
  <c r="AP259" i="2"/>
  <c r="AP173" i="2"/>
  <c r="AP236" i="2"/>
  <c r="AP230" i="2"/>
  <c r="AP244" i="2" s="1"/>
  <c r="AP249" i="2" s="1"/>
  <c r="AP66" i="2"/>
  <c r="AP80" i="2" s="1"/>
  <c r="AP85" i="2" s="1"/>
  <c r="AP77" i="2"/>
  <c r="AP111" i="2"/>
  <c r="AP222" i="2"/>
  <c r="BG220" i="2"/>
  <c r="BG304" i="2"/>
  <c r="AP57" i="2"/>
  <c r="AP53" i="2"/>
  <c r="AP54" i="2"/>
  <c r="AP56" i="2"/>
  <c r="AN50" i="2"/>
  <c r="AN52" i="2"/>
  <c r="AO47" i="2"/>
  <c r="AO52" i="2" s="1"/>
  <c r="AP8" i="2"/>
  <c r="AP43" i="2"/>
  <c r="AP48" i="2" s="1"/>
  <c r="AP51" i="2" s="1"/>
  <c r="AP38" i="2"/>
  <c r="AP33" i="2"/>
  <c r="AP42" i="2" s="1"/>
  <c r="AP27" i="2"/>
  <c r="AP41" i="2" s="1"/>
  <c r="AP46" i="2" s="1"/>
  <c r="BI9" i="2"/>
  <c r="BJ7" i="2"/>
  <c r="BH18" i="2"/>
  <c r="BH17" i="2"/>
  <c r="BH11" i="2"/>
  <c r="BH14" i="2"/>
  <c r="AQ5" i="2"/>
  <c r="AQ72" i="2" s="1"/>
  <c r="G65" i="1"/>
  <c r="G238" i="1" s="1"/>
  <c r="G241" i="1" s="1"/>
  <c r="AS325" i="2" l="1"/>
  <c r="AT118" i="2"/>
  <c r="AT123" i="2" s="1"/>
  <c r="AT157" i="2"/>
  <c r="AT162" i="2" s="1"/>
  <c r="AT79" i="2"/>
  <c r="AT84" i="2" s="1"/>
  <c r="AT280" i="2"/>
  <c r="AT285" i="2" s="1"/>
  <c r="AT243" i="2"/>
  <c r="AT248" i="2" s="1"/>
  <c r="AT196" i="2"/>
  <c r="AT201" i="2" s="1"/>
  <c r="AT40" i="2"/>
  <c r="AT45" i="2" s="1"/>
  <c r="AU12" i="2"/>
  <c r="AT339" i="2"/>
  <c r="AT341" i="2"/>
  <c r="AT342" i="2"/>
  <c r="AT338" i="2"/>
  <c r="AT340" i="2"/>
  <c r="AU15" i="2"/>
  <c r="AP167" i="2"/>
  <c r="AP253" i="2"/>
  <c r="AP89" i="2"/>
  <c r="AP206" i="2"/>
  <c r="AQ241" i="2"/>
  <c r="AQ144" i="2"/>
  <c r="AQ158" i="2" s="1"/>
  <c r="AQ163" i="2" s="1"/>
  <c r="AQ194" i="2"/>
  <c r="AQ150" i="2"/>
  <c r="AQ183" i="2"/>
  <c r="AQ197" i="2" s="1"/>
  <c r="AQ202" i="2" s="1"/>
  <c r="AQ77" i="2"/>
  <c r="AQ66" i="2"/>
  <c r="AQ80" i="2" s="1"/>
  <c r="AQ85" i="2" s="1"/>
  <c r="AQ189" i="2"/>
  <c r="AQ155" i="2"/>
  <c r="AQ174" i="2"/>
  <c r="AQ213" i="2"/>
  <c r="AQ119" i="2"/>
  <c r="AQ124" i="2" s="1"/>
  <c r="AQ81" i="2"/>
  <c r="AQ86" i="2" s="1"/>
  <c r="AQ96" i="2"/>
  <c r="AQ198" i="2"/>
  <c r="AQ203" i="2" s="1"/>
  <c r="AQ159" i="2"/>
  <c r="AQ164" i="2" s="1"/>
  <c r="AQ135" i="2"/>
  <c r="AQ169" i="2"/>
  <c r="AQ130" i="2"/>
  <c r="AQ91" i="2"/>
  <c r="AQ129" i="2"/>
  <c r="AQ132" i="2"/>
  <c r="AQ208" i="2"/>
  <c r="AQ210" i="2"/>
  <c r="AQ90" i="2"/>
  <c r="AQ131" i="2"/>
  <c r="AQ168" i="2"/>
  <c r="AQ170" i="2"/>
  <c r="AQ171" i="2"/>
  <c r="AQ209" i="2"/>
  <c r="AQ92" i="2"/>
  <c r="AQ207" i="2"/>
  <c r="AQ93" i="2"/>
  <c r="AQ160" i="2"/>
  <c r="AQ165" i="2" s="1"/>
  <c r="AQ82" i="2"/>
  <c r="AQ87" i="2" s="1"/>
  <c r="AQ199" i="2"/>
  <c r="AQ204" i="2" s="1"/>
  <c r="AQ254" i="2"/>
  <c r="AQ256" i="2"/>
  <c r="AQ257" i="2"/>
  <c r="AQ246" i="2"/>
  <c r="AQ251" i="2" s="1"/>
  <c r="AQ255" i="2"/>
  <c r="AQ245" i="2"/>
  <c r="AQ250" i="2" s="1"/>
  <c r="AQ173" i="2"/>
  <c r="AQ95" i="2"/>
  <c r="AQ212" i="2"/>
  <c r="AQ259" i="2"/>
  <c r="AQ134" i="2"/>
  <c r="AQ116" i="2"/>
  <c r="AQ105" i="2"/>
  <c r="AQ236" i="2"/>
  <c r="AQ111" i="2"/>
  <c r="AQ222" i="2"/>
  <c r="BH220" i="2"/>
  <c r="BH304" i="2"/>
  <c r="AO50" i="2"/>
  <c r="AQ33" i="2"/>
  <c r="AQ42" i="2" s="1"/>
  <c r="AQ57" i="2"/>
  <c r="AQ53" i="2"/>
  <c r="AQ56" i="2"/>
  <c r="AP47" i="2"/>
  <c r="AQ27" i="2"/>
  <c r="AQ38" i="2"/>
  <c r="AQ8" i="2"/>
  <c r="AQ41" i="2"/>
  <c r="AQ46" i="2" s="1"/>
  <c r="AQ43" i="2"/>
  <c r="AQ48" i="2" s="1"/>
  <c r="AQ51" i="2" s="1"/>
  <c r="BJ9" i="2"/>
  <c r="BK7" i="2"/>
  <c r="BI18" i="2"/>
  <c r="BI11" i="2"/>
  <c r="BI14" i="2"/>
  <c r="BI17" i="2"/>
  <c r="G288" i="1"/>
  <c r="G220" i="1"/>
  <c r="G190" i="1"/>
  <c r="G255" i="1"/>
  <c r="G125" i="1"/>
  <c r="AR5" i="2"/>
  <c r="AR111" i="2" s="1"/>
  <c r="G67" i="1"/>
  <c r="H65" i="1"/>
  <c r="H238" i="1" s="1"/>
  <c r="H241" i="1" s="1"/>
  <c r="AT325" i="2" l="1"/>
  <c r="AU196" i="2"/>
  <c r="AU201" i="2" s="1"/>
  <c r="AU79" i="2"/>
  <c r="AU84" i="2" s="1"/>
  <c r="AU280" i="2"/>
  <c r="AU285" i="2" s="1"/>
  <c r="AU157" i="2"/>
  <c r="AU162" i="2" s="1"/>
  <c r="AU118" i="2"/>
  <c r="AU123" i="2" s="1"/>
  <c r="AU40" i="2"/>
  <c r="AU45" i="2" s="1"/>
  <c r="AU243" i="2"/>
  <c r="AU248" i="2" s="1"/>
  <c r="AV12" i="2"/>
  <c r="AU338" i="2"/>
  <c r="AU340" i="2"/>
  <c r="AU342" i="2"/>
  <c r="AU341" i="2"/>
  <c r="AU339" i="2"/>
  <c r="AV15" i="2"/>
  <c r="G208" i="1"/>
  <c r="G243" i="1" s="1"/>
  <c r="G207" i="1"/>
  <c r="G226" i="1" s="1"/>
  <c r="G204" i="1"/>
  <c r="G203" i="1"/>
  <c r="G205" i="1" s="1"/>
  <c r="G223" i="1"/>
  <c r="AQ167" i="2"/>
  <c r="AQ206" i="2"/>
  <c r="AR241" i="2"/>
  <c r="AR155" i="2"/>
  <c r="AQ89" i="2"/>
  <c r="AR66" i="2"/>
  <c r="AR80" i="2" s="1"/>
  <c r="AR85" i="2" s="1"/>
  <c r="AR77" i="2"/>
  <c r="AR105" i="2"/>
  <c r="AR72" i="2"/>
  <c r="AR198" i="2"/>
  <c r="AR203" i="2" s="1"/>
  <c r="AR159" i="2"/>
  <c r="AR164" i="2" s="1"/>
  <c r="AR135" i="2"/>
  <c r="AR213" i="2"/>
  <c r="AR81" i="2"/>
  <c r="AR86" i="2" s="1"/>
  <c r="AR174" i="2"/>
  <c r="AR96" i="2"/>
  <c r="AR119" i="2"/>
  <c r="AR124" i="2" s="1"/>
  <c r="AR130" i="2"/>
  <c r="AR169" i="2"/>
  <c r="AR208" i="2"/>
  <c r="AR91" i="2"/>
  <c r="AR170" i="2"/>
  <c r="AR131" i="2"/>
  <c r="AR171" i="2"/>
  <c r="AR132" i="2"/>
  <c r="AR129" i="2"/>
  <c r="AR168" i="2"/>
  <c r="AR209" i="2"/>
  <c r="AR199" i="2"/>
  <c r="AR204" i="2" s="1"/>
  <c r="AR160" i="2"/>
  <c r="AR165" i="2" s="1"/>
  <c r="AR210" i="2"/>
  <c r="AR207" i="2"/>
  <c r="AR93" i="2"/>
  <c r="AR90" i="2"/>
  <c r="AR82" i="2"/>
  <c r="AR87" i="2" s="1"/>
  <c r="AR92" i="2"/>
  <c r="AR246" i="2"/>
  <c r="AR251" i="2" s="1"/>
  <c r="AR255" i="2"/>
  <c r="AR256" i="2"/>
  <c r="AR254" i="2"/>
  <c r="AR257" i="2"/>
  <c r="AR245" i="2"/>
  <c r="AR250" i="2" s="1"/>
  <c r="AR173" i="2"/>
  <c r="AR134" i="2"/>
  <c r="AR95" i="2"/>
  <c r="AR259" i="2"/>
  <c r="AR212" i="2"/>
  <c r="AR144" i="2"/>
  <c r="AR158" i="2" s="1"/>
  <c r="AR163" i="2" s="1"/>
  <c r="AR236" i="2"/>
  <c r="AR194" i="2"/>
  <c r="AR183" i="2"/>
  <c r="AR197" i="2" s="1"/>
  <c r="AR202" i="2" s="1"/>
  <c r="AR116" i="2"/>
  <c r="AR230" i="2"/>
  <c r="AR150" i="2"/>
  <c r="AR189" i="2"/>
  <c r="AP50" i="2"/>
  <c r="AP52" i="2"/>
  <c r="AR222" i="2"/>
  <c r="BI304" i="2"/>
  <c r="BI220" i="2"/>
  <c r="AQ52" i="2"/>
  <c r="AR57" i="2"/>
  <c r="AR53" i="2"/>
  <c r="AR54" i="2"/>
  <c r="AR56" i="2"/>
  <c r="AR8" i="2"/>
  <c r="AR33" i="2"/>
  <c r="AR42" i="2" s="1"/>
  <c r="AR38" i="2"/>
  <c r="AR43" i="2" s="1"/>
  <c r="AR48" i="2" s="1"/>
  <c r="AR27" i="2"/>
  <c r="AR41" i="2" s="1"/>
  <c r="AR46" i="2" s="1"/>
  <c r="AQ47" i="2"/>
  <c r="AQ50" i="2" s="1"/>
  <c r="BK9" i="2"/>
  <c r="BL7" i="2"/>
  <c r="BJ18" i="2"/>
  <c r="BJ17" i="2"/>
  <c r="BJ11" i="2"/>
  <c r="BJ14" i="2"/>
  <c r="H288" i="1"/>
  <c r="H220" i="1"/>
  <c r="H190" i="1"/>
  <c r="H255" i="1"/>
  <c r="G121" i="1"/>
  <c r="G122" i="1" s="1"/>
  <c r="G161" i="1" s="1"/>
  <c r="G224" i="1" s="1"/>
  <c r="H125" i="1"/>
  <c r="AS5" i="2"/>
  <c r="AS183" i="2" s="1"/>
  <c r="H67" i="1"/>
  <c r="I65" i="1"/>
  <c r="I238" i="1" s="1"/>
  <c r="I241" i="1" s="1"/>
  <c r="AU325" i="2" l="1"/>
  <c r="AV79" i="2"/>
  <c r="AV84" i="2" s="1"/>
  <c r="AV196" i="2"/>
  <c r="AV201" i="2" s="1"/>
  <c r="AV40" i="2"/>
  <c r="AV45" i="2" s="1"/>
  <c r="AV280" i="2"/>
  <c r="AV285" i="2" s="1"/>
  <c r="AV243" i="2"/>
  <c r="AV248" i="2" s="1"/>
  <c r="AV118" i="2"/>
  <c r="AV123" i="2" s="1"/>
  <c r="AV157" i="2"/>
  <c r="AV162" i="2" s="1"/>
  <c r="AW12" i="2"/>
  <c r="AV339" i="2"/>
  <c r="AV342" i="2"/>
  <c r="AV340" i="2"/>
  <c r="AV341" i="2"/>
  <c r="AV338" i="2"/>
  <c r="AW15" i="2"/>
  <c r="H204" i="1"/>
  <c r="H203" i="1"/>
  <c r="H205" i="1" s="1"/>
  <c r="H208" i="1"/>
  <c r="H243" i="1" s="1"/>
  <c r="H207" i="1"/>
  <c r="H226" i="1" s="1"/>
  <c r="G168" i="1"/>
  <c r="AR89" i="2"/>
  <c r="AR167" i="2"/>
  <c r="AR206" i="2"/>
  <c r="AS236" i="2"/>
  <c r="AS194" i="2"/>
  <c r="AS72" i="2"/>
  <c r="AS241" i="2"/>
  <c r="AS230" i="2"/>
  <c r="AS144" i="2"/>
  <c r="AS158" i="2" s="1"/>
  <c r="AS163" i="2" s="1"/>
  <c r="AS189" i="2"/>
  <c r="AS77" i="2"/>
  <c r="AS66" i="2"/>
  <c r="AS80" i="2" s="1"/>
  <c r="AS85" i="2" s="1"/>
  <c r="AS213" i="2"/>
  <c r="AS198" i="2"/>
  <c r="AS203" i="2" s="1"/>
  <c r="AS159" i="2"/>
  <c r="AS164" i="2" s="1"/>
  <c r="AS135" i="2"/>
  <c r="AS96" i="2"/>
  <c r="AS174" i="2"/>
  <c r="AS119" i="2"/>
  <c r="AS124" i="2" s="1"/>
  <c r="AS81" i="2"/>
  <c r="AS86" i="2" s="1"/>
  <c r="AS130" i="2"/>
  <c r="AS170" i="2"/>
  <c r="AS131" i="2"/>
  <c r="AS160" i="2"/>
  <c r="AS165" i="2" s="1"/>
  <c r="AS208" i="2"/>
  <c r="AS129" i="2"/>
  <c r="AS132" i="2"/>
  <c r="AS171" i="2"/>
  <c r="AS168" i="2"/>
  <c r="AS210" i="2"/>
  <c r="AS199" i="2"/>
  <c r="AS204" i="2" s="1"/>
  <c r="AS91" i="2"/>
  <c r="AS92" i="2"/>
  <c r="AS209" i="2"/>
  <c r="AS207" i="2"/>
  <c r="AS90" i="2"/>
  <c r="AS93" i="2"/>
  <c r="AS169" i="2"/>
  <c r="AS82" i="2"/>
  <c r="AS87" i="2" s="1"/>
  <c r="AS255" i="2"/>
  <c r="AS246" i="2"/>
  <c r="AS251" i="2" s="1"/>
  <c r="AS254" i="2"/>
  <c r="AS256" i="2"/>
  <c r="AS257" i="2"/>
  <c r="AS245" i="2"/>
  <c r="AS250" i="2" s="1"/>
  <c r="AS197" i="2"/>
  <c r="AS202" i="2" s="1"/>
  <c r="AS212" i="2"/>
  <c r="AS173" i="2"/>
  <c r="AS134" i="2"/>
  <c r="AS259" i="2"/>
  <c r="AS95" i="2"/>
  <c r="AS150" i="2"/>
  <c r="AS105" i="2"/>
  <c r="AS155" i="2"/>
  <c r="AS111" i="2"/>
  <c r="AS222" i="2"/>
  <c r="AR51" i="2"/>
  <c r="AR52" i="2"/>
  <c r="BJ304" i="2"/>
  <c r="BJ220" i="2"/>
  <c r="AS27" i="2"/>
  <c r="AS57" i="2"/>
  <c r="AS53" i="2"/>
  <c r="AS54" i="2"/>
  <c r="AS56" i="2"/>
  <c r="AS52" i="2"/>
  <c r="BK18" i="2"/>
  <c r="AS38" i="2"/>
  <c r="AS43" i="2" s="1"/>
  <c r="AS48" i="2" s="1"/>
  <c r="AS51" i="2" s="1"/>
  <c r="AS33" i="2"/>
  <c r="AS42" i="2" s="1"/>
  <c r="AR47" i="2"/>
  <c r="AR50" i="2" s="1"/>
  <c r="AS8" i="2"/>
  <c r="AS41" i="2"/>
  <c r="AS46" i="2" s="1"/>
  <c r="BL9" i="2"/>
  <c r="BM7" i="2"/>
  <c r="BK17" i="2"/>
  <c r="BK11" i="2"/>
  <c r="BK14" i="2"/>
  <c r="I288" i="1"/>
  <c r="I220" i="1"/>
  <c r="I190" i="1"/>
  <c r="I255" i="1"/>
  <c r="H121" i="1"/>
  <c r="H122" i="1" s="1"/>
  <c r="H161" i="1" s="1"/>
  <c r="H224" i="1" s="1"/>
  <c r="I125" i="1"/>
  <c r="AT5" i="2"/>
  <c r="AT116" i="2" s="1"/>
  <c r="I67" i="1"/>
  <c r="J65" i="1"/>
  <c r="AW196" i="2" l="1"/>
  <c r="AW201" i="2" s="1"/>
  <c r="AW157" i="2"/>
  <c r="AW162" i="2" s="1"/>
  <c r="AW118" i="2"/>
  <c r="AW123" i="2" s="1"/>
  <c r="AW280" i="2"/>
  <c r="AW285" i="2" s="1"/>
  <c r="AW243" i="2"/>
  <c r="AW248" i="2" s="1"/>
  <c r="AW79" i="2"/>
  <c r="AW84" i="2" s="1"/>
  <c r="AW40" i="2"/>
  <c r="AW45" i="2" s="1"/>
  <c r="AX12" i="2"/>
  <c r="AW340" i="2"/>
  <c r="AW339" i="2"/>
  <c r="AW338" i="2"/>
  <c r="AW342" i="2"/>
  <c r="AW341" i="2"/>
  <c r="AX15" i="2"/>
  <c r="AV325" i="2"/>
  <c r="I204" i="1"/>
  <c r="I203" i="1"/>
  <c r="I205" i="1" s="1"/>
  <c r="I208" i="1"/>
  <c r="I243" i="1" s="1"/>
  <c r="I207" i="1"/>
  <c r="I226" i="1" s="1"/>
  <c r="H168" i="1"/>
  <c r="H159" i="1"/>
  <c r="H223" i="1" s="1"/>
  <c r="G170" i="1"/>
  <c r="AS167" i="2"/>
  <c r="AS206" i="2"/>
  <c r="AS89" i="2"/>
  <c r="AT72" i="2"/>
  <c r="AT155" i="2"/>
  <c r="AT150" i="2"/>
  <c r="AT111" i="2"/>
  <c r="AT189" i="2"/>
  <c r="AT236" i="2"/>
  <c r="AT241" i="2"/>
  <c r="AT66" i="2"/>
  <c r="AT80" i="2" s="1"/>
  <c r="AT85" i="2" s="1"/>
  <c r="AT144" i="2"/>
  <c r="AT158" i="2" s="1"/>
  <c r="AT163" i="2" s="1"/>
  <c r="AT77" i="2"/>
  <c r="AT183" i="2"/>
  <c r="AT197" i="2" s="1"/>
  <c r="AT202" i="2" s="1"/>
  <c r="AT119" i="2"/>
  <c r="AT124" i="2" s="1"/>
  <c r="AT213" i="2"/>
  <c r="AT159" i="2"/>
  <c r="AT164" i="2" s="1"/>
  <c r="AT135" i="2"/>
  <c r="AT96" i="2"/>
  <c r="AT198" i="2"/>
  <c r="AT203" i="2" s="1"/>
  <c r="AT174" i="2"/>
  <c r="AT81" i="2"/>
  <c r="AT86" i="2" s="1"/>
  <c r="AT130" i="2"/>
  <c r="AT169" i="2"/>
  <c r="AT91" i="2"/>
  <c r="AT208" i="2"/>
  <c r="AT168" i="2"/>
  <c r="AT170" i="2"/>
  <c r="AT131" i="2"/>
  <c r="AT129" i="2"/>
  <c r="AT160" i="2"/>
  <c r="AT165" i="2" s="1"/>
  <c r="AT82" i="2"/>
  <c r="AT87" i="2" s="1"/>
  <c r="AT207" i="2"/>
  <c r="AT171" i="2"/>
  <c r="AT132" i="2"/>
  <c r="AT90" i="2"/>
  <c r="AT93" i="2"/>
  <c r="AT210" i="2"/>
  <c r="AT209" i="2"/>
  <c r="AT199" i="2"/>
  <c r="AT204" i="2" s="1"/>
  <c r="AT92" i="2"/>
  <c r="AT254" i="2"/>
  <c r="AT255" i="2"/>
  <c r="AT246" i="2"/>
  <c r="AT251" i="2" s="1"/>
  <c r="AT256" i="2"/>
  <c r="AT257" i="2"/>
  <c r="AT245" i="2"/>
  <c r="AT250" i="2" s="1"/>
  <c r="AT212" i="2"/>
  <c r="AT173" i="2"/>
  <c r="AT134" i="2"/>
  <c r="AT95" i="2"/>
  <c r="AT259" i="2"/>
  <c r="AT105" i="2"/>
  <c r="AT194" i="2"/>
  <c r="AT230" i="2"/>
  <c r="AT222" i="2"/>
  <c r="BK304" i="2"/>
  <c r="BK220" i="2"/>
  <c r="AT27" i="2"/>
  <c r="AT57" i="2"/>
  <c r="AT56" i="2"/>
  <c r="AT53" i="2"/>
  <c r="BL18" i="2"/>
  <c r="AT8" i="2"/>
  <c r="AT41" i="2"/>
  <c r="AT46" i="2" s="1"/>
  <c r="AT38" i="2"/>
  <c r="AT43" i="2" s="1"/>
  <c r="AT33" i="2"/>
  <c r="AT42" i="2" s="1"/>
  <c r="AS47" i="2"/>
  <c r="AS50" i="2" s="1"/>
  <c r="BM9" i="2"/>
  <c r="BN7" i="2"/>
  <c r="BL11" i="2"/>
  <c r="BL14" i="2"/>
  <c r="BL17" i="2"/>
  <c r="J220" i="1"/>
  <c r="J238" i="1"/>
  <c r="J241" i="1" s="1"/>
  <c r="J255" i="1"/>
  <c r="J288" i="1"/>
  <c r="I121" i="1"/>
  <c r="I122" i="1" s="1"/>
  <c r="I161" i="1" s="1"/>
  <c r="I224" i="1" s="1"/>
  <c r="J190" i="1"/>
  <c r="E39" i="1" s="1"/>
  <c r="J125" i="1"/>
  <c r="AU5" i="2"/>
  <c r="AU144" i="2" s="1"/>
  <c r="J67" i="1"/>
  <c r="K65" i="1"/>
  <c r="AW325" i="2" l="1"/>
  <c r="AX196" i="2"/>
  <c r="AX201" i="2" s="1"/>
  <c r="AX280" i="2"/>
  <c r="AX285" i="2" s="1"/>
  <c r="AX243" i="2"/>
  <c r="AX248" i="2" s="1"/>
  <c r="AX40" i="2"/>
  <c r="AX45" i="2" s="1"/>
  <c r="AX157" i="2"/>
  <c r="AX162" i="2" s="1"/>
  <c r="AX79" i="2"/>
  <c r="AX84" i="2" s="1"/>
  <c r="AX118" i="2"/>
  <c r="AX123" i="2" s="1"/>
  <c r="AY12" i="2"/>
  <c r="AX341" i="2"/>
  <c r="AX339" i="2"/>
  <c r="AX342" i="2"/>
  <c r="AX338" i="2"/>
  <c r="AX340" i="2"/>
  <c r="AY15" i="2"/>
  <c r="I159" i="1"/>
  <c r="I223" i="1" s="1"/>
  <c r="H170" i="1"/>
  <c r="I168" i="1"/>
  <c r="AT206" i="2"/>
  <c r="AT167" i="2"/>
  <c r="AT89" i="2"/>
  <c r="AU66" i="2"/>
  <c r="AU72" i="2"/>
  <c r="AU194" i="2"/>
  <c r="AU189" i="2"/>
  <c r="AU236" i="2"/>
  <c r="AU116" i="2"/>
  <c r="AU183" i="2"/>
  <c r="AU197" i="2" s="1"/>
  <c r="AU202" i="2" s="1"/>
  <c r="AU241" i="2"/>
  <c r="AU77" i="2"/>
  <c r="AU105" i="2"/>
  <c r="AU155" i="2"/>
  <c r="AU230" i="2"/>
  <c r="AU150" i="2"/>
  <c r="AU198" i="2"/>
  <c r="AU203" i="2" s="1"/>
  <c r="AU159" i="2"/>
  <c r="AU164" i="2" s="1"/>
  <c r="AU213" i="2"/>
  <c r="AU174" i="2"/>
  <c r="AU119" i="2"/>
  <c r="AU124" i="2" s="1"/>
  <c r="AU81" i="2"/>
  <c r="AU86" i="2" s="1"/>
  <c r="AU96" i="2"/>
  <c r="AU135" i="2"/>
  <c r="AU91" i="2"/>
  <c r="AU130" i="2"/>
  <c r="AU169" i="2"/>
  <c r="AU129" i="2"/>
  <c r="AU168" i="2"/>
  <c r="AU131" i="2"/>
  <c r="AU209" i="2"/>
  <c r="AU208" i="2"/>
  <c r="AU132" i="2"/>
  <c r="AU160" i="2"/>
  <c r="AU165" i="2" s="1"/>
  <c r="AU90" i="2"/>
  <c r="AU92" i="2"/>
  <c r="AU207" i="2"/>
  <c r="AU210" i="2"/>
  <c r="AU171" i="2"/>
  <c r="AU170" i="2"/>
  <c r="AU93" i="2"/>
  <c r="AU82" i="2"/>
  <c r="AU87" i="2" s="1"/>
  <c r="AU199" i="2"/>
  <c r="AU204" i="2" s="1"/>
  <c r="AU256" i="2"/>
  <c r="AU254" i="2"/>
  <c r="AU255" i="2"/>
  <c r="AU246" i="2"/>
  <c r="AU251" i="2" s="1"/>
  <c r="AU257" i="2"/>
  <c r="AU245" i="2"/>
  <c r="AU250" i="2" s="1"/>
  <c r="AU158" i="2"/>
  <c r="AU163" i="2" s="1"/>
  <c r="AU80" i="2"/>
  <c r="AU85" i="2" s="1"/>
  <c r="AU95" i="2"/>
  <c r="AU212" i="2"/>
  <c r="AU173" i="2"/>
  <c r="AU259" i="2"/>
  <c r="AU134" i="2"/>
  <c r="AU111" i="2"/>
  <c r="AU222" i="2"/>
  <c r="BL220" i="2"/>
  <c r="BL304" i="2"/>
  <c r="AU27" i="2"/>
  <c r="AU57" i="2"/>
  <c r="AU53" i="2"/>
  <c r="AU56" i="2"/>
  <c r="AU54" i="2"/>
  <c r="AU33" i="2"/>
  <c r="AU42" i="2" s="1"/>
  <c r="AU38" i="2"/>
  <c r="AU43" i="2" s="1"/>
  <c r="AT48" i="2"/>
  <c r="AT47" i="2"/>
  <c r="AU8" i="2"/>
  <c r="AU41" i="2"/>
  <c r="AU46" i="2" s="1"/>
  <c r="BN9" i="2"/>
  <c r="BO7" i="2"/>
  <c r="BM18" i="2"/>
  <c r="BM14" i="2"/>
  <c r="BM11" i="2"/>
  <c r="BM17" i="2"/>
  <c r="J121" i="1"/>
  <c r="J122" i="1" s="1"/>
  <c r="J161" i="1" s="1"/>
  <c r="J224" i="1" s="1"/>
  <c r="K125" i="1"/>
  <c r="K121" i="1" s="1"/>
  <c r="AV5" i="2"/>
  <c r="AV144" i="2" s="1"/>
  <c r="K67" i="1"/>
  <c r="AY79" i="2" l="1"/>
  <c r="AY84" i="2" s="1"/>
  <c r="AY40" i="2"/>
  <c r="AY45" i="2" s="1"/>
  <c r="AY118" i="2"/>
  <c r="AY123" i="2" s="1"/>
  <c r="AY280" i="2"/>
  <c r="AY285" i="2" s="1"/>
  <c r="AY243" i="2"/>
  <c r="AY248" i="2" s="1"/>
  <c r="AY196" i="2"/>
  <c r="AY201" i="2" s="1"/>
  <c r="AY157" i="2"/>
  <c r="AY162" i="2" s="1"/>
  <c r="AZ12" i="2"/>
  <c r="AX325" i="2"/>
  <c r="AY341" i="2"/>
  <c r="AY340" i="2"/>
  <c r="AY342" i="2"/>
  <c r="AY339" i="2"/>
  <c r="AY338" i="2"/>
  <c r="AZ15" i="2"/>
  <c r="J159" i="1"/>
  <c r="J223" i="1" s="1"/>
  <c r="J168" i="1"/>
  <c r="J170" i="1" s="1"/>
  <c r="I170" i="1"/>
  <c r="AU89" i="2"/>
  <c r="AU206" i="2"/>
  <c r="AU167" i="2"/>
  <c r="AV150" i="2"/>
  <c r="AV236" i="2"/>
  <c r="AV66" i="2"/>
  <c r="AV80" i="2" s="1"/>
  <c r="AV85" i="2" s="1"/>
  <c r="AV183" i="2"/>
  <c r="AV194" i="2"/>
  <c r="AV77" i="2"/>
  <c r="AV72" i="2"/>
  <c r="AV189" i="2"/>
  <c r="AV116" i="2"/>
  <c r="AV174" i="2"/>
  <c r="AV213" i="2"/>
  <c r="AV197" i="2"/>
  <c r="AV202" i="2" s="1"/>
  <c r="AV159" i="2"/>
  <c r="AV164" i="2" s="1"/>
  <c r="AV119" i="2"/>
  <c r="AV124" i="2" s="1"/>
  <c r="AV81" i="2"/>
  <c r="AV86" i="2" s="1"/>
  <c r="AV96" i="2"/>
  <c r="AV135" i="2"/>
  <c r="AV130" i="2"/>
  <c r="AV91" i="2"/>
  <c r="AV169" i="2"/>
  <c r="AV131" i="2"/>
  <c r="AV129" i="2"/>
  <c r="AV132" i="2"/>
  <c r="AV171" i="2"/>
  <c r="AV92" i="2"/>
  <c r="AV168" i="2"/>
  <c r="AV170" i="2"/>
  <c r="AV93" i="2"/>
  <c r="AV90" i="2"/>
  <c r="AV82" i="2"/>
  <c r="AV87" i="2" s="1"/>
  <c r="AV160" i="2"/>
  <c r="AV165" i="2" s="1"/>
  <c r="AV246" i="2"/>
  <c r="AV251" i="2" s="1"/>
  <c r="AV254" i="2"/>
  <c r="AV257" i="2"/>
  <c r="AV256" i="2"/>
  <c r="AV255" i="2"/>
  <c r="AV245" i="2"/>
  <c r="AV250" i="2" s="1"/>
  <c r="AV158" i="2"/>
  <c r="AV163" i="2" s="1"/>
  <c r="AV209" i="2"/>
  <c r="AV199" i="2"/>
  <c r="AV204" i="2" s="1"/>
  <c r="AV207" i="2" s="1"/>
  <c r="AV134" i="2"/>
  <c r="AV198" i="2"/>
  <c r="AV203" i="2" s="1"/>
  <c r="AV208" i="2" s="1"/>
  <c r="AV259" i="2"/>
  <c r="AV212" i="2"/>
  <c r="AV173" i="2"/>
  <c r="AV95" i="2"/>
  <c r="AV241" i="2"/>
  <c r="AV155" i="2"/>
  <c r="AV105" i="2"/>
  <c r="AT52" i="2"/>
  <c r="AT51" i="2"/>
  <c r="AV222" i="2"/>
  <c r="BM304" i="2"/>
  <c r="BM220" i="2"/>
  <c r="AT50" i="2"/>
  <c r="AV57" i="2"/>
  <c r="AV53" i="2"/>
  <c r="AV54" i="2"/>
  <c r="AV56" i="2"/>
  <c r="AV8" i="2"/>
  <c r="AV38" i="2"/>
  <c r="AV43" i="2" s="1"/>
  <c r="AV27" i="2"/>
  <c r="AV41" i="2" s="1"/>
  <c r="AV46" i="2" s="1"/>
  <c r="AU47" i="2"/>
  <c r="AV33" i="2"/>
  <c r="AV42" i="2" s="1"/>
  <c r="AU48" i="2"/>
  <c r="BO9" i="2"/>
  <c r="BP7" i="2"/>
  <c r="BN17" i="2"/>
  <c r="BN18" i="2" s="1"/>
  <c r="BN11" i="2"/>
  <c r="BN14" i="2"/>
  <c r="K122" i="1"/>
  <c r="AW5" i="2"/>
  <c r="AW183" i="2" s="1"/>
  <c r="AZ79" i="2" l="1"/>
  <c r="AZ84" i="2" s="1"/>
  <c r="AZ243" i="2"/>
  <c r="AZ248" i="2" s="1"/>
  <c r="AZ40" i="2"/>
  <c r="AZ45" i="2" s="1"/>
  <c r="AZ280" i="2"/>
  <c r="AZ285" i="2" s="1"/>
  <c r="AZ118" i="2"/>
  <c r="AZ123" i="2" s="1"/>
  <c r="AZ196" i="2"/>
  <c r="AZ201" i="2" s="1"/>
  <c r="AZ157" i="2"/>
  <c r="AZ162" i="2" s="1"/>
  <c r="BA12" i="2"/>
  <c r="AZ342" i="2"/>
  <c r="AZ340" i="2"/>
  <c r="AZ341" i="2"/>
  <c r="AZ339" i="2"/>
  <c r="AZ338" i="2"/>
  <c r="BA15" i="2"/>
  <c r="AY325" i="2"/>
  <c r="AV89" i="2"/>
  <c r="AV206" i="2"/>
  <c r="AV167" i="2"/>
  <c r="AW241" i="2"/>
  <c r="AW116" i="2"/>
  <c r="AW150" i="2"/>
  <c r="AW194" i="2"/>
  <c r="AW77" i="2"/>
  <c r="AW105" i="2"/>
  <c r="AW174" i="2"/>
  <c r="AW213" i="2"/>
  <c r="AW197" i="2"/>
  <c r="AW202" i="2" s="1"/>
  <c r="AW159" i="2"/>
  <c r="AW164" i="2" s="1"/>
  <c r="AW135" i="2"/>
  <c r="AW81" i="2"/>
  <c r="AW86" i="2" s="1"/>
  <c r="AW96" i="2"/>
  <c r="AW119" i="2"/>
  <c r="AW124" i="2" s="1"/>
  <c r="AW91" i="2"/>
  <c r="AW132" i="2"/>
  <c r="AW169" i="2"/>
  <c r="AW130" i="2"/>
  <c r="AW160" i="2"/>
  <c r="AW165" i="2" s="1"/>
  <c r="AW93" i="2"/>
  <c r="AW82" i="2"/>
  <c r="AW87" i="2" s="1"/>
  <c r="AW209" i="2"/>
  <c r="AW168" i="2"/>
  <c r="AW129" i="2"/>
  <c r="AW170" i="2"/>
  <c r="AW171" i="2"/>
  <c r="AW90" i="2"/>
  <c r="AW131" i="2"/>
  <c r="AW92" i="2"/>
  <c r="AW210" i="2"/>
  <c r="AW257" i="2"/>
  <c r="AW256" i="2"/>
  <c r="AW246" i="2"/>
  <c r="AW251" i="2" s="1"/>
  <c r="AW254" i="2"/>
  <c r="AW255" i="2"/>
  <c r="AW245" i="2"/>
  <c r="AW250" i="2" s="1"/>
  <c r="AW199" i="2"/>
  <c r="AW204" i="2" s="1"/>
  <c r="AW207" i="2" s="1"/>
  <c r="AW259" i="2"/>
  <c r="AW95" i="2"/>
  <c r="AW212" i="2"/>
  <c r="AW173" i="2"/>
  <c r="AW134" i="2"/>
  <c r="AW111" i="2"/>
  <c r="AW189" i="2"/>
  <c r="AW198" i="2" s="1"/>
  <c r="AW203" i="2" s="1"/>
  <c r="AW236" i="2"/>
  <c r="AW230" i="2"/>
  <c r="AW155" i="2"/>
  <c r="AW66" i="2"/>
  <c r="AW80" i="2" s="1"/>
  <c r="AW85" i="2" s="1"/>
  <c r="AW72" i="2"/>
  <c r="AW144" i="2"/>
  <c r="AW158" i="2" s="1"/>
  <c r="AW163" i="2" s="1"/>
  <c r="AU52" i="2"/>
  <c r="AU51" i="2"/>
  <c r="AW222" i="2"/>
  <c r="BN220" i="2"/>
  <c r="BN304" i="2"/>
  <c r="AW57" i="2"/>
  <c r="AW51" i="2"/>
  <c r="AW53" i="2"/>
  <c r="AW56" i="2"/>
  <c r="AU50" i="2"/>
  <c r="AV47" i="2"/>
  <c r="AW8" i="2"/>
  <c r="AW38" i="2"/>
  <c r="AW43" i="2" s="1"/>
  <c r="AW33" i="2"/>
  <c r="AW42" i="2" s="1"/>
  <c r="AW27" i="2"/>
  <c r="AW41" i="2" s="1"/>
  <c r="AW46" i="2" s="1"/>
  <c r="AV48" i="2"/>
  <c r="AV51" i="2" s="1"/>
  <c r="BO18" i="2"/>
  <c r="BQ7" i="2"/>
  <c r="BP9" i="2"/>
  <c r="BO17" i="2"/>
  <c r="BO11" i="2"/>
  <c r="BO14" i="2"/>
  <c r="AX5" i="2"/>
  <c r="B3" i="2"/>
  <c r="BA196" i="2" l="1"/>
  <c r="BA201" i="2" s="1"/>
  <c r="BA118" i="2"/>
  <c r="BA123" i="2" s="1"/>
  <c r="BA157" i="2"/>
  <c r="BA162" i="2" s="1"/>
  <c r="BA40" i="2"/>
  <c r="BA45" i="2" s="1"/>
  <c r="BA79" i="2"/>
  <c r="BA84" i="2" s="1"/>
  <c r="BA280" i="2"/>
  <c r="BA285" i="2" s="1"/>
  <c r="BA243" i="2"/>
  <c r="BA248" i="2" s="1"/>
  <c r="BB12" i="2"/>
  <c r="BA340" i="2"/>
  <c r="BA338" i="2"/>
  <c r="BA339" i="2"/>
  <c r="BA342" i="2"/>
  <c r="BA341" i="2"/>
  <c r="BB15" i="2"/>
  <c r="AZ325" i="2"/>
  <c r="AW167" i="2"/>
  <c r="AW89" i="2"/>
  <c r="AW206" i="2"/>
  <c r="AW208" i="2"/>
  <c r="AX213" i="2"/>
  <c r="AX159" i="2"/>
  <c r="AX164" i="2" s="1"/>
  <c r="AX135" i="2"/>
  <c r="AX174" i="2"/>
  <c r="AX119" i="2"/>
  <c r="AX124" i="2" s="1"/>
  <c r="AX197" i="2"/>
  <c r="AX202" i="2" s="1"/>
  <c r="AX96" i="2"/>
  <c r="AX81" i="2"/>
  <c r="AX86" i="2" s="1"/>
  <c r="AX130" i="2"/>
  <c r="AX91" i="2"/>
  <c r="AX129" i="2"/>
  <c r="AX132" i="2"/>
  <c r="AX169" i="2"/>
  <c r="AX131" i="2"/>
  <c r="AX170" i="2"/>
  <c r="AX92" i="2"/>
  <c r="AX171" i="2"/>
  <c r="AX210" i="2"/>
  <c r="AX168" i="2"/>
  <c r="AX209" i="2"/>
  <c r="AX93" i="2"/>
  <c r="AX82" i="2"/>
  <c r="AX87" i="2" s="1"/>
  <c r="AX90" i="2"/>
  <c r="AX160" i="2"/>
  <c r="AX165" i="2" s="1"/>
  <c r="AX257" i="2"/>
  <c r="AX254" i="2"/>
  <c r="AX246" i="2"/>
  <c r="AX251" i="2" s="1"/>
  <c r="AX255" i="2"/>
  <c r="AX256" i="2"/>
  <c r="AX245" i="2"/>
  <c r="AX250" i="2" s="1"/>
  <c r="AX95" i="2"/>
  <c r="AX259" i="2"/>
  <c r="AX134" i="2"/>
  <c r="AX199" i="2"/>
  <c r="AX204" i="2" s="1"/>
  <c r="AX207" i="2" s="1"/>
  <c r="AX173" i="2"/>
  <c r="AX212" i="2"/>
  <c r="AX208" i="2"/>
  <c r="AX241" i="2"/>
  <c r="AX183" i="2"/>
  <c r="AX194" i="2"/>
  <c r="AX144" i="2"/>
  <c r="AX158" i="2" s="1"/>
  <c r="AX163" i="2" s="1"/>
  <c r="AX105" i="2"/>
  <c r="AX155" i="2"/>
  <c r="AX77" i="2"/>
  <c r="AX72" i="2"/>
  <c r="AX66" i="2"/>
  <c r="AX80" i="2" s="1"/>
  <c r="AX85" i="2" s="1"/>
  <c r="AX89" i="2" s="1"/>
  <c r="AX189" i="2"/>
  <c r="AX198" i="2" s="1"/>
  <c r="AX203" i="2" s="1"/>
  <c r="AX111" i="2"/>
  <c r="AX116" i="2"/>
  <c r="AX230" i="2"/>
  <c r="AX150" i="2"/>
  <c r="AX236" i="2"/>
  <c r="AX222" i="2"/>
  <c r="BO304" i="2"/>
  <c r="BO220" i="2"/>
  <c r="AX57" i="2"/>
  <c r="AX56" i="2"/>
  <c r="AX54" i="2"/>
  <c r="AX51" i="2"/>
  <c r="AX53" i="2"/>
  <c r="AV50" i="2"/>
  <c r="AV52" i="2"/>
  <c r="BP18" i="2"/>
  <c r="AW47" i="2"/>
  <c r="AW48" i="2"/>
  <c r="AW52" i="2" s="1"/>
  <c r="AX8" i="2"/>
  <c r="AX41" i="2"/>
  <c r="AX46" i="2" s="1"/>
  <c r="AX27" i="2"/>
  <c r="AX33" i="2"/>
  <c r="AX42" i="2" s="1"/>
  <c r="AX38" i="2"/>
  <c r="AX43" i="2" s="1"/>
  <c r="BP17" i="2"/>
  <c r="BP14" i="2"/>
  <c r="BP11" i="2"/>
  <c r="BQ9" i="2"/>
  <c r="BR7" i="2"/>
  <c r="AY5" i="2"/>
  <c r="AY189" i="2" s="1"/>
  <c r="BB79" i="2" l="1"/>
  <c r="BB84" i="2" s="1"/>
  <c r="BB280" i="2"/>
  <c r="BB285" i="2" s="1"/>
  <c r="BB196" i="2"/>
  <c r="BB201" i="2" s="1"/>
  <c r="BB40" i="2"/>
  <c r="BB45" i="2" s="1"/>
  <c r="BB157" i="2"/>
  <c r="BB162" i="2" s="1"/>
  <c r="BB243" i="2"/>
  <c r="BB248" i="2" s="1"/>
  <c r="BB118" i="2"/>
  <c r="BB123" i="2" s="1"/>
  <c r="BC12" i="2"/>
  <c r="BA325" i="2"/>
  <c r="BB341" i="2"/>
  <c r="BB339" i="2"/>
  <c r="BB340" i="2"/>
  <c r="BB338" i="2"/>
  <c r="BB342" i="2"/>
  <c r="BC15" i="2"/>
  <c r="AX167" i="2"/>
  <c r="AX206" i="2"/>
  <c r="AY241" i="2"/>
  <c r="AY155" i="2"/>
  <c r="AY230" i="2"/>
  <c r="AY66" i="2"/>
  <c r="AY80" i="2" s="1"/>
  <c r="AY85" i="2" s="1"/>
  <c r="AY144" i="2"/>
  <c r="AY158" i="2" s="1"/>
  <c r="AY163" i="2" s="1"/>
  <c r="AY72" i="2"/>
  <c r="AY150" i="2"/>
  <c r="AY77" i="2"/>
  <c r="AY183" i="2"/>
  <c r="AY236" i="2"/>
  <c r="AY111" i="2"/>
  <c r="AY174" i="2"/>
  <c r="AY213" i="2"/>
  <c r="AY119" i="2"/>
  <c r="AY124" i="2" s="1"/>
  <c r="AY81" i="2"/>
  <c r="AY86" i="2" s="1"/>
  <c r="AY197" i="2"/>
  <c r="AY202" i="2" s="1"/>
  <c r="AY159" i="2"/>
  <c r="AY164" i="2" s="1"/>
  <c r="AY96" i="2"/>
  <c r="AY135" i="2"/>
  <c r="AY91" i="2"/>
  <c r="AY132" i="2"/>
  <c r="AY130" i="2"/>
  <c r="AY129" i="2"/>
  <c r="AY171" i="2"/>
  <c r="AY131" i="2"/>
  <c r="AY160" i="2"/>
  <c r="AY165" i="2" s="1"/>
  <c r="AY168" i="2"/>
  <c r="AY169" i="2"/>
  <c r="AY93" i="2"/>
  <c r="AY82" i="2"/>
  <c r="AY87" i="2" s="1"/>
  <c r="AY170" i="2"/>
  <c r="AY92" i="2"/>
  <c r="AY90" i="2"/>
  <c r="AY257" i="2"/>
  <c r="AY246" i="2"/>
  <c r="AY251" i="2" s="1"/>
  <c r="AY255" i="2"/>
  <c r="AY254" i="2"/>
  <c r="AY256" i="2"/>
  <c r="AY245" i="2"/>
  <c r="AY250" i="2" s="1"/>
  <c r="AY209" i="2"/>
  <c r="AY134" i="2"/>
  <c r="AY199" i="2"/>
  <c r="AY204" i="2" s="1"/>
  <c r="AY207" i="2" s="1"/>
  <c r="AY198" i="2"/>
  <c r="AY203" i="2" s="1"/>
  <c r="AY95" i="2"/>
  <c r="AY259" i="2"/>
  <c r="AY173" i="2"/>
  <c r="AY212" i="2"/>
  <c r="AY105" i="2"/>
  <c r="AY194" i="2"/>
  <c r="AW50" i="2"/>
  <c r="AY222" i="2"/>
  <c r="BP220" i="2"/>
  <c r="BP304" i="2"/>
  <c r="AY57" i="2"/>
  <c r="AY53" i="2"/>
  <c r="AY51" i="2"/>
  <c r="AY56" i="2"/>
  <c r="AY54" i="2"/>
  <c r="AX47" i="2"/>
  <c r="AX48" i="2"/>
  <c r="AX52" i="2" s="1"/>
  <c r="AY8" i="2"/>
  <c r="AY41" i="2"/>
  <c r="AY46" i="2" s="1"/>
  <c r="AY38" i="2"/>
  <c r="AY43" i="2" s="1"/>
  <c r="AY33" i="2"/>
  <c r="AY42" i="2" s="1"/>
  <c r="AY27" i="2"/>
  <c r="BR9" i="2"/>
  <c r="BS7" i="2"/>
  <c r="BQ17" i="2"/>
  <c r="BQ11" i="2"/>
  <c r="BQ14" i="2"/>
  <c r="BQ18" i="2"/>
  <c r="AZ5" i="2"/>
  <c r="AZ66" i="2" s="1"/>
  <c r="BC157" i="2" l="1"/>
  <c r="BC162" i="2" s="1"/>
  <c r="BC40" i="2"/>
  <c r="BC45" i="2" s="1"/>
  <c r="BC118" i="2"/>
  <c r="BC123" i="2" s="1"/>
  <c r="BC79" i="2"/>
  <c r="BC84" i="2" s="1"/>
  <c r="BC280" i="2"/>
  <c r="BC285" i="2" s="1"/>
  <c r="BC243" i="2"/>
  <c r="BC248" i="2" s="1"/>
  <c r="BC196" i="2"/>
  <c r="BC201" i="2" s="1"/>
  <c r="BD12" i="2"/>
  <c r="BB325" i="2"/>
  <c r="BC342" i="2"/>
  <c r="BC338" i="2"/>
  <c r="BC340" i="2"/>
  <c r="BC339" i="2"/>
  <c r="BC341" i="2"/>
  <c r="BD15" i="2"/>
  <c r="AY167" i="2"/>
  <c r="AY208" i="2"/>
  <c r="AY206" i="2"/>
  <c r="AY89" i="2"/>
  <c r="AZ155" i="2"/>
  <c r="AZ230" i="2"/>
  <c r="AZ105" i="2"/>
  <c r="AZ183" i="2"/>
  <c r="AZ144" i="2"/>
  <c r="AZ158" i="2" s="1"/>
  <c r="AZ163" i="2" s="1"/>
  <c r="AZ197" i="2"/>
  <c r="AZ202" i="2" s="1"/>
  <c r="AZ159" i="2"/>
  <c r="AZ164" i="2" s="1"/>
  <c r="AZ135" i="2"/>
  <c r="AZ174" i="2"/>
  <c r="AZ119" i="2"/>
  <c r="AZ124" i="2" s="1"/>
  <c r="AZ80" i="2"/>
  <c r="AZ85" i="2" s="1"/>
  <c r="AZ213" i="2"/>
  <c r="AZ96" i="2"/>
  <c r="AZ130" i="2"/>
  <c r="AZ171" i="2"/>
  <c r="AZ169" i="2"/>
  <c r="AZ131" i="2"/>
  <c r="AZ132" i="2"/>
  <c r="AZ129" i="2"/>
  <c r="AZ168" i="2"/>
  <c r="AZ160" i="2"/>
  <c r="AZ165" i="2" s="1"/>
  <c r="AZ210" i="2"/>
  <c r="AZ170" i="2"/>
  <c r="AZ209" i="2"/>
  <c r="AZ246" i="2"/>
  <c r="AZ251" i="2" s="1"/>
  <c r="AZ257" i="2"/>
  <c r="AZ254" i="2"/>
  <c r="AZ255" i="2"/>
  <c r="AZ256" i="2"/>
  <c r="AZ245" i="2"/>
  <c r="AZ250" i="2" s="1"/>
  <c r="AZ92" i="2"/>
  <c r="AZ95" i="2"/>
  <c r="AZ82" i="2"/>
  <c r="AZ87" i="2" s="1"/>
  <c r="AZ90" i="2" s="1"/>
  <c r="AZ212" i="2"/>
  <c r="AZ259" i="2"/>
  <c r="AZ173" i="2"/>
  <c r="AZ81" i="2"/>
  <c r="AZ86" i="2" s="1"/>
  <c r="AZ134" i="2"/>
  <c r="AZ194" i="2"/>
  <c r="AZ199" i="2" s="1"/>
  <c r="AZ204" i="2" s="1"/>
  <c r="AZ116" i="2"/>
  <c r="AZ111" i="2"/>
  <c r="AZ72" i="2"/>
  <c r="AZ241" i="2"/>
  <c r="AZ77" i="2"/>
  <c r="AZ150" i="2"/>
  <c r="AZ189" i="2"/>
  <c r="AZ198" i="2" s="1"/>
  <c r="AZ203" i="2" s="1"/>
  <c r="AZ236" i="2"/>
  <c r="AZ222" i="2"/>
  <c r="BQ304" i="2"/>
  <c r="BQ220" i="2"/>
  <c r="AZ27" i="2"/>
  <c r="AZ57" i="2"/>
  <c r="AZ53" i="2"/>
  <c r="AZ51" i="2"/>
  <c r="AZ56" i="2"/>
  <c r="AZ54" i="2"/>
  <c r="AX50" i="2"/>
  <c r="BR18" i="2"/>
  <c r="AY47" i="2"/>
  <c r="AY48" i="2"/>
  <c r="AY52" i="2" s="1"/>
  <c r="AZ38" i="2"/>
  <c r="AZ43" i="2" s="1"/>
  <c r="AZ8" i="2"/>
  <c r="AZ41" i="2"/>
  <c r="AZ46" i="2" s="1"/>
  <c r="BT7" i="2"/>
  <c r="BS9" i="2"/>
  <c r="BR11" i="2"/>
  <c r="BR17" i="2"/>
  <c r="BR14" i="2"/>
  <c r="BA5" i="2"/>
  <c r="BA66" i="2" s="1"/>
  <c r="BD118" i="2" l="1"/>
  <c r="BD123" i="2" s="1"/>
  <c r="BD243" i="2"/>
  <c r="BD248" i="2" s="1"/>
  <c r="BD280" i="2"/>
  <c r="BD285" i="2" s="1"/>
  <c r="BD40" i="2"/>
  <c r="BD45" i="2" s="1"/>
  <c r="BD196" i="2"/>
  <c r="BD201" i="2" s="1"/>
  <c r="BD79" i="2"/>
  <c r="BD84" i="2" s="1"/>
  <c r="BD157" i="2"/>
  <c r="BD162" i="2" s="1"/>
  <c r="BE12" i="2"/>
  <c r="BD341" i="2"/>
  <c r="BD342" i="2"/>
  <c r="BD340" i="2"/>
  <c r="BD338" i="2"/>
  <c r="BD339" i="2"/>
  <c r="BE15" i="2"/>
  <c r="BC325" i="2"/>
  <c r="AZ207" i="2"/>
  <c r="AZ208" i="2"/>
  <c r="AZ206" i="2"/>
  <c r="AZ167" i="2"/>
  <c r="AZ89" i="2"/>
  <c r="AZ91" i="2"/>
  <c r="BA230" i="2"/>
  <c r="BA213" i="2"/>
  <c r="BA197" i="2"/>
  <c r="BA202" i="2" s="1"/>
  <c r="BA159" i="2"/>
  <c r="BA164" i="2" s="1"/>
  <c r="BA174" i="2"/>
  <c r="BA96" i="2"/>
  <c r="BA135" i="2"/>
  <c r="BA119" i="2"/>
  <c r="BA124" i="2" s="1"/>
  <c r="BA80" i="2"/>
  <c r="BA85" i="2" s="1"/>
  <c r="BA208" i="2"/>
  <c r="BA130" i="2"/>
  <c r="BA160" i="2"/>
  <c r="BA165" i="2" s="1"/>
  <c r="BA169" i="2"/>
  <c r="BA132" i="2"/>
  <c r="BA171" i="2"/>
  <c r="BA168" i="2"/>
  <c r="BA131" i="2"/>
  <c r="BA129" i="2"/>
  <c r="BA170" i="2"/>
  <c r="BA93" i="2"/>
  <c r="BA210" i="2"/>
  <c r="BA92" i="2"/>
  <c r="BA209" i="2"/>
  <c r="BA246" i="2"/>
  <c r="BA251" i="2" s="1"/>
  <c r="BA256" i="2"/>
  <c r="BA255" i="2"/>
  <c r="BA257" i="2"/>
  <c r="BA254" i="2"/>
  <c r="BA245" i="2"/>
  <c r="BA250" i="2" s="1"/>
  <c r="BA259" i="2"/>
  <c r="BA82" i="2"/>
  <c r="BA87" i="2" s="1"/>
  <c r="BA90" i="2" s="1"/>
  <c r="BA134" i="2"/>
  <c r="BA95" i="2"/>
  <c r="BA173" i="2"/>
  <c r="BA212" i="2"/>
  <c r="BA116" i="2"/>
  <c r="BA183" i="2"/>
  <c r="BA236" i="2"/>
  <c r="BA72" i="2"/>
  <c r="BA81" i="2" s="1"/>
  <c r="BA86" i="2" s="1"/>
  <c r="BA144" i="2"/>
  <c r="BA158" i="2" s="1"/>
  <c r="BA163" i="2" s="1"/>
  <c r="BA194" i="2"/>
  <c r="BA199" i="2" s="1"/>
  <c r="BA204" i="2" s="1"/>
  <c r="BA207" i="2" s="1"/>
  <c r="BA111" i="2"/>
  <c r="BA150" i="2"/>
  <c r="BA241" i="2"/>
  <c r="BA189" i="2"/>
  <c r="BA198" i="2" s="1"/>
  <c r="BA203" i="2" s="1"/>
  <c r="BA155" i="2"/>
  <c r="BA105" i="2"/>
  <c r="BA77" i="2"/>
  <c r="BA222" i="2"/>
  <c r="AY50" i="2"/>
  <c r="BR220" i="2"/>
  <c r="BR304" i="2"/>
  <c r="BA27" i="2"/>
  <c r="BA57" i="2"/>
  <c r="BA51" i="2"/>
  <c r="BA54" i="2"/>
  <c r="BA52" i="2"/>
  <c r="BA56" i="2"/>
  <c r="BA53" i="2"/>
  <c r="BS18" i="2"/>
  <c r="AZ48" i="2"/>
  <c r="AZ52" i="2" s="1"/>
  <c r="BA38" i="2"/>
  <c r="BA43" i="2" s="1"/>
  <c r="BA8" i="2"/>
  <c r="BA41" i="2"/>
  <c r="BA46" i="2" s="1"/>
  <c r="BA33" i="2"/>
  <c r="BS14" i="2"/>
  <c r="BS17" i="2"/>
  <c r="BS11" i="2"/>
  <c r="BU7" i="2"/>
  <c r="BT9" i="2"/>
  <c r="BB5" i="2"/>
  <c r="BB105" i="2" s="1"/>
  <c r="BE118" i="2" l="1"/>
  <c r="BE123" i="2" s="1"/>
  <c r="BE79" i="2"/>
  <c r="BE84" i="2" s="1"/>
  <c r="BE196" i="2"/>
  <c r="BE201" i="2" s="1"/>
  <c r="BE157" i="2"/>
  <c r="BE162" i="2" s="1"/>
  <c r="BE40" i="2"/>
  <c r="BE45" i="2" s="1"/>
  <c r="BE280" i="2"/>
  <c r="BE285" i="2" s="1"/>
  <c r="BE243" i="2"/>
  <c r="BE248" i="2" s="1"/>
  <c r="BF12" i="2"/>
  <c r="BD325" i="2"/>
  <c r="BE338" i="2"/>
  <c r="BE340" i="2"/>
  <c r="BE342" i="2"/>
  <c r="BE341" i="2"/>
  <c r="BE339" i="2"/>
  <c r="BF15" i="2"/>
  <c r="BA167" i="2"/>
  <c r="BA206" i="2"/>
  <c r="BA91" i="2"/>
  <c r="BA89" i="2"/>
  <c r="BB241" i="2"/>
  <c r="BB194" i="2"/>
  <c r="BB72" i="2"/>
  <c r="BB81" i="2" s="1"/>
  <c r="BB86" i="2" s="1"/>
  <c r="BB91" i="2" s="1"/>
  <c r="BB183" i="2"/>
  <c r="BB155" i="2"/>
  <c r="BB144" i="2"/>
  <c r="BB77" i="2"/>
  <c r="BB150" i="2"/>
  <c r="BB236" i="2"/>
  <c r="BB111" i="2"/>
  <c r="BB230" i="2"/>
  <c r="BB174" i="2"/>
  <c r="BB119" i="2"/>
  <c r="BB124" i="2" s="1"/>
  <c r="BB213" i="2"/>
  <c r="BB96" i="2"/>
  <c r="BB135" i="2"/>
  <c r="BB159" i="2"/>
  <c r="BB164" i="2" s="1"/>
  <c r="BB80" i="2"/>
  <c r="BB85" i="2" s="1"/>
  <c r="BB197" i="2"/>
  <c r="BB202" i="2" s="1"/>
  <c r="BB169" i="2"/>
  <c r="BB131" i="2"/>
  <c r="BB170" i="2"/>
  <c r="BB130" i="2"/>
  <c r="BB129" i="2"/>
  <c r="BB168" i="2"/>
  <c r="BB160" i="2"/>
  <c r="BB165" i="2" s="1"/>
  <c r="BB132" i="2"/>
  <c r="BB92" i="2"/>
  <c r="BB171" i="2"/>
  <c r="BB93" i="2"/>
  <c r="BB256" i="2"/>
  <c r="BB257" i="2"/>
  <c r="BB246" i="2"/>
  <c r="BB251" i="2" s="1"/>
  <c r="BB254" i="2"/>
  <c r="BB255" i="2"/>
  <c r="BB245" i="2"/>
  <c r="BB250" i="2" s="1"/>
  <c r="BB158" i="2"/>
  <c r="BB163" i="2" s="1"/>
  <c r="BB209" i="2"/>
  <c r="BB199" i="2"/>
  <c r="BB134" i="2"/>
  <c r="BB95" i="2"/>
  <c r="BB212" i="2"/>
  <c r="BB173" i="2"/>
  <c r="BB82" i="2"/>
  <c r="BB87" i="2" s="1"/>
  <c r="BB90" i="2" s="1"/>
  <c r="BB259" i="2"/>
  <c r="BB66" i="2"/>
  <c r="BB189" i="2"/>
  <c r="BB198" i="2" s="1"/>
  <c r="BB203" i="2" s="1"/>
  <c r="BB222" i="2"/>
  <c r="BS304" i="2"/>
  <c r="BS220" i="2"/>
  <c r="BB27" i="2"/>
  <c r="BB57" i="2"/>
  <c r="BB56" i="2"/>
  <c r="BB51" i="2"/>
  <c r="BB54" i="2"/>
  <c r="BB52" i="2"/>
  <c r="BB53" i="2"/>
  <c r="BA48" i="2"/>
  <c r="BB38" i="2"/>
  <c r="BB43" i="2" s="1"/>
  <c r="BB8" i="2"/>
  <c r="BB41" i="2"/>
  <c r="BB46" i="2" s="1"/>
  <c r="BB33" i="2"/>
  <c r="BT17" i="2"/>
  <c r="BT11" i="2"/>
  <c r="BT14" i="2"/>
  <c r="BU9" i="2"/>
  <c r="BV7" i="2"/>
  <c r="BT18" i="2"/>
  <c r="BC5" i="2"/>
  <c r="BC194" i="2" s="1"/>
  <c r="BF118" i="2" l="1"/>
  <c r="BF123" i="2" s="1"/>
  <c r="BF243" i="2"/>
  <c r="BF248" i="2" s="1"/>
  <c r="BF157" i="2"/>
  <c r="BF162" i="2" s="1"/>
  <c r="BF280" i="2"/>
  <c r="BF285" i="2" s="1"/>
  <c r="BF79" i="2"/>
  <c r="BF84" i="2" s="1"/>
  <c r="BF196" i="2"/>
  <c r="BF201" i="2" s="1"/>
  <c r="BF40" i="2"/>
  <c r="BF45" i="2" s="1"/>
  <c r="BG12" i="2"/>
  <c r="BF339" i="2"/>
  <c r="BF341" i="2"/>
  <c r="BF342" i="2"/>
  <c r="BF338" i="2"/>
  <c r="BF340" i="2"/>
  <c r="BG15" i="2"/>
  <c r="BE325" i="2"/>
  <c r="BB167" i="2"/>
  <c r="BB89" i="2"/>
  <c r="BC72" i="2"/>
  <c r="BC81" i="2" s="1"/>
  <c r="BC86" i="2" s="1"/>
  <c r="BC183" i="2"/>
  <c r="BC116" i="2"/>
  <c r="BC144" i="2"/>
  <c r="BC158" i="2" s="1"/>
  <c r="BC163" i="2" s="1"/>
  <c r="BC150" i="2"/>
  <c r="BC105" i="2"/>
  <c r="BC241" i="2"/>
  <c r="BC197" i="2"/>
  <c r="BC202" i="2" s="1"/>
  <c r="BC159" i="2"/>
  <c r="BC164" i="2" s="1"/>
  <c r="BC174" i="2"/>
  <c r="BC80" i="2"/>
  <c r="BC85" i="2" s="1"/>
  <c r="BC119" i="2"/>
  <c r="BC124" i="2" s="1"/>
  <c r="BC135" i="2"/>
  <c r="BC213" i="2"/>
  <c r="BC96" i="2"/>
  <c r="BC169" i="2"/>
  <c r="BC132" i="2"/>
  <c r="BC129" i="2"/>
  <c r="BC171" i="2"/>
  <c r="BC168" i="2"/>
  <c r="BC130" i="2"/>
  <c r="BC160" i="2"/>
  <c r="BC165" i="2" s="1"/>
  <c r="BC210" i="2"/>
  <c r="BC131" i="2"/>
  <c r="BC209" i="2"/>
  <c r="BC170" i="2"/>
  <c r="BC255" i="2"/>
  <c r="BC254" i="2"/>
  <c r="BC246" i="2"/>
  <c r="BC251" i="2" s="1"/>
  <c r="BC256" i="2"/>
  <c r="BC257" i="2"/>
  <c r="BC245" i="2"/>
  <c r="BC250" i="2" s="1"/>
  <c r="BC92" i="2"/>
  <c r="BC134" i="2"/>
  <c r="BC82" i="2"/>
  <c r="BC87" i="2" s="1"/>
  <c r="BC90" i="2" s="1"/>
  <c r="BC199" i="2"/>
  <c r="BC204" i="2" s="1"/>
  <c r="BC208" i="2" s="1"/>
  <c r="BC212" i="2"/>
  <c r="BC259" i="2"/>
  <c r="BC95" i="2"/>
  <c r="BC173" i="2"/>
  <c r="BC91" i="2"/>
  <c r="BC189" i="2"/>
  <c r="BC198" i="2" s="1"/>
  <c r="BC203" i="2" s="1"/>
  <c r="BC236" i="2"/>
  <c r="BB204" i="2"/>
  <c r="BC155" i="2"/>
  <c r="BC77" i="2"/>
  <c r="BC66" i="2"/>
  <c r="BC111" i="2"/>
  <c r="BC222" i="2"/>
  <c r="BT304" i="2"/>
  <c r="BT220" i="2"/>
  <c r="BC57" i="2"/>
  <c r="BC53" i="2"/>
  <c r="BC51" i="2"/>
  <c r="BC56" i="2"/>
  <c r="BC52" i="2"/>
  <c r="BC54" i="2"/>
  <c r="BB48" i="2"/>
  <c r="BC8" i="2"/>
  <c r="BC41" i="2"/>
  <c r="BC46" i="2" s="1"/>
  <c r="BC33" i="2"/>
  <c r="BC27" i="2"/>
  <c r="BU17" i="2"/>
  <c r="BU11" i="2"/>
  <c r="BU14" i="2"/>
  <c r="BV9" i="2"/>
  <c r="BW7" i="2"/>
  <c r="BU18" i="2"/>
  <c r="BD5" i="2"/>
  <c r="BD111" i="2" s="1"/>
  <c r="BF325" i="2" l="1"/>
  <c r="BG280" i="2"/>
  <c r="BG285" i="2" s="1"/>
  <c r="BG243" i="2"/>
  <c r="BG248" i="2" s="1"/>
  <c r="BG196" i="2"/>
  <c r="BG201" i="2" s="1"/>
  <c r="BG157" i="2"/>
  <c r="BG162" i="2" s="1"/>
  <c r="BG40" i="2"/>
  <c r="BG45" i="2" s="1"/>
  <c r="BG79" i="2"/>
  <c r="BG84" i="2" s="1"/>
  <c r="BG118" i="2"/>
  <c r="BG123" i="2" s="1"/>
  <c r="BH12" i="2"/>
  <c r="BG341" i="2"/>
  <c r="BG340" i="2"/>
  <c r="BG342" i="2"/>
  <c r="BG339" i="2"/>
  <c r="BG338" i="2"/>
  <c r="BH15" i="2"/>
  <c r="BC207" i="2"/>
  <c r="BB208" i="2"/>
  <c r="BB207" i="2"/>
  <c r="BC167" i="2"/>
  <c r="BC89" i="2"/>
  <c r="BC206" i="2"/>
  <c r="BD183" i="2"/>
  <c r="BD116" i="2"/>
  <c r="BD66" i="2"/>
  <c r="BD189" i="2"/>
  <c r="BD198" i="2" s="1"/>
  <c r="BD203" i="2" s="1"/>
  <c r="BD72" i="2"/>
  <c r="BD81" i="2" s="1"/>
  <c r="BD86" i="2" s="1"/>
  <c r="BD155" i="2"/>
  <c r="BD230" i="2"/>
  <c r="BD174" i="2"/>
  <c r="BD213" i="2"/>
  <c r="BD197" i="2"/>
  <c r="BD202" i="2" s="1"/>
  <c r="BD159" i="2"/>
  <c r="BD164" i="2" s="1"/>
  <c r="BD135" i="2"/>
  <c r="BD80" i="2"/>
  <c r="BD85" i="2" s="1"/>
  <c r="BD119" i="2"/>
  <c r="BD124" i="2" s="1"/>
  <c r="BD96" i="2"/>
  <c r="BD130" i="2"/>
  <c r="BD169" i="2"/>
  <c r="BD160" i="2"/>
  <c r="BD165" i="2" s="1"/>
  <c r="BD171" i="2"/>
  <c r="BD132" i="2"/>
  <c r="BD129" i="2"/>
  <c r="BD168" i="2"/>
  <c r="BD93" i="2"/>
  <c r="BD92" i="2"/>
  <c r="BD131" i="2"/>
  <c r="BD170" i="2"/>
  <c r="BD209" i="2"/>
  <c r="BD210" i="2"/>
  <c r="BD257" i="2"/>
  <c r="BD254" i="2"/>
  <c r="BD246" i="2"/>
  <c r="BD251" i="2" s="1"/>
  <c r="BD255" i="2"/>
  <c r="BD256" i="2"/>
  <c r="BD245" i="2"/>
  <c r="BD250" i="2" s="1"/>
  <c r="BD259" i="2"/>
  <c r="BD134" i="2"/>
  <c r="BD173" i="2"/>
  <c r="BD95" i="2"/>
  <c r="BD212" i="2"/>
  <c r="BD236" i="2"/>
  <c r="BD77" i="2"/>
  <c r="BD82" i="2" s="1"/>
  <c r="BD87" i="2" s="1"/>
  <c r="BD105" i="2"/>
  <c r="BD144" i="2"/>
  <c r="BD158" i="2" s="1"/>
  <c r="BD163" i="2" s="1"/>
  <c r="BD241" i="2"/>
  <c r="BD194" i="2"/>
  <c r="BD199" i="2" s="1"/>
  <c r="BD204" i="2" s="1"/>
  <c r="BD207" i="2" s="1"/>
  <c r="BD150" i="2"/>
  <c r="BB206" i="2"/>
  <c r="BD222" i="2"/>
  <c r="BU304" i="2"/>
  <c r="BU220" i="2"/>
  <c r="BD57" i="2"/>
  <c r="BD52" i="2"/>
  <c r="BD51" i="2"/>
  <c r="BD54" i="2"/>
  <c r="BD56" i="2"/>
  <c r="BD53" i="2"/>
  <c r="BD8" i="2"/>
  <c r="BD38" i="2"/>
  <c r="BD33" i="2"/>
  <c r="BD27" i="2"/>
  <c r="BD41" i="2" s="1"/>
  <c r="BD46" i="2" s="1"/>
  <c r="BV18" i="2"/>
  <c r="BW9" i="2"/>
  <c r="BX7" i="2"/>
  <c r="BV17" i="2"/>
  <c r="BV14" i="2"/>
  <c r="BV11" i="2"/>
  <c r="BE5" i="2"/>
  <c r="BE144" i="2" s="1"/>
  <c r="BH280" i="2" l="1"/>
  <c r="BH285" i="2" s="1"/>
  <c r="BH243" i="2"/>
  <c r="BH248" i="2" s="1"/>
  <c r="BH196" i="2"/>
  <c r="BH201" i="2" s="1"/>
  <c r="BH157" i="2"/>
  <c r="BH162" i="2" s="1"/>
  <c r="BH40" i="2"/>
  <c r="BH45" i="2" s="1"/>
  <c r="BH118" i="2"/>
  <c r="BH123" i="2" s="1"/>
  <c r="BH79" i="2"/>
  <c r="BH84" i="2" s="1"/>
  <c r="BI12" i="2"/>
  <c r="BG325" i="2"/>
  <c r="BH338" i="2"/>
  <c r="BH339" i="2"/>
  <c r="BH342" i="2"/>
  <c r="BH341" i="2"/>
  <c r="BH340" i="2"/>
  <c r="BI15" i="2"/>
  <c r="BD90" i="2"/>
  <c r="BD91" i="2"/>
  <c r="BD167" i="2"/>
  <c r="BD206" i="2"/>
  <c r="BD208" i="2"/>
  <c r="BE194" i="2"/>
  <c r="BE199" i="2" s="1"/>
  <c r="BE66" i="2"/>
  <c r="BE174" i="2"/>
  <c r="BE213" i="2"/>
  <c r="BE197" i="2"/>
  <c r="BE202" i="2" s="1"/>
  <c r="BE135" i="2"/>
  <c r="BE159" i="2"/>
  <c r="BE164" i="2" s="1"/>
  <c r="BE80" i="2"/>
  <c r="BE85" i="2" s="1"/>
  <c r="BE119" i="2"/>
  <c r="BE124" i="2" s="1"/>
  <c r="BE96" i="2"/>
  <c r="BE91" i="2"/>
  <c r="BE130" i="2"/>
  <c r="BE169" i="2"/>
  <c r="BE131" i="2"/>
  <c r="BE170" i="2"/>
  <c r="BE132" i="2"/>
  <c r="BE160" i="2"/>
  <c r="BE165" i="2" s="1"/>
  <c r="BE129" i="2"/>
  <c r="BE171" i="2"/>
  <c r="BE168" i="2"/>
  <c r="BE92" i="2"/>
  <c r="BE93" i="2"/>
  <c r="BE207" i="2"/>
  <c r="BE246" i="2"/>
  <c r="BE251" i="2" s="1"/>
  <c r="BE254" i="2"/>
  <c r="BE255" i="2"/>
  <c r="BE257" i="2"/>
  <c r="BE256" i="2"/>
  <c r="BE245" i="2"/>
  <c r="BE250" i="2" s="1"/>
  <c r="BE158" i="2"/>
  <c r="BE163" i="2" s="1"/>
  <c r="BE209" i="2"/>
  <c r="BE212" i="2"/>
  <c r="BE173" i="2"/>
  <c r="BE259" i="2"/>
  <c r="BE134" i="2"/>
  <c r="BE95" i="2"/>
  <c r="BE155" i="2"/>
  <c r="BE72" i="2"/>
  <c r="BE81" i="2" s="1"/>
  <c r="BE86" i="2" s="1"/>
  <c r="BE150" i="2"/>
  <c r="BD89" i="2"/>
  <c r="BE111" i="2"/>
  <c r="BE183" i="2"/>
  <c r="BE241" i="2"/>
  <c r="BE189" i="2"/>
  <c r="BE198" i="2" s="1"/>
  <c r="BE203" i="2" s="1"/>
  <c r="BE236" i="2"/>
  <c r="BE230" i="2"/>
  <c r="BE105" i="2"/>
  <c r="BE77" i="2"/>
  <c r="BE82" i="2" s="1"/>
  <c r="BE87" i="2" s="1"/>
  <c r="BE90" i="2" s="1"/>
  <c r="BE222" i="2"/>
  <c r="BV304" i="2"/>
  <c r="BV220" i="2"/>
  <c r="BE57" i="2"/>
  <c r="BE53" i="2"/>
  <c r="BE54" i="2"/>
  <c r="BE51" i="2"/>
  <c r="BE56" i="2"/>
  <c r="BE52" i="2"/>
  <c r="BE8" i="2"/>
  <c r="BE27" i="2"/>
  <c r="BE41" i="2" s="1"/>
  <c r="BE46" i="2" s="1"/>
  <c r="BE38" i="2"/>
  <c r="BE33" i="2"/>
  <c r="BW18" i="2"/>
  <c r="BY7" i="2"/>
  <c r="BY9" i="2" s="1"/>
  <c r="BX9" i="2"/>
  <c r="BW17" i="2"/>
  <c r="BW11" i="2"/>
  <c r="BW14" i="2"/>
  <c r="BF5" i="2"/>
  <c r="BF150" i="2" s="1"/>
  <c r="BI118" i="2" l="1"/>
  <c r="BI123" i="2" s="1"/>
  <c r="BI40" i="2"/>
  <c r="BI45" i="2" s="1"/>
  <c r="BI79" i="2"/>
  <c r="BI84" i="2" s="1"/>
  <c r="BI280" i="2"/>
  <c r="BI285" i="2" s="1"/>
  <c r="BI243" i="2"/>
  <c r="BI248" i="2" s="1"/>
  <c r="BI196" i="2"/>
  <c r="BI201" i="2" s="1"/>
  <c r="BI157" i="2"/>
  <c r="BI162" i="2" s="1"/>
  <c r="BJ12" i="2"/>
  <c r="BH325" i="2"/>
  <c r="BI342" i="2"/>
  <c r="BI338" i="2"/>
  <c r="BI341" i="2"/>
  <c r="BI340" i="2"/>
  <c r="BI339" i="2"/>
  <c r="BJ15" i="2"/>
  <c r="I166" i="1"/>
  <c r="I222" i="1" s="1"/>
  <c r="G166" i="1"/>
  <c r="J166" i="1"/>
  <c r="J222" i="1" s="1"/>
  <c r="H166" i="1"/>
  <c r="H222" i="1" s="1"/>
  <c r="BE167" i="2"/>
  <c r="BE89" i="2"/>
  <c r="BF155" i="2"/>
  <c r="BF111" i="2"/>
  <c r="BF236" i="2"/>
  <c r="BF105" i="2"/>
  <c r="BF213" i="2"/>
  <c r="BF197" i="2"/>
  <c r="BF202" i="2" s="1"/>
  <c r="BF135" i="2"/>
  <c r="BF159" i="2"/>
  <c r="BF164" i="2" s="1"/>
  <c r="BF119" i="2"/>
  <c r="BF124" i="2" s="1"/>
  <c r="BF96" i="2"/>
  <c r="BF80" i="2"/>
  <c r="BF85" i="2" s="1"/>
  <c r="BF174" i="2"/>
  <c r="BF130" i="2"/>
  <c r="BF169" i="2"/>
  <c r="BF132" i="2"/>
  <c r="BF170" i="2"/>
  <c r="BF131" i="2"/>
  <c r="BF129" i="2"/>
  <c r="BF160" i="2"/>
  <c r="BF165" i="2" s="1"/>
  <c r="BF171" i="2"/>
  <c r="BF168" i="2"/>
  <c r="BF209" i="2"/>
  <c r="BF210" i="2"/>
  <c r="BF207" i="2"/>
  <c r="BF246" i="2"/>
  <c r="BF251" i="2" s="1"/>
  <c r="BF257" i="2"/>
  <c r="BF255" i="2"/>
  <c r="BF254" i="2"/>
  <c r="BF256" i="2"/>
  <c r="BF245" i="2"/>
  <c r="BF250" i="2" s="1"/>
  <c r="BF92" i="2"/>
  <c r="BF173" i="2"/>
  <c r="BF95" i="2"/>
  <c r="BF134" i="2"/>
  <c r="BF259" i="2"/>
  <c r="BF212" i="2"/>
  <c r="BF116" i="2"/>
  <c r="BE204" i="2"/>
  <c r="BE208" i="2" s="1"/>
  <c r="BF66" i="2"/>
  <c r="BF189" i="2"/>
  <c r="BF198" i="2" s="1"/>
  <c r="BF203" i="2" s="1"/>
  <c r="BF77" i="2"/>
  <c r="BF82" i="2" s="1"/>
  <c r="BF72" i="2"/>
  <c r="BF81" i="2" s="1"/>
  <c r="BF86" i="2" s="1"/>
  <c r="BF241" i="2"/>
  <c r="BF194" i="2"/>
  <c r="BF199" i="2" s="1"/>
  <c r="BF204" i="2" s="1"/>
  <c r="BF208" i="2" s="1"/>
  <c r="J151" i="1"/>
  <c r="K151" i="1"/>
  <c r="I151" i="1"/>
  <c r="G151" i="1"/>
  <c r="F151" i="1"/>
  <c r="H151" i="1"/>
  <c r="BF230" i="2"/>
  <c r="BF144" i="2"/>
  <c r="BF158" i="2" s="1"/>
  <c r="BF163" i="2" s="1"/>
  <c r="BF183" i="2"/>
  <c r="BF222" i="2"/>
  <c r="BW220" i="2"/>
  <c r="BW304" i="2"/>
  <c r="BF27" i="2"/>
  <c r="BF57" i="2"/>
  <c r="BF51" i="2"/>
  <c r="BF56" i="2"/>
  <c r="BF54" i="2"/>
  <c r="BF52" i="2"/>
  <c r="BF53" i="2"/>
  <c r="BF33" i="2"/>
  <c r="BF8" i="2"/>
  <c r="BF41" i="2"/>
  <c r="BF46" i="2" s="1"/>
  <c r="BX18" i="2"/>
  <c r="BX11" i="2"/>
  <c r="BX17" i="2"/>
  <c r="BX14" i="2"/>
  <c r="BY14" i="2"/>
  <c r="BY17" i="2"/>
  <c r="BY11" i="2"/>
  <c r="BG5" i="2"/>
  <c r="BG144" i="2" s="1"/>
  <c r="BJ40" i="2" l="1"/>
  <c r="BJ45" i="2" s="1"/>
  <c r="BJ280" i="2"/>
  <c r="BJ285" i="2" s="1"/>
  <c r="BJ196" i="2"/>
  <c r="BJ201" i="2" s="1"/>
  <c r="BJ243" i="2"/>
  <c r="BJ248" i="2" s="1"/>
  <c r="BJ79" i="2"/>
  <c r="BJ84" i="2" s="1"/>
  <c r="BJ157" i="2"/>
  <c r="BJ162" i="2" s="1"/>
  <c r="BJ118" i="2"/>
  <c r="BJ123" i="2" s="1"/>
  <c r="BK12" i="2"/>
  <c r="BJ341" i="2"/>
  <c r="BJ338" i="2"/>
  <c r="BJ339" i="2"/>
  <c r="BJ340" i="2"/>
  <c r="BJ342" i="2"/>
  <c r="BK15" i="2"/>
  <c r="BF167" i="2"/>
  <c r="BI325" i="2"/>
  <c r="G175" i="1"/>
  <c r="H175" i="1" s="1"/>
  <c r="I175" i="1" s="1"/>
  <c r="J175" i="1" s="1"/>
  <c r="G222" i="1"/>
  <c r="F234" i="1" s="1"/>
  <c r="BF206" i="2"/>
  <c r="BG105" i="2"/>
  <c r="BG189" i="2"/>
  <c r="BG198" i="2" s="1"/>
  <c r="BG203" i="2" s="1"/>
  <c r="BG236" i="2"/>
  <c r="BG111" i="2"/>
  <c r="BF87" i="2"/>
  <c r="BG77" i="2"/>
  <c r="BG82" i="2" s="1"/>
  <c r="BG87" i="2" s="1"/>
  <c r="BG91" i="2" s="1"/>
  <c r="BG241" i="2"/>
  <c r="BG116" i="2"/>
  <c r="BG174" i="2"/>
  <c r="BG135" i="2"/>
  <c r="BG213" i="2"/>
  <c r="BG197" i="2"/>
  <c r="BG202" i="2" s="1"/>
  <c r="BG159" i="2"/>
  <c r="BG164" i="2" s="1"/>
  <c r="BG119" i="2"/>
  <c r="BG124" i="2" s="1"/>
  <c r="BG80" i="2"/>
  <c r="BG85" i="2" s="1"/>
  <c r="BG96" i="2"/>
  <c r="BG130" i="2"/>
  <c r="BG129" i="2"/>
  <c r="BG168" i="2"/>
  <c r="BG169" i="2"/>
  <c r="BG132" i="2"/>
  <c r="BG131" i="2"/>
  <c r="BG207" i="2"/>
  <c r="BG171" i="2"/>
  <c r="BG170" i="2"/>
  <c r="BG160" i="2"/>
  <c r="BG165" i="2" s="1"/>
  <c r="BG210" i="2"/>
  <c r="BG92" i="2"/>
  <c r="BG93" i="2"/>
  <c r="BG209" i="2"/>
  <c r="BG254" i="2"/>
  <c r="BG255" i="2"/>
  <c r="BG257" i="2"/>
  <c r="BG246" i="2"/>
  <c r="BG251" i="2" s="1"/>
  <c r="BG256" i="2"/>
  <c r="BG245" i="2"/>
  <c r="BG250" i="2" s="1"/>
  <c r="BG158" i="2"/>
  <c r="BG163" i="2" s="1"/>
  <c r="BG259" i="2"/>
  <c r="BG212" i="2"/>
  <c r="BG134" i="2"/>
  <c r="BG173" i="2"/>
  <c r="BG95" i="2"/>
  <c r="BG194" i="2"/>
  <c r="BG199" i="2" s="1"/>
  <c r="BG204" i="2" s="1"/>
  <c r="BG208" i="2" s="1"/>
  <c r="BG230" i="2"/>
  <c r="BG66" i="2"/>
  <c r="BG150" i="2"/>
  <c r="BE206" i="2"/>
  <c r="BG155" i="2"/>
  <c r="BG72" i="2"/>
  <c r="BG81" i="2" s="1"/>
  <c r="BG86" i="2" s="1"/>
  <c r="BG183" i="2"/>
  <c r="BG222" i="2"/>
  <c r="BY18" i="2"/>
  <c r="BX304" i="2"/>
  <c r="BX220" i="2"/>
  <c r="BG27" i="2"/>
  <c r="BG57" i="2"/>
  <c r="BG51" i="2"/>
  <c r="BG53" i="2"/>
  <c r="BG52" i="2"/>
  <c r="BG56" i="2"/>
  <c r="BG54" i="2"/>
  <c r="BG38" i="2"/>
  <c r="BG8" i="2"/>
  <c r="BG41" i="2"/>
  <c r="BG46" i="2" s="1"/>
  <c r="BG33" i="2"/>
  <c r="BH5" i="2"/>
  <c r="BH105" i="2" s="1"/>
  <c r="BG90" i="2" l="1"/>
  <c r="BK40" i="2"/>
  <c r="BK45" i="2" s="1"/>
  <c r="BK196" i="2"/>
  <c r="BK201" i="2" s="1"/>
  <c r="BK280" i="2"/>
  <c r="BK285" i="2" s="1"/>
  <c r="BK79" i="2"/>
  <c r="BK84" i="2" s="1"/>
  <c r="BK243" i="2"/>
  <c r="BK248" i="2" s="1"/>
  <c r="BK157" i="2"/>
  <c r="BK162" i="2" s="1"/>
  <c r="BK118" i="2"/>
  <c r="BK123" i="2" s="1"/>
  <c r="BL12" i="2"/>
  <c r="BK340" i="2"/>
  <c r="BK338" i="2"/>
  <c r="BK342" i="2"/>
  <c r="BK341" i="2"/>
  <c r="BK339" i="2"/>
  <c r="BL15" i="2"/>
  <c r="BJ325" i="2"/>
  <c r="BF91" i="2"/>
  <c r="BF90" i="2"/>
  <c r="BG167" i="2"/>
  <c r="BG89" i="2"/>
  <c r="BH197" i="2"/>
  <c r="BH202" i="2" s="1"/>
  <c r="BH159" i="2"/>
  <c r="BH164" i="2" s="1"/>
  <c r="BH213" i="2"/>
  <c r="BH135" i="2"/>
  <c r="BH80" i="2"/>
  <c r="BH85" i="2" s="1"/>
  <c r="BH174" i="2"/>
  <c r="BH119" i="2"/>
  <c r="BH124" i="2" s="1"/>
  <c r="BH96" i="2"/>
  <c r="BH130" i="2"/>
  <c r="BH169" i="2"/>
  <c r="BH131" i="2"/>
  <c r="BH129" i="2"/>
  <c r="BH132" i="2"/>
  <c r="BH171" i="2"/>
  <c r="BH207" i="2"/>
  <c r="BH92" i="2"/>
  <c r="BH168" i="2"/>
  <c r="BH170" i="2"/>
  <c r="BH160" i="2"/>
  <c r="BH165" i="2" s="1"/>
  <c r="BH210" i="2"/>
  <c r="BH93" i="2"/>
  <c r="BH209" i="2"/>
  <c r="BH255" i="2"/>
  <c r="BH254" i="2"/>
  <c r="BH256" i="2"/>
  <c r="BH246" i="2"/>
  <c r="BH251" i="2" s="1"/>
  <c r="BH257" i="2"/>
  <c r="BH245" i="2"/>
  <c r="BH250" i="2" s="1"/>
  <c r="BH95" i="2"/>
  <c r="BH259" i="2"/>
  <c r="BH212" i="2"/>
  <c r="BH134" i="2"/>
  <c r="BH173" i="2"/>
  <c r="BG206" i="2"/>
  <c r="BH241" i="2"/>
  <c r="BH144" i="2"/>
  <c r="BH158" i="2" s="1"/>
  <c r="BH163" i="2" s="1"/>
  <c r="BH183" i="2"/>
  <c r="BH77" i="2"/>
  <c r="BH82" i="2" s="1"/>
  <c r="BH87" i="2" s="1"/>
  <c r="BH91" i="2" s="1"/>
  <c r="BH150" i="2"/>
  <c r="BH155" i="2"/>
  <c r="BH194" i="2"/>
  <c r="BH199" i="2" s="1"/>
  <c r="BH204" i="2" s="1"/>
  <c r="BH208" i="2" s="1"/>
  <c r="BH66" i="2"/>
  <c r="BH236" i="2"/>
  <c r="BH72" i="2"/>
  <c r="BH81" i="2" s="1"/>
  <c r="BH86" i="2" s="1"/>
  <c r="BH116" i="2"/>
  <c r="BF89" i="2"/>
  <c r="BH222" i="2"/>
  <c r="BY304" i="2"/>
  <c r="BY220" i="2"/>
  <c r="BH57" i="2"/>
  <c r="BH53" i="2"/>
  <c r="BH51" i="2"/>
  <c r="BH56" i="2"/>
  <c r="BH52" i="2"/>
  <c r="BH54" i="2"/>
  <c r="BH8" i="2"/>
  <c r="BH38" i="2"/>
  <c r="BH33" i="2"/>
  <c r="BH27" i="2"/>
  <c r="BH41" i="2" s="1"/>
  <c r="BH46" i="2" s="1"/>
  <c r="BI5" i="2"/>
  <c r="BL118" i="2" l="1"/>
  <c r="BL123" i="2" s="1"/>
  <c r="BL280" i="2"/>
  <c r="BL285" i="2" s="1"/>
  <c r="BL40" i="2"/>
  <c r="BL45" i="2" s="1"/>
  <c r="BL196" i="2"/>
  <c r="BL201" i="2" s="1"/>
  <c r="BL243" i="2"/>
  <c r="BL248" i="2" s="1"/>
  <c r="BL157" i="2"/>
  <c r="BL162" i="2" s="1"/>
  <c r="BL79" i="2"/>
  <c r="BL84" i="2" s="1"/>
  <c r="BM12" i="2"/>
  <c r="BL339" i="2"/>
  <c r="BL342" i="2"/>
  <c r="BL341" i="2"/>
  <c r="BL340" i="2"/>
  <c r="BL338" i="2"/>
  <c r="BM15" i="2"/>
  <c r="BK325" i="2"/>
  <c r="BH90" i="2"/>
  <c r="BH167" i="2"/>
  <c r="BH89" i="2"/>
  <c r="BI213" i="2"/>
  <c r="BI197" i="2"/>
  <c r="BI202" i="2" s="1"/>
  <c r="BI159" i="2"/>
  <c r="BI164" i="2" s="1"/>
  <c r="BI135" i="2"/>
  <c r="BI174" i="2"/>
  <c r="BI119" i="2"/>
  <c r="BI124" i="2" s="1"/>
  <c r="BI96" i="2"/>
  <c r="BI80" i="2"/>
  <c r="BI85" i="2" s="1"/>
  <c r="BI130" i="2"/>
  <c r="BI208" i="2"/>
  <c r="BI132" i="2"/>
  <c r="BI169" i="2"/>
  <c r="BI131" i="2"/>
  <c r="BI129" i="2"/>
  <c r="BI209" i="2"/>
  <c r="BI210" i="2"/>
  <c r="BI168" i="2"/>
  <c r="BI170" i="2"/>
  <c r="BI90" i="2"/>
  <c r="BI171" i="2"/>
  <c r="BI160" i="2"/>
  <c r="BI165" i="2" s="1"/>
  <c r="BI207" i="2"/>
  <c r="BI255" i="2"/>
  <c r="BI246" i="2"/>
  <c r="BI251" i="2" s="1"/>
  <c r="BI254" i="2"/>
  <c r="BI256" i="2"/>
  <c r="BI257" i="2"/>
  <c r="BI245" i="2"/>
  <c r="BI250" i="2" s="1"/>
  <c r="BI92" i="2"/>
  <c r="BI95" i="2"/>
  <c r="BI259" i="2"/>
  <c r="BI173" i="2"/>
  <c r="BI134" i="2"/>
  <c r="BI212" i="2"/>
  <c r="BI116" i="2"/>
  <c r="BI144" i="2"/>
  <c r="BI158" i="2" s="1"/>
  <c r="BI163" i="2" s="1"/>
  <c r="BI194" i="2"/>
  <c r="BI199" i="2" s="1"/>
  <c r="BI204" i="2" s="1"/>
  <c r="BI150" i="2"/>
  <c r="BI241" i="2"/>
  <c r="BI105" i="2"/>
  <c r="BI189" i="2"/>
  <c r="BI155" i="2"/>
  <c r="BI72" i="2"/>
  <c r="BI81" i="2" s="1"/>
  <c r="BI86" i="2" s="1"/>
  <c r="BI77" i="2"/>
  <c r="BI82" i="2" s="1"/>
  <c r="BI230" i="2"/>
  <c r="BI236" i="2"/>
  <c r="BI111" i="2"/>
  <c r="BI66" i="2"/>
  <c r="BI183" i="2"/>
  <c r="F144" i="1"/>
  <c r="G144" i="1"/>
  <c r="H144" i="1"/>
  <c r="I144" i="1"/>
  <c r="F142" i="1"/>
  <c r="G142" i="1"/>
  <c r="H142" i="1"/>
  <c r="I142" i="1"/>
  <c r="F141" i="1"/>
  <c r="G141" i="1"/>
  <c r="H141" i="1"/>
  <c r="I141" i="1"/>
  <c r="F143" i="1"/>
  <c r="G143" i="1"/>
  <c r="H143" i="1"/>
  <c r="I143" i="1"/>
  <c r="F145" i="1"/>
  <c r="G145" i="1"/>
  <c r="H145" i="1"/>
  <c r="I145" i="1"/>
  <c r="BI222" i="2"/>
  <c r="BI57" i="2"/>
  <c r="BI51" i="2"/>
  <c r="BI54" i="2"/>
  <c r="BI52" i="2"/>
  <c r="BI53" i="2"/>
  <c r="BI56" i="2"/>
  <c r="BI8" i="2"/>
  <c r="BI33" i="2"/>
  <c r="BI27" i="2"/>
  <c r="BI41" i="2" s="1"/>
  <c r="BI46" i="2" s="1"/>
  <c r="BJ5" i="2"/>
  <c r="BJ144" i="2" s="1"/>
  <c r="BM196" i="2" l="1"/>
  <c r="BM201" i="2" s="1"/>
  <c r="BM118" i="2"/>
  <c r="BM123" i="2" s="1"/>
  <c r="BM157" i="2"/>
  <c r="BM162" i="2" s="1"/>
  <c r="BM79" i="2"/>
  <c r="BM84" i="2" s="1"/>
  <c r="BM40" i="2"/>
  <c r="BM45" i="2" s="1"/>
  <c r="BM280" i="2"/>
  <c r="BM285" i="2" s="1"/>
  <c r="BM243" i="2"/>
  <c r="BM248" i="2" s="1"/>
  <c r="BN12" i="2"/>
  <c r="BL325" i="2"/>
  <c r="BM340" i="2"/>
  <c r="J143" i="1" s="1"/>
  <c r="BM338" i="2"/>
  <c r="J141" i="1" s="1"/>
  <c r="BM342" i="2"/>
  <c r="J145" i="1" s="1"/>
  <c r="BM341" i="2"/>
  <c r="J144" i="1" s="1"/>
  <c r="BM339" i="2"/>
  <c r="J142" i="1" s="1"/>
  <c r="BN15" i="2"/>
  <c r="BI167" i="2"/>
  <c r="BI87" i="2"/>
  <c r="BI91" i="2" s="1"/>
  <c r="BJ230" i="2"/>
  <c r="BJ72" i="2"/>
  <c r="BJ81" i="2" s="1"/>
  <c r="BJ86" i="2" s="1"/>
  <c r="BJ183" i="2"/>
  <c r="BJ155" i="2"/>
  <c r="BJ105" i="2"/>
  <c r="BJ189" i="2"/>
  <c r="BJ241" i="2"/>
  <c r="BJ194" i="2"/>
  <c r="BJ199" i="2" s="1"/>
  <c r="BJ204" i="2" s="1"/>
  <c r="BJ197" i="2"/>
  <c r="BJ202" i="2" s="1"/>
  <c r="BJ119" i="2"/>
  <c r="BJ124" i="2" s="1"/>
  <c r="BJ213" i="2"/>
  <c r="BJ159" i="2"/>
  <c r="BJ164" i="2" s="1"/>
  <c r="BJ174" i="2"/>
  <c r="BJ96" i="2"/>
  <c r="BJ135" i="2"/>
  <c r="BJ80" i="2"/>
  <c r="BJ85" i="2" s="1"/>
  <c r="BJ130" i="2"/>
  <c r="BJ208" i="2"/>
  <c r="BJ129" i="2"/>
  <c r="BJ132" i="2"/>
  <c r="BJ131" i="2"/>
  <c r="BJ170" i="2"/>
  <c r="BJ92" i="2"/>
  <c r="BJ160" i="2"/>
  <c r="BJ165" i="2" s="1"/>
  <c r="BJ171" i="2"/>
  <c r="BJ169" i="2"/>
  <c r="BJ209" i="2"/>
  <c r="BJ93" i="2"/>
  <c r="BJ168" i="2"/>
  <c r="BJ210" i="2"/>
  <c r="BJ207" i="2"/>
  <c r="BJ90" i="2"/>
  <c r="BJ256" i="2"/>
  <c r="BJ255" i="2"/>
  <c r="BJ246" i="2"/>
  <c r="BJ251" i="2" s="1"/>
  <c r="BJ254" i="2"/>
  <c r="BJ257" i="2"/>
  <c r="BJ245" i="2"/>
  <c r="BJ250" i="2" s="1"/>
  <c r="BJ158" i="2"/>
  <c r="BJ163" i="2" s="1"/>
  <c r="BJ212" i="2"/>
  <c r="BJ95" i="2"/>
  <c r="BJ259" i="2"/>
  <c r="BJ134" i="2"/>
  <c r="BJ173" i="2"/>
  <c r="BJ236" i="2"/>
  <c r="BJ116" i="2"/>
  <c r="BJ150" i="2"/>
  <c r="BJ77" i="2"/>
  <c r="BJ82" i="2" s="1"/>
  <c r="BJ87" i="2" s="1"/>
  <c r="BJ66" i="2"/>
  <c r="BJ111" i="2"/>
  <c r="F128" i="1"/>
  <c r="G128" i="1"/>
  <c r="H128" i="1"/>
  <c r="I128" i="1"/>
  <c r="BJ222" i="2"/>
  <c r="BJ57" i="2"/>
  <c r="BJ51" i="2"/>
  <c r="BJ54" i="2"/>
  <c r="BJ56" i="2"/>
  <c r="BJ53" i="2"/>
  <c r="BJ52" i="2"/>
  <c r="BJ8" i="2"/>
  <c r="BJ38" i="2"/>
  <c r="BJ33" i="2"/>
  <c r="BJ27" i="2"/>
  <c r="BJ41" i="2" s="1"/>
  <c r="BJ46" i="2" s="1"/>
  <c r="BK5" i="2"/>
  <c r="BK183" i="2" s="1"/>
  <c r="BN243" i="2" l="1"/>
  <c r="BN248" i="2" s="1"/>
  <c r="BN280" i="2"/>
  <c r="BN285" i="2" s="1"/>
  <c r="BN40" i="2"/>
  <c r="BN45" i="2" s="1"/>
  <c r="BN157" i="2"/>
  <c r="BN162" i="2" s="1"/>
  <c r="BN196" i="2"/>
  <c r="BN201" i="2" s="1"/>
  <c r="BN118" i="2"/>
  <c r="BN123" i="2" s="1"/>
  <c r="BN79" i="2"/>
  <c r="BN84" i="2" s="1"/>
  <c r="BO12" i="2"/>
  <c r="BM325" i="2"/>
  <c r="J128" i="1" s="1"/>
  <c r="BN342" i="2"/>
  <c r="BN339" i="2"/>
  <c r="BN341" i="2"/>
  <c r="BN338" i="2"/>
  <c r="BN340" i="2"/>
  <c r="BO15" i="2"/>
  <c r="BI89" i="2"/>
  <c r="BJ167" i="2"/>
  <c r="BJ91" i="2"/>
  <c r="BJ89" i="2"/>
  <c r="BK105" i="2"/>
  <c r="BK150" i="2"/>
  <c r="BK111" i="2"/>
  <c r="BK144" i="2"/>
  <c r="BK158" i="2" s="1"/>
  <c r="BK163" i="2" s="1"/>
  <c r="BK241" i="2"/>
  <c r="BK197" i="2"/>
  <c r="BK202" i="2" s="1"/>
  <c r="BK159" i="2"/>
  <c r="BK164" i="2" s="1"/>
  <c r="BK213" i="2"/>
  <c r="BK174" i="2"/>
  <c r="BK119" i="2"/>
  <c r="BK124" i="2" s="1"/>
  <c r="BK80" i="2"/>
  <c r="BK85" i="2" s="1"/>
  <c r="BK135" i="2"/>
  <c r="BK96" i="2"/>
  <c r="BK130" i="2"/>
  <c r="BK129" i="2"/>
  <c r="BK131" i="2"/>
  <c r="BK208" i="2"/>
  <c r="BK169" i="2"/>
  <c r="BK90" i="2"/>
  <c r="BK160" i="2"/>
  <c r="BK165" i="2" s="1"/>
  <c r="BK132" i="2"/>
  <c r="BK171" i="2"/>
  <c r="BK168" i="2"/>
  <c r="BK210" i="2"/>
  <c r="BK93" i="2"/>
  <c r="BK209" i="2"/>
  <c r="BK207" i="2"/>
  <c r="BK170" i="2"/>
  <c r="BK92" i="2"/>
  <c r="BK246" i="2"/>
  <c r="BK251" i="2" s="1"/>
  <c r="BK256" i="2"/>
  <c r="BK255" i="2"/>
  <c r="BK257" i="2"/>
  <c r="BK254" i="2"/>
  <c r="BK245" i="2"/>
  <c r="BK250" i="2" s="1"/>
  <c r="BK173" i="2"/>
  <c r="BK95" i="2"/>
  <c r="BK212" i="2"/>
  <c r="BK259" i="2"/>
  <c r="BK134" i="2"/>
  <c r="BK155" i="2"/>
  <c r="BK236" i="2"/>
  <c r="BK77" i="2"/>
  <c r="BK82" i="2" s="1"/>
  <c r="BK87" i="2" s="1"/>
  <c r="BK91" i="2" s="1"/>
  <c r="BK66" i="2"/>
  <c r="BK189" i="2"/>
  <c r="BK230" i="2"/>
  <c r="BK72" i="2"/>
  <c r="BK81" i="2" s="1"/>
  <c r="BK86" i="2" s="1"/>
  <c r="BK222" i="2"/>
  <c r="BK57" i="2"/>
  <c r="BK51" i="2"/>
  <c r="BK53" i="2"/>
  <c r="BK56" i="2"/>
  <c r="BK52" i="2"/>
  <c r="BK54" i="2"/>
  <c r="BK8" i="2"/>
  <c r="BK38" i="2"/>
  <c r="BK27" i="2"/>
  <c r="BK41" i="2" s="1"/>
  <c r="BK46" i="2" s="1"/>
  <c r="BK33" i="2"/>
  <c r="BL5" i="2"/>
  <c r="BL105" i="2" s="1"/>
  <c r="BO40" i="2" l="1"/>
  <c r="BO45" i="2" s="1"/>
  <c r="BO79" i="2"/>
  <c r="BO84" i="2" s="1"/>
  <c r="BO196" i="2"/>
  <c r="BO201" i="2" s="1"/>
  <c r="BO157" i="2"/>
  <c r="BO162" i="2" s="1"/>
  <c r="BO243" i="2"/>
  <c r="BO248" i="2" s="1"/>
  <c r="BO280" i="2"/>
  <c r="BO285" i="2" s="1"/>
  <c r="BO118" i="2"/>
  <c r="BO123" i="2" s="1"/>
  <c r="BP12" i="2"/>
  <c r="BO340" i="2"/>
  <c r="BO342" i="2"/>
  <c r="BO341" i="2"/>
  <c r="BO339" i="2"/>
  <c r="BO338" i="2"/>
  <c r="BP15" i="2"/>
  <c r="BN325" i="2"/>
  <c r="BK167" i="2"/>
  <c r="BL194" i="2"/>
  <c r="BL183" i="2"/>
  <c r="BL236" i="2"/>
  <c r="BL116" i="2"/>
  <c r="BL230" i="2"/>
  <c r="BL111" i="2"/>
  <c r="BL144" i="2"/>
  <c r="BL158" i="2" s="1"/>
  <c r="BL163" i="2" s="1"/>
  <c r="BK89" i="2"/>
  <c r="BL155" i="2"/>
  <c r="BL174" i="2"/>
  <c r="BL159" i="2"/>
  <c r="BL164" i="2" s="1"/>
  <c r="BL197" i="2"/>
  <c r="BL202" i="2" s="1"/>
  <c r="BL213" i="2"/>
  <c r="BL80" i="2"/>
  <c r="BL85" i="2" s="1"/>
  <c r="BL135" i="2"/>
  <c r="BL96" i="2"/>
  <c r="BL119" i="2"/>
  <c r="BL124" i="2" s="1"/>
  <c r="BL130" i="2"/>
  <c r="BL129" i="2"/>
  <c r="BL131" i="2"/>
  <c r="BL132" i="2"/>
  <c r="BL160" i="2"/>
  <c r="BL165" i="2" s="1"/>
  <c r="BL168" i="2"/>
  <c r="BL207" i="2"/>
  <c r="BL171" i="2"/>
  <c r="BL209" i="2"/>
  <c r="BL208" i="2"/>
  <c r="BL170" i="2"/>
  <c r="BL93" i="2"/>
  <c r="BL169" i="2"/>
  <c r="BL92" i="2"/>
  <c r="BL90" i="2"/>
  <c r="BL210" i="2"/>
  <c r="BL256" i="2"/>
  <c r="BL257" i="2"/>
  <c r="BL255" i="2"/>
  <c r="BL254" i="2"/>
  <c r="BL246" i="2"/>
  <c r="BL251" i="2" s="1"/>
  <c r="BL245" i="2"/>
  <c r="BL250" i="2" s="1"/>
  <c r="BL259" i="2"/>
  <c r="BL95" i="2"/>
  <c r="BL173" i="2"/>
  <c r="BL212" i="2"/>
  <c r="BL134" i="2"/>
  <c r="BL241" i="2"/>
  <c r="BL189" i="2"/>
  <c r="BL77" i="2"/>
  <c r="BL82" i="2" s="1"/>
  <c r="BL87" i="2" s="1"/>
  <c r="BL91" i="2" s="1"/>
  <c r="BL66" i="2"/>
  <c r="BL150" i="2"/>
  <c r="BL222" i="2"/>
  <c r="BL27" i="2"/>
  <c r="BL57" i="2"/>
  <c r="BL54" i="2"/>
  <c r="BL51" i="2"/>
  <c r="BL52" i="2"/>
  <c r="BL56" i="2"/>
  <c r="BL53" i="2"/>
  <c r="BL8" i="2"/>
  <c r="BL41" i="2"/>
  <c r="BL46" i="2" s="1"/>
  <c r="BL38" i="2"/>
  <c r="BM5" i="2"/>
  <c r="BM111" i="2" s="1"/>
  <c r="BP196" i="2" l="1"/>
  <c r="BP201" i="2" s="1"/>
  <c r="BP40" i="2"/>
  <c r="BP45" i="2" s="1"/>
  <c r="BP280" i="2"/>
  <c r="BP285" i="2" s="1"/>
  <c r="BP118" i="2"/>
  <c r="BP123" i="2" s="1"/>
  <c r="BP243" i="2"/>
  <c r="BP248" i="2" s="1"/>
  <c r="BP79" i="2"/>
  <c r="BP84" i="2" s="1"/>
  <c r="BP157" i="2"/>
  <c r="BP162" i="2" s="1"/>
  <c r="BQ12" i="2"/>
  <c r="BP339" i="2"/>
  <c r="BP341" i="2"/>
  <c r="BP342" i="2"/>
  <c r="BP340" i="2"/>
  <c r="BP338" i="2"/>
  <c r="BQ15" i="2"/>
  <c r="BO325" i="2"/>
  <c r="BL167" i="2"/>
  <c r="BM77" i="2"/>
  <c r="BM82" i="2" s="1"/>
  <c r="BM87" i="2" s="1"/>
  <c r="BM155" i="2"/>
  <c r="BM236" i="2"/>
  <c r="BM241" i="2"/>
  <c r="BM72" i="2"/>
  <c r="BM189" i="2"/>
  <c r="BM144" i="2"/>
  <c r="BM158" i="2" s="1"/>
  <c r="BM163" i="2" s="1"/>
  <c r="BM194" i="2"/>
  <c r="BM150" i="2"/>
  <c r="BM66" i="2"/>
  <c r="BM183" i="2"/>
  <c r="BM105" i="2"/>
  <c r="BM116" i="2"/>
  <c r="BM174" i="2"/>
  <c r="BM197" i="2"/>
  <c r="BM202" i="2" s="1"/>
  <c r="BM80" i="2"/>
  <c r="BM85" i="2" s="1"/>
  <c r="BM135" i="2"/>
  <c r="BM213" i="2"/>
  <c r="BM96" i="2"/>
  <c r="BM159" i="2"/>
  <c r="BM164" i="2" s="1"/>
  <c r="BM119" i="2"/>
  <c r="BM124" i="2" s="1"/>
  <c r="BM91" i="2"/>
  <c r="BM130" i="2"/>
  <c r="BM169" i="2"/>
  <c r="BM170" i="2"/>
  <c r="BM129" i="2"/>
  <c r="BM131" i="2"/>
  <c r="BM132" i="2"/>
  <c r="BM168" i="2"/>
  <c r="BM92" i="2"/>
  <c r="BM208" i="2"/>
  <c r="BM160" i="2"/>
  <c r="BM165" i="2" s="1"/>
  <c r="BM171" i="2"/>
  <c r="BM210" i="2"/>
  <c r="BM93" i="2"/>
  <c r="BM207" i="2"/>
  <c r="BM209" i="2"/>
  <c r="BM90" i="2"/>
  <c r="BM246" i="2"/>
  <c r="BM251" i="2" s="1"/>
  <c r="BM255" i="2"/>
  <c r="BM257" i="2"/>
  <c r="BM256" i="2"/>
  <c r="BM254" i="2"/>
  <c r="BM245" i="2"/>
  <c r="BM250" i="2" s="1"/>
  <c r="BM95" i="2"/>
  <c r="BM259" i="2"/>
  <c r="BM173" i="2"/>
  <c r="BM134" i="2"/>
  <c r="BM212" i="2"/>
  <c r="BM230" i="2"/>
  <c r="BM222" i="2"/>
  <c r="BM57" i="2"/>
  <c r="BM51" i="2"/>
  <c r="BM54" i="2"/>
  <c r="BM56" i="2"/>
  <c r="BM52" i="2"/>
  <c r="BM53" i="2"/>
  <c r="BM8" i="2"/>
  <c r="BM33" i="2"/>
  <c r="BM38" i="2"/>
  <c r="BM27" i="2"/>
  <c r="BM41" i="2" s="1"/>
  <c r="BM46" i="2" s="1"/>
  <c r="BN5" i="2"/>
  <c r="BN183" i="2" s="1"/>
  <c r="BQ196" i="2" l="1"/>
  <c r="BQ201" i="2" s="1"/>
  <c r="BQ157" i="2"/>
  <c r="BQ162" i="2" s="1"/>
  <c r="BQ118" i="2"/>
  <c r="BQ123" i="2" s="1"/>
  <c r="BQ40" i="2"/>
  <c r="BQ45" i="2" s="1"/>
  <c r="BQ79" i="2"/>
  <c r="BQ84" i="2" s="1"/>
  <c r="BQ280" i="2"/>
  <c r="BQ285" i="2" s="1"/>
  <c r="BQ243" i="2"/>
  <c r="BQ248" i="2" s="1"/>
  <c r="BR12" i="2"/>
  <c r="BQ342" i="2"/>
  <c r="BQ338" i="2"/>
  <c r="BQ340" i="2"/>
  <c r="BQ341" i="2"/>
  <c r="BQ339" i="2"/>
  <c r="BR15" i="2"/>
  <c r="BP325" i="2"/>
  <c r="BM167" i="2"/>
  <c r="BN189" i="2"/>
  <c r="BN230" i="2"/>
  <c r="BN72" i="2"/>
  <c r="BN236" i="2"/>
  <c r="BN66" i="2"/>
  <c r="BN155" i="2"/>
  <c r="BN105" i="2"/>
  <c r="BN144" i="2"/>
  <c r="BN213" i="2"/>
  <c r="BN174" i="2"/>
  <c r="BN158" i="2"/>
  <c r="BN163" i="2" s="1"/>
  <c r="BN135" i="2"/>
  <c r="BN96" i="2"/>
  <c r="BN119" i="2"/>
  <c r="BN124" i="2" s="1"/>
  <c r="BN197" i="2"/>
  <c r="BN202" i="2" s="1"/>
  <c r="BN80" i="2"/>
  <c r="BN85" i="2" s="1"/>
  <c r="BN130" i="2"/>
  <c r="BN91" i="2"/>
  <c r="BN129" i="2"/>
  <c r="BN209" i="2"/>
  <c r="BN207" i="2"/>
  <c r="BN132" i="2"/>
  <c r="BN210" i="2"/>
  <c r="BN208" i="2"/>
  <c r="BN131" i="2"/>
  <c r="BN92" i="2"/>
  <c r="BN90" i="2"/>
  <c r="BN93" i="2"/>
  <c r="BN256" i="2"/>
  <c r="BN255" i="2"/>
  <c r="BN246" i="2"/>
  <c r="BN251" i="2" s="1"/>
  <c r="BN257" i="2"/>
  <c r="BN254" i="2"/>
  <c r="BN245" i="2"/>
  <c r="BN250" i="2" s="1"/>
  <c r="BN170" i="2"/>
  <c r="BN134" i="2"/>
  <c r="BN95" i="2"/>
  <c r="BN173" i="2"/>
  <c r="BN159" i="2"/>
  <c r="BN164" i="2" s="1"/>
  <c r="BN169" i="2" s="1"/>
  <c r="BN259" i="2"/>
  <c r="BN212" i="2"/>
  <c r="BN160" i="2"/>
  <c r="BN165" i="2" s="1"/>
  <c r="BN168" i="2" s="1"/>
  <c r="BN77" i="2"/>
  <c r="BN82" i="2" s="1"/>
  <c r="BN87" i="2" s="1"/>
  <c r="BN111" i="2"/>
  <c r="BN150" i="2"/>
  <c r="BN241" i="2"/>
  <c r="BN222" i="2"/>
  <c r="BN57" i="2"/>
  <c r="BN51" i="2"/>
  <c r="BN56" i="2"/>
  <c r="BN53" i="2"/>
  <c r="BN52" i="2"/>
  <c r="BN54" i="2"/>
  <c r="BN8" i="2"/>
  <c r="BN38" i="2"/>
  <c r="BN27" i="2"/>
  <c r="BN41" i="2" s="1"/>
  <c r="BN46" i="2" s="1"/>
  <c r="BN33" i="2"/>
  <c r="BO5" i="2"/>
  <c r="BO72" i="2" s="1"/>
  <c r="BR79" i="2" l="1"/>
  <c r="BR84" i="2" s="1"/>
  <c r="BR280" i="2"/>
  <c r="BR285" i="2" s="1"/>
  <c r="BR243" i="2"/>
  <c r="BR248" i="2" s="1"/>
  <c r="BR196" i="2"/>
  <c r="BR201" i="2" s="1"/>
  <c r="BR40" i="2"/>
  <c r="BR45" i="2" s="1"/>
  <c r="BR157" i="2"/>
  <c r="BR162" i="2" s="1"/>
  <c r="BR118" i="2"/>
  <c r="BR123" i="2" s="1"/>
  <c r="BS12" i="2"/>
  <c r="BQ325" i="2"/>
  <c r="BR340" i="2"/>
  <c r="BR338" i="2"/>
  <c r="BR339" i="2"/>
  <c r="BR341" i="2"/>
  <c r="BR342" i="2"/>
  <c r="BS15" i="2"/>
  <c r="BO241" i="2"/>
  <c r="BO116" i="2"/>
  <c r="BO144" i="2"/>
  <c r="BO66" i="2"/>
  <c r="BO150" i="2"/>
  <c r="BO159" i="2" s="1"/>
  <c r="BO164" i="2" s="1"/>
  <c r="BO155" i="2"/>
  <c r="BO105" i="2"/>
  <c r="BO183" i="2"/>
  <c r="BO194" i="2"/>
  <c r="BO174" i="2"/>
  <c r="BO135" i="2"/>
  <c r="BO213" i="2"/>
  <c r="BO158" i="2"/>
  <c r="BO163" i="2" s="1"/>
  <c r="BO119" i="2"/>
  <c r="BO124" i="2" s="1"/>
  <c r="BO197" i="2"/>
  <c r="BO202" i="2" s="1"/>
  <c r="BO80" i="2"/>
  <c r="BO85" i="2" s="1"/>
  <c r="BO96" i="2"/>
  <c r="BO91" i="2"/>
  <c r="BO130" i="2"/>
  <c r="BO208" i="2"/>
  <c r="BO131" i="2"/>
  <c r="BO170" i="2"/>
  <c r="BO171" i="2"/>
  <c r="BO210" i="2"/>
  <c r="BO92" i="2"/>
  <c r="BO129" i="2"/>
  <c r="BO132" i="2"/>
  <c r="BO209" i="2"/>
  <c r="BO90" i="2"/>
  <c r="BO93" i="2"/>
  <c r="BO207" i="2"/>
  <c r="BO257" i="2"/>
  <c r="BO254" i="2"/>
  <c r="BO246" i="2"/>
  <c r="BO251" i="2" s="1"/>
  <c r="BO256" i="2"/>
  <c r="BO255" i="2"/>
  <c r="BO245" i="2"/>
  <c r="BO250" i="2" s="1"/>
  <c r="BO212" i="2"/>
  <c r="BO259" i="2"/>
  <c r="BO134" i="2"/>
  <c r="BO173" i="2"/>
  <c r="BO160" i="2"/>
  <c r="BO165" i="2" s="1"/>
  <c r="BO168" i="2" s="1"/>
  <c r="BO95" i="2"/>
  <c r="BO189" i="2"/>
  <c r="BO236" i="2"/>
  <c r="BN167" i="2"/>
  <c r="BO111" i="2"/>
  <c r="BO222" i="2"/>
  <c r="BO57" i="2"/>
  <c r="BO53" i="2"/>
  <c r="BO51" i="2"/>
  <c r="BO54" i="2"/>
  <c r="BO52" i="2"/>
  <c r="BO56" i="2"/>
  <c r="BO8" i="2"/>
  <c r="BO27" i="2"/>
  <c r="BO41" i="2" s="1"/>
  <c r="BO46" i="2" s="1"/>
  <c r="BO33" i="2"/>
  <c r="BP5" i="2"/>
  <c r="BP150" i="2" s="1"/>
  <c r="BS243" i="2" l="1"/>
  <c r="BS248" i="2" s="1"/>
  <c r="BS40" i="2"/>
  <c r="BS45" i="2" s="1"/>
  <c r="BS118" i="2"/>
  <c r="BS123" i="2" s="1"/>
  <c r="BS196" i="2"/>
  <c r="BS201" i="2" s="1"/>
  <c r="BS157" i="2"/>
  <c r="BS162" i="2" s="1"/>
  <c r="BS79" i="2"/>
  <c r="BS84" i="2" s="1"/>
  <c r="BS280" i="2"/>
  <c r="BS285" i="2" s="1"/>
  <c r="BT12" i="2"/>
  <c r="BR325" i="2"/>
  <c r="BS341" i="2"/>
  <c r="BS342" i="2"/>
  <c r="BS340" i="2"/>
  <c r="BS338" i="2"/>
  <c r="BS339" i="2"/>
  <c r="BT15" i="2"/>
  <c r="BO167" i="2"/>
  <c r="BP230" i="2"/>
  <c r="BP66" i="2"/>
  <c r="BP105" i="2"/>
  <c r="BP236" i="2"/>
  <c r="BP116" i="2"/>
  <c r="BP189" i="2"/>
  <c r="BO169" i="2"/>
  <c r="BP111" i="2"/>
  <c r="BP183" i="2"/>
  <c r="BP241" i="2"/>
  <c r="BP194" i="2"/>
  <c r="BP197" i="2"/>
  <c r="BP202" i="2" s="1"/>
  <c r="BP158" i="2"/>
  <c r="BP163" i="2" s="1"/>
  <c r="BP174" i="2"/>
  <c r="BP135" i="2"/>
  <c r="BP80" i="2"/>
  <c r="BP85" i="2" s="1"/>
  <c r="BP213" i="2"/>
  <c r="BP119" i="2"/>
  <c r="BP124" i="2" s="1"/>
  <c r="BP96" i="2"/>
  <c r="BP208" i="2"/>
  <c r="BP130" i="2"/>
  <c r="BP132" i="2"/>
  <c r="BP129" i="2"/>
  <c r="BP91" i="2"/>
  <c r="BP131" i="2"/>
  <c r="BP92" i="2"/>
  <c r="BP171" i="2"/>
  <c r="BP210" i="2"/>
  <c r="BP170" i="2"/>
  <c r="BP93" i="2"/>
  <c r="BP209" i="2"/>
  <c r="BP90" i="2"/>
  <c r="BP207" i="2"/>
  <c r="BP255" i="2"/>
  <c r="BP256" i="2"/>
  <c r="BP257" i="2"/>
  <c r="BP254" i="2"/>
  <c r="BP246" i="2"/>
  <c r="BP251" i="2" s="1"/>
  <c r="BP245" i="2"/>
  <c r="BP250" i="2" s="1"/>
  <c r="BP259" i="2"/>
  <c r="BP134" i="2"/>
  <c r="BP95" i="2"/>
  <c r="BP159" i="2"/>
  <c r="BP164" i="2" s="1"/>
  <c r="BP169" i="2" s="1"/>
  <c r="BP212" i="2"/>
  <c r="BP160" i="2"/>
  <c r="BP165" i="2" s="1"/>
  <c r="BP168" i="2" s="1"/>
  <c r="BP173" i="2"/>
  <c r="BP77" i="2"/>
  <c r="BP72" i="2"/>
  <c r="BP155" i="2"/>
  <c r="BP144" i="2"/>
  <c r="BP222" i="2"/>
  <c r="BP57" i="2"/>
  <c r="BP56" i="2"/>
  <c r="BP51" i="2"/>
  <c r="BP54" i="2"/>
  <c r="BP52" i="2"/>
  <c r="BP53" i="2"/>
  <c r="BP8" i="2"/>
  <c r="BP33" i="2"/>
  <c r="BP27" i="2"/>
  <c r="BP41" i="2" s="1"/>
  <c r="BP46" i="2" s="1"/>
  <c r="BP38" i="2"/>
  <c r="BQ5" i="2"/>
  <c r="BQ66" i="2" s="1"/>
  <c r="BT196" i="2" l="1"/>
  <c r="BT201" i="2" s="1"/>
  <c r="BT40" i="2"/>
  <c r="BT45" i="2" s="1"/>
  <c r="BT280" i="2"/>
  <c r="BT285" i="2" s="1"/>
  <c r="BT243" i="2"/>
  <c r="BT248" i="2" s="1"/>
  <c r="BT157" i="2"/>
  <c r="BT162" i="2" s="1"/>
  <c r="BT118" i="2"/>
  <c r="BT123" i="2" s="1"/>
  <c r="BT79" i="2"/>
  <c r="BT84" i="2" s="1"/>
  <c r="BU12" i="2"/>
  <c r="BT339" i="2"/>
  <c r="BT340" i="2"/>
  <c r="BT342" i="2"/>
  <c r="BT338" i="2"/>
  <c r="BT341" i="2"/>
  <c r="BU15" i="2"/>
  <c r="BS325" i="2"/>
  <c r="BQ77" i="2"/>
  <c r="BQ189" i="2"/>
  <c r="BQ72" i="2"/>
  <c r="BQ155" i="2"/>
  <c r="BQ144" i="2"/>
  <c r="BP167" i="2"/>
  <c r="BQ230" i="2"/>
  <c r="BQ213" i="2"/>
  <c r="BQ197" i="2"/>
  <c r="BQ202" i="2" s="1"/>
  <c r="BQ158" i="2"/>
  <c r="BQ163" i="2" s="1"/>
  <c r="BQ174" i="2"/>
  <c r="BQ96" i="2"/>
  <c r="BQ135" i="2"/>
  <c r="BQ119" i="2"/>
  <c r="BQ124" i="2" s="1"/>
  <c r="BQ80" i="2"/>
  <c r="BQ85" i="2" s="1"/>
  <c r="BQ130" i="2"/>
  <c r="BQ208" i="2"/>
  <c r="BQ91" i="2"/>
  <c r="BQ131" i="2"/>
  <c r="BQ132" i="2"/>
  <c r="BQ129" i="2"/>
  <c r="BQ92" i="2"/>
  <c r="BQ207" i="2"/>
  <c r="BQ93" i="2"/>
  <c r="BQ90" i="2"/>
  <c r="BQ209" i="2"/>
  <c r="BQ210" i="2"/>
  <c r="BQ246" i="2"/>
  <c r="BQ251" i="2" s="1"/>
  <c r="BQ255" i="2"/>
  <c r="BQ254" i="2"/>
  <c r="BQ256" i="2"/>
  <c r="BQ257" i="2"/>
  <c r="BQ245" i="2"/>
  <c r="BQ250" i="2" s="1"/>
  <c r="BQ170" i="2"/>
  <c r="BQ95" i="2"/>
  <c r="BQ259" i="2"/>
  <c r="BQ160" i="2"/>
  <c r="BQ165" i="2" s="1"/>
  <c r="BQ168" i="2" s="1"/>
  <c r="BQ212" i="2"/>
  <c r="BQ134" i="2"/>
  <c r="BQ173" i="2"/>
  <c r="BQ169" i="2"/>
  <c r="BQ183" i="2"/>
  <c r="BQ105" i="2"/>
  <c r="BQ150" i="2"/>
  <c r="BQ159" i="2" s="1"/>
  <c r="BQ164" i="2" s="1"/>
  <c r="BQ241" i="2"/>
  <c r="BQ236" i="2"/>
  <c r="BQ111" i="2"/>
  <c r="BQ222" i="2"/>
  <c r="BQ57" i="2"/>
  <c r="BQ52" i="2"/>
  <c r="BQ53" i="2"/>
  <c r="BQ54" i="2"/>
  <c r="BQ51" i="2"/>
  <c r="BQ56" i="2"/>
  <c r="BQ8" i="2"/>
  <c r="BQ38" i="2"/>
  <c r="BQ33" i="2"/>
  <c r="BQ27" i="2"/>
  <c r="BQ41" i="2" s="1"/>
  <c r="BQ46" i="2" s="1"/>
  <c r="BR5" i="2"/>
  <c r="BR189" i="2" s="1"/>
  <c r="BU196" i="2" l="1"/>
  <c r="BU201" i="2" s="1"/>
  <c r="BU40" i="2"/>
  <c r="BU45" i="2" s="1"/>
  <c r="BU79" i="2"/>
  <c r="BU84" i="2" s="1"/>
  <c r="BU280" i="2"/>
  <c r="BU285" i="2" s="1"/>
  <c r="BU243" i="2"/>
  <c r="BU248" i="2" s="1"/>
  <c r="BU157" i="2"/>
  <c r="BU162" i="2" s="1"/>
  <c r="BU118" i="2"/>
  <c r="BU123" i="2" s="1"/>
  <c r="BV12" i="2"/>
  <c r="BU341" i="2"/>
  <c r="BU342" i="2"/>
  <c r="BU339" i="2"/>
  <c r="BU340" i="2"/>
  <c r="BU338" i="2"/>
  <c r="BV15" i="2"/>
  <c r="BT325" i="2"/>
  <c r="BR116" i="2"/>
  <c r="BR111" i="2"/>
  <c r="BR183" i="2"/>
  <c r="BR194" i="2"/>
  <c r="BR144" i="2"/>
  <c r="BR150" i="2"/>
  <c r="BR159" i="2" s="1"/>
  <c r="BR164" i="2" s="1"/>
  <c r="BR155" i="2"/>
  <c r="BR230" i="2"/>
  <c r="BR66" i="2"/>
  <c r="BR135" i="2"/>
  <c r="BR119" i="2"/>
  <c r="BR124" i="2" s="1"/>
  <c r="BR158" i="2"/>
  <c r="BR163" i="2" s="1"/>
  <c r="BR197" i="2"/>
  <c r="BR202" i="2" s="1"/>
  <c r="BR213" i="2"/>
  <c r="BR96" i="2"/>
  <c r="BR174" i="2"/>
  <c r="BR80" i="2"/>
  <c r="BR85" i="2" s="1"/>
  <c r="BR208" i="2"/>
  <c r="BR91" i="2"/>
  <c r="BR130" i="2"/>
  <c r="BR132" i="2"/>
  <c r="BR170" i="2"/>
  <c r="BR131" i="2"/>
  <c r="BR129" i="2"/>
  <c r="BR171" i="2"/>
  <c r="BR207" i="2"/>
  <c r="BR90" i="2"/>
  <c r="BR210" i="2"/>
  <c r="BR92" i="2"/>
  <c r="BR209" i="2"/>
  <c r="BR93" i="2"/>
  <c r="BR254" i="2"/>
  <c r="BR255" i="2"/>
  <c r="BR246" i="2"/>
  <c r="BR251" i="2" s="1"/>
  <c r="BR256" i="2"/>
  <c r="BR257" i="2"/>
  <c r="BR245" i="2"/>
  <c r="BR250" i="2" s="1"/>
  <c r="BR212" i="2"/>
  <c r="BR173" i="2"/>
  <c r="BR160" i="2"/>
  <c r="BR165" i="2" s="1"/>
  <c r="BR168" i="2" s="1"/>
  <c r="BR134" i="2"/>
  <c r="BR259" i="2"/>
  <c r="BR95" i="2"/>
  <c r="BR169" i="2"/>
  <c r="BR241" i="2"/>
  <c r="BQ167" i="2"/>
  <c r="BR105" i="2"/>
  <c r="BR236" i="2"/>
  <c r="BR72" i="2"/>
  <c r="BR222" i="2"/>
  <c r="BR57" i="2"/>
  <c r="BR52" i="2"/>
  <c r="BR51" i="2"/>
  <c r="BR54" i="2"/>
  <c r="BR53" i="2"/>
  <c r="BR56" i="2"/>
  <c r="BR8" i="2"/>
  <c r="BR27" i="2"/>
  <c r="BR41" i="2" s="1"/>
  <c r="BR46" i="2" s="1"/>
  <c r="BR33" i="2"/>
  <c r="BS5" i="2"/>
  <c r="BS183" i="2" s="1"/>
  <c r="BV280" i="2" l="1"/>
  <c r="BV285" i="2" s="1"/>
  <c r="BV157" i="2"/>
  <c r="BV162" i="2" s="1"/>
  <c r="BV243" i="2"/>
  <c r="BV248" i="2" s="1"/>
  <c r="BV40" i="2"/>
  <c r="BV45" i="2" s="1"/>
  <c r="BV118" i="2"/>
  <c r="BV123" i="2" s="1"/>
  <c r="BV196" i="2"/>
  <c r="BV201" i="2" s="1"/>
  <c r="BV79" i="2"/>
  <c r="BV84" i="2" s="1"/>
  <c r="BW12" i="2"/>
  <c r="BV340" i="2"/>
  <c r="BV341" i="2"/>
  <c r="BV339" i="2"/>
  <c r="BV342" i="2"/>
  <c r="BV338" i="2"/>
  <c r="BW15" i="2"/>
  <c r="BU325" i="2"/>
  <c r="BR167" i="2"/>
  <c r="BS236" i="2"/>
  <c r="BS66" i="2"/>
  <c r="BS155" i="2"/>
  <c r="BS230" i="2"/>
  <c r="BS105" i="2"/>
  <c r="BS77" i="2"/>
  <c r="BS144" i="2"/>
  <c r="BS111" i="2"/>
  <c r="BS197" i="2"/>
  <c r="BS202" i="2" s="1"/>
  <c r="BS158" i="2"/>
  <c r="BS163" i="2" s="1"/>
  <c r="BS213" i="2"/>
  <c r="BS80" i="2"/>
  <c r="BS85" i="2" s="1"/>
  <c r="BS135" i="2"/>
  <c r="BS96" i="2"/>
  <c r="BS174" i="2"/>
  <c r="BS119" i="2"/>
  <c r="BS124" i="2" s="1"/>
  <c r="BS208" i="2"/>
  <c r="BS91" i="2"/>
  <c r="BS130" i="2"/>
  <c r="BS129" i="2"/>
  <c r="BS169" i="2"/>
  <c r="BS131" i="2"/>
  <c r="BS171" i="2"/>
  <c r="BS132" i="2"/>
  <c r="BS170" i="2"/>
  <c r="BS210" i="2"/>
  <c r="BS93" i="2"/>
  <c r="BS92" i="2"/>
  <c r="BS209" i="2"/>
  <c r="BS90" i="2"/>
  <c r="BS207" i="2"/>
  <c r="BS256" i="2"/>
  <c r="BS255" i="2"/>
  <c r="BS246" i="2"/>
  <c r="BS251" i="2" s="1"/>
  <c r="BS254" i="2"/>
  <c r="BS257" i="2"/>
  <c r="BS245" i="2"/>
  <c r="BS250" i="2" s="1"/>
  <c r="BS259" i="2"/>
  <c r="BS212" i="2"/>
  <c r="BS160" i="2"/>
  <c r="BS165" i="2" s="1"/>
  <c r="BS168" i="2" s="1"/>
  <c r="BS134" i="2"/>
  <c r="BS95" i="2"/>
  <c r="BS173" i="2"/>
  <c r="BS241" i="2"/>
  <c r="BS194" i="2"/>
  <c r="BS72" i="2"/>
  <c r="BS189" i="2"/>
  <c r="BS116" i="2"/>
  <c r="BS150" i="2"/>
  <c r="BS159" i="2" s="1"/>
  <c r="BS164" i="2" s="1"/>
  <c r="BS222" i="2"/>
  <c r="BS57" i="2"/>
  <c r="BS53" i="2"/>
  <c r="BS56" i="2"/>
  <c r="BS54" i="2"/>
  <c r="BS51" i="2"/>
  <c r="BS52" i="2"/>
  <c r="BS8" i="2"/>
  <c r="BS27" i="2"/>
  <c r="BS41" i="2" s="1"/>
  <c r="BS46" i="2" s="1"/>
  <c r="BS38" i="2"/>
  <c r="BS33" i="2"/>
  <c r="BT5" i="2"/>
  <c r="BT241" i="2" s="1"/>
  <c r="BW243" i="2" l="1"/>
  <c r="BW248" i="2" s="1"/>
  <c r="BW196" i="2"/>
  <c r="BW201" i="2" s="1"/>
  <c r="BW157" i="2"/>
  <c r="BW162" i="2" s="1"/>
  <c r="BW118" i="2"/>
  <c r="BW123" i="2" s="1"/>
  <c r="BW79" i="2"/>
  <c r="BW84" i="2" s="1"/>
  <c r="BW40" i="2"/>
  <c r="BW45" i="2" s="1"/>
  <c r="BW280" i="2"/>
  <c r="BW285" i="2" s="1"/>
  <c r="BX12" i="2"/>
  <c r="BV325" i="2"/>
  <c r="BW338" i="2"/>
  <c r="BW339" i="2"/>
  <c r="BW342" i="2"/>
  <c r="BW341" i="2"/>
  <c r="BW340" i="2"/>
  <c r="BX15" i="2"/>
  <c r="BS167" i="2"/>
  <c r="BT77" i="2"/>
  <c r="BT155" i="2"/>
  <c r="BT150" i="2"/>
  <c r="BT159" i="2" s="1"/>
  <c r="BT164" i="2" s="1"/>
  <c r="BT183" i="2"/>
  <c r="BT72" i="2"/>
  <c r="BT174" i="2"/>
  <c r="BT158" i="2"/>
  <c r="BT163" i="2" s="1"/>
  <c r="BT213" i="2"/>
  <c r="BT197" i="2"/>
  <c r="BT202" i="2" s="1"/>
  <c r="BT135" i="2"/>
  <c r="BT119" i="2"/>
  <c r="BT124" i="2" s="1"/>
  <c r="BT80" i="2"/>
  <c r="BT85" i="2" s="1"/>
  <c r="BT96" i="2"/>
  <c r="BT91" i="2"/>
  <c r="BT131" i="2"/>
  <c r="BT130" i="2"/>
  <c r="BT129" i="2"/>
  <c r="BT208" i="2"/>
  <c r="BT132" i="2"/>
  <c r="BT209" i="2"/>
  <c r="BT210" i="2"/>
  <c r="BT90" i="2"/>
  <c r="BT207" i="2"/>
  <c r="BT93" i="2"/>
  <c r="BT92" i="2"/>
  <c r="BT256" i="2"/>
  <c r="BT254" i="2"/>
  <c r="BT255" i="2"/>
  <c r="BT246" i="2"/>
  <c r="BT251" i="2" s="1"/>
  <c r="BT257" i="2"/>
  <c r="BT245" i="2"/>
  <c r="BT250" i="2" s="1"/>
  <c r="BT170" i="2"/>
  <c r="BT134" i="2"/>
  <c r="BT95" i="2"/>
  <c r="BT212" i="2"/>
  <c r="BT259" i="2"/>
  <c r="BT160" i="2"/>
  <c r="BT173" i="2"/>
  <c r="BT236" i="2"/>
  <c r="BT66" i="2"/>
  <c r="BT116" i="2"/>
  <c r="BT144" i="2"/>
  <c r="BT194" i="2"/>
  <c r="BT105" i="2"/>
  <c r="BT222" i="2"/>
  <c r="BT27" i="2"/>
  <c r="BT57" i="2"/>
  <c r="BT51" i="2"/>
  <c r="BT53" i="2"/>
  <c r="BT54" i="2"/>
  <c r="BT52" i="2"/>
  <c r="BT56" i="2"/>
  <c r="BT8" i="2"/>
  <c r="BT41" i="2"/>
  <c r="BT46" i="2" s="1"/>
  <c r="BT38" i="2"/>
  <c r="BT33" i="2"/>
  <c r="BU5" i="2"/>
  <c r="BU72" i="2" s="1"/>
  <c r="BW325" i="2" l="1"/>
  <c r="BX118" i="2"/>
  <c r="BX123" i="2" s="1"/>
  <c r="BX79" i="2"/>
  <c r="BX84" i="2" s="1"/>
  <c r="BX243" i="2"/>
  <c r="BX248" i="2" s="1"/>
  <c r="BX196" i="2"/>
  <c r="BX201" i="2" s="1"/>
  <c r="BX40" i="2"/>
  <c r="BX45" i="2" s="1"/>
  <c r="BX280" i="2"/>
  <c r="BX285" i="2" s="1"/>
  <c r="BY12" i="2"/>
  <c r="BX157" i="2"/>
  <c r="BX162" i="2" s="1"/>
  <c r="BX338" i="2"/>
  <c r="BX340" i="2"/>
  <c r="BX341" i="2"/>
  <c r="BY15" i="2"/>
  <c r="BX339" i="2"/>
  <c r="BX342" i="2"/>
  <c r="BU116" i="2"/>
  <c r="BU230" i="2"/>
  <c r="BU236" i="2"/>
  <c r="BU189" i="2"/>
  <c r="BU241" i="2"/>
  <c r="BU174" i="2"/>
  <c r="BU213" i="2"/>
  <c r="BU197" i="2"/>
  <c r="BU202" i="2" s="1"/>
  <c r="BU135" i="2"/>
  <c r="BU119" i="2"/>
  <c r="BU124" i="2" s="1"/>
  <c r="BU158" i="2"/>
  <c r="BU163" i="2" s="1"/>
  <c r="BU80" i="2"/>
  <c r="BU85" i="2" s="1"/>
  <c r="BU96" i="2"/>
  <c r="BU130" i="2"/>
  <c r="BU208" i="2"/>
  <c r="BU91" i="2"/>
  <c r="BU131" i="2"/>
  <c r="BU129" i="2"/>
  <c r="BU210" i="2"/>
  <c r="BU132" i="2"/>
  <c r="BU171" i="2"/>
  <c r="BU207" i="2"/>
  <c r="BU209" i="2"/>
  <c r="BU90" i="2"/>
  <c r="BU170" i="2"/>
  <c r="BU93" i="2"/>
  <c r="BU92" i="2"/>
  <c r="BU254" i="2"/>
  <c r="BU255" i="2"/>
  <c r="BU246" i="2"/>
  <c r="BU251" i="2" s="1"/>
  <c r="BU257" i="2"/>
  <c r="BU256" i="2"/>
  <c r="BU245" i="2"/>
  <c r="BU250" i="2" s="1"/>
  <c r="BU259" i="2"/>
  <c r="BU95" i="2"/>
  <c r="BU173" i="2"/>
  <c r="BU212" i="2"/>
  <c r="BU134" i="2"/>
  <c r="BU105" i="2"/>
  <c r="BU155" i="2"/>
  <c r="BU160" i="2" s="1"/>
  <c r="BU165" i="2" s="1"/>
  <c r="BU168" i="2" s="1"/>
  <c r="BU66" i="2"/>
  <c r="BU144" i="2"/>
  <c r="BU150" i="2"/>
  <c r="BU159" i="2" s="1"/>
  <c r="BU164" i="2" s="1"/>
  <c r="BT165" i="2"/>
  <c r="BT168" i="2" s="1"/>
  <c r="BU194" i="2"/>
  <c r="BU111" i="2"/>
  <c r="BU183" i="2"/>
  <c r="BU222" i="2"/>
  <c r="BU57" i="2"/>
  <c r="BU54" i="2"/>
  <c r="BU56" i="2"/>
  <c r="BU52" i="2"/>
  <c r="BU53" i="2"/>
  <c r="BU51" i="2"/>
  <c r="BU8" i="2"/>
  <c r="BU33" i="2"/>
  <c r="BU27" i="2"/>
  <c r="BU41" i="2" s="1"/>
  <c r="BU46" i="2" s="1"/>
  <c r="BV5" i="2"/>
  <c r="BV241" i="2" s="1"/>
  <c r="BY340" i="2" l="1"/>
  <c r="K143" i="1" s="1"/>
  <c r="BY338" i="2"/>
  <c r="K141" i="1" s="1"/>
  <c r="BY341" i="2"/>
  <c r="K144" i="1" s="1"/>
  <c r="BY342" i="2"/>
  <c r="K145" i="1" s="1"/>
  <c r="BY339" i="2"/>
  <c r="K142" i="1" s="1"/>
  <c r="BY79" i="2"/>
  <c r="BY84" i="2" s="1"/>
  <c r="BY243" i="2"/>
  <c r="BY248" i="2" s="1"/>
  <c r="BY196" i="2"/>
  <c r="BY201" i="2" s="1"/>
  <c r="BY280" i="2"/>
  <c r="BY285" i="2" s="1"/>
  <c r="BY157" i="2"/>
  <c r="BY162" i="2" s="1"/>
  <c r="BY40" i="2"/>
  <c r="BY45" i="2" s="1"/>
  <c r="BY118" i="2"/>
  <c r="BY123" i="2" s="1"/>
  <c r="BX325" i="2"/>
  <c r="BU169" i="2"/>
  <c r="BU167" i="2"/>
  <c r="BV150" i="2"/>
  <c r="BV159" i="2" s="1"/>
  <c r="BV164" i="2" s="1"/>
  <c r="BV144" i="2"/>
  <c r="BV116" i="2"/>
  <c r="BV155" i="2"/>
  <c r="BV160" i="2" s="1"/>
  <c r="BV165" i="2" s="1"/>
  <c r="BV230" i="2"/>
  <c r="BV72" i="2"/>
  <c r="BV194" i="2"/>
  <c r="BV236" i="2"/>
  <c r="BV105" i="2"/>
  <c r="BV189" i="2"/>
  <c r="BV213" i="2"/>
  <c r="BV197" i="2"/>
  <c r="BV202" i="2" s="1"/>
  <c r="BV174" i="2"/>
  <c r="BV96" i="2"/>
  <c r="BV158" i="2"/>
  <c r="BV163" i="2" s="1"/>
  <c r="BV80" i="2"/>
  <c r="BV85" i="2" s="1"/>
  <c r="BV119" i="2"/>
  <c r="BV124" i="2" s="1"/>
  <c r="BV135" i="2"/>
  <c r="BV130" i="2"/>
  <c r="BV91" i="2"/>
  <c r="BV132" i="2"/>
  <c r="BV208" i="2"/>
  <c r="BV131" i="2"/>
  <c r="BV93" i="2"/>
  <c r="BV209" i="2"/>
  <c r="BV129" i="2"/>
  <c r="BV170" i="2"/>
  <c r="BV171" i="2"/>
  <c r="BV207" i="2"/>
  <c r="BV210" i="2"/>
  <c r="BV92" i="2"/>
  <c r="BV90" i="2"/>
  <c r="BV256" i="2"/>
  <c r="BV246" i="2"/>
  <c r="BV251" i="2" s="1"/>
  <c r="BV254" i="2"/>
  <c r="BV255" i="2"/>
  <c r="BV257" i="2"/>
  <c r="BV245" i="2"/>
  <c r="BV250" i="2" s="1"/>
  <c r="BV173" i="2"/>
  <c r="BV95" i="2"/>
  <c r="BV259" i="2"/>
  <c r="BV134" i="2"/>
  <c r="BV212" i="2"/>
  <c r="BV77" i="2"/>
  <c r="BV66" i="2"/>
  <c r="BV111" i="2"/>
  <c r="BT167" i="2"/>
  <c r="BT169" i="2"/>
  <c r="BV183" i="2"/>
  <c r="BV222" i="2"/>
  <c r="BV38" i="2"/>
  <c r="BV57" i="2"/>
  <c r="BV56" i="2"/>
  <c r="BV53" i="2"/>
  <c r="BV52" i="2"/>
  <c r="BV54" i="2"/>
  <c r="BV51" i="2"/>
  <c r="BV8" i="2"/>
  <c r="BV33" i="2"/>
  <c r="BV27" i="2"/>
  <c r="BV41" i="2" s="1"/>
  <c r="BV46" i="2" s="1"/>
  <c r="BW5" i="2"/>
  <c r="BW183" i="2" s="1"/>
  <c r="BV168" i="2" l="1"/>
  <c r="BV169" i="2"/>
  <c r="BY325" i="2"/>
  <c r="K128" i="1" s="1"/>
  <c r="BW150" i="2"/>
  <c r="BW159" i="2" s="1"/>
  <c r="BW164" i="2" s="1"/>
  <c r="BW155" i="2"/>
  <c r="BW160" i="2" s="1"/>
  <c r="BW236" i="2"/>
  <c r="BW77" i="2"/>
  <c r="BW174" i="2"/>
  <c r="BW135" i="2"/>
  <c r="BW213" i="2"/>
  <c r="BW119" i="2"/>
  <c r="BW124" i="2" s="1"/>
  <c r="BW158" i="2"/>
  <c r="BW163" i="2" s="1"/>
  <c r="BW80" i="2"/>
  <c r="BW85" i="2" s="1"/>
  <c r="BW96" i="2"/>
  <c r="BW197" i="2"/>
  <c r="BW202" i="2" s="1"/>
  <c r="BW130" i="2"/>
  <c r="BW91" i="2"/>
  <c r="BW208" i="2"/>
  <c r="BW168" i="2"/>
  <c r="BW90" i="2"/>
  <c r="BW129" i="2"/>
  <c r="BW210" i="2"/>
  <c r="BW207" i="2"/>
  <c r="BW132" i="2"/>
  <c r="BW131" i="2"/>
  <c r="BW209" i="2"/>
  <c r="BW92" i="2"/>
  <c r="BW93" i="2"/>
  <c r="BW255" i="2"/>
  <c r="BW257" i="2"/>
  <c r="BW256" i="2"/>
  <c r="BW254" i="2"/>
  <c r="BW246" i="2"/>
  <c r="BW251" i="2" s="1"/>
  <c r="BW245" i="2"/>
  <c r="BW250" i="2" s="1"/>
  <c r="BW170" i="2"/>
  <c r="BW95" i="2"/>
  <c r="BW134" i="2"/>
  <c r="BW259" i="2"/>
  <c r="BW173" i="2"/>
  <c r="BW212" i="2"/>
  <c r="BW66" i="2"/>
  <c r="BV167" i="2"/>
  <c r="BW105" i="2"/>
  <c r="BW72" i="2"/>
  <c r="BW230" i="2"/>
  <c r="BW241" i="2"/>
  <c r="BW189" i="2"/>
  <c r="BW111" i="2"/>
  <c r="BW144" i="2"/>
  <c r="BW222" i="2"/>
  <c r="BW57" i="2"/>
  <c r="BW53" i="2"/>
  <c r="BW52" i="2"/>
  <c r="BW51" i="2"/>
  <c r="BW54" i="2"/>
  <c r="BW56" i="2"/>
  <c r="BW8" i="2"/>
  <c r="BW27" i="2"/>
  <c r="BW41" i="2" s="1"/>
  <c r="BW46" i="2" s="1"/>
  <c r="BW38" i="2"/>
  <c r="BW33" i="2"/>
  <c r="BX5" i="2"/>
  <c r="BX77" i="2" s="1"/>
  <c r="BX155" i="2" l="1"/>
  <c r="BX160" i="2" s="1"/>
  <c r="BX165" i="2" s="1"/>
  <c r="BX169" i="2" s="1"/>
  <c r="BX230" i="2"/>
  <c r="BX105" i="2"/>
  <c r="BX236" i="2"/>
  <c r="BX194" i="2"/>
  <c r="BX66" i="2"/>
  <c r="BW165" i="2"/>
  <c r="BW169" i="2" s="1"/>
  <c r="BX116" i="2"/>
  <c r="BX197" i="2"/>
  <c r="BX202" i="2" s="1"/>
  <c r="BX158" i="2"/>
  <c r="BX163" i="2" s="1"/>
  <c r="BX213" i="2"/>
  <c r="BX174" i="2"/>
  <c r="BX135" i="2"/>
  <c r="BX80" i="2"/>
  <c r="BX85" i="2" s="1"/>
  <c r="BX119" i="2"/>
  <c r="BX124" i="2" s="1"/>
  <c r="BX96" i="2"/>
  <c r="BX130" i="2"/>
  <c r="BX91" i="2"/>
  <c r="BX129" i="2"/>
  <c r="BX132" i="2"/>
  <c r="BX170" i="2"/>
  <c r="BX208" i="2"/>
  <c r="BX209" i="2"/>
  <c r="BX171" i="2"/>
  <c r="BX93" i="2"/>
  <c r="BX168" i="2"/>
  <c r="BX131" i="2"/>
  <c r="BX90" i="2"/>
  <c r="BX207" i="2"/>
  <c r="BX92" i="2"/>
  <c r="BX210" i="2"/>
  <c r="BX254" i="2"/>
  <c r="BX246" i="2"/>
  <c r="BX251" i="2" s="1"/>
  <c r="BX257" i="2"/>
  <c r="BX255" i="2"/>
  <c r="BX256" i="2"/>
  <c r="BX245" i="2"/>
  <c r="BX250" i="2" s="1"/>
  <c r="BX95" i="2"/>
  <c r="BX173" i="2"/>
  <c r="BX212" i="2"/>
  <c r="BX134" i="2"/>
  <c r="BX259" i="2"/>
  <c r="BX241" i="2"/>
  <c r="BX150" i="2"/>
  <c r="BX159" i="2" s="1"/>
  <c r="BX164" i="2" s="1"/>
  <c r="BX144" i="2"/>
  <c r="BX183" i="2"/>
  <c r="BX189" i="2"/>
  <c r="BX111" i="2"/>
  <c r="BX222" i="2"/>
  <c r="BX57" i="2"/>
  <c r="BX53" i="2"/>
  <c r="BX56" i="2"/>
  <c r="BX8" i="2"/>
  <c r="BX41" i="2"/>
  <c r="BX46" i="2" s="1"/>
  <c r="BX38" i="2"/>
  <c r="BX27" i="2"/>
  <c r="BY5" i="2"/>
  <c r="BY194" i="2" s="1"/>
  <c r="BX167" i="2" l="1"/>
  <c r="BY241" i="2"/>
  <c r="BY72" i="2"/>
  <c r="BY189" i="2"/>
  <c r="BY66" i="2"/>
  <c r="BY105" i="2"/>
  <c r="BY213" i="2"/>
  <c r="BY197" i="2"/>
  <c r="BY202" i="2" s="1"/>
  <c r="BY158" i="2"/>
  <c r="BY163" i="2" s="1"/>
  <c r="BY174" i="2"/>
  <c r="BY135" i="2"/>
  <c r="BY96" i="2"/>
  <c r="BY119" i="2"/>
  <c r="BY124" i="2" s="1"/>
  <c r="BY80" i="2"/>
  <c r="BY85" i="2" s="1"/>
  <c r="BY91" i="2"/>
  <c r="E264" i="2"/>
  <c r="BY130" i="2"/>
  <c r="BY208" i="2"/>
  <c r="BY168" i="2"/>
  <c r="BY132" i="2"/>
  <c r="BY129" i="2"/>
  <c r="BY131" i="2"/>
  <c r="BY171" i="2"/>
  <c r="BY170" i="2"/>
  <c r="BY93" i="2"/>
  <c r="BY207" i="2"/>
  <c r="BY90" i="2"/>
  <c r="BY92" i="2"/>
  <c r="BY210" i="2"/>
  <c r="BY209" i="2"/>
  <c r="BY246" i="2"/>
  <c r="BY251" i="2" s="1"/>
  <c r="BY254" i="2"/>
  <c r="BY256" i="2"/>
  <c r="BY255" i="2"/>
  <c r="BY257" i="2"/>
  <c r="BY245" i="2"/>
  <c r="BY250" i="2" s="1"/>
  <c r="E72" i="2"/>
  <c r="E150" i="2"/>
  <c r="BN171" i="2" s="1"/>
  <c r="E111" i="2"/>
  <c r="E236" i="2"/>
  <c r="E77" i="2"/>
  <c r="E230" i="2"/>
  <c r="E155" i="2"/>
  <c r="BW171" i="2" s="1"/>
  <c r="E241" i="2"/>
  <c r="E116" i="2"/>
  <c r="E189" i="2"/>
  <c r="E194" i="2"/>
  <c r="BY212" i="2"/>
  <c r="BY95" i="2"/>
  <c r="BY259" i="2"/>
  <c r="BY173" i="2"/>
  <c r="BY134" i="2"/>
  <c r="BY155" i="2"/>
  <c r="BY160" i="2" s="1"/>
  <c r="BY165" i="2" s="1"/>
  <c r="BY169" i="2" s="1"/>
  <c r="BY111" i="2"/>
  <c r="BY144" i="2"/>
  <c r="BY116" i="2"/>
  <c r="BY236" i="2"/>
  <c r="BY150" i="2"/>
  <c r="BY159" i="2" s="1"/>
  <c r="BY164" i="2" s="1"/>
  <c r="BY77" i="2"/>
  <c r="BY230" i="2"/>
  <c r="BY183" i="2"/>
  <c r="BW167" i="2"/>
  <c r="BY222" i="2"/>
  <c r="BY57" i="2"/>
  <c r="BY54" i="2"/>
  <c r="BY56" i="2"/>
  <c r="BY53" i="2"/>
  <c r="BY8" i="2"/>
  <c r="BY41" i="2"/>
  <c r="BY46" i="2" s="1"/>
  <c r="E33" i="2"/>
  <c r="AN54" i="2" s="1"/>
  <c r="E38" i="2"/>
  <c r="BY38" i="2"/>
  <c r="BY33" i="2"/>
  <c r="BY27" i="2"/>
  <c r="BE210" i="2" l="1"/>
  <c r="BQ194" i="2"/>
  <c r="AG132" i="2"/>
  <c r="AS116" i="2"/>
  <c r="BE116" i="2"/>
  <c r="BQ116" i="2"/>
  <c r="BC93" i="2"/>
  <c r="BI93" i="2"/>
  <c r="BU77" i="2"/>
  <c r="AY210" i="2"/>
  <c r="BK194" i="2"/>
  <c r="BK199" i="2" s="1"/>
  <c r="BW194" i="2"/>
  <c r="AA132" i="2"/>
  <c r="AM116" i="2"/>
  <c r="AM121" i="2" s="1"/>
  <c r="AY116" i="2"/>
  <c r="BK116" i="2"/>
  <c r="BW116" i="2"/>
  <c r="BT171" i="2"/>
  <c r="BQ171" i="2"/>
  <c r="AE257" i="2"/>
  <c r="AQ230" i="2"/>
  <c r="AQ244" i="2" s="1"/>
  <c r="BC230" i="2"/>
  <c r="BY297" i="2"/>
  <c r="BY331" i="2" s="1"/>
  <c r="BY167" i="2"/>
  <c r="BB210" i="2"/>
  <c r="BN194" i="2"/>
  <c r="X132" i="2"/>
  <c r="AJ111" i="2"/>
  <c r="AJ120" i="2" s="1"/>
  <c r="AV111" i="2"/>
  <c r="BH111" i="2"/>
  <c r="BT111" i="2"/>
  <c r="AV210" i="2"/>
  <c r="BH189" i="2"/>
  <c r="BH198" i="2" s="1"/>
  <c r="BT189" i="2"/>
  <c r="AD132" i="2"/>
  <c r="AP116" i="2"/>
  <c r="BB116" i="2"/>
  <c r="BN116" i="2"/>
  <c r="AZ93" i="2"/>
  <c r="BL72" i="2"/>
  <c r="BL81" i="2" s="1"/>
  <c r="BX72" i="2"/>
  <c r="BO230" i="2"/>
  <c r="AJ257" i="2"/>
  <c r="AV230" i="2"/>
  <c r="BH230" i="2"/>
  <c r="BT230" i="2"/>
  <c r="E267" i="2"/>
  <c r="E266" i="2"/>
  <c r="I281" i="2" s="1"/>
  <c r="I286" i="2" s="1"/>
  <c r="F290" i="2"/>
  <c r="F326" i="2" s="1"/>
  <c r="F297" i="2"/>
  <c r="F331" i="2" s="1"/>
  <c r="F306" i="2"/>
  <c r="F332" i="2" s="1"/>
  <c r="F296" i="2"/>
  <c r="F329" i="2" s="1"/>
  <c r="G296" i="2"/>
  <c r="G329" i="2" s="1"/>
  <c r="G297" i="2"/>
  <c r="G331" i="2" s="1"/>
  <c r="G306" i="2"/>
  <c r="G332" i="2" s="1"/>
  <c r="G290" i="2"/>
  <c r="G326" i="2" s="1"/>
  <c r="H296" i="2"/>
  <c r="H329" i="2" s="1"/>
  <c r="H297" i="2"/>
  <c r="H331" i="2" s="1"/>
  <c r="H306" i="2"/>
  <c r="H332" i="2" s="1"/>
  <c r="H290" i="2"/>
  <c r="H326" i="2" s="1"/>
  <c r="I296" i="2"/>
  <c r="I329" i="2" s="1"/>
  <c r="I306" i="2"/>
  <c r="I332" i="2" s="1"/>
  <c r="I290" i="2"/>
  <c r="I326" i="2" s="1"/>
  <c r="I297" i="2"/>
  <c r="I331" i="2" s="1"/>
  <c r="J297" i="2"/>
  <c r="J331" i="2" s="1"/>
  <c r="J306" i="2"/>
  <c r="J332" i="2" s="1"/>
  <c r="J290" i="2"/>
  <c r="J326" i="2" s="1"/>
  <c r="J296" i="2"/>
  <c r="J329" i="2" s="1"/>
  <c r="K306" i="2"/>
  <c r="K332" i="2" s="1"/>
  <c r="K290" i="2"/>
  <c r="K326" i="2" s="1"/>
  <c r="K297" i="2"/>
  <c r="K331" i="2" s="1"/>
  <c r="K296" i="2"/>
  <c r="K329" i="2" s="1"/>
  <c r="L297" i="2"/>
  <c r="L331" i="2" s="1"/>
  <c r="L296" i="2"/>
  <c r="L329" i="2" s="1"/>
  <c r="L306" i="2"/>
  <c r="L332" i="2" s="1"/>
  <c r="L290" i="2"/>
  <c r="L326" i="2" s="1"/>
  <c r="M290" i="2"/>
  <c r="M326" i="2" s="1"/>
  <c r="M306" i="2"/>
  <c r="M332" i="2" s="1"/>
  <c r="M297" i="2"/>
  <c r="M331" i="2" s="1"/>
  <c r="M296" i="2"/>
  <c r="M329" i="2" s="1"/>
  <c r="N290" i="2"/>
  <c r="N326" i="2" s="1"/>
  <c r="N296" i="2"/>
  <c r="N329" i="2" s="1"/>
  <c r="N306" i="2"/>
  <c r="N332" i="2" s="1"/>
  <c r="N297" i="2"/>
  <c r="N331" i="2" s="1"/>
  <c r="O290" i="2"/>
  <c r="O326" i="2" s="1"/>
  <c r="O297" i="2"/>
  <c r="O331" i="2" s="1"/>
  <c r="O296" i="2"/>
  <c r="O329" i="2" s="1"/>
  <c r="O306" i="2"/>
  <c r="O332" i="2" s="1"/>
  <c r="P290" i="2"/>
  <c r="P326" i="2" s="1"/>
  <c r="P306" i="2"/>
  <c r="P332" i="2" s="1"/>
  <c r="P297" i="2"/>
  <c r="P331" i="2" s="1"/>
  <c r="P296" i="2"/>
  <c r="P329" i="2" s="1"/>
  <c r="Q297" i="2"/>
  <c r="Q331" i="2" s="1"/>
  <c r="Q296" i="2"/>
  <c r="Q329" i="2" s="1"/>
  <c r="Q306" i="2"/>
  <c r="Q332" i="2" s="1"/>
  <c r="Q290" i="2"/>
  <c r="Q326" i="2" s="1"/>
  <c r="R290" i="2"/>
  <c r="R326" i="2" s="1"/>
  <c r="R297" i="2"/>
  <c r="R331" i="2" s="1"/>
  <c r="R296" i="2"/>
  <c r="R329" i="2" s="1"/>
  <c r="R306" i="2"/>
  <c r="R332" i="2" s="1"/>
  <c r="S290" i="2"/>
  <c r="S326" i="2" s="1"/>
  <c r="S296" i="2"/>
  <c r="S329" i="2" s="1"/>
  <c r="S297" i="2"/>
  <c r="S331" i="2" s="1"/>
  <c r="S306" i="2"/>
  <c r="S332" i="2" s="1"/>
  <c r="T290" i="2"/>
  <c r="T326" i="2" s="1"/>
  <c r="T297" i="2"/>
  <c r="T331" i="2" s="1"/>
  <c r="T296" i="2"/>
  <c r="T329" i="2" s="1"/>
  <c r="T306" i="2"/>
  <c r="T332" i="2" s="1"/>
  <c r="U306" i="2"/>
  <c r="U332" i="2" s="1"/>
  <c r="U290" i="2"/>
  <c r="U326" i="2" s="1"/>
  <c r="U296" i="2"/>
  <c r="U329" i="2" s="1"/>
  <c r="U297" i="2"/>
  <c r="U331" i="2" s="1"/>
  <c r="V296" i="2"/>
  <c r="V329" i="2" s="1"/>
  <c r="V290" i="2"/>
  <c r="V326" i="2" s="1"/>
  <c r="V306" i="2"/>
  <c r="V332" i="2" s="1"/>
  <c r="V297" i="2"/>
  <c r="V331" i="2" s="1"/>
  <c r="W306" i="2"/>
  <c r="W332" i="2" s="1"/>
  <c r="W290" i="2"/>
  <c r="W326" i="2" s="1"/>
  <c r="W297" i="2"/>
  <c r="W331" i="2" s="1"/>
  <c r="W296" i="2"/>
  <c r="W329" i="2" s="1"/>
  <c r="X306" i="2"/>
  <c r="X332" i="2" s="1"/>
  <c r="X290" i="2"/>
  <c r="X326" i="2" s="1"/>
  <c r="X297" i="2"/>
  <c r="X331" i="2" s="1"/>
  <c r="X296" i="2"/>
  <c r="X329" i="2" s="1"/>
  <c r="Y290" i="2"/>
  <c r="Y326" i="2" s="1"/>
  <c r="Y297" i="2"/>
  <c r="Y331" i="2" s="1"/>
  <c r="Y306" i="2"/>
  <c r="Y332" i="2" s="1"/>
  <c r="Y296" i="2"/>
  <c r="Y329" i="2" s="1"/>
  <c r="Z297" i="2"/>
  <c r="Z331" i="2" s="1"/>
  <c r="Z306" i="2"/>
  <c r="Z332" i="2" s="1"/>
  <c r="Z296" i="2"/>
  <c r="Z329" i="2" s="1"/>
  <c r="Z290" i="2"/>
  <c r="Z326" i="2" s="1"/>
  <c r="AA290" i="2"/>
  <c r="AA326" i="2" s="1"/>
  <c r="AA297" i="2"/>
  <c r="AA331" i="2" s="1"/>
  <c r="AA296" i="2"/>
  <c r="AA329" i="2" s="1"/>
  <c r="AA306" i="2"/>
  <c r="AA332" i="2" s="1"/>
  <c r="AB290" i="2"/>
  <c r="AB326" i="2" s="1"/>
  <c r="AB296" i="2"/>
  <c r="AB329" i="2" s="1"/>
  <c r="AB306" i="2"/>
  <c r="AB332" i="2" s="1"/>
  <c r="AB297" i="2"/>
  <c r="AB331" i="2" s="1"/>
  <c r="AC296" i="2"/>
  <c r="AC329" i="2" s="1"/>
  <c r="AC297" i="2"/>
  <c r="AC331" i="2" s="1"/>
  <c r="AC306" i="2"/>
  <c r="AC332" i="2" s="1"/>
  <c r="AC290" i="2"/>
  <c r="AC326" i="2" s="1"/>
  <c r="AD290" i="2"/>
  <c r="AD326" i="2" s="1"/>
  <c r="AD296" i="2"/>
  <c r="AD329" i="2" s="1"/>
  <c r="AD306" i="2"/>
  <c r="AD332" i="2" s="1"/>
  <c r="AD297" i="2"/>
  <c r="AD331" i="2" s="1"/>
  <c r="AE290" i="2"/>
  <c r="AE326" i="2" s="1"/>
  <c r="AE296" i="2"/>
  <c r="AE329" i="2" s="1"/>
  <c r="AE306" i="2"/>
  <c r="AE332" i="2" s="1"/>
  <c r="AE297" i="2"/>
  <c r="AE331" i="2" s="1"/>
  <c r="AF297" i="2"/>
  <c r="AF331" i="2" s="1"/>
  <c r="AF296" i="2"/>
  <c r="AF329" i="2" s="1"/>
  <c r="AF290" i="2"/>
  <c r="AF326" i="2" s="1"/>
  <c r="AF306" i="2"/>
  <c r="AF332" i="2" s="1"/>
  <c r="AG297" i="2"/>
  <c r="AG331" i="2" s="1"/>
  <c r="AG290" i="2"/>
  <c r="AG326" i="2" s="1"/>
  <c r="AG296" i="2"/>
  <c r="AG329" i="2" s="1"/>
  <c r="AG306" i="2"/>
  <c r="AG332" i="2" s="1"/>
  <c r="AH290" i="2"/>
  <c r="AH326" i="2" s="1"/>
  <c r="AH306" i="2"/>
  <c r="AH332" i="2" s="1"/>
  <c r="AH296" i="2"/>
  <c r="AH329" i="2" s="1"/>
  <c r="AH297" i="2"/>
  <c r="AH331" i="2" s="1"/>
  <c r="AI297" i="2"/>
  <c r="AI331" i="2" s="1"/>
  <c r="AI306" i="2"/>
  <c r="AI332" i="2" s="1"/>
  <c r="AI296" i="2"/>
  <c r="AI329" i="2" s="1"/>
  <c r="AI290" i="2"/>
  <c r="AI326" i="2" s="1"/>
  <c r="AJ306" i="2"/>
  <c r="AJ332" i="2" s="1"/>
  <c r="AJ297" i="2"/>
  <c r="AJ331" i="2" s="1"/>
  <c r="AJ290" i="2"/>
  <c r="AJ296" i="2"/>
  <c r="AJ329" i="2" s="1"/>
  <c r="AK306" i="2"/>
  <c r="AK332" i="2" s="1"/>
  <c r="AK297" i="2"/>
  <c r="AK331" i="2" s="1"/>
  <c r="AK290" i="2"/>
  <c r="AK296" i="2"/>
  <c r="AK329" i="2" s="1"/>
  <c r="AL290" i="2"/>
  <c r="AL296" i="2"/>
  <c r="AL329" i="2" s="1"/>
  <c r="AL297" i="2"/>
  <c r="AL331" i="2" s="1"/>
  <c r="AL306" i="2"/>
  <c r="AL332" i="2" s="1"/>
  <c r="AM290" i="2"/>
  <c r="AM297" i="2"/>
  <c r="AM331" i="2" s="1"/>
  <c r="AM306" i="2"/>
  <c r="AM332" i="2" s="1"/>
  <c r="AM296" i="2"/>
  <c r="AM329" i="2" s="1"/>
  <c r="AN306" i="2"/>
  <c r="AN332" i="2" s="1"/>
  <c r="AN290" i="2"/>
  <c r="AN297" i="2"/>
  <c r="AN331" i="2" s="1"/>
  <c r="AN296" i="2"/>
  <c r="AN329" i="2" s="1"/>
  <c r="AO297" i="2"/>
  <c r="AO331" i="2" s="1"/>
  <c r="AO306" i="2"/>
  <c r="AO332" i="2" s="1"/>
  <c r="AO296" i="2"/>
  <c r="AO329" i="2" s="1"/>
  <c r="AO290" i="2"/>
  <c r="AP297" i="2"/>
  <c r="AP331" i="2" s="1"/>
  <c r="AP306" i="2"/>
  <c r="AP332" i="2" s="1"/>
  <c r="AP296" i="2"/>
  <c r="AP329" i="2" s="1"/>
  <c r="AP290" i="2"/>
  <c r="AQ297" i="2"/>
  <c r="AQ331" i="2" s="1"/>
  <c r="AR297" i="2"/>
  <c r="AR331" i="2" s="1"/>
  <c r="AS297" i="2"/>
  <c r="AS331" i="2" s="1"/>
  <c r="AT297" i="2"/>
  <c r="AT331" i="2" s="1"/>
  <c r="AU297" i="2"/>
  <c r="AU331" i="2" s="1"/>
  <c r="AV297" i="2"/>
  <c r="AV331" i="2" s="1"/>
  <c r="AW297" i="2"/>
  <c r="AW331" i="2" s="1"/>
  <c r="AX297" i="2"/>
  <c r="AX331" i="2" s="1"/>
  <c r="AY297" i="2"/>
  <c r="AY331" i="2" s="1"/>
  <c r="AZ297" i="2"/>
  <c r="AZ331" i="2" s="1"/>
  <c r="BA297" i="2"/>
  <c r="BA331" i="2" s="1"/>
  <c r="BB297" i="2"/>
  <c r="BB331" i="2" s="1"/>
  <c r="BC297" i="2"/>
  <c r="BC331" i="2" s="1"/>
  <c r="BD297" i="2"/>
  <c r="BD331" i="2" s="1"/>
  <c r="BE297" i="2"/>
  <c r="BE331" i="2" s="1"/>
  <c r="BF297" i="2"/>
  <c r="BF331" i="2" s="1"/>
  <c r="BG297" i="2"/>
  <c r="BG331" i="2" s="1"/>
  <c r="BH297" i="2"/>
  <c r="BH331" i="2" s="1"/>
  <c r="BI297" i="2"/>
  <c r="BI331" i="2" s="1"/>
  <c r="BJ297" i="2"/>
  <c r="BJ331" i="2" s="1"/>
  <c r="BK297" i="2"/>
  <c r="BK331" i="2" s="1"/>
  <c r="BL297" i="2"/>
  <c r="BL331" i="2" s="1"/>
  <c r="BM297" i="2"/>
  <c r="BM331" i="2" s="1"/>
  <c r="BN297" i="2"/>
  <c r="BN331" i="2" s="1"/>
  <c r="BO297" i="2"/>
  <c r="BO331" i="2" s="1"/>
  <c r="BP297" i="2"/>
  <c r="BP331" i="2" s="1"/>
  <c r="BQ297" i="2"/>
  <c r="BQ331" i="2" s="1"/>
  <c r="BR297" i="2"/>
  <c r="BR331" i="2" s="1"/>
  <c r="BS297" i="2"/>
  <c r="BS331" i="2" s="1"/>
  <c r="BT297" i="2"/>
  <c r="BT331" i="2" s="1"/>
  <c r="BU297" i="2"/>
  <c r="BU331" i="2" s="1"/>
  <c r="BV297" i="2"/>
  <c r="BV331" i="2" s="1"/>
  <c r="BW297" i="2"/>
  <c r="BW331" i="2" s="1"/>
  <c r="BX297" i="2"/>
  <c r="BX331" i="2" s="1"/>
  <c r="BO77" i="2"/>
  <c r="BO82" i="2" s="1"/>
  <c r="BF93" i="2"/>
  <c r="BR77" i="2"/>
  <c r="AW54" i="2"/>
  <c r="BI38" i="2"/>
  <c r="BU38" i="2"/>
  <c r="AT54" i="2"/>
  <c r="AQ54" i="2"/>
  <c r="BC38" i="2"/>
  <c r="BC43" i="2" s="1"/>
  <c r="BO38" i="2"/>
  <c r="BF38" i="2"/>
  <c r="BR38" i="2"/>
  <c r="AZ33" i="2"/>
  <c r="AZ42" i="2" s="1"/>
  <c r="BL33" i="2"/>
  <c r="BX33" i="2"/>
  <c r="BD267" i="2" l="1"/>
  <c r="AL267" i="2"/>
  <c r="Y281" i="2"/>
  <c r="Y286" i="2" s="1"/>
  <c r="AX267" i="2"/>
  <c r="AG281" i="2"/>
  <c r="AG286" i="2" s="1"/>
  <c r="BY267" i="2"/>
  <c r="BS267" i="2"/>
  <c r="BR267" i="2"/>
  <c r="AN281" i="2"/>
  <c r="AN286" i="2" s="1"/>
  <c r="AH267" i="2"/>
  <c r="U281" i="2"/>
  <c r="U286" i="2" s="1"/>
  <c r="S281" i="2"/>
  <c r="S286" i="2" s="1"/>
  <c r="N281" i="2"/>
  <c r="N286" i="2" s="1"/>
  <c r="BK267" i="2"/>
  <c r="AI281" i="2"/>
  <c r="AI286" i="2" s="1"/>
  <c r="AA281" i="2"/>
  <c r="AA286" i="2" s="1"/>
  <c r="V267" i="2"/>
  <c r="AP267" i="2"/>
  <c r="BP267" i="2"/>
  <c r="Z267" i="2"/>
  <c r="G281" i="2"/>
  <c r="G286" i="2" s="1"/>
  <c r="BC267" i="2"/>
  <c r="BW267" i="2"/>
  <c r="BB267" i="2"/>
  <c r="AT267" i="2"/>
  <c r="AN267" i="2"/>
  <c r="AH281" i="2"/>
  <c r="AH286" i="2" s="1"/>
  <c r="V281" i="2"/>
  <c r="V286" i="2" s="1"/>
  <c r="U267" i="2"/>
  <c r="R281" i="2"/>
  <c r="R286" i="2" s="1"/>
  <c r="M281" i="2"/>
  <c r="M286" i="2" s="1"/>
  <c r="BO267" i="2"/>
  <c r="BH267" i="2"/>
  <c r="AF281" i="2"/>
  <c r="AF286" i="2" s="1"/>
  <c r="BX267" i="2"/>
  <c r="BJ267" i="2"/>
  <c r="BU267" i="2"/>
  <c r="AR267" i="2"/>
  <c r="AE281" i="2"/>
  <c r="AE286" i="2" s="1"/>
  <c r="AC281" i="2"/>
  <c r="AC286" i="2" s="1"/>
  <c r="AB267" i="2"/>
  <c r="Q267" i="2"/>
  <c r="AZ267" i="2"/>
  <c r="AQ281" i="2"/>
  <c r="AQ286" i="2" s="1"/>
  <c r="AO281" i="2"/>
  <c r="AO286" i="2" s="1"/>
  <c r="T281" i="2"/>
  <c r="T286" i="2" s="1"/>
  <c r="BM267" i="2"/>
  <c r="AL281" i="2"/>
  <c r="AL286" i="2" s="1"/>
  <c r="AJ281" i="2"/>
  <c r="AJ286" i="2" s="1"/>
  <c r="BE267" i="2"/>
  <c r="AY267" i="2"/>
  <c r="W281" i="2"/>
  <c r="W286" i="2" s="1"/>
  <c r="BT267" i="2"/>
  <c r="BL267" i="2"/>
  <c r="AP281" i="2"/>
  <c r="AP286" i="2" s="1"/>
  <c r="AB281" i="2"/>
  <c r="AB286" i="2" s="1"/>
  <c r="X267" i="2"/>
  <c r="Q281" i="2"/>
  <c r="Q286" i="2" s="1"/>
  <c r="AQ249" i="2"/>
  <c r="AQ253" i="2" s="1"/>
  <c r="AR244" i="2"/>
  <c r="AM126" i="2"/>
  <c r="AN121" i="2"/>
  <c r="BK204" i="2"/>
  <c r="BL199" i="2"/>
  <c r="K134" i="1"/>
  <c r="BV267" i="2"/>
  <c r="BN267" i="2"/>
  <c r="AW267" i="2"/>
  <c r="AM281" i="2"/>
  <c r="AM286" i="2" s="1"/>
  <c r="AJ267" i="2"/>
  <c r="AI267" i="2"/>
  <c r="AF267" i="2"/>
  <c r="AE267" i="2"/>
  <c r="X281" i="2"/>
  <c r="X286" i="2" s="1"/>
  <c r="T267" i="2"/>
  <c r="P267" i="2"/>
  <c r="BI267" i="2"/>
  <c r="BA267" i="2"/>
  <c r="AU267" i="2"/>
  <c r="AS267" i="2"/>
  <c r="AQ267" i="2"/>
  <c r="AM267" i="2"/>
  <c r="AA267" i="2"/>
  <c r="Y267" i="2"/>
  <c r="W267" i="2"/>
  <c r="S267" i="2"/>
  <c r="BQ267" i="2"/>
  <c r="BG267" i="2"/>
  <c r="BF267" i="2"/>
  <c r="AO267" i="2"/>
  <c r="AK281" i="2"/>
  <c r="AK286" i="2" s="1"/>
  <c r="AK267" i="2"/>
  <c r="AG267" i="2"/>
  <c r="AD281" i="2"/>
  <c r="AD286" i="2" s="1"/>
  <c r="AD267" i="2"/>
  <c r="AC267" i="2"/>
  <c r="Z281" i="2"/>
  <c r="Z286" i="2" s="1"/>
  <c r="O281" i="2"/>
  <c r="O286" i="2" s="1"/>
  <c r="O267" i="2"/>
  <c r="F132" i="1"/>
  <c r="J134" i="1"/>
  <c r="G132" i="1"/>
  <c r="R267" i="2"/>
  <c r="M267" i="2"/>
  <c r="H132" i="1"/>
  <c r="H134" i="1"/>
  <c r="H135" i="1"/>
  <c r="G135" i="1"/>
  <c r="G134" i="1"/>
  <c r="F134" i="1"/>
  <c r="F135" i="1"/>
  <c r="I134" i="1"/>
  <c r="K267" i="2"/>
  <c r="L267" i="2"/>
  <c r="J281" i="2"/>
  <c r="J286" i="2" s="1"/>
  <c r="I267" i="2"/>
  <c r="H267" i="2"/>
  <c r="F281" i="2"/>
  <c r="F286" i="2" s="1"/>
  <c r="F267" i="2"/>
  <c r="K281" i="2"/>
  <c r="K286" i="2" s="1"/>
  <c r="J267" i="2"/>
  <c r="G267" i="2"/>
  <c r="P281" i="2"/>
  <c r="P286" i="2" s="1"/>
  <c r="N267" i="2"/>
  <c r="L281" i="2"/>
  <c r="L286" i="2" s="1"/>
  <c r="BO87" i="2"/>
  <c r="BP82" i="2"/>
  <c r="AJ125" i="2"/>
  <c r="AJ128" i="2" s="1"/>
  <c r="AJ326" i="2" s="1"/>
  <c r="AK120" i="2"/>
  <c r="AV267" i="2"/>
  <c r="E275" i="2"/>
  <c r="BY296" i="2" s="1"/>
  <c r="BY329" i="2" s="1"/>
  <c r="E270" i="2"/>
  <c r="BH203" i="2"/>
  <c r="BH206" i="2" s="1"/>
  <c r="BI198" i="2"/>
  <c r="BL86" i="2"/>
  <c r="BL89" i="2" s="1"/>
  <c r="BM81" i="2"/>
  <c r="H281" i="2"/>
  <c r="H286" i="2" s="1"/>
  <c r="BC48" i="2"/>
  <c r="BD43" i="2"/>
  <c r="BA42" i="2"/>
  <c r="AZ47" i="2"/>
  <c r="AZ50" i="2" s="1"/>
  <c r="AR281" i="2" l="1"/>
  <c r="BL204" i="2"/>
  <c r="BM199" i="2"/>
  <c r="BY306" i="2"/>
  <c r="BY332" i="2" s="1"/>
  <c r="AR286" i="2"/>
  <c r="AS281" i="2"/>
  <c r="AN126" i="2"/>
  <c r="AO121" i="2"/>
  <c r="M291" i="2"/>
  <c r="M327" i="2" s="1"/>
  <c r="AT296" i="2"/>
  <c r="AT329" i="2" s="1"/>
  <c r="AZ306" i="2"/>
  <c r="AZ332" i="2" s="1"/>
  <c r="BC296" i="2"/>
  <c r="BC329" i="2" s="1"/>
  <c r="BK296" i="2"/>
  <c r="BK329" i="2" s="1"/>
  <c r="BN306" i="2"/>
  <c r="BN332" i="2" s="1"/>
  <c r="AT306" i="2"/>
  <c r="AT332" i="2" s="1"/>
  <c r="AZ296" i="2"/>
  <c r="AZ329" i="2" s="1"/>
  <c r="BI296" i="2"/>
  <c r="BI329" i="2" s="1"/>
  <c r="AW296" i="2"/>
  <c r="AW329" i="2" s="1"/>
  <c r="BC306" i="2"/>
  <c r="BC332" i="2" s="1"/>
  <c r="BF306" i="2"/>
  <c r="BF332" i="2" s="1"/>
  <c r="BI306" i="2"/>
  <c r="BI332" i="2" s="1"/>
  <c r="BL306" i="2"/>
  <c r="BL332" i="2" s="1"/>
  <c r="BQ306" i="2"/>
  <c r="BQ332" i="2" s="1"/>
  <c r="BT306" i="2"/>
  <c r="BT332" i="2" s="1"/>
  <c r="BW296" i="2"/>
  <c r="BW329" i="2" s="1"/>
  <c r="AR296" i="2"/>
  <c r="AR329" i="2" s="1"/>
  <c r="AX296" i="2"/>
  <c r="AX329" i="2" s="1"/>
  <c r="BA306" i="2"/>
  <c r="BA332" i="2" s="1"/>
  <c r="BF296" i="2"/>
  <c r="BF329" i="2" s="1"/>
  <c r="BO306" i="2"/>
  <c r="BO332" i="2" s="1"/>
  <c r="AR306" i="2"/>
  <c r="AR332" i="2" s="1"/>
  <c r="AX306" i="2"/>
  <c r="AX332" i="2" s="1"/>
  <c r="BJ306" i="2"/>
  <c r="BJ332" i="2" s="1"/>
  <c r="BL296" i="2"/>
  <c r="BL329" i="2" s="1"/>
  <c r="BO296" i="2"/>
  <c r="BO329" i="2" s="1"/>
  <c r="BT296" i="2"/>
  <c r="BT329" i="2" s="1"/>
  <c r="BW306" i="2"/>
  <c r="BW332" i="2" s="1"/>
  <c r="BX296" i="2"/>
  <c r="BX329" i="2" s="1"/>
  <c r="AU306" i="2"/>
  <c r="AU332" i="2" s="1"/>
  <c r="BD306" i="2"/>
  <c r="BD332" i="2" s="1"/>
  <c r="BG306" i="2"/>
  <c r="BG332" i="2" s="1"/>
  <c r="BM296" i="2"/>
  <c r="BM329" i="2" s="1"/>
  <c r="AU296" i="2"/>
  <c r="AU329" i="2" s="1"/>
  <c r="BA296" i="2"/>
  <c r="BA329" i="2" s="1"/>
  <c r="BJ296" i="2"/>
  <c r="BJ329" i="2" s="1"/>
  <c r="BR306" i="2"/>
  <c r="BR332" i="2" s="1"/>
  <c r="BU296" i="2"/>
  <c r="BU329" i="2" s="1"/>
  <c r="AS296" i="2"/>
  <c r="AS329" i="2" s="1"/>
  <c r="BD296" i="2"/>
  <c r="BD329" i="2" s="1"/>
  <c r="BG296" i="2"/>
  <c r="BG329" i="2" s="1"/>
  <c r="BP306" i="2"/>
  <c r="BP332" i="2" s="1"/>
  <c r="BR296" i="2"/>
  <c r="BR329" i="2" s="1"/>
  <c r="BU306" i="2"/>
  <c r="BU332" i="2" s="1"/>
  <c r="BX306" i="2"/>
  <c r="BX332" i="2" s="1"/>
  <c r="AQ306" i="2"/>
  <c r="AQ332" i="2" s="1"/>
  <c r="AS306" i="2"/>
  <c r="AS332" i="2" s="1"/>
  <c r="AV306" i="2"/>
  <c r="AV332" i="2" s="1"/>
  <c r="AY296" i="2"/>
  <c r="AY329" i="2" s="1"/>
  <c r="BH306" i="2"/>
  <c r="BH332" i="2" s="1"/>
  <c r="BM306" i="2"/>
  <c r="BM332" i="2" s="1"/>
  <c r="BP296" i="2"/>
  <c r="BP329" i="2" s="1"/>
  <c r="AV296" i="2"/>
  <c r="AV329" i="2" s="1"/>
  <c r="AY306" i="2"/>
  <c r="AY332" i="2" s="1"/>
  <c r="BB306" i="2"/>
  <c r="BB332" i="2" s="1"/>
  <c r="BE306" i="2"/>
  <c r="BE332" i="2" s="1"/>
  <c r="BN296" i="2"/>
  <c r="BN329" i="2" s="1"/>
  <c r="BV306" i="2"/>
  <c r="BV332" i="2" s="1"/>
  <c r="AW306" i="2"/>
  <c r="AW332" i="2" s="1"/>
  <c r="BE296" i="2"/>
  <c r="BE329" i="2" s="1"/>
  <c r="BH296" i="2"/>
  <c r="BH329" i="2" s="1"/>
  <c r="BK306" i="2"/>
  <c r="BK332" i="2" s="1"/>
  <c r="BS306" i="2"/>
  <c r="BS332" i="2" s="1"/>
  <c r="AQ296" i="2"/>
  <c r="AQ329" i="2" s="1"/>
  <c r="BB296" i="2"/>
  <c r="BB329" i="2" s="1"/>
  <c r="BQ296" i="2"/>
  <c r="BQ329" i="2" s="1"/>
  <c r="BS296" i="2"/>
  <c r="BS329" i="2" s="1"/>
  <c r="BV296" i="2"/>
  <c r="BV329" i="2" s="1"/>
  <c r="AR249" i="2"/>
  <c r="AR253" i="2" s="1"/>
  <c r="AS244" i="2"/>
  <c r="I292" i="2"/>
  <c r="I328" i="2" s="1"/>
  <c r="BY291" i="2"/>
  <c r="BL291" i="2"/>
  <c r="BL327" i="2" s="1"/>
  <c r="BY292" i="2"/>
  <c r="BJ291" i="2"/>
  <c r="BJ327" i="2" s="1"/>
  <c r="AV291" i="2"/>
  <c r="AV327" i="2" s="1"/>
  <c r="X291" i="2"/>
  <c r="X327" i="2" s="1"/>
  <c r="BV291" i="2"/>
  <c r="BV327" i="2" s="1"/>
  <c r="AS291" i="2"/>
  <c r="AS327" i="2" s="1"/>
  <c r="Q291" i="2"/>
  <c r="Q327" i="2" s="1"/>
  <c r="AB291" i="2"/>
  <c r="AB327" i="2" s="1"/>
  <c r="BU291" i="2"/>
  <c r="BU327" i="2" s="1"/>
  <c r="BF291" i="2"/>
  <c r="BF327" i="2" s="1"/>
  <c r="AO291" i="2"/>
  <c r="AO327" i="2" s="1"/>
  <c r="P291" i="2"/>
  <c r="P327" i="2" s="1"/>
  <c r="BT291" i="2"/>
  <c r="BT327" i="2" s="1"/>
  <c r="BE291" i="2"/>
  <c r="BE327" i="2" s="1"/>
  <c r="AK291" i="2"/>
  <c r="AK327" i="2" s="1"/>
  <c r="O291" i="2"/>
  <c r="O327" i="2" s="1"/>
  <c r="BR291" i="2"/>
  <c r="BR327" i="2" s="1"/>
  <c r="BD291" i="2"/>
  <c r="BD327" i="2" s="1"/>
  <c r="AG291" i="2"/>
  <c r="AG327" i="2" s="1"/>
  <c r="L291" i="2"/>
  <c r="L327" i="2" s="1"/>
  <c r="AW291" i="2"/>
  <c r="AW327" i="2" s="1"/>
  <c r="BI291" i="2"/>
  <c r="BI327" i="2" s="1"/>
  <c r="BQ291" i="2"/>
  <c r="BQ327" i="2" s="1"/>
  <c r="BA291" i="2"/>
  <c r="BA327" i="2" s="1"/>
  <c r="AF291" i="2"/>
  <c r="AF327" i="2" s="1"/>
  <c r="H291" i="2"/>
  <c r="H327" i="2" s="1"/>
  <c r="BM291" i="2"/>
  <c r="BM327" i="2" s="1"/>
  <c r="AX291" i="2"/>
  <c r="AX327" i="2" s="1"/>
  <c r="AE291" i="2"/>
  <c r="AE327" i="2" s="1"/>
  <c r="AP291" i="2"/>
  <c r="AP327" i="2" s="1"/>
  <c r="Y291" i="2"/>
  <c r="Y327" i="2" s="1"/>
  <c r="I291" i="2"/>
  <c r="I327" i="2" s="1"/>
  <c r="BN291" i="2"/>
  <c r="BN327" i="2" s="1"/>
  <c r="BB291" i="2"/>
  <c r="BB327" i="2" s="1"/>
  <c r="AN291" i="2"/>
  <c r="AN327" i="2" s="1"/>
  <c r="W291" i="2"/>
  <c r="W327" i="2" s="1"/>
  <c r="G291" i="2"/>
  <c r="G327" i="2" s="1"/>
  <c r="T291" i="2"/>
  <c r="T327" i="2" s="1"/>
  <c r="AK125" i="2"/>
  <c r="AK128" i="2" s="1"/>
  <c r="AK326" i="2" s="1"/>
  <c r="AL120" i="2"/>
  <c r="BS291" i="2"/>
  <c r="BS327" i="2" s="1"/>
  <c r="BK291" i="2"/>
  <c r="BK327" i="2" s="1"/>
  <c r="BC291" i="2"/>
  <c r="BC327" i="2" s="1"/>
  <c r="AU291" i="2"/>
  <c r="AU327" i="2" s="1"/>
  <c r="AM291" i="2"/>
  <c r="AM327" i="2" s="1"/>
  <c r="AD291" i="2"/>
  <c r="AD327" i="2" s="1"/>
  <c r="V291" i="2"/>
  <c r="V327" i="2" s="1"/>
  <c r="N291" i="2"/>
  <c r="N327" i="2" s="1"/>
  <c r="F291" i="2"/>
  <c r="F327" i="2" s="1"/>
  <c r="AT291" i="2"/>
  <c r="AT327" i="2" s="1"/>
  <c r="AL291" i="2"/>
  <c r="AL327" i="2" s="1"/>
  <c r="AC291" i="2"/>
  <c r="AC327" i="2" s="1"/>
  <c r="U291" i="2"/>
  <c r="U327" i="2" s="1"/>
  <c r="E273" i="2"/>
  <c r="E272" i="2"/>
  <c r="BU282" i="2" s="1"/>
  <c r="BU287" i="2" s="1"/>
  <c r="BY294" i="2"/>
  <c r="BY315" i="2" s="1"/>
  <c r="BY350" i="2" s="1"/>
  <c r="BY293" i="2"/>
  <c r="BY314" i="2" s="1"/>
  <c r="F293" i="2"/>
  <c r="F314" i="2" s="1"/>
  <c r="M293" i="2"/>
  <c r="M314" i="2" s="1"/>
  <c r="N294" i="2"/>
  <c r="N315" i="2" s="1"/>
  <c r="N350" i="2" s="1"/>
  <c r="P293" i="2"/>
  <c r="P314" i="2" s="1"/>
  <c r="R294" i="2"/>
  <c r="R315" i="2" s="1"/>
  <c r="R350" i="2" s="1"/>
  <c r="V293" i="2"/>
  <c r="V314" i="2" s="1"/>
  <c r="W294" i="2"/>
  <c r="W315" i="2" s="1"/>
  <c r="W350" i="2" s="1"/>
  <c r="AB293" i="2"/>
  <c r="AB314" i="2" s="1"/>
  <c r="AE293" i="2"/>
  <c r="AE314" i="2" s="1"/>
  <c r="AG294" i="2"/>
  <c r="AG315" i="2" s="1"/>
  <c r="AG350" i="2" s="1"/>
  <c r="AH293" i="2"/>
  <c r="AH314" i="2" s="1"/>
  <c r="AK293" i="2"/>
  <c r="AK314" i="2" s="1"/>
  <c r="AN294" i="2"/>
  <c r="AN315" i="2" s="1"/>
  <c r="AN350" i="2" s="1"/>
  <c r="AN293" i="2"/>
  <c r="AN314" i="2" s="1"/>
  <c r="AR293" i="2"/>
  <c r="AR314" i="2" s="1"/>
  <c r="BC294" i="2"/>
  <c r="BC315" i="2" s="1"/>
  <c r="BC350" i="2" s="1"/>
  <c r="BD294" i="2"/>
  <c r="BD315" i="2" s="1"/>
  <c r="BD350" i="2" s="1"/>
  <c r="BG294" i="2"/>
  <c r="BG315" i="2" s="1"/>
  <c r="BG350" i="2" s="1"/>
  <c r="BI294" i="2"/>
  <c r="BI315" i="2" s="1"/>
  <c r="BI350" i="2" s="1"/>
  <c r="BL293" i="2"/>
  <c r="BL314" i="2" s="1"/>
  <c r="BR293" i="2"/>
  <c r="BR314" i="2" s="1"/>
  <c r="BV293" i="2"/>
  <c r="BV314" i="2" s="1"/>
  <c r="G293" i="2"/>
  <c r="G314" i="2" s="1"/>
  <c r="Q294" i="2"/>
  <c r="Q315" i="2" s="1"/>
  <c r="Q350" i="2" s="1"/>
  <c r="S294" i="2"/>
  <c r="S315" i="2" s="1"/>
  <c r="S350" i="2" s="1"/>
  <c r="AC294" i="2"/>
  <c r="AC315" i="2" s="1"/>
  <c r="AC350" i="2" s="1"/>
  <c r="AD294" i="2"/>
  <c r="AD315" i="2" s="1"/>
  <c r="AD350" i="2" s="1"/>
  <c r="AJ294" i="2"/>
  <c r="AJ315" i="2" s="1"/>
  <c r="AJ350" i="2" s="1"/>
  <c r="AO293" i="2"/>
  <c r="AO314" i="2" s="1"/>
  <c r="AP293" i="2"/>
  <c r="AP314" i="2" s="1"/>
  <c r="AS294" i="2"/>
  <c r="AS315" i="2" s="1"/>
  <c r="AS350" i="2" s="1"/>
  <c r="AX294" i="2"/>
  <c r="AX315" i="2" s="1"/>
  <c r="AX350" i="2" s="1"/>
  <c r="BE294" i="2"/>
  <c r="BE315" i="2" s="1"/>
  <c r="BE350" i="2" s="1"/>
  <c r="BJ293" i="2"/>
  <c r="BJ314" i="2" s="1"/>
  <c r="BK294" i="2"/>
  <c r="BK315" i="2" s="1"/>
  <c r="BK350" i="2" s="1"/>
  <c r="BM294" i="2"/>
  <c r="BM315" i="2" s="1"/>
  <c r="BM350" i="2" s="1"/>
  <c r="BR294" i="2"/>
  <c r="BR315" i="2" s="1"/>
  <c r="BR350" i="2" s="1"/>
  <c r="H293" i="2"/>
  <c r="H314" i="2" s="1"/>
  <c r="L293" i="2"/>
  <c r="L314" i="2" s="1"/>
  <c r="M294" i="2"/>
  <c r="M315" i="2" s="1"/>
  <c r="M350" i="2" s="1"/>
  <c r="N293" i="2"/>
  <c r="N314" i="2" s="1"/>
  <c r="T293" i="2"/>
  <c r="T314" i="2" s="1"/>
  <c r="V294" i="2"/>
  <c r="V315" i="2" s="1"/>
  <c r="V350" i="2" s="1"/>
  <c r="Z293" i="2"/>
  <c r="Z314" i="2" s="1"/>
  <c r="Z294" i="2"/>
  <c r="Z315" i="2" s="1"/>
  <c r="Z350" i="2" s="1"/>
  <c r="AB294" i="2"/>
  <c r="AB315" i="2" s="1"/>
  <c r="AB350" i="2" s="1"/>
  <c r="AF294" i="2"/>
  <c r="AF315" i="2" s="1"/>
  <c r="AF350" i="2" s="1"/>
  <c r="AL294" i="2"/>
  <c r="AL315" i="2" s="1"/>
  <c r="AL350" i="2" s="1"/>
  <c r="AM294" i="2"/>
  <c r="AM315" i="2" s="1"/>
  <c r="AM350" i="2" s="1"/>
  <c r="AO294" i="2"/>
  <c r="AO315" i="2" s="1"/>
  <c r="AO350" i="2" s="1"/>
  <c r="AU294" i="2"/>
  <c r="AU315" i="2" s="1"/>
  <c r="AU350" i="2" s="1"/>
  <c r="AW294" i="2"/>
  <c r="AW315" i="2" s="1"/>
  <c r="AW350" i="2" s="1"/>
  <c r="BG293" i="2"/>
  <c r="BG314" i="2" s="1"/>
  <c r="BO293" i="2"/>
  <c r="BO314" i="2" s="1"/>
  <c r="BP293" i="2"/>
  <c r="BP314" i="2" s="1"/>
  <c r="BQ294" i="2"/>
  <c r="BQ315" i="2" s="1"/>
  <c r="BQ350" i="2" s="1"/>
  <c r="BT293" i="2"/>
  <c r="BT314" i="2" s="1"/>
  <c r="BV294" i="2"/>
  <c r="BV315" i="2" s="1"/>
  <c r="BV350" i="2" s="1"/>
  <c r="H294" i="2"/>
  <c r="H315" i="2" s="1"/>
  <c r="H350" i="2" s="1"/>
  <c r="K294" i="2"/>
  <c r="K315" i="2" s="1"/>
  <c r="K350" i="2" s="1"/>
  <c r="O294" i="2"/>
  <c r="O315" i="2" s="1"/>
  <c r="O350" i="2" s="1"/>
  <c r="X294" i="2"/>
  <c r="X315" i="2" s="1"/>
  <c r="X350" i="2" s="1"/>
  <c r="Y293" i="2"/>
  <c r="Y314" i="2" s="1"/>
  <c r="AA293" i="2"/>
  <c r="AA314" i="2" s="1"/>
  <c r="AI293" i="2"/>
  <c r="AI314" i="2" s="1"/>
  <c r="AJ293" i="2"/>
  <c r="AJ314" i="2" s="1"/>
  <c r="AK294" i="2"/>
  <c r="AK315" i="2" s="1"/>
  <c r="AK350" i="2" s="1"/>
  <c r="AP294" i="2"/>
  <c r="AP315" i="2" s="1"/>
  <c r="AP350" i="2" s="1"/>
  <c r="AQ293" i="2"/>
  <c r="AQ314" i="2" s="1"/>
  <c r="AQ294" i="2"/>
  <c r="AQ315" i="2" s="1"/>
  <c r="AQ350" i="2" s="1"/>
  <c r="AT293" i="2"/>
  <c r="AT314" i="2" s="1"/>
  <c r="AU293" i="2"/>
  <c r="AU314" i="2" s="1"/>
  <c r="BF294" i="2"/>
  <c r="BF315" i="2" s="1"/>
  <c r="BF350" i="2" s="1"/>
  <c r="BH293" i="2"/>
  <c r="BH314" i="2" s="1"/>
  <c r="BP294" i="2"/>
  <c r="BP315" i="2" s="1"/>
  <c r="BP350" i="2" s="1"/>
  <c r="BS293" i="2"/>
  <c r="BS314" i="2" s="1"/>
  <c r="I294" i="2"/>
  <c r="I315" i="2" s="1"/>
  <c r="I350" i="2" s="1"/>
  <c r="J294" i="2"/>
  <c r="J315" i="2" s="1"/>
  <c r="J350" i="2" s="1"/>
  <c r="K293" i="2"/>
  <c r="K314" i="2" s="1"/>
  <c r="P294" i="2"/>
  <c r="P315" i="2" s="1"/>
  <c r="P350" i="2" s="1"/>
  <c r="Q293" i="2"/>
  <c r="Q314" i="2" s="1"/>
  <c r="T294" i="2"/>
  <c r="T315" i="2" s="1"/>
  <c r="T350" i="2" s="1"/>
  <c r="U294" i="2"/>
  <c r="U315" i="2" s="1"/>
  <c r="U350" i="2" s="1"/>
  <c r="AH294" i="2"/>
  <c r="AH315" i="2" s="1"/>
  <c r="AH350" i="2" s="1"/>
  <c r="AR294" i="2"/>
  <c r="AR315" i="2" s="1"/>
  <c r="AR350" i="2" s="1"/>
  <c r="AS293" i="2"/>
  <c r="AS314" i="2" s="1"/>
  <c r="AT294" i="2"/>
  <c r="AT315" i="2" s="1"/>
  <c r="AT350" i="2" s="1"/>
  <c r="AV294" i="2"/>
  <c r="AV315" i="2" s="1"/>
  <c r="AV350" i="2" s="1"/>
  <c r="AW293" i="2"/>
  <c r="AW314" i="2" s="1"/>
  <c r="BD293" i="2"/>
  <c r="BD314" i="2" s="1"/>
  <c r="BK293" i="2"/>
  <c r="BK314" i="2" s="1"/>
  <c r="BM293" i="2"/>
  <c r="BM314" i="2" s="1"/>
  <c r="BN293" i="2"/>
  <c r="BN314" i="2" s="1"/>
  <c r="BW294" i="2"/>
  <c r="BW315" i="2" s="1"/>
  <c r="BW350" i="2" s="1"/>
  <c r="BX294" i="2"/>
  <c r="J293" i="2"/>
  <c r="J314" i="2" s="1"/>
  <c r="L294" i="2"/>
  <c r="L315" i="2" s="1"/>
  <c r="L350" i="2" s="1"/>
  <c r="R293" i="2"/>
  <c r="R314" i="2" s="1"/>
  <c r="X293" i="2"/>
  <c r="X314" i="2" s="1"/>
  <c r="Y294" i="2"/>
  <c r="Y315" i="2" s="1"/>
  <c r="Y350" i="2" s="1"/>
  <c r="AE294" i="2"/>
  <c r="AE315" i="2" s="1"/>
  <c r="AE350" i="2" s="1"/>
  <c r="AI294" i="2"/>
  <c r="AI315" i="2" s="1"/>
  <c r="AI350" i="2" s="1"/>
  <c r="AL293" i="2"/>
  <c r="AL314" i="2" s="1"/>
  <c r="AY293" i="2"/>
  <c r="AY314" i="2" s="1"/>
  <c r="AZ293" i="2"/>
  <c r="AZ314" i="2" s="1"/>
  <c r="BB294" i="2"/>
  <c r="BB315" i="2" s="1"/>
  <c r="BB350" i="2" s="1"/>
  <c r="BT294" i="2"/>
  <c r="BT315" i="2" s="1"/>
  <c r="BT350" i="2" s="1"/>
  <c r="BU294" i="2"/>
  <c r="BU315" i="2" s="1"/>
  <c r="BU350" i="2" s="1"/>
  <c r="I293" i="2"/>
  <c r="I314" i="2" s="1"/>
  <c r="O293" i="2"/>
  <c r="O314" i="2" s="1"/>
  <c r="AC293" i="2"/>
  <c r="AC314" i="2" s="1"/>
  <c r="AG293" i="2"/>
  <c r="AG314" i="2" s="1"/>
  <c r="AM293" i="2"/>
  <c r="AM314" i="2" s="1"/>
  <c r="AX293" i="2"/>
  <c r="AX314" i="2" s="1"/>
  <c r="BA294" i="2"/>
  <c r="BA315" i="2" s="1"/>
  <c r="BA350" i="2" s="1"/>
  <c r="BB293" i="2"/>
  <c r="BB314" i="2" s="1"/>
  <c r="BF293" i="2"/>
  <c r="BF314" i="2" s="1"/>
  <c r="BH294" i="2"/>
  <c r="BH315" i="2" s="1"/>
  <c r="BH350" i="2" s="1"/>
  <c r="BQ293" i="2"/>
  <c r="BQ314" i="2" s="1"/>
  <c r="BS294" i="2"/>
  <c r="BS315" i="2" s="1"/>
  <c r="BS350" i="2" s="1"/>
  <c r="BX293" i="2"/>
  <c r="BX314" i="2" s="1"/>
  <c r="BX349" i="2" s="1"/>
  <c r="F294" i="2"/>
  <c r="F315" i="2" s="1"/>
  <c r="F350" i="2" s="1"/>
  <c r="G294" i="2"/>
  <c r="G315" i="2" s="1"/>
  <c r="G350" i="2" s="1"/>
  <c r="S293" i="2"/>
  <c r="S314" i="2" s="1"/>
  <c r="U293" i="2"/>
  <c r="U314" i="2" s="1"/>
  <c r="W293" i="2"/>
  <c r="W314" i="2" s="1"/>
  <c r="AA294" i="2"/>
  <c r="AA315" i="2" s="1"/>
  <c r="AA350" i="2" s="1"/>
  <c r="AD293" i="2"/>
  <c r="AD314" i="2" s="1"/>
  <c r="AF293" i="2"/>
  <c r="AF314" i="2" s="1"/>
  <c r="AV293" i="2"/>
  <c r="AV314" i="2" s="1"/>
  <c r="AY294" i="2"/>
  <c r="AY315" i="2" s="1"/>
  <c r="AY350" i="2" s="1"/>
  <c r="AZ294" i="2"/>
  <c r="AZ315" i="2" s="1"/>
  <c r="AZ350" i="2" s="1"/>
  <c r="BA293" i="2"/>
  <c r="BA314" i="2" s="1"/>
  <c r="BC293" i="2"/>
  <c r="BC314" i="2" s="1"/>
  <c r="BE293" i="2"/>
  <c r="BE314" i="2" s="1"/>
  <c r="BI293" i="2"/>
  <c r="BI314" i="2" s="1"/>
  <c r="BJ294" i="2"/>
  <c r="BJ315" i="2" s="1"/>
  <c r="BJ350" i="2" s="1"/>
  <c r="BL294" i="2"/>
  <c r="BL315" i="2" s="1"/>
  <c r="BL350" i="2" s="1"/>
  <c r="BN294" i="2"/>
  <c r="BN315" i="2" s="1"/>
  <c r="BN350" i="2" s="1"/>
  <c r="BO294" i="2"/>
  <c r="BO315" i="2" s="1"/>
  <c r="BO350" i="2" s="1"/>
  <c r="BU293" i="2"/>
  <c r="BU314" i="2" s="1"/>
  <c r="BW293" i="2"/>
  <c r="BW314" i="2" s="1"/>
  <c r="AJ291" i="2"/>
  <c r="AJ327" i="2" s="1"/>
  <c r="E277" i="2"/>
  <c r="BJ278" i="2" s="1"/>
  <c r="E278" i="2"/>
  <c r="F283" i="2"/>
  <c r="F288" i="2" s="1"/>
  <c r="G283" i="2"/>
  <c r="G288" i="2" s="1"/>
  <c r="H283" i="2"/>
  <c r="H288" i="2" s="1"/>
  <c r="I283" i="2"/>
  <c r="I288" i="2" s="1"/>
  <c r="J283" i="2"/>
  <c r="J288" i="2" s="1"/>
  <c r="K283" i="2"/>
  <c r="K288" i="2" s="1"/>
  <c r="L283" i="2"/>
  <c r="L288" i="2" s="1"/>
  <c r="M283" i="2"/>
  <c r="M288" i="2" s="1"/>
  <c r="N283" i="2"/>
  <c r="N288" i="2" s="1"/>
  <c r="O283" i="2"/>
  <c r="O288" i="2" s="1"/>
  <c r="P283" i="2"/>
  <c r="P288" i="2" s="1"/>
  <c r="Q283" i="2"/>
  <c r="Q288" i="2" s="1"/>
  <c r="R283" i="2"/>
  <c r="R288" i="2" s="1"/>
  <c r="S283" i="2"/>
  <c r="S288" i="2" s="1"/>
  <c r="T283" i="2"/>
  <c r="T288" i="2" s="1"/>
  <c r="U283" i="2"/>
  <c r="U288" i="2" s="1"/>
  <c r="V283" i="2"/>
  <c r="V288" i="2" s="1"/>
  <c r="W283" i="2"/>
  <c r="W288" i="2" s="1"/>
  <c r="X283" i="2"/>
  <c r="X288" i="2" s="1"/>
  <c r="Y283" i="2"/>
  <c r="Y288" i="2" s="1"/>
  <c r="Z283" i="2"/>
  <c r="Z288" i="2" s="1"/>
  <c r="AA283" i="2"/>
  <c r="AA288" i="2" s="1"/>
  <c r="AB283" i="2"/>
  <c r="AB288" i="2" s="1"/>
  <c r="AC283" i="2"/>
  <c r="AC288" i="2" s="1"/>
  <c r="AD283" i="2"/>
  <c r="AD288" i="2" s="1"/>
  <c r="AE283" i="2"/>
  <c r="AE288" i="2" s="1"/>
  <c r="AF283" i="2"/>
  <c r="AF288" i="2" s="1"/>
  <c r="AG283" i="2"/>
  <c r="AG288" i="2" s="1"/>
  <c r="AH283" i="2"/>
  <c r="AH288" i="2" s="1"/>
  <c r="AI283" i="2"/>
  <c r="AI288" i="2" s="1"/>
  <c r="AJ283" i="2"/>
  <c r="AJ288" i="2" s="1"/>
  <c r="AK283" i="2"/>
  <c r="AK288" i="2" s="1"/>
  <c r="AL283" i="2"/>
  <c r="AL288" i="2" s="1"/>
  <c r="AM283" i="2"/>
  <c r="AM288" i="2" s="1"/>
  <c r="AN283" i="2"/>
  <c r="AN288" i="2" s="1"/>
  <c r="AO283" i="2"/>
  <c r="AO288" i="2" s="1"/>
  <c r="AP283" i="2"/>
  <c r="AP288" i="2" s="1"/>
  <c r="AQ283" i="2"/>
  <c r="AQ288" i="2" s="1"/>
  <c r="AR283" i="2"/>
  <c r="AR288" i="2" s="1"/>
  <c r="AS283" i="2"/>
  <c r="AS288" i="2" s="1"/>
  <c r="AT283" i="2"/>
  <c r="AT288" i="2" s="1"/>
  <c r="AU283" i="2"/>
  <c r="AU288" i="2" s="1"/>
  <c r="AV283" i="2"/>
  <c r="AV288" i="2" s="1"/>
  <c r="AW283" i="2"/>
  <c r="AW288" i="2" s="1"/>
  <c r="AX283" i="2"/>
  <c r="AX288" i="2" s="1"/>
  <c r="AY283" i="2"/>
  <c r="AY288" i="2" s="1"/>
  <c r="AZ283" i="2"/>
  <c r="AZ288" i="2" s="1"/>
  <c r="BA283" i="2"/>
  <c r="BA288" i="2" s="1"/>
  <c r="BB283" i="2"/>
  <c r="BB288" i="2" s="1"/>
  <c r="BC283" i="2"/>
  <c r="BC288" i="2" s="1"/>
  <c r="BD283" i="2"/>
  <c r="BD288" i="2" s="1"/>
  <c r="BE283" i="2"/>
  <c r="BE288" i="2" s="1"/>
  <c r="BF283" i="2"/>
  <c r="BF288" i="2" s="1"/>
  <c r="BG283" i="2"/>
  <c r="BG288" i="2" s="1"/>
  <c r="BH283" i="2"/>
  <c r="BH288" i="2" s="1"/>
  <c r="BI283" i="2"/>
  <c r="BI288" i="2" s="1"/>
  <c r="BJ283" i="2"/>
  <c r="BJ288" i="2" s="1"/>
  <c r="BK283" i="2"/>
  <c r="BK288" i="2" s="1"/>
  <c r="BL283" i="2"/>
  <c r="BL288" i="2" s="1"/>
  <c r="BM283" i="2"/>
  <c r="BM288" i="2" s="1"/>
  <c r="BN283" i="2"/>
  <c r="BN288" i="2" s="1"/>
  <c r="BO283" i="2"/>
  <c r="BO288" i="2" s="1"/>
  <c r="BP283" i="2"/>
  <c r="BP288" i="2" s="1"/>
  <c r="BQ283" i="2"/>
  <c r="BQ288" i="2" s="1"/>
  <c r="BR283" i="2"/>
  <c r="BR288" i="2" s="1"/>
  <c r="BS283" i="2"/>
  <c r="BS288" i="2" s="1"/>
  <c r="BT283" i="2"/>
  <c r="BT288" i="2" s="1"/>
  <c r="BU283" i="2"/>
  <c r="BU288" i="2" s="1"/>
  <c r="BV283" i="2"/>
  <c r="BV288" i="2" s="1"/>
  <c r="BW283" i="2"/>
  <c r="BW288" i="2" s="1"/>
  <c r="BX283" i="2"/>
  <c r="BX288" i="2" s="1"/>
  <c r="BY283" i="2"/>
  <c r="BY288" i="2" s="1"/>
  <c r="T292" i="2"/>
  <c r="T328" i="2" s="1"/>
  <c r="AF292" i="2"/>
  <c r="AF328" i="2" s="1"/>
  <c r="AU292" i="2"/>
  <c r="AU328" i="2" s="1"/>
  <c r="AV292" i="2"/>
  <c r="AV328" i="2" s="1"/>
  <c r="AX292" i="2"/>
  <c r="AX328" i="2" s="1"/>
  <c r="BH292" i="2"/>
  <c r="BH328" i="2" s="1"/>
  <c r="BJ292" i="2"/>
  <c r="BJ328" i="2" s="1"/>
  <c r="BM292" i="2"/>
  <c r="BM328" i="2" s="1"/>
  <c r="H292" i="2"/>
  <c r="H328" i="2" s="1"/>
  <c r="X292" i="2"/>
  <c r="X328" i="2" s="1"/>
  <c r="X330" i="2" s="1"/>
  <c r="X333" i="2" s="1"/>
  <c r="AT292" i="2"/>
  <c r="AT328" i="2" s="1"/>
  <c r="AW292" i="2"/>
  <c r="AW328" i="2" s="1"/>
  <c r="AY292" i="2"/>
  <c r="AY328" i="2" s="1"/>
  <c r="BF292" i="2"/>
  <c r="BF328" i="2" s="1"/>
  <c r="BN292" i="2"/>
  <c r="BN328" i="2" s="1"/>
  <c r="BT292" i="2"/>
  <c r="BT328" i="2" s="1"/>
  <c r="G292" i="2"/>
  <c r="G328" i="2" s="1"/>
  <c r="R292" i="2"/>
  <c r="R328" i="2" s="1"/>
  <c r="Y292" i="2"/>
  <c r="Y328" i="2" s="1"/>
  <c r="AA292" i="2"/>
  <c r="AA328" i="2" s="1"/>
  <c r="AE292" i="2"/>
  <c r="AE328" i="2" s="1"/>
  <c r="AE330" i="2" s="1"/>
  <c r="AE333" i="2" s="1"/>
  <c r="AP292" i="2"/>
  <c r="AP328" i="2" s="1"/>
  <c r="BR292" i="2"/>
  <c r="BR328" i="2" s="1"/>
  <c r="BW292" i="2"/>
  <c r="BW328" i="2" s="1"/>
  <c r="BX292" i="2"/>
  <c r="S292" i="2"/>
  <c r="S328" i="2" s="1"/>
  <c r="AD292" i="2"/>
  <c r="AD328" i="2" s="1"/>
  <c r="AG292" i="2"/>
  <c r="AG328" i="2" s="1"/>
  <c r="AG330" i="2" s="1"/>
  <c r="AG333" i="2" s="1"/>
  <c r="AH292" i="2"/>
  <c r="AH328" i="2" s="1"/>
  <c r="AI292" i="2"/>
  <c r="AI328" i="2" s="1"/>
  <c r="AO292" i="2"/>
  <c r="AO328" i="2" s="1"/>
  <c r="AZ292" i="2"/>
  <c r="AZ328" i="2" s="1"/>
  <c r="BU292" i="2"/>
  <c r="BU328" i="2" s="1"/>
  <c r="AQ292" i="2"/>
  <c r="AQ328" i="2" s="1"/>
  <c r="BA292" i="2"/>
  <c r="BA328" i="2" s="1"/>
  <c r="BB292" i="2"/>
  <c r="BB328" i="2" s="1"/>
  <c r="BL292" i="2"/>
  <c r="BL328" i="2" s="1"/>
  <c r="BP292" i="2"/>
  <c r="BP328" i="2" s="1"/>
  <c r="BS292" i="2"/>
  <c r="BS328" i="2" s="1"/>
  <c r="BV292" i="2"/>
  <c r="BV328" i="2" s="1"/>
  <c r="P292" i="2"/>
  <c r="P328" i="2" s="1"/>
  <c r="V292" i="2"/>
  <c r="V328" i="2" s="1"/>
  <c r="AC292" i="2"/>
  <c r="AC328" i="2" s="1"/>
  <c r="AK292" i="2"/>
  <c r="AK328" i="2" s="1"/>
  <c r="AM292" i="2"/>
  <c r="AM328" i="2" s="1"/>
  <c r="AS292" i="2"/>
  <c r="AS328" i="2" s="1"/>
  <c r="BG292" i="2"/>
  <c r="BG328" i="2" s="1"/>
  <c r="BI292" i="2"/>
  <c r="BI328" i="2" s="1"/>
  <c r="BQ292" i="2"/>
  <c r="BQ328" i="2" s="1"/>
  <c r="F292" i="2"/>
  <c r="F328" i="2" s="1"/>
  <c r="J292" i="2"/>
  <c r="J328" i="2" s="1"/>
  <c r="N292" i="2"/>
  <c r="N328" i="2" s="1"/>
  <c r="Q292" i="2"/>
  <c r="Q328" i="2" s="1"/>
  <c r="Q330" i="2" s="1"/>
  <c r="Q333" i="2" s="1"/>
  <c r="Q337" i="2" s="1"/>
  <c r="Q343" i="2" s="1"/>
  <c r="Q345" i="2" s="1"/>
  <c r="Q346" i="2" s="1"/>
  <c r="U292" i="2"/>
  <c r="U328" i="2" s="1"/>
  <c r="W292" i="2"/>
  <c r="W328" i="2" s="1"/>
  <c r="Z292" i="2"/>
  <c r="Z328" i="2" s="1"/>
  <c r="AL292" i="2"/>
  <c r="AL328" i="2" s="1"/>
  <c r="BC292" i="2"/>
  <c r="BC328" i="2" s="1"/>
  <c r="BE292" i="2"/>
  <c r="BE328" i="2" s="1"/>
  <c r="BK292" i="2"/>
  <c r="BK328" i="2" s="1"/>
  <c r="BO292" i="2"/>
  <c r="BO328" i="2" s="1"/>
  <c r="K292" i="2"/>
  <c r="K328" i="2" s="1"/>
  <c r="L292" i="2"/>
  <c r="L328" i="2" s="1"/>
  <c r="L330" i="2" s="1"/>
  <c r="L333" i="2" s="1"/>
  <c r="L337" i="2" s="1"/>
  <c r="L343" i="2" s="1"/>
  <c r="L345" i="2" s="1"/>
  <c r="L346" i="2" s="1"/>
  <c r="M292" i="2"/>
  <c r="M328" i="2" s="1"/>
  <c r="O292" i="2"/>
  <c r="O328" i="2" s="1"/>
  <c r="AB292" i="2"/>
  <c r="AB328" i="2" s="1"/>
  <c r="AJ292" i="2"/>
  <c r="AJ328" i="2" s="1"/>
  <c r="AN292" i="2"/>
  <c r="AN328" i="2" s="1"/>
  <c r="AR292" i="2"/>
  <c r="AR328" i="2" s="1"/>
  <c r="BD292" i="2"/>
  <c r="BD328" i="2" s="1"/>
  <c r="BM86" i="2"/>
  <c r="BM89" i="2" s="1"/>
  <c r="BN81" i="2"/>
  <c r="BI203" i="2"/>
  <c r="BI206" i="2" s="1"/>
  <c r="BJ198" i="2"/>
  <c r="BX291" i="2"/>
  <c r="BP291" i="2"/>
  <c r="BP327" i="2" s="1"/>
  <c r="BH291" i="2"/>
  <c r="BH327" i="2" s="1"/>
  <c r="AZ291" i="2"/>
  <c r="AZ327" i="2" s="1"/>
  <c r="AR291" i="2"/>
  <c r="AR327" i="2" s="1"/>
  <c r="AI291" i="2"/>
  <c r="AI327" i="2" s="1"/>
  <c r="AA291" i="2"/>
  <c r="AA327" i="2" s="1"/>
  <c r="S291" i="2"/>
  <c r="S327" i="2" s="1"/>
  <c r="K291" i="2"/>
  <c r="K327" i="2" s="1"/>
  <c r="BW291" i="2"/>
  <c r="BW327" i="2" s="1"/>
  <c r="BO291" i="2"/>
  <c r="BO327" i="2" s="1"/>
  <c r="BG291" i="2"/>
  <c r="BG327" i="2" s="1"/>
  <c r="AY291" i="2"/>
  <c r="AY327" i="2" s="1"/>
  <c r="AQ291" i="2"/>
  <c r="AQ327" i="2" s="1"/>
  <c r="AH291" i="2"/>
  <c r="AH327" i="2" s="1"/>
  <c r="Z291" i="2"/>
  <c r="Z327" i="2" s="1"/>
  <c r="R291" i="2"/>
  <c r="R327" i="2" s="1"/>
  <c r="J291" i="2"/>
  <c r="J327" i="2" s="1"/>
  <c r="BP87" i="2"/>
  <c r="BQ82" i="2"/>
  <c r="BD48" i="2"/>
  <c r="BE43" i="2"/>
  <c r="BB42" i="2"/>
  <c r="BA47" i="2"/>
  <c r="BA50" i="2" s="1"/>
  <c r="Y330" i="2" l="1"/>
  <c r="Y333" i="2" s="1"/>
  <c r="R330" i="2"/>
  <c r="R333" i="2" s="1"/>
  <c r="AI330" i="2"/>
  <c r="AI333" i="2" s="1"/>
  <c r="AF330" i="2"/>
  <c r="AF333" i="2" s="1"/>
  <c r="BC282" i="2"/>
  <c r="BC287" i="2" s="1"/>
  <c r="BT273" i="2"/>
  <c r="BA282" i="2"/>
  <c r="BA287" i="2" s="1"/>
  <c r="AZ282" i="2"/>
  <c r="AZ287" i="2" s="1"/>
  <c r="AV282" i="2"/>
  <c r="AV287" i="2" s="1"/>
  <c r="AS282" i="2"/>
  <c r="AS287" i="2" s="1"/>
  <c r="AS273" i="2"/>
  <c r="BX282" i="2"/>
  <c r="BX287" i="2" s="1"/>
  <c r="AK282" i="2"/>
  <c r="AK287" i="2" s="1"/>
  <c r="BV282" i="2"/>
  <c r="BV287" i="2" s="1"/>
  <c r="AB282" i="2"/>
  <c r="AB287" i="2" s="1"/>
  <c r="BR282" i="2"/>
  <c r="BR287" i="2" s="1"/>
  <c r="BM282" i="2"/>
  <c r="BM287" i="2" s="1"/>
  <c r="BI282" i="2"/>
  <c r="BI287" i="2" s="1"/>
  <c r="M330" i="2"/>
  <c r="M333" i="2" s="1"/>
  <c r="M337" i="2" s="1"/>
  <c r="M343" i="2" s="1"/>
  <c r="M345" i="2" s="1"/>
  <c r="M346" i="2" s="1"/>
  <c r="BP273" i="2"/>
  <c r="S330" i="2"/>
  <c r="S333" i="2" s="1"/>
  <c r="S337" i="2" s="1"/>
  <c r="S343" i="2" s="1"/>
  <c r="S345" i="2" s="1"/>
  <c r="W330" i="2"/>
  <c r="W333" i="2" s="1"/>
  <c r="W337" i="2" s="1"/>
  <c r="W343" i="2" s="1"/>
  <c r="W345" i="2" s="1"/>
  <c r="W346" i="2" s="1"/>
  <c r="I135" i="1"/>
  <c r="I330" i="2"/>
  <c r="I333" i="2" s="1"/>
  <c r="I337" i="2" s="1"/>
  <c r="I343" i="2" s="1"/>
  <c r="I345" i="2" s="1"/>
  <c r="I346" i="2" s="1"/>
  <c r="P330" i="2"/>
  <c r="P333" i="2" s="1"/>
  <c r="P337" i="2" s="1"/>
  <c r="P343" i="2" s="1"/>
  <c r="P345" i="2" s="1"/>
  <c r="P346" i="2" s="1"/>
  <c r="BM273" i="2"/>
  <c r="BG278" i="2"/>
  <c r="AX278" i="2"/>
  <c r="BP278" i="2"/>
  <c r="BX278" i="2"/>
  <c r="BC278" i="2"/>
  <c r="AS278" i="2"/>
  <c r="BG282" i="2"/>
  <c r="BG287" i="2" s="1"/>
  <c r="BT278" i="2"/>
  <c r="BF282" i="2"/>
  <c r="BF287" i="2" s="1"/>
  <c r="H330" i="2"/>
  <c r="H333" i="2" s="1"/>
  <c r="H337" i="2" s="1"/>
  <c r="H343" i="2" s="1"/>
  <c r="H345" i="2" s="1"/>
  <c r="H346" i="2" s="1"/>
  <c r="BW273" i="2"/>
  <c r="BQ273" i="2"/>
  <c r="BK273" i="2"/>
  <c r="BE273" i="2"/>
  <c r="AX273" i="2"/>
  <c r="AM273" i="2"/>
  <c r="I132" i="1"/>
  <c r="BV273" i="2"/>
  <c r="BO282" i="2"/>
  <c r="BO287" i="2" s="1"/>
  <c r="BJ273" i="2"/>
  <c r="BD273" i="2"/>
  <c r="AW273" i="2"/>
  <c r="AJ282" i="2"/>
  <c r="AJ287" i="2" s="1"/>
  <c r="BU273" i="2"/>
  <c r="BN282" i="2"/>
  <c r="BN287" i="2" s="1"/>
  <c r="BH282" i="2"/>
  <c r="BH287" i="2" s="1"/>
  <c r="BC273" i="2"/>
  <c r="AV273" i="2"/>
  <c r="AH282" i="2"/>
  <c r="AH287" i="2" s="1"/>
  <c r="BT282" i="2"/>
  <c r="BT287" i="2" s="1"/>
  <c r="BO273" i="2"/>
  <c r="BI273" i="2"/>
  <c r="BB282" i="2"/>
  <c r="BB287" i="2" s="1"/>
  <c r="AT282" i="2"/>
  <c r="AT287" i="2" s="1"/>
  <c r="AF282" i="2"/>
  <c r="AF287" i="2" s="1"/>
  <c r="BY282" i="2"/>
  <c r="BY287" i="2" s="1"/>
  <c r="BS282" i="2"/>
  <c r="BS287" i="2" s="1"/>
  <c r="BN273" i="2"/>
  <c r="BH273" i="2"/>
  <c r="BB273" i="2"/>
  <c r="AT273" i="2"/>
  <c r="AC282" i="2"/>
  <c r="AC287" i="2" s="1"/>
  <c r="BS273" i="2"/>
  <c r="BL282" i="2"/>
  <c r="BL287" i="2" s="1"/>
  <c r="BG273" i="2"/>
  <c r="BA273" i="2"/>
  <c r="AR282" i="2"/>
  <c r="AR287" i="2" s="1"/>
  <c r="R282" i="2"/>
  <c r="R287" i="2" s="1"/>
  <c r="K132" i="1"/>
  <c r="BY273" i="2"/>
  <c r="BR273" i="2"/>
  <c r="BK282" i="2"/>
  <c r="BK287" i="2" s="1"/>
  <c r="BF273" i="2"/>
  <c r="AY273" i="2"/>
  <c r="AQ282" i="2"/>
  <c r="AQ287" i="2" s="1"/>
  <c r="AQ290" i="2" s="1"/>
  <c r="BX273" i="2"/>
  <c r="BQ282" i="2"/>
  <c r="BQ287" i="2" s="1"/>
  <c r="BL273" i="2"/>
  <c r="BE282" i="2"/>
  <c r="BE287" i="2" s="1"/>
  <c r="AX282" i="2"/>
  <c r="AX287" i="2" s="1"/>
  <c r="AP282" i="2"/>
  <c r="AP287" i="2" s="1"/>
  <c r="BW282" i="2"/>
  <c r="BW287" i="2" s="1"/>
  <c r="BP282" i="2"/>
  <c r="BP287" i="2" s="1"/>
  <c r="BJ282" i="2"/>
  <c r="BJ287" i="2" s="1"/>
  <c r="BD282" i="2"/>
  <c r="BD287" i="2" s="1"/>
  <c r="AW282" i="2"/>
  <c r="AW287" i="2" s="1"/>
  <c r="AO282" i="2"/>
  <c r="AO287" i="2" s="1"/>
  <c r="AL282" i="2"/>
  <c r="AL287" i="2" s="1"/>
  <c r="AO273" i="2"/>
  <c r="AN282" i="2"/>
  <c r="AN287" i="2" s="1"/>
  <c r="J132" i="1"/>
  <c r="AO126" i="2"/>
  <c r="AP121" i="2"/>
  <c r="AS249" i="2"/>
  <c r="AS253" i="2" s="1"/>
  <c r="AT244" i="2"/>
  <c r="AS286" i="2"/>
  <c r="AS290" i="2" s="1"/>
  <c r="AT281" i="2"/>
  <c r="AR290" i="2"/>
  <c r="J135" i="1"/>
  <c r="AI282" i="2"/>
  <c r="AI287" i="2" s="1"/>
  <c r="BM204" i="2"/>
  <c r="BN199" i="2"/>
  <c r="K135" i="1"/>
  <c r="BL278" i="2"/>
  <c r="AW278" i="2"/>
  <c r="AN278" i="2"/>
  <c r="AD273" i="2"/>
  <c r="N282" i="2"/>
  <c r="N287" i="2" s="1"/>
  <c r="BS278" i="2"/>
  <c r="BO278" i="2"/>
  <c r="BB278" i="2"/>
  <c r="AR278" i="2"/>
  <c r="AH273" i="2"/>
  <c r="AB273" i="2"/>
  <c r="BE278" i="2"/>
  <c r="BA278" i="2"/>
  <c r="Q278" i="2"/>
  <c r="G330" i="2"/>
  <c r="G333" i="2" s="1"/>
  <c r="G337" i="2" s="1"/>
  <c r="G343" i="2" s="1"/>
  <c r="G345" i="2" s="1"/>
  <c r="G346" i="2" s="1"/>
  <c r="AQ278" i="2"/>
  <c r="AL278" i="2"/>
  <c r="AG282" i="2"/>
  <c r="AG287" i="2" s="1"/>
  <c r="Y282" i="2"/>
  <c r="Y287" i="2" s="1"/>
  <c r="BW278" i="2"/>
  <c r="BV278" i="2"/>
  <c r="BR278" i="2"/>
  <c r="BN278" i="2"/>
  <c r="BI278" i="2"/>
  <c r="AK278" i="2"/>
  <c r="X282" i="2"/>
  <c r="X287" i="2" s="1"/>
  <c r="BY278" i="2"/>
  <c r="BM278" i="2"/>
  <c r="BD278" i="2"/>
  <c r="AT278" i="2"/>
  <c r="AY282" i="2"/>
  <c r="AY287" i="2" s="1"/>
  <c r="AU273" i="2"/>
  <c r="AQ273" i="2"/>
  <c r="AL273" i="2"/>
  <c r="AG273" i="2"/>
  <c r="W282" i="2"/>
  <c r="W287" i="2" s="1"/>
  <c r="BK278" i="2"/>
  <c r="AG278" i="2"/>
  <c r="BU278" i="2"/>
  <c r="BQ278" i="2"/>
  <c r="AO278" i="2"/>
  <c r="AP273" i="2"/>
  <c r="AK273" i="2"/>
  <c r="AE273" i="2"/>
  <c r="U282" i="2"/>
  <c r="U287" i="2" s="1"/>
  <c r="F153" i="1"/>
  <c r="M282" i="2"/>
  <c r="M287" i="2" s="1"/>
  <c r="AC273" i="2"/>
  <c r="V282" i="2"/>
  <c r="V287" i="2" s="1"/>
  <c r="L282" i="2"/>
  <c r="L287" i="2" s="1"/>
  <c r="T330" i="2"/>
  <c r="T333" i="2" s="1"/>
  <c r="AF334" i="2" s="1"/>
  <c r="I153" i="1"/>
  <c r="T282" i="2"/>
  <c r="T287" i="2" s="1"/>
  <c r="AF273" i="2"/>
  <c r="Z282" i="2"/>
  <c r="Z287" i="2" s="1"/>
  <c r="U273" i="2"/>
  <c r="AJ278" i="2"/>
  <c r="AC278" i="2"/>
  <c r="AZ273" i="2"/>
  <c r="AU282" i="2"/>
  <c r="AU287" i="2" s="1"/>
  <c r="AR273" i="2"/>
  <c r="AM282" i="2"/>
  <c r="AM287" i="2" s="1"/>
  <c r="AI273" i="2"/>
  <c r="AD282" i="2"/>
  <c r="AD287" i="2" s="1"/>
  <c r="Z273" i="2"/>
  <c r="Q273" i="2"/>
  <c r="AB330" i="2"/>
  <c r="AB333" i="2" s="1"/>
  <c r="AB337" i="2" s="1"/>
  <c r="AB343" i="2" s="1"/>
  <c r="AB345" i="2" s="1"/>
  <c r="AB346" i="2" s="1"/>
  <c r="U278" i="2"/>
  <c r="K282" i="2"/>
  <c r="K287" i="2" s="1"/>
  <c r="O330" i="2"/>
  <c r="O333" i="2" s="1"/>
  <c r="O337" i="2" s="1"/>
  <c r="O343" i="2" s="1"/>
  <c r="O345" i="2" s="1"/>
  <c r="O346" i="2" s="1"/>
  <c r="Y273" i="2"/>
  <c r="S273" i="2"/>
  <c r="J282" i="2"/>
  <c r="J287" i="2" s="1"/>
  <c r="AH330" i="2"/>
  <c r="AH333" i="2" s="1"/>
  <c r="AH337" i="2" s="1"/>
  <c r="AH343" i="2" s="1"/>
  <c r="AH345" i="2" s="1"/>
  <c r="AF278" i="2"/>
  <c r="Y278" i="2"/>
  <c r="P282" i="2"/>
  <c r="P287" i="2" s="1"/>
  <c r="O282" i="2"/>
  <c r="O287" i="2" s="1"/>
  <c r="AJ330" i="2"/>
  <c r="AJ333" i="2" s="1"/>
  <c r="AJ334" i="2" s="1"/>
  <c r="G273" i="2"/>
  <c r="S282" i="2"/>
  <c r="S287" i="2" s="1"/>
  <c r="O273" i="2"/>
  <c r="K273" i="2"/>
  <c r="I282" i="2"/>
  <c r="I287" i="2" s="1"/>
  <c r="AA330" i="2"/>
  <c r="AA333" i="2" s="1"/>
  <c r="AA337" i="2" s="1"/>
  <c r="AA343" i="2" s="1"/>
  <c r="AA345" i="2" s="1"/>
  <c r="AA346" i="2" s="1"/>
  <c r="I273" i="2"/>
  <c r="M278" i="2"/>
  <c r="AN273" i="2"/>
  <c r="AJ273" i="2"/>
  <c r="AE282" i="2"/>
  <c r="AE287" i="2" s="1"/>
  <c r="AA273" i="2"/>
  <c r="W273" i="2"/>
  <c r="R273" i="2"/>
  <c r="N273" i="2"/>
  <c r="H273" i="2"/>
  <c r="K330" i="2"/>
  <c r="K333" i="2" s="1"/>
  <c r="K337" i="2" s="1"/>
  <c r="K343" i="2" s="1"/>
  <c r="K345" i="2" s="1"/>
  <c r="K346" i="2" s="1"/>
  <c r="V273" i="2"/>
  <c r="Q282" i="2"/>
  <c r="Q287" i="2" s="1"/>
  <c r="M273" i="2"/>
  <c r="F282" i="2"/>
  <c r="F287" i="2" s="1"/>
  <c r="AE337" i="2"/>
  <c r="AE343" i="2" s="1"/>
  <c r="AE345" i="2" s="1"/>
  <c r="AG337" i="2"/>
  <c r="AG343" i="2" s="1"/>
  <c r="AG345" i="2" s="1"/>
  <c r="AF337" i="2"/>
  <c r="AF343" i="2" s="1"/>
  <c r="AF345" i="2" s="1"/>
  <c r="AF346" i="2" s="1"/>
  <c r="Z278" i="2"/>
  <c r="V278" i="2"/>
  <c r="N278" i="2"/>
  <c r="J278" i="2"/>
  <c r="X316" i="2"/>
  <c r="X349" i="2"/>
  <c r="BK349" i="2"/>
  <c r="BK316" i="2"/>
  <c r="H153" i="1"/>
  <c r="AH316" i="2"/>
  <c r="AH349" i="2"/>
  <c r="V330" i="2"/>
  <c r="V333" i="2" s="1"/>
  <c r="AV349" i="2"/>
  <c r="AV316" i="2"/>
  <c r="AX349" i="2"/>
  <c r="AX316" i="2"/>
  <c r="J153" i="1"/>
  <c r="R316" i="2"/>
  <c r="R349" i="2"/>
  <c r="BD349" i="2"/>
  <c r="BD316" i="2"/>
  <c r="BH316" i="2"/>
  <c r="BH349" i="2"/>
  <c r="AJ316" i="2"/>
  <c r="AJ349" i="2"/>
  <c r="T349" i="2"/>
  <c r="T316" i="2"/>
  <c r="BJ349" i="2"/>
  <c r="BJ316" i="2"/>
  <c r="M349" i="2"/>
  <c r="M316" i="2"/>
  <c r="AD330" i="2"/>
  <c r="AD333" i="2" s="1"/>
  <c r="AL125" i="2"/>
  <c r="AL128" i="2" s="1"/>
  <c r="AL326" i="2" s="1"/>
  <c r="AL330" i="2" s="1"/>
  <c r="AL333" i="2" s="1"/>
  <c r="AM120" i="2"/>
  <c r="I278" i="2"/>
  <c r="AF349" i="2"/>
  <c r="AF316" i="2"/>
  <c r="AM316" i="2"/>
  <c r="AM349" i="2"/>
  <c r="AZ349" i="2"/>
  <c r="AZ316" i="2"/>
  <c r="AW349" i="2"/>
  <c r="AW316" i="2"/>
  <c r="Q349" i="2"/>
  <c r="Q316" i="2"/>
  <c r="AI349" i="2"/>
  <c r="AI316" i="2"/>
  <c r="BT316" i="2"/>
  <c r="BT349" i="2"/>
  <c r="N316" i="2"/>
  <c r="N349" i="2"/>
  <c r="AE349" i="2"/>
  <c r="AE316" i="2"/>
  <c r="F316" i="2"/>
  <c r="F349" i="2"/>
  <c r="AK330" i="2"/>
  <c r="AK333" i="2" s="1"/>
  <c r="BN86" i="2"/>
  <c r="BN89" i="2" s="1"/>
  <c r="BO81" i="2"/>
  <c r="BQ87" i="2"/>
  <c r="BR82" i="2"/>
  <c r="BH278" i="2"/>
  <c r="AZ278" i="2"/>
  <c r="AV278" i="2"/>
  <c r="AB278" i="2"/>
  <c r="X278" i="2"/>
  <c r="P278" i="2"/>
  <c r="L278" i="2"/>
  <c r="H278" i="2"/>
  <c r="BI349" i="2"/>
  <c r="BI316" i="2"/>
  <c r="AD349" i="2"/>
  <c r="AD316" i="2"/>
  <c r="AG349" i="2"/>
  <c r="AG316" i="2"/>
  <c r="AY349" i="2"/>
  <c r="AY316" i="2"/>
  <c r="J349" i="2"/>
  <c r="J316" i="2"/>
  <c r="AU316" i="2"/>
  <c r="AU349" i="2"/>
  <c r="AA349" i="2"/>
  <c r="AA316" i="2"/>
  <c r="AB349" i="2"/>
  <c r="AB316" i="2"/>
  <c r="J273" i="2"/>
  <c r="F273" i="2"/>
  <c r="AI334" i="2"/>
  <c r="AI337" i="2"/>
  <c r="AI343" i="2" s="1"/>
  <c r="AI345" i="2" s="1"/>
  <c r="T278" i="2"/>
  <c r="BE349" i="2"/>
  <c r="BE316" i="2"/>
  <c r="BQ349" i="2"/>
  <c r="BQ316" i="2"/>
  <c r="AC349" i="2"/>
  <c r="AC316" i="2"/>
  <c r="AL316" i="2"/>
  <c r="AL349" i="2"/>
  <c r="K349" i="2"/>
  <c r="K316" i="2"/>
  <c r="AT349" i="2"/>
  <c r="AT316" i="2"/>
  <c r="Y349" i="2"/>
  <c r="Y316" i="2"/>
  <c r="BP349" i="2"/>
  <c r="BP316" i="2"/>
  <c r="L349" i="2"/>
  <c r="L316" i="2"/>
  <c r="G349" i="2"/>
  <c r="G316" i="2"/>
  <c r="AR349" i="2"/>
  <c r="AR316" i="2"/>
  <c r="BY316" i="2"/>
  <c r="BY349" i="2"/>
  <c r="J330" i="2"/>
  <c r="J333" i="2" s="1"/>
  <c r="J337" i="2" s="1"/>
  <c r="J343" i="2" s="1"/>
  <c r="J345" i="2" s="1"/>
  <c r="AY278" i="2"/>
  <c r="AU278" i="2"/>
  <c r="AM278" i="2"/>
  <c r="AI278" i="2"/>
  <c r="AE278" i="2"/>
  <c r="AA278" i="2"/>
  <c r="S278" i="2"/>
  <c r="O278" i="2"/>
  <c r="G278" i="2"/>
  <c r="BW349" i="2"/>
  <c r="BW316" i="2"/>
  <c r="BC349" i="2"/>
  <c r="BC316" i="2"/>
  <c r="W349" i="2"/>
  <c r="W316" i="2"/>
  <c r="O349" i="2"/>
  <c r="O316" i="2"/>
  <c r="AS349" i="2"/>
  <c r="AS316" i="2"/>
  <c r="BO316" i="2"/>
  <c r="BO349" i="2"/>
  <c r="H349" i="2"/>
  <c r="H316" i="2"/>
  <c r="AP316" i="2"/>
  <c r="AP349" i="2"/>
  <c r="BV349" i="2"/>
  <c r="BV316" i="2"/>
  <c r="AN349" i="2"/>
  <c r="AN316" i="2"/>
  <c r="V349" i="2"/>
  <c r="V316" i="2"/>
  <c r="Y334" i="2"/>
  <c r="Y337" i="2"/>
  <c r="Y343" i="2" s="1"/>
  <c r="Y345" i="2" s="1"/>
  <c r="Y346" i="2" s="1"/>
  <c r="W278" i="2"/>
  <c r="K278" i="2"/>
  <c r="BU349" i="2"/>
  <c r="BU316" i="2"/>
  <c r="BA349" i="2"/>
  <c r="BA316" i="2"/>
  <c r="U349" i="2"/>
  <c r="U316" i="2"/>
  <c r="BF349" i="2"/>
  <c r="BF316" i="2"/>
  <c r="I349" i="2"/>
  <c r="I316" i="2"/>
  <c r="BN349" i="2"/>
  <c r="BN316" i="2"/>
  <c r="AQ349" i="2"/>
  <c r="AQ316" i="2"/>
  <c r="BG316" i="2"/>
  <c r="BG349" i="2"/>
  <c r="AO316" i="2"/>
  <c r="AO349" i="2"/>
  <c r="BR316" i="2"/>
  <c r="BR349" i="2"/>
  <c r="G153" i="1"/>
  <c r="H282" i="2"/>
  <c r="H287" i="2" s="1"/>
  <c r="U330" i="2"/>
  <c r="U333" i="2" s="1"/>
  <c r="AG334" i="2" s="1"/>
  <c r="F330" i="2"/>
  <c r="F333" i="2" s="1"/>
  <c r="F337" i="2" s="1"/>
  <c r="F343" i="2" s="1"/>
  <c r="F345" i="2" s="1"/>
  <c r="R337" i="2"/>
  <c r="R343" i="2" s="1"/>
  <c r="R345" i="2" s="1"/>
  <c r="Z330" i="2"/>
  <c r="Z333" i="2" s="1"/>
  <c r="BJ203" i="2"/>
  <c r="BJ206" i="2" s="1"/>
  <c r="BK198" i="2"/>
  <c r="X334" i="2"/>
  <c r="X337" i="2"/>
  <c r="X343" i="2" s="1"/>
  <c r="X345" i="2" s="1"/>
  <c r="X346" i="2" s="1"/>
  <c r="BF278" i="2"/>
  <c r="AP278" i="2"/>
  <c r="AH278" i="2"/>
  <c r="AD278" i="2"/>
  <c r="R278" i="2"/>
  <c r="F278" i="2"/>
  <c r="S349" i="2"/>
  <c r="S316" i="2"/>
  <c r="BB349" i="2"/>
  <c r="BB316" i="2"/>
  <c r="BM316" i="2"/>
  <c r="BM349" i="2"/>
  <c r="BS316" i="2"/>
  <c r="BS349" i="2"/>
  <c r="Z349" i="2"/>
  <c r="Z316" i="2"/>
  <c r="BL349" i="2"/>
  <c r="BL316" i="2"/>
  <c r="AK349" i="2"/>
  <c r="AK316" i="2"/>
  <c r="P316" i="2"/>
  <c r="P349" i="2"/>
  <c r="AA282" i="2"/>
  <c r="AA287" i="2" s="1"/>
  <c r="X273" i="2"/>
  <c r="T273" i="2"/>
  <c r="P273" i="2"/>
  <c r="L273" i="2"/>
  <c r="G282" i="2"/>
  <c r="G287" i="2" s="1"/>
  <c r="AC330" i="2"/>
  <c r="AC333" i="2" s="1"/>
  <c r="N330" i="2"/>
  <c r="N333" i="2" s="1"/>
  <c r="N337" i="2" s="1"/>
  <c r="N343" i="2" s="1"/>
  <c r="N345" i="2" s="1"/>
  <c r="N346" i="2" s="1"/>
  <c r="BE48" i="2"/>
  <c r="BF43" i="2"/>
  <c r="BC42" i="2"/>
  <c r="BB47" i="2"/>
  <c r="BB50" i="2" s="1"/>
  <c r="AE334" i="2" l="1"/>
  <c r="T334" i="2"/>
  <c r="T337" i="2"/>
  <c r="T343" i="2" s="1"/>
  <c r="T345" i="2" s="1"/>
  <c r="T346" i="2" s="1"/>
  <c r="AB334" i="2"/>
  <c r="BN204" i="2"/>
  <c r="BO199" i="2"/>
  <c r="AT286" i="2"/>
  <c r="AT290" i="2" s="1"/>
  <c r="AU281" i="2"/>
  <c r="AT249" i="2"/>
  <c r="AT253" i="2" s="1"/>
  <c r="AU244" i="2"/>
  <c r="AQ121" i="2"/>
  <c r="AP126" i="2"/>
  <c r="AJ337" i="2"/>
  <c r="AJ343" i="2" s="1"/>
  <c r="AJ345" i="2" s="1"/>
  <c r="AJ346" i="2" s="1"/>
  <c r="W334" i="2"/>
  <c r="S334" i="2"/>
  <c r="AA334" i="2"/>
  <c r="AH334" i="2"/>
  <c r="J152" i="1"/>
  <c r="R334" i="2"/>
  <c r="I152" i="1"/>
  <c r="H152" i="1"/>
  <c r="AH346" i="2"/>
  <c r="Z337" i="2"/>
  <c r="Z343" i="2" s="1"/>
  <c r="Z345" i="2" s="1"/>
  <c r="Z346" i="2" s="1"/>
  <c r="Z334" i="2"/>
  <c r="AD337" i="2"/>
  <c r="AD343" i="2" s="1"/>
  <c r="AD345" i="2" s="1"/>
  <c r="AD334" i="2"/>
  <c r="J346" i="2"/>
  <c r="AK334" i="2"/>
  <c r="AK337" i="2"/>
  <c r="AK343" i="2" s="1"/>
  <c r="AK345" i="2" s="1"/>
  <c r="AK346" i="2" s="1"/>
  <c r="K152" i="1"/>
  <c r="BK203" i="2"/>
  <c r="BK206" i="2" s="1"/>
  <c r="BL198" i="2"/>
  <c r="F351" i="2"/>
  <c r="F320" i="2" s="1"/>
  <c r="F152" i="1"/>
  <c r="AG346" i="2"/>
  <c r="R346" i="2"/>
  <c r="AC337" i="2"/>
  <c r="AC343" i="2" s="1"/>
  <c r="AC345" i="2" s="1"/>
  <c r="AC346" i="2" s="1"/>
  <c r="AC334" i="2"/>
  <c r="F346" i="2"/>
  <c r="BR87" i="2"/>
  <c r="BS82" i="2"/>
  <c r="V337" i="2"/>
  <c r="V343" i="2" s="1"/>
  <c r="V345" i="2" s="1"/>
  <c r="V334" i="2"/>
  <c r="U334" i="2"/>
  <c r="U337" i="2"/>
  <c r="U343" i="2" s="1"/>
  <c r="U345" i="2" s="1"/>
  <c r="G152" i="1"/>
  <c r="AE346" i="2"/>
  <c r="S346" i="2"/>
  <c r="AI346" i="2"/>
  <c r="BO86" i="2"/>
  <c r="BO89" i="2" s="1"/>
  <c r="BP81" i="2"/>
  <c r="AM125" i="2"/>
  <c r="AM128" i="2" s="1"/>
  <c r="AM326" i="2" s="1"/>
  <c r="AM330" i="2" s="1"/>
  <c r="AM333" i="2" s="1"/>
  <c r="AN120" i="2"/>
  <c r="AL337" i="2"/>
  <c r="AL343" i="2" s="1"/>
  <c r="AL345" i="2" s="1"/>
  <c r="AL346" i="2" s="1"/>
  <c r="AL334" i="2"/>
  <c r="BF48" i="2"/>
  <c r="BG43" i="2"/>
  <c r="BD42" i="2"/>
  <c r="BC47" i="2"/>
  <c r="BC50" i="2" s="1"/>
  <c r="AQ126" i="2" l="1"/>
  <c r="AR121" i="2"/>
  <c r="AU249" i="2"/>
  <c r="AU253" i="2" s="1"/>
  <c r="AV244" i="2"/>
  <c r="AU286" i="2"/>
  <c r="AU290" i="2" s="1"/>
  <c r="AV281" i="2"/>
  <c r="BO204" i="2"/>
  <c r="BP199" i="2"/>
  <c r="AD346" i="2"/>
  <c r="V346" i="2"/>
  <c r="G351" i="2"/>
  <c r="G353" i="2" s="1"/>
  <c r="G354" i="2" s="1"/>
  <c r="BS87" i="2"/>
  <c r="BT82" i="2"/>
  <c r="AN125" i="2"/>
  <c r="AN128" i="2" s="1"/>
  <c r="AN326" i="2" s="1"/>
  <c r="AN330" i="2" s="1"/>
  <c r="AN333" i="2" s="1"/>
  <c r="AO120" i="2"/>
  <c r="U346" i="2"/>
  <c r="AM334" i="2"/>
  <c r="AM337" i="2"/>
  <c r="AM343" i="2" s="1"/>
  <c r="AM345" i="2" s="1"/>
  <c r="AM346" i="2" s="1"/>
  <c r="BL203" i="2"/>
  <c r="BL206" i="2" s="1"/>
  <c r="BM198" i="2"/>
  <c r="BP86" i="2"/>
  <c r="BP89" i="2" s="1"/>
  <c r="BQ81" i="2"/>
  <c r="F353" i="2"/>
  <c r="F354" i="2" s="1"/>
  <c r="BH43" i="2"/>
  <c r="BG48" i="2"/>
  <c r="BE42" i="2"/>
  <c r="BD47" i="2"/>
  <c r="BD50" i="2" s="1"/>
  <c r="BQ199" i="2" l="1"/>
  <c r="BP204" i="2"/>
  <c r="AV286" i="2"/>
  <c r="AV290" i="2" s="1"/>
  <c r="AW281" i="2"/>
  <c r="AW244" i="2"/>
  <c r="AV249" i="2"/>
  <c r="AV253" i="2" s="1"/>
  <c r="AR126" i="2"/>
  <c r="AS121" i="2"/>
  <c r="G320" i="2"/>
  <c r="H351" i="2" s="1"/>
  <c r="H353" i="2" s="1"/>
  <c r="H354" i="2" s="1"/>
  <c r="AN337" i="2"/>
  <c r="AN343" i="2" s="1"/>
  <c r="AN345" i="2" s="1"/>
  <c r="AN334" i="2"/>
  <c r="AO125" i="2"/>
  <c r="AO128" i="2" s="1"/>
  <c r="AO326" i="2" s="1"/>
  <c r="AO330" i="2" s="1"/>
  <c r="AO333" i="2" s="1"/>
  <c r="AP120" i="2"/>
  <c r="BM203" i="2"/>
  <c r="BM206" i="2" s="1"/>
  <c r="BN198" i="2"/>
  <c r="BT87" i="2"/>
  <c r="BU82" i="2"/>
  <c r="BQ86" i="2"/>
  <c r="BQ89" i="2" s="1"/>
  <c r="BR81" i="2"/>
  <c r="BI43" i="2"/>
  <c r="BH48" i="2"/>
  <c r="BF42" i="2"/>
  <c r="BE47" i="2"/>
  <c r="BE50" i="2" s="1"/>
  <c r="AS126" i="2" l="1"/>
  <c r="AT121" i="2"/>
  <c r="AW249" i="2"/>
  <c r="AW253" i="2" s="1"/>
  <c r="AX244" i="2"/>
  <c r="AW286" i="2"/>
  <c r="AW290" i="2" s="1"/>
  <c r="AX281" i="2"/>
  <c r="BQ204" i="2"/>
  <c r="BR199" i="2"/>
  <c r="AP125" i="2"/>
  <c r="AP128" i="2" s="1"/>
  <c r="AP326" i="2" s="1"/>
  <c r="AP330" i="2" s="1"/>
  <c r="AP333" i="2" s="1"/>
  <c r="AQ120" i="2"/>
  <c r="AO337" i="2"/>
  <c r="AO343" i="2" s="1"/>
  <c r="AO345" i="2" s="1"/>
  <c r="AO346" i="2" s="1"/>
  <c r="AO334" i="2"/>
  <c r="BU87" i="2"/>
  <c r="BV82" i="2"/>
  <c r="AN346" i="2"/>
  <c r="BN203" i="2"/>
  <c r="BN206" i="2" s="1"/>
  <c r="BO198" i="2"/>
  <c r="BR86" i="2"/>
  <c r="BR89" i="2" s="1"/>
  <c r="BS81" i="2"/>
  <c r="H320" i="2"/>
  <c r="BJ43" i="2"/>
  <c r="BI48" i="2"/>
  <c r="BG42" i="2"/>
  <c r="BF47" i="2"/>
  <c r="BF50" i="2" s="1"/>
  <c r="BR204" i="2" l="1"/>
  <c r="BS199" i="2"/>
  <c r="AX286" i="2"/>
  <c r="AX290" i="2" s="1"/>
  <c r="AY281" i="2"/>
  <c r="AX249" i="2"/>
  <c r="AX253" i="2" s="1"/>
  <c r="AY244" i="2"/>
  <c r="AT126" i="2"/>
  <c r="AU121" i="2"/>
  <c r="BO203" i="2"/>
  <c r="BO206" i="2" s="1"/>
  <c r="BP198" i="2"/>
  <c r="BV87" i="2"/>
  <c r="BW82" i="2"/>
  <c r="I351" i="2"/>
  <c r="I353" i="2" s="1"/>
  <c r="I354" i="2" s="1"/>
  <c r="AQ125" i="2"/>
  <c r="AQ128" i="2" s="1"/>
  <c r="AQ326" i="2" s="1"/>
  <c r="AQ330" i="2" s="1"/>
  <c r="AQ333" i="2" s="1"/>
  <c r="AR120" i="2"/>
  <c r="BS86" i="2"/>
  <c r="BS89" i="2" s="1"/>
  <c r="BT81" i="2"/>
  <c r="AP337" i="2"/>
  <c r="AP343" i="2" s="1"/>
  <c r="AP345" i="2" s="1"/>
  <c r="AP334" i="2"/>
  <c r="BJ48" i="2"/>
  <c r="BK43" i="2"/>
  <c r="BH42" i="2"/>
  <c r="BG47" i="2"/>
  <c r="BG50" i="2" s="1"/>
  <c r="AV121" i="2" l="1"/>
  <c r="AU126" i="2"/>
  <c r="AY249" i="2"/>
  <c r="AY253" i="2" s="1"/>
  <c r="AZ244" i="2"/>
  <c r="AY286" i="2"/>
  <c r="AY290" i="2" s="1"/>
  <c r="AZ281" i="2"/>
  <c r="BT199" i="2"/>
  <c r="BS204" i="2"/>
  <c r="AR125" i="2"/>
  <c r="AR128" i="2" s="1"/>
  <c r="AR326" i="2" s="1"/>
  <c r="AR330" i="2" s="1"/>
  <c r="AR333" i="2" s="1"/>
  <c r="AS120" i="2"/>
  <c r="I320" i="2"/>
  <c r="AQ337" i="2"/>
  <c r="AQ343" i="2" s="1"/>
  <c r="AQ345" i="2" s="1"/>
  <c r="AQ334" i="2"/>
  <c r="BW87" i="2"/>
  <c r="BX82" i="2"/>
  <c r="BP203" i="2"/>
  <c r="BP206" i="2" s="1"/>
  <c r="BQ198" i="2"/>
  <c r="AP346" i="2"/>
  <c r="BT86" i="2"/>
  <c r="BT89" i="2" s="1"/>
  <c r="BU81" i="2"/>
  <c r="BK48" i="2"/>
  <c r="BL43" i="2"/>
  <c r="BI42" i="2"/>
  <c r="BH47" i="2"/>
  <c r="BH50" i="2" s="1"/>
  <c r="BU199" i="2" l="1"/>
  <c r="BT204" i="2"/>
  <c r="AZ286" i="2"/>
  <c r="AZ290" i="2" s="1"/>
  <c r="BA281" i="2"/>
  <c r="AZ249" i="2"/>
  <c r="AZ253" i="2" s="1"/>
  <c r="BA244" i="2"/>
  <c r="AW121" i="2"/>
  <c r="AV126" i="2"/>
  <c r="AS125" i="2"/>
  <c r="AS128" i="2" s="1"/>
  <c r="AS326" i="2" s="1"/>
  <c r="AS330" i="2" s="1"/>
  <c r="AS333" i="2" s="1"/>
  <c r="AT120" i="2"/>
  <c r="AR334" i="2"/>
  <c r="AR337" i="2"/>
  <c r="AR343" i="2" s="1"/>
  <c r="AR345" i="2" s="1"/>
  <c r="BQ203" i="2"/>
  <c r="BQ206" i="2" s="1"/>
  <c r="BR198" i="2"/>
  <c r="BU86" i="2"/>
  <c r="BU89" i="2" s="1"/>
  <c r="BV81" i="2"/>
  <c r="J351" i="2"/>
  <c r="J353" i="2" s="1"/>
  <c r="J354" i="2" s="1"/>
  <c r="BX87" i="2"/>
  <c r="BY82" i="2"/>
  <c r="BY87" i="2" s="1"/>
  <c r="AQ346" i="2"/>
  <c r="BL48" i="2"/>
  <c r="BM43" i="2"/>
  <c r="BJ42" i="2"/>
  <c r="BI47" i="2"/>
  <c r="BI50" i="2" s="1"/>
  <c r="AX121" i="2" l="1"/>
  <c r="AW126" i="2"/>
  <c r="BA249" i="2"/>
  <c r="BA253" i="2" s="1"/>
  <c r="BB244" i="2"/>
  <c r="BA286" i="2"/>
  <c r="BA290" i="2" s="1"/>
  <c r="BB281" i="2"/>
  <c r="BU204" i="2"/>
  <c r="BV199" i="2"/>
  <c r="AR346" i="2"/>
  <c r="BV86" i="2"/>
  <c r="BV89" i="2" s="1"/>
  <c r="BW81" i="2"/>
  <c r="AT125" i="2"/>
  <c r="AT128" i="2" s="1"/>
  <c r="AT326" i="2" s="1"/>
  <c r="AT330" i="2" s="1"/>
  <c r="AT333" i="2" s="1"/>
  <c r="AU120" i="2"/>
  <c r="J320" i="2"/>
  <c r="K351" i="2" s="1"/>
  <c r="BR203" i="2"/>
  <c r="BR206" i="2" s="1"/>
  <c r="BS198" i="2"/>
  <c r="AS337" i="2"/>
  <c r="AS343" i="2" s="1"/>
  <c r="AS345" i="2" s="1"/>
  <c r="AS346" i="2" s="1"/>
  <c r="AS334" i="2"/>
  <c r="BN43" i="2"/>
  <c r="BM48" i="2"/>
  <c r="BK42" i="2"/>
  <c r="BJ47" i="2"/>
  <c r="BJ50" i="2" s="1"/>
  <c r="BV204" i="2" l="1"/>
  <c r="BW199" i="2"/>
  <c r="BB286" i="2"/>
  <c r="BB290" i="2" s="1"/>
  <c r="BC281" i="2"/>
  <c r="BB249" i="2"/>
  <c r="BB253" i="2" s="1"/>
  <c r="BC244" i="2"/>
  <c r="AY121" i="2"/>
  <c r="AX126" i="2"/>
  <c r="AU125" i="2"/>
  <c r="AU128" i="2" s="1"/>
  <c r="AU326" i="2" s="1"/>
  <c r="AU330" i="2" s="1"/>
  <c r="AU333" i="2" s="1"/>
  <c r="AV120" i="2"/>
  <c r="K320" i="2"/>
  <c r="K353" i="2"/>
  <c r="K354" i="2" s="1"/>
  <c r="BW86" i="2"/>
  <c r="BW89" i="2" s="1"/>
  <c r="BX81" i="2"/>
  <c r="AT337" i="2"/>
  <c r="AT343" i="2" s="1"/>
  <c r="AT345" i="2" s="1"/>
  <c r="AT334" i="2"/>
  <c r="BS203" i="2"/>
  <c r="BS206" i="2" s="1"/>
  <c r="BT198" i="2"/>
  <c r="BO43" i="2"/>
  <c r="BN48" i="2"/>
  <c r="BL42" i="2"/>
  <c r="BK47" i="2"/>
  <c r="BK50" i="2" s="1"/>
  <c r="AZ121" i="2" l="1"/>
  <c r="AY126" i="2"/>
  <c r="BC249" i="2"/>
  <c r="BC253" i="2" s="1"/>
  <c r="BD244" i="2"/>
  <c r="BC286" i="2"/>
  <c r="BC290" i="2" s="1"/>
  <c r="BD281" i="2"/>
  <c r="BW204" i="2"/>
  <c r="BX199" i="2"/>
  <c r="BT203" i="2"/>
  <c r="BT206" i="2" s="1"/>
  <c r="BU198" i="2"/>
  <c r="L351" i="2"/>
  <c r="L353" i="2" s="1"/>
  <c r="L354" i="2" s="1"/>
  <c r="AV125" i="2"/>
  <c r="AV128" i="2" s="1"/>
  <c r="AV326" i="2" s="1"/>
  <c r="AV330" i="2" s="1"/>
  <c r="AV333" i="2" s="1"/>
  <c r="AW120" i="2"/>
  <c r="AU337" i="2"/>
  <c r="AU343" i="2" s="1"/>
  <c r="AU345" i="2" s="1"/>
  <c r="AU334" i="2"/>
  <c r="BX86" i="2"/>
  <c r="BX89" i="2" s="1"/>
  <c r="BY81" i="2"/>
  <c r="BY86" i="2" s="1"/>
  <c r="BY89" i="2" s="1"/>
  <c r="AT346" i="2"/>
  <c r="BP43" i="2"/>
  <c r="BO48" i="2"/>
  <c r="BM42" i="2"/>
  <c r="BL47" i="2"/>
  <c r="BL50" i="2" s="1"/>
  <c r="BD286" i="2" l="1"/>
  <c r="BD290" i="2" s="1"/>
  <c r="BE281" i="2"/>
  <c r="BX204" i="2"/>
  <c r="BY199" i="2"/>
  <c r="BY204" i="2" s="1"/>
  <c r="BD249" i="2"/>
  <c r="BD253" i="2" s="1"/>
  <c r="BE244" i="2"/>
  <c r="AZ126" i="2"/>
  <c r="BA121" i="2"/>
  <c r="L320" i="2"/>
  <c r="M351" i="2" s="1"/>
  <c r="M353" i="2" s="1"/>
  <c r="M354" i="2" s="1"/>
  <c r="AV337" i="2"/>
  <c r="AV343" i="2" s="1"/>
  <c r="AV345" i="2" s="1"/>
  <c r="AV346" i="2" s="1"/>
  <c r="AV334" i="2"/>
  <c r="AU346" i="2"/>
  <c r="AW125" i="2"/>
  <c r="AW128" i="2" s="1"/>
  <c r="AW326" i="2" s="1"/>
  <c r="AW330" i="2" s="1"/>
  <c r="AW333" i="2" s="1"/>
  <c r="AX120" i="2"/>
  <c r="BU203" i="2"/>
  <c r="BU206" i="2" s="1"/>
  <c r="BV198" i="2"/>
  <c r="BP48" i="2"/>
  <c r="BQ43" i="2"/>
  <c r="BN42" i="2"/>
  <c r="BM47" i="2"/>
  <c r="BM50" i="2" s="1"/>
  <c r="BA126" i="2" l="1"/>
  <c r="BB121" i="2"/>
  <c r="BE249" i="2"/>
  <c r="BE253" i="2" s="1"/>
  <c r="BF244" i="2"/>
  <c r="BE286" i="2"/>
  <c r="BE290" i="2" s="1"/>
  <c r="BF281" i="2"/>
  <c r="M320" i="2"/>
  <c r="N351" i="2" s="1"/>
  <c r="N353" i="2" s="1"/>
  <c r="N354" i="2" s="1"/>
  <c r="BV203" i="2"/>
  <c r="BV206" i="2" s="1"/>
  <c r="BW198" i="2"/>
  <c r="AX125" i="2"/>
  <c r="AX128" i="2" s="1"/>
  <c r="AX326" i="2" s="1"/>
  <c r="AX330" i="2" s="1"/>
  <c r="AX333" i="2" s="1"/>
  <c r="AY120" i="2"/>
  <c r="AW337" i="2"/>
  <c r="AW343" i="2" s="1"/>
  <c r="AW345" i="2" s="1"/>
  <c r="AW346" i="2" s="1"/>
  <c r="AW334" i="2"/>
  <c r="BQ48" i="2"/>
  <c r="BR43" i="2"/>
  <c r="BO42" i="2"/>
  <c r="BN47" i="2"/>
  <c r="BN50" i="2" s="1"/>
  <c r="BF249" i="2" l="1"/>
  <c r="BF253" i="2" s="1"/>
  <c r="BG244" i="2"/>
  <c r="BF286" i="2"/>
  <c r="BF290" i="2" s="1"/>
  <c r="BG281" i="2"/>
  <c r="BB126" i="2"/>
  <c r="BC121" i="2"/>
  <c r="AY125" i="2"/>
  <c r="AY128" i="2" s="1"/>
  <c r="AY326" i="2" s="1"/>
  <c r="AY330" i="2" s="1"/>
  <c r="AY333" i="2" s="1"/>
  <c r="AZ120" i="2"/>
  <c r="AX337" i="2"/>
  <c r="AX343" i="2" s="1"/>
  <c r="AX345" i="2" s="1"/>
  <c r="AX346" i="2" s="1"/>
  <c r="AX334" i="2"/>
  <c r="N320" i="2"/>
  <c r="BW203" i="2"/>
  <c r="BW206" i="2" s="1"/>
  <c r="BX198" i="2"/>
  <c r="BS43" i="2"/>
  <c r="BR48" i="2"/>
  <c r="BP42" i="2"/>
  <c r="BO47" i="2"/>
  <c r="BO50" i="2" s="1"/>
  <c r="BG286" i="2" l="1"/>
  <c r="BG290" i="2" s="1"/>
  <c r="BH281" i="2"/>
  <c r="BC126" i="2"/>
  <c r="BD121" i="2"/>
  <c r="BG249" i="2"/>
  <c r="BG253" i="2" s="1"/>
  <c r="BH244" i="2"/>
  <c r="O351" i="2"/>
  <c r="O353" i="2" s="1"/>
  <c r="O354" i="2" s="1"/>
  <c r="BX203" i="2"/>
  <c r="BX206" i="2" s="1"/>
  <c r="BY198" i="2"/>
  <c r="BY203" i="2" s="1"/>
  <c r="BY206" i="2" s="1"/>
  <c r="AZ125" i="2"/>
  <c r="AZ128" i="2" s="1"/>
  <c r="AZ326" i="2" s="1"/>
  <c r="AZ330" i="2" s="1"/>
  <c r="AZ333" i="2" s="1"/>
  <c r="BA120" i="2"/>
  <c r="AY337" i="2"/>
  <c r="AY343" i="2" s="1"/>
  <c r="AY345" i="2" s="1"/>
  <c r="AY346" i="2" s="1"/>
  <c r="AY334" i="2"/>
  <c r="BT43" i="2"/>
  <c r="BS48" i="2"/>
  <c r="BQ42" i="2"/>
  <c r="BP47" i="2"/>
  <c r="BP50" i="2" s="1"/>
  <c r="BH249" i="2" l="1"/>
  <c r="BH253" i="2" s="1"/>
  <c r="BI244" i="2"/>
  <c r="BD126" i="2"/>
  <c r="BE121" i="2"/>
  <c r="BH286" i="2"/>
  <c r="BH290" i="2" s="1"/>
  <c r="BI281" i="2"/>
  <c r="O320" i="2"/>
  <c r="BA125" i="2"/>
  <c r="BA128" i="2" s="1"/>
  <c r="BA326" i="2" s="1"/>
  <c r="BA330" i="2" s="1"/>
  <c r="BA333" i="2" s="1"/>
  <c r="BB120" i="2"/>
  <c r="AZ334" i="2"/>
  <c r="AZ337" i="2"/>
  <c r="AZ343" i="2" s="1"/>
  <c r="AZ345" i="2" s="1"/>
  <c r="AZ346" i="2" s="1"/>
  <c r="BU43" i="2"/>
  <c r="BT48" i="2"/>
  <c r="BR42" i="2"/>
  <c r="BQ47" i="2"/>
  <c r="BQ50" i="2" s="1"/>
  <c r="BI286" i="2" l="1"/>
  <c r="BI290" i="2" s="1"/>
  <c r="BJ281" i="2"/>
  <c r="BE126" i="2"/>
  <c r="BF121" i="2"/>
  <c r="BI249" i="2"/>
  <c r="BI253" i="2" s="1"/>
  <c r="BJ244" i="2"/>
  <c r="BB125" i="2"/>
  <c r="BB128" i="2" s="1"/>
  <c r="BB326" i="2" s="1"/>
  <c r="BB330" i="2" s="1"/>
  <c r="BB333" i="2" s="1"/>
  <c r="BC120" i="2"/>
  <c r="P351" i="2"/>
  <c r="P353" i="2" s="1"/>
  <c r="P354" i="2" s="1"/>
  <c r="BA337" i="2"/>
  <c r="BA343" i="2" s="1"/>
  <c r="BA345" i="2" s="1"/>
  <c r="BA346" i="2" s="1"/>
  <c r="BA334" i="2"/>
  <c r="BU48" i="2"/>
  <c r="BV43" i="2"/>
  <c r="BS42" i="2"/>
  <c r="BR47" i="2"/>
  <c r="BR50" i="2" s="1"/>
  <c r="BJ249" i="2" l="1"/>
  <c r="BJ253" i="2" s="1"/>
  <c r="BK244" i="2"/>
  <c r="BF126" i="2"/>
  <c r="BG121" i="2"/>
  <c r="BJ286" i="2"/>
  <c r="BJ290" i="2" s="1"/>
  <c r="BK281" i="2"/>
  <c r="P320" i="2"/>
  <c r="BC125" i="2"/>
  <c r="BC128" i="2" s="1"/>
  <c r="BC326" i="2" s="1"/>
  <c r="BC330" i="2" s="1"/>
  <c r="BC333" i="2" s="1"/>
  <c r="BD120" i="2"/>
  <c r="BB337" i="2"/>
  <c r="BB334" i="2"/>
  <c r="BV48" i="2"/>
  <c r="BW43" i="2"/>
  <c r="BT42" i="2"/>
  <c r="BS47" i="2"/>
  <c r="BS50" i="2" s="1"/>
  <c r="BK286" i="2" l="1"/>
  <c r="BK290" i="2" s="1"/>
  <c r="BL281" i="2"/>
  <c r="BH121" i="2"/>
  <c r="BG126" i="2"/>
  <c r="BK249" i="2"/>
  <c r="BK253" i="2" s="1"/>
  <c r="BL244" i="2"/>
  <c r="BD125" i="2"/>
  <c r="BD128" i="2" s="1"/>
  <c r="BD326" i="2" s="1"/>
  <c r="BD330" i="2" s="1"/>
  <c r="BD333" i="2" s="1"/>
  <c r="BE120" i="2"/>
  <c r="BC337" i="2"/>
  <c r="BC343" i="2" s="1"/>
  <c r="BC345" i="2" s="1"/>
  <c r="BC346" i="2" s="1"/>
  <c r="BC334" i="2"/>
  <c r="BB343" i="2"/>
  <c r="BB345" i="2" s="1"/>
  <c r="BB346" i="2" s="1"/>
  <c r="Q351" i="2"/>
  <c r="Q353" i="2" s="1"/>
  <c r="Q354" i="2" s="1"/>
  <c r="BW48" i="2"/>
  <c r="BX43" i="2"/>
  <c r="BU42" i="2"/>
  <c r="BT47" i="2"/>
  <c r="BT50" i="2" s="1"/>
  <c r="BM244" i="2" l="1"/>
  <c r="BL249" i="2"/>
  <c r="BL253" i="2" s="1"/>
  <c r="BH126" i="2"/>
  <c r="BI121" i="2"/>
  <c r="BL286" i="2"/>
  <c r="BL290" i="2" s="1"/>
  <c r="BM281" i="2"/>
  <c r="Q320" i="2"/>
  <c r="R351" i="2" s="1"/>
  <c r="R353" i="2" s="1"/>
  <c r="R354" i="2" s="1"/>
  <c r="BE125" i="2"/>
  <c r="BE128" i="2" s="1"/>
  <c r="BE326" i="2" s="1"/>
  <c r="BE330" i="2" s="1"/>
  <c r="BE333" i="2" s="1"/>
  <c r="BF120" i="2"/>
  <c r="BD337" i="2"/>
  <c r="BD334" i="2"/>
  <c r="BX48" i="2"/>
  <c r="BX51" i="2" s="1"/>
  <c r="BX327" i="2" s="1"/>
  <c r="BY43" i="2"/>
  <c r="BY48" i="2" s="1"/>
  <c r="BY51" i="2" s="1"/>
  <c r="BY327" i="2" s="1"/>
  <c r="BV42" i="2"/>
  <c r="BU47" i="2"/>
  <c r="BU50" i="2" s="1"/>
  <c r="BM286" i="2" l="1"/>
  <c r="BM290" i="2" s="1"/>
  <c r="BN281" i="2"/>
  <c r="BJ121" i="2"/>
  <c r="BI126" i="2"/>
  <c r="BM249" i="2"/>
  <c r="BM253" i="2" s="1"/>
  <c r="BN244" i="2"/>
  <c r="R320" i="2"/>
  <c r="BE337" i="2"/>
  <c r="BE343" i="2" s="1"/>
  <c r="BE345" i="2" s="1"/>
  <c r="BE346" i="2" s="1"/>
  <c r="BE334" i="2"/>
  <c r="BD343" i="2"/>
  <c r="BD345" i="2" s="1"/>
  <c r="BD346" i="2" s="1"/>
  <c r="BF125" i="2"/>
  <c r="BF128" i="2" s="1"/>
  <c r="BF326" i="2" s="1"/>
  <c r="BF330" i="2" s="1"/>
  <c r="BF333" i="2" s="1"/>
  <c r="BG120" i="2"/>
  <c r="F130" i="1"/>
  <c r="G130" i="1"/>
  <c r="H130" i="1"/>
  <c r="I130" i="1"/>
  <c r="J130" i="1"/>
  <c r="K130" i="1"/>
  <c r="BW42" i="2"/>
  <c r="BV47" i="2"/>
  <c r="BV50" i="2" s="1"/>
  <c r="BO244" i="2" l="1"/>
  <c r="BN249" i="2"/>
  <c r="BN253" i="2" s="1"/>
  <c r="BJ126" i="2"/>
  <c r="BK121" i="2"/>
  <c r="BN286" i="2"/>
  <c r="BN290" i="2" s="1"/>
  <c r="BO281" i="2"/>
  <c r="BG125" i="2"/>
  <c r="BG128" i="2" s="1"/>
  <c r="BG326" i="2" s="1"/>
  <c r="BG330" i="2" s="1"/>
  <c r="BG333" i="2" s="1"/>
  <c r="BH120" i="2"/>
  <c r="BF337" i="2"/>
  <c r="BF334" i="2"/>
  <c r="S351" i="2"/>
  <c r="S353" i="2" s="1"/>
  <c r="S354" i="2" s="1"/>
  <c r="BX42" i="2"/>
  <c r="BX54" i="2" s="1"/>
  <c r="BX315" i="2" s="1"/>
  <c r="BW47" i="2"/>
  <c r="BW50" i="2" s="1"/>
  <c r="BO286" i="2" l="1"/>
  <c r="BO290" i="2" s="1"/>
  <c r="BP281" i="2"/>
  <c r="BK126" i="2"/>
  <c r="BL121" i="2"/>
  <c r="S320" i="2"/>
  <c r="T351" i="2" s="1"/>
  <c r="T353" i="2" s="1"/>
  <c r="T354" i="2" s="1"/>
  <c r="BP244" i="2"/>
  <c r="BO249" i="2"/>
  <c r="BO253" i="2" s="1"/>
  <c r="BH125" i="2"/>
  <c r="BH128" i="2" s="1"/>
  <c r="BH326" i="2" s="1"/>
  <c r="BH330" i="2" s="1"/>
  <c r="BH333" i="2" s="1"/>
  <c r="BI120" i="2"/>
  <c r="BG334" i="2"/>
  <c r="BG337" i="2"/>
  <c r="BG343" i="2" s="1"/>
  <c r="BG345" i="2" s="1"/>
  <c r="BG346" i="2" s="1"/>
  <c r="BF343" i="2"/>
  <c r="BF345" i="2" s="1"/>
  <c r="BF346" i="2" s="1"/>
  <c r="BX350" i="2"/>
  <c r="K153" i="1" s="1"/>
  <c r="BX316" i="2"/>
  <c r="BY42" i="2"/>
  <c r="BY47" i="2" s="1"/>
  <c r="BX47" i="2"/>
  <c r="BL126" i="2" l="1"/>
  <c r="BM121" i="2"/>
  <c r="BQ244" i="2"/>
  <c r="BP249" i="2"/>
  <c r="BP253" i="2" s="1"/>
  <c r="BP286" i="2"/>
  <c r="BP290" i="2" s="1"/>
  <c r="BQ281" i="2"/>
  <c r="T320" i="2"/>
  <c r="U351" i="2" s="1"/>
  <c r="U353" i="2" s="1"/>
  <c r="U354" i="2" s="1"/>
  <c r="BI125" i="2"/>
  <c r="BI128" i="2" s="1"/>
  <c r="BI326" i="2" s="1"/>
  <c r="BI330" i="2" s="1"/>
  <c r="BI333" i="2" s="1"/>
  <c r="BJ120" i="2"/>
  <c r="BH337" i="2"/>
  <c r="BH334" i="2"/>
  <c r="BX50" i="2"/>
  <c r="BX52" i="2"/>
  <c r="BX328" i="2" s="1"/>
  <c r="BY50" i="2"/>
  <c r="BY52" i="2"/>
  <c r="BY328" i="2" s="1"/>
  <c r="BQ286" i="2" l="1"/>
  <c r="BQ290" i="2" s="1"/>
  <c r="BR281" i="2"/>
  <c r="BR244" i="2"/>
  <c r="BQ249" i="2"/>
  <c r="BQ253" i="2" s="1"/>
  <c r="BM126" i="2"/>
  <c r="BN121" i="2"/>
  <c r="U320" i="2"/>
  <c r="V351" i="2" s="1"/>
  <c r="V353" i="2" s="1"/>
  <c r="V354" i="2" s="1"/>
  <c r="BI337" i="2"/>
  <c r="BI343" i="2" s="1"/>
  <c r="BI345" i="2" s="1"/>
  <c r="BI346" i="2" s="1"/>
  <c r="BI334" i="2"/>
  <c r="BJ125" i="2"/>
  <c r="BJ128" i="2" s="1"/>
  <c r="BJ326" i="2" s="1"/>
  <c r="BJ330" i="2" s="1"/>
  <c r="BJ333" i="2" s="1"/>
  <c r="BK120" i="2"/>
  <c r="BH343" i="2"/>
  <c r="BH345" i="2" s="1"/>
  <c r="BH346" i="2" s="1"/>
  <c r="F131" i="1"/>
  <c r="G131" i="1"/>
  <c r="H131" i="1"/>
  <c r="I131" i="1"/>
  <c r="J131" i="1"/>
  <c r="K131" i="1"/>
  <c r="F129" i="1"/>
  <c r="G129" i="1"/>
  <c r="H129" i="1"/>
  <c r="I129" i="1"/>
  <c r="BN126" i="2" l="1"/>
  <c r="BO121" i="2"/>
  <c r="BR249" i="2"/>
  <c r="BR253" i="2" s="1"/>
  <c r="BS244" i="2"/>
  <c r="BR286" i="2"/>
  <c r="BR290" i="2" s="1"/>
  <c r="BS281" i="2"/>
  <c r="H133" i="1"/>
  <c r="H136" i="1" s="1"/>
  <c r="I133" i="1"/>
  <c r="I136" i="1" s="1"/>
  <c r="F133" i="1"/>
  <c r="F136" i="1" s="1"/>
  <c r="F137" i="1" s="1"/>
  <c r="BK125" i="2"/>
  <c r="BK128" i="2" s="1"/>
  <c r="BK326" i="2" s="1"/>
  <c r="BL120" i="2"/>
  <c r="BJ337" i="2"/>
  <c r="BJ334" i="2"/>
  <c r="G133" i="1"/>
  <c r="G136" i="1" s="1"/>
  <c r="V320" i="2"/>
  <c r="I137" i="1" l="1"/>
  <c r="BS249" i="2"/>
  <c r="BS253" i="2" s="1"/>
  <c r="BT244" i="2"/>
  <c r="BS286" i="2"/>
  <c r="BS290" i="2" s="1"/>
  <c r="BT281" i="2"/>
  <c r="BP121" i="2"/>
  <c r="BO126" i="2"/>
  <c r="G137" i="1"/>
  <c r="H137" i="1"/>
  <c r="W351" i="2"/>
  <c r="W353" i="2" s="1"/>
  <c r="W354" i="2" s="1"/>
  <c r="BJ343" i="2"/>
  <c r="BJ345" i="2" s="1"/>
  <c r="BJ346" i="2" s="1"/>
  <c r="BL125" i="2"/>
  <c r="BL128" i="2" s="1"/>
  <c r="BL326" i="2" s="1"/>
  <c r="BL330" i="2" s="1"/>
  <c r="BL333" i="2" s="1"/>
  <c r="BM120" i="2"/>
  <c r="BK330" i="2"/>
  <c r="BK333" i="2" s="1"/>
  <c r="F140" i="1"/>
  <c r="F146" i="1" s="1"/>
  <c r="F148" i="1" s="1"/>
  <c r="F180" i="1" s="1"/>
  <c r="G140" i="1"/>
  <c r="G146" i="1" s="1"/>
  <c r="G148" i="1" s="1"/>
  <c r="E22" i="1" s="1"/>
  <c r="H140" i="1"/>
  <c r="H146" i="1" s="1"/>
  <c r="H148" i="1" s="1"/>
  <c r="G192" i="1" s="1"/>
  <c r="G199" i="1" s="1"/>
  <c r="I140" i="1"/>
  <c r="I146" i="1" s="1"/>
  <c r="I148" i="1" s="1"/>
  <c r="H192" i="1" s="1"/>
  <c r="H199" i="1" s="1"/>
  <c r="I149" i="1" l="1"/>
  <c r="I186" i="1"/>
  <c r="I180" i="1"/>
  <c r="I183" i="1"/>
  <c r="BP126" i="2"/>
  <c r="BQ121" i="2"/>
  <c r="G180" i="1"/>
  <c r="G186" i="1"/>
  <c r="G183" i="1"/>
  <c r="BT286" i="2"/>
  <c r="BT290" i="2" s="1"/>
  <c r="BU281" i="2"/>
  <c r="H186" i="1"/>
  <c r="H180" i="1"/>
  <c r="H183" i="1"/>
  <c r="BT249" i="2"/>
  <c r="BT253" i="2" s="1"/>
  <c r="BU244" i="2"/>
  <c r="W320" i="2"/>
  <c r="BK334" i="2"/>
  <c r="BK337" i="2"/>
  <c r="BK343" i="2" s="1"/>
  <c r="BK345" i="2" s="1"/>
  <c r="BK346" i="2" s="1"/>
  <c r="BM125" i="2"/>
  <c r="BM128" i="2" s="1"/>
  <c r="BM326" i="2" s="1"/>
  <c r="BN120" i="2"/>
  <c r="BL337" i="2"/>
  <c r="BL343" i="2" s="1"/>
  <c r="BL345" i="2" s="1"/>
  <c r="BL346" i="2" s="1"/>
  <c r="BL334" i="2"/>
  <c r="H149" i="1"/>
  <c r="F149" i="1"/>
  <c r="G149" i="1"/>
  <c r="BU286" i="2" l="1"/>
  <c r="BU290" i="2" s="1"/>
  <c r="BV281" i="2"/>
  <c r="BQ126" i="2"/>
  <c r="BR121" i="2"/>
  <c r="BV244" i="2"/>
  <c r="BU249" i="2"/>
  <c r="BU253" i="2" s="1"/>
  <c r="BM330" i="2"/>
  <c r="BM333" i="2" s="1"/>
  <c r="J129" i="1"/>
  <c r="J133" i="1" s="1"/>
  <c r="J136" i="1" s="1"/>
  <c r="BN125" i="2"/>
  <c r="BN128" i="2" s="1"/>
  <c r="BN326" i="2" s="1"/>
  <c r="BO120" i="2"/>
  <c r="X351" i="2"/>
  <c r="X353" i="2" s="1"/>
  <c r="X354" i="2" s="1"/>
  <c r="BR126" i="2" l="1"/>
  <c r="BS121" i="2"/>
  <c r="BV249" i="2"/>
  <c r="BV253" i="2" s="1"/>
  <c r="BW244" i="2"/>
  <c r="BV286" i="2"/>
  <c r="BV290" i="2" s="1"/>
  <c r="BW281" i="2"/>
  <c r="BO125" i="2"/>
  <c r="BO128" i="2" s="1"/>
  <c r="BO326" i="2" s="1"/>
  <c r="BO330" i="2" s="1"/>
  <c r="BO333" i="2" s="1"/>
  <c r="BP120" i="2"/>
  <c r="J137" i="1"/>
  <c r="X320" i="2"/>
  <c r="BN330" i="2"/>
  <c r="BN333" i="2" s="1"/>
  <c r="BM337" i="2"/>
  <c r="BM343" i="2" s="1"/>
  <c r="BM345" i="2" s="1"/>
  <c r="BM346" i="2" s="1"/>
  <c r="BM334" i="2"/>
  <c r="BW249" i="2" l="1"/>
  <c r="BW253" i="2" s="1"/>
  <c r="BX244" i="2"/>
  <c r="BT121" i="2"/>
  <c r="BS126" i="2"/>
  <c r="BW286" i="2"/>
  <c r="BW290" i="2" s="1"/>
  <c r="BX281" i="2"/>
  <c r="BN337" i="2"/>
  <c r="BN334" i="2"/>
  <c r="Y351" i="2"/>
  <c r="Y353" i="2" s="1"/>
  <c r="Y354" i="2" s="1"/>
  <c r="BP125" i="2"/>
  <c r="BP128" i="2" s="1"/>
  <c r="BP326" i="2" s="1"/>
  <c r="BP330" i="2" s="1"/>
  <c r="BP333" i="2" s="1"/>
  <c r="BQ120" i="2"/>
  <c r="BO334" i="2"/>
  <c r="BO337" i="2"/>
  <c r="BO343" i="2" s="1"/>
  <c r="BO345" i="2" s="1"/>
  <c r="BO346" i="2" s="1"/>
  <c r="BX286" i="2" l="1"/>
  <c r="BX290" i="2" s="1"/>
  <c r="BY281" i="2"/>
  <c r="BY286" i="2" s="1"/>
  <c r="BY290" i="2" s="1"/>
  <c r="BU121" i="2"/>
  <c r="BT126" i="2"/>
  <c r="BY244" i="2"/>
  <c r="BY249" i="2" s="1"/>
  <c r="BY253" i="2" s="1"/>
  <c r="BX249" i="2"/>
  <c r="BX253" i="2" s="1"/>
  <c r="Y320" i="2"/>
  <c r="Z351" i="2" s="1"/>
  <c r="Z353" i="2" s="1"/>
  <c r="Z354" i="2" s="1"/>
  <c r="BQ125" i="2"/>
  <c r="BQ128" i="2" s="1"/>
  <c r="BQ326" i="2" s="1"/>
  <c r="BR120" i="2"/>
  <c r="BP334" i="2"/>
  <c r="BP337" i="2"/>
  <c r="BP343" i="2" s="1"/>
  <c r="BP345" i="2" s="1"/>
  <c r="BP346" i="2" s="1"/>
  <c r="BN343" i="2"/>
  <c r="BN345" i="2" s="1"/>
  <c r="BN346" i="2" s="1"/>
  <c r="BU126" i="2" l="1"/>
  <c r="BV121" i="2"/>
  <c r="Z320" i="2"/>
  <c r="BR125" i="2"/>
  <c r="BR128" i="2" s="1"/>
  <c r="BR326" i="2" s="1"/>
  <c r="BR330" i="2" s="1"/>
  <c r="BR333" i="2" s="1"/>
  <c r="BS120" i="2"/>
  <c r="BQ330" i="2"/>
  <c r="BQ333" i="2" s="1"/>
  <c r="BV126" i="2" l="1"/>
  <c r="BW121" i="2"/>
  <c r="BQ337" i="2"/>
  <c r="BQ334" i="2"/>
  <c r="BR337" i="2"/>
  <c r="BR343" i="2" s="1"/>
  <c r="BR345" i="2" s="1"/>
  <c r="BR346" i="2" s="1"/>
  <c r="BR334" i="2"/>
  <c r="BS125" i="2"/>
  <c r="BS128" i="2" s="1"/>
  <c r="BS326" i="2" s="1"/>
  <c r="BT120" i="2"/>
  <c r="AA351" i="2"/>
  <c r="AA353" i="2" s="1"/>
  <c r="AA354" i="2" s="1"/>
  <c r="BX121" i="2" l="1"/>
  <c r="BW126" i="2"/>
  <c r="AA320" i="2"/>
  <c r="BS330" i="2"/>
  <c r="BS333" i="2" s="1"/>
  <c r="BT125" i="2"/>
  <c r="BT128" i="2" s="1"/>
  <c r="BT326" i="2" s="1"/>
  <c r="BT330" i="2" s="1"/>
  <c r="BT333" i="2" s="1"/>
  <c r="BU120" i="2"/>
  <c r="BQ343" i="2"/>
  <c r="BQ345" i="2" s="1"/>
  <c r="BQ346" i="2" s="1"/>
  <c r="BY121" i="2" l="1"/>
  <c r="BY126" i="2" s="1"/>
  <c r="BX126" i="2"/>
  <c r="BU125" i="2"/>
  <c r="BU128" i="2" s="1"/>
  <c r="BU326" i="2" s="1"/>
  <c r="BV120" i="2"/>
  <c r="BT334" i="2"/>
  <c r="BT337" i="2"/>
  <c r="BT343" i="2" s="1"/>
  <c r="BT345" i="2" s="1"/>
  <c r="BT346" i="2" s="1"/>
  <c r="BS334" i="2"/>
  <c r="BS337" i="2"/>
  <c r="AB351" i="2"/>
  <c r="AB353" i="2" s="1"/>
  <c r="AB354" i="2" s="1"/>
  <c r="AB320" i="2" l="1"/>
  <c r="AC351" i="2" s="1"/>
  <c r="BS343" i="2"/>
  <c r="BS345" i="2" s="1"/>
  <c r="BS346" i="2" s="1"/>
  <c r="BV125" i="2"/>
  <c r="BV128" i="2" s="1"/>
  <c r="BV326" i="2" s="1"/>
  <c r="BV330" i="2" s="1"/>
  <c r="BV333" i="2" s="1"/>
  <c r="BW120" i="2"/>
  <c r="BU330" i="2"/>
  <c r="BU333" i="2" s="1"/>
  <c r="AC353" i="2" l="1"/>
  <c r="AC354" i="2" s="1"/>
  <c r="AC320" i="2"/>
  <c r="BU334" i="2"/>
  <c r="BU337" i="2"/>
  <c r="BW125" i="2"/>
  <c r="BW128" i="2" s="1"/>
  <c r="BW326" i="2" s="1"/>
  <c r="BW330" i="2" s="1"/>
  <c r="BW333" i="2" s="1"/>
  <c r="BX120" i="2"/>
  <c r="BV334" i="2"/>
  <c r="BV337" i="2"/>
  <c r="BV343" i="2" s="1"/>
  <c r="BV345" i="2" s="1"/>
  <c r="BV346" i="2" s="1"/>
  <c r="AD351" i="2" l="1"/>
  <c r="AD353" i="2" s="1"/>
  <c r="AD354" i="2" s="1"/>
  <c r="G177" i="1"/>
  <c r="BX125" i="2"/>
  <c r="BX128" i="2" s="1"/>
  <c r="BX326" i="2" s="1"/>
  <c r="BX330" i="2" s="1"/>
  <c r="BX333" i="2" s="1"/>
  <c r="BY120" i="2"/>
  <c r="BY125" i="2" s="1"/>
  <c r="BY128" i="2" s="1"/>
  <c r="BY326" i="2" s="1"/>
  <c r="BU343" i="2"/>
  <c r="BU345" i="2" s="1"/>
  <c r="BU346" i="2" s="1"/>
  <c r="BW334" i="2"/>
  <c r="BW337" i="2"/>
  <c r="BW343" i="2" s="1"/>
  <c r="BW345" i="2" s="1"/>
  <c r="BW346" i="2" s="1"/>
  <c r="AD320" i="2" l="1"/>
  <c r="AE351" i="2" s="1"/>
  <c r="AE353" i="2" s="1"/>
  <c r="AE354" i="2" s="1"/>
  <c r="BY330" i="2"/>
  <c r="BY333" i="2" s="1"/>
  <c r="K129" i="1"/>
  <c r="K133" i="1" s="1"/>
  <c r="K136" i="1" s="1"/>
  <c r="K137" i="1" s="1"/>
  <c r="BX334" i="2"/>
  <c r="BX337" i="2"/>
  <c r="AE320" i="2" l="1"/>
  <c r="AF351" i="2" s="1"/>
  <c r="AF353" i="2" s="1"/>
  <c r="AF354" i="2" s="1"/>
  <c r="BX343" i="2"/>
  <c r="BX345" i="2" s="1"/>
  <c r="BX346" i="2" s="1"/>
  <c r="BY337" i="2"/>
  <c r="K140" i="1" s="1"/>
  <c r="K146" i="1" s="1"/>
  <c r="K148" i="1" s="1"/>
  <c r="BY334" i="2"/>
  <c r="K149" i="1" l="1"/>
  <c r="J192" i="1"/>
  <c r="J199" i="1" s="1"/>
  <c r="AF320" i="2"/>
  <c r="BY343" i="2"/>
  <c r="BY345" i="2" s="1"/>
  <c r="BY346" i="2" s="1"/>
  <c r="J140" i="1"/>
  <c r="J146" i="1" s="1"/>
  <c r="J148" i="1" s="1"/>
  <c r="I192" i="1" s="1"/>
  <c r="I199" i="1" s="1"/>
  <c r="E40" i="1" l="1"/>
  <c r="E41" i="1" s="1"/>
  <c r="J203" i="1"/>
  <c r="J149" i="1"/>
  <c r="J180" i="1"/>
  <c r="J183" i="1"/>
  <c r="J186" i="1"/>
  <c r="AG351" i="2"/>
  <c r="AG353" i="2" s="1"/>
  <c r="AG354" i="2" s="1"/>
  <c r="J205" i="1" l="1"/>
  <c r="AG320" i="2"/>
  <c r="AH351" i="2" s="1"/>
  <c r="AH353" i="2" s="1"/>
  <c r="AH354" i="2" s="1"/>
  <c r="AH320" i="2" l="1"/>
  <c r="AI351" i="2" s="1"/>
  <c r="AI353" i="2" s="1"/>
  <c r="AI354" i="2" s="1"/>
  <c r="AI320" i="2" l="1"/>
  <c r="AJ351" i="2" s="1"/>
  <c r="AJ353" i="2" s="1"/>
  <c r="AJ354" i="2" s="1"/>
  <c r="AJ320" i="2" l="1"/>
  <c r="AK351" i="2" s="1"/>
  <c r="AK353" i="2" s="1"/>
  <c r="AK354" i="2" s="1"/>
  <c r="AK320" i="2" l="1"/>
  <c r="F154" i="1"/>
  <c r="F156" i="1" s="1"/>
  <c r="G154" i="1"/>
  <c r="G156" i="1" s="1"/>
  <c r="G157" i="1" l="1"/>
  <c r="G181" i="1"/>
  <c r="G187" i="1"/>
  <c r="G163" i="1"/>
  <c r="G206" i="1" s="1"/>
  <c r="G184" i="1"/>
  <c r="F157" i="1"/>
  <c r="F181" i="1"/>
  <c r="AL351" i="2"/>
  <c r="G209" i="1" l="1"/>
  <c r="G227" i="1" s="1"/>
  <c r="G228" i="1" s="1"/>
  <c r="AL353" i="2"/>
  <c r="AL354" i="2" s="1"/>
  <c r="AL320" i="2"/>
  <c r="G210" i="1" l="1"/>
  <c r="G211" i="1" s="1"/>
  <c r="AM351" i="2"/>
  <c r="AM320" i="2" s="1"/>
  <c r="G259" i="1" l="1"/>
  <c r="G258" i="1"/>
  <c r="G244" i="1"/>
  <c r="G245" i="1" s="1"/>
  <c r="AN351" i="2"/>
  <c r="AN353" i="2" s="1"/>
  <c r="AN354" i="2" s="1"/>
  <c r="AM353" i="2"/>
  <c r="AM354" i="2" s="1"/>
  <c r="G260" i="1" l="1"/>
  <c r="G264" i="1"/>
  <c r="G273" i="1"/>
  <c r="AN320" i="2"/>
  <c r="G266" i="1" l="1"/>
  <c r="G267" i="1" s="1"/>
  <c r="H263" i="1" s="1"/>
  <c r="G290" i="1"/>
  <c r="AO351" i="2"/>
  <c r="G269" i="1" l="1"/>
  <c r="G275" i="1" s="1"/>
  <c r="G278" i="1" s="1"/>
  <c r="H265" i="1"/>
  <c r="AO353" i="2"/>
  <c r="AO354" i="2" s="1"/>
  <c r="H154" i="1"/>
  <c r="H156" i="1" s="1"/>
  <c r="AO320" i="2"/>
  <c r="H177" i="1" s="1"/>
  <c r="G282" i="1" l="1"/>
  <c r="G296" i="1" s="1"/>
  <c r="G283" i="1"/>
  <c r="G302" i="1" s="1"/>
  <c r="G276" i="1"/>
  <c r="H272" i="1" s="1"/>
  <c r="H157" i="1"/>
  <c r="H181" i="1"/>
  <c r="H184" i="1"/>
  <c r="H163" i="1"/>
  <c r="H206" i="1" s="1"/>
  <c r="H187" i="1"/>
  <c r="AP351" i="2"/>
  <c r="AP320" i="2" s="1"/>
  <c r="G285" i="1" l="1"/>
  <c r="H274" i="1"/>
  <c r="H209" i="1"/>
  <c r="H227" i="1" s="1"/>
  <c r="H228" i="1" s="1"/>
  <c r="AQ351" i="2"/>
  <c r="AQ353" i="2" s="1"/>
  <c r="AQ354" i="2" s="1"/>
  <c r="AP353" i="2"/>
  <c r="AP354" i="2" s="1"/>
  <c r="H210" i="1" l="1"/>
  <c r="H244" i="1" s="1"/>
  <c r="H245" i="1" s="1"/>
  <c r="AQ320" i="2"/>
  <c r="AR351" i="2" s="1"/>
  <c r="AR320" i="2" s="1"/>
  <c r="H211" i="1" l="1"/>
  <c r="AS351" i="2"/>
  <c r="AS353" i="2" s="1"/>
  <c r="AS354" i="2" s="1"/>
  <c r="AR353" i="2"/>
  <c r="AR354" i="2" s="1"/>
  <c r="H259" i="1" l="1"/>
  <c r="H258" i="1"/>
  <c r="AS320" i="2"/>
  <c r="AT351" i="2" s="1"/>
  <c r="H260" i="1" l="1"/>
  <c r="H264" i="1"/>
  <c r="H273" i="1"/>
  <c r="AT320" i="2"/>
  <c r="AU351" i="2" s="1"/>
  <c r="AU353" i="2" s="1"/>
  <c r="AU354" i="2" s="1"/>
  <c r="AT353" i="2"/>
  <c r="AT354" i="2" s="1"/>
  <c r="H266" i="1" l="1"/>
  <c r="H267" i="1" s="1"/>
  <c r="I263" i="1" s="1"/>
  <c r="H290" i="1"/>
  <c r="AU320" i="2"/>
  <c r="AV351" i="2" s="1"/>
  <c r="H269" i="1" l="1"/>
  <c r="H275" i="1" s="1"/>
  <c r="H278" i="1" s="1"/>
  <c r="I265" i="1"/>
  <c r="AV320" i="2"/>
  <c r="AW351" i="2" s="1"/>
  <c r="AW353" i="2" s="1"/>
  <c r="AW354" i="2" s="1"/>
  <c r="AV353" i="2"/>
  <c r="AV354" i="2" s="1"/>
  <c r="H283" i="1" l="1"/>
  <c r="H302" i="1" s="1"/>
  <c r="H282" i="1"/>
  <c r="H296" i="1" s="1"/>
  <c r="H276" i="1"/>
  <c r="I272" i="1" s="1"/>
  <c r="AW320" i="2"/>
  <c r="AX351" i="2" s="1"/>
  <c r="AX320" i="2" s="1"/>
  <c r="I274" i="1" l="1"/>
  <c r="H285" i="1"/>
  <c r="AY351" i="2"/>
  <c r="AY353" i="2" s="1"/>
  <c r="AY354" i="2" s="1"/>
  <c r="AX353" i="2"/>
  <c r="AX354" i="2" s="1"/>
  <c r="AY320" i="2" l="1"/>
  <c r="AZ351" i="2" s="1"/>
  <c r="AZ353" i="2" s="1"/>
  <c r="AZ354" i="2" s="1"/>
  <c r="AZ320" i="2" l="1"/>
  <c r="BA351" i="2" s="1"/>
  <c r="BA353" i="2" s="1"/>
  <c r="BA354" i="2" s="1"/>
  <c r="BA320" i="2" l="1"/>
  <c r="I177" i="1" s="1"/>
  <c r="BB351" i="2" l="1"/>
  <c r="BB320" i="2" s="1"/>
  <c r="BC351" i="2" s="1"/>
  <c r="BC353" i="2" s="1"/>
  <c r="BC354" i="2" s="1"/>
  <c r="BB353" i="2" l="1"/>
  <c r="BB354" i="2" s="1"/>
  <c r="BC320" i="2"/>
  <c r="BD351" i="2" s="1"/>
  <c r="BD320" i="2" s="1"/>
  <c r="BE351" i="2" l="1"/>
  <c r="BE353" i="2" s="1"/>
  <c r="BE354" i="2" s="1"/>
  <c r="BD353" i="2"/>
  <c r="BD354" i="2" s="1"/>
  <c r="BE320" i="2" l="1"/>
  <c r="BF351" i="2" s="1"/>
  <c r="BF320" i="2" s="1"/>
  <c r="BG351" i="2" l="1"/>
  <c r="BG353" i="2" s="1"/>
  <c r="BG354" i="2" s="1"/>
  <c r="BF353" i="2"/>
  <c r="BF354" i="2" s="1"/>
  <c r="BG320" i="2" l="1"/>
  <c r="BH351" i="2" s="1"/>
  <c r="BH320" i="2" s="1"/>
  <c r="BI351" i="2" l="1"/>
  <c r="BI353" i="2" s="1"/>
  <c r="BI354" i="2" s="1"/>
  <c r="BH353" i="2"/>
  <c r="BH354" i="2" s="1"/>
  <c r="BI320" i="2" l="1"/>
  <c r="BJ351" i="2" s="1"/>
  <c r="BJ320" i="2" s="1"/>
  <c r="BK351" i="2" l="1"/>
  <c r="BK353" i="2" s="1"/>
  <c r="BK354" i="2" s="1"/>
  <c r="BJ353" i="2"/>
  <c r="BJ354" i="2" s="1"/>
  <c r="BK320" i="2" l="1"/>
  <c r="BL351" i="2" l="1"/>
  <c r="BL353" i="2" s="1"/>
  <c r="BL354" i="2" s="1"/>
  <c r="BL320" i="2" l="1"/>
  <c r="BM351" i="2" s="1"/>
  <c r="BM353" i="2" s="1"/>
  <c r="BM354" i="2" s="1"/>
  <c r="BM320" i="2" l="1"/>
  <c r="J177" i="1" s="1"/>
  <c r="J204" i="1" s="1"/>
  <c r="BN351" i="2" l="1"/>
  <c r="BN320" i="2" s="1"/>
  <c r="BO351" i="2" l="1"/>
  <c r="BO353" i="2" s="1"/>
  <c r="BO354" i="2" s="1"/>
  <c r="BN353" i="2"/>
  <c r="BN354" i="2" s="1"/>
  <c r="BO320" i="2" l="1"/>
  <c r="BP351" i="2" s="1"/>
  <c r="BP320" i="2" s="1"/>
  <c r="BQ351" i="2" l="1"/>
  <c r="BQ353" i="2" s="1"/>
  <c r="BQ354" i="2" s="1"/>
  <c r="BP353" i="2"/>
  <c r="BP354" i="2" s="1"/>
  <c r="BQ320" i="2" l="1"/>
  <c r="BR351" i="2" l="1"/>
  <c r="BR320" i="2" s="1"/>
  <c r="BS351" i="2" l="1"/>
  <c r="BS353" i="2" s="1"/>
  <c r="BS354" i="2" s="1"/>
  <c r="BR353" i="2"/>
  <c r="BR354" i="2" s="1"/>
  <c r="BS320" i="2" l="1"/>
  <c r="BT351" i="2" s="1"/>
  <c r="BT320" i="2" s="1"/>
  <c r="BU351" i="2" l="1"/>
  <c r="BU353" i="2" s="1"/>
  <c r="BU354" i="2" s="1"/>
  <c r="BT353" i="2"/>
  <c r="BT354" i="2" s="1"/>
  <c r="BU320" i="2" l="1"/>
  <c r="BV351" i="2" s="1"/>
  <c r="BV320" i="2" s="1"/>
  <c r="BW351" i="2" l="1"/>
  <c r="BW353" i="2" s="1"/>
  <c r="BW354" i="2" s="1"/>
  <c r="BV353" i="2"/>
  <c r="BV354" i="2" s="1"/>
  <c r="BW320" i="2" l="1"/>
  <c r="BX351" i="2" s="1"/>
  <c r="BX353" i="2" s="1"/>
  <c r="BX354" i="2" s="1"/>
  <c r="BX320" i="2" l="1"/>
  <c r="BY351" i="2" s="1"/>
  <c r="BY320" i="2" s="1"/>
  <c r="BY353" i="2" l="1"/>
  <c r="BY354" i="2" s="1"/>
  <c r="I154" i="1"/>
  <c r="I156" i="1" s="1"/>
  <c r="J154" i="1"/>
  <c r="J156" i="1" s="1"/>
  <c r="K154" i="1"/>
  <c r="K156" i="1" s="1"/>
  <c r="K157" i="1" s="1"/>
  <c r="J157" i="1" l="1"/>
  <c r="J181" i="1"/>
  <c r="J184" i="1"/>
  <c r="J187" i="1"/>
  <c r="J163" i="1"/>
  <c r="J206" i="1" s="1"/>
  <c r="I157" i="1"/>
  <c r="I181" i="1"/>
  <c r="I184" i="1"/>
  <c r="I163" i="1"/>
  <c r="I206" i="1" s="1"/>
  <c r="I187" i="1"/>
  <c r="I209" i="1" l="1"/>
  <c r="I227" i="1" s="1"/>
  <c r="I228" i="1" s="1"/>
  <c r="J207" i="1"/>
  <c r="J226" i="1" l="1"/>
  <c r="J208" i="1"/>
  <c r="I210" i="1"/>
  <c r="I244" i="1" s="1"/>
  <c r="I245" i="1" s="1"/>
  <c r="I211" i="1" l="1"/>
  <c r="J243" i="1"/>
  <c r="J209" i="1"/>
  <c r="J227" i="1" s="1"/>
  <c r="J228" i="1" s="1"/>
  <c r="F230" i="1" s="1"/>
  <c r="F232" i="1"/>
  <c r="I259" i="1" l="1"/>
  <c r="I258" i="1"/>
  <c r="F233" i="1"/>
  <c r="F235" i="1" s="1"/>
  <c r="J210" i="1"/>
  <c r="F249" i="1"/>
  <c r="I260" i="1" l="1"/>
  <c r="I273" i="1"/>
  <c r="I264" i="1"/>
  <c r="J244" i="1"/>
  <c r="F215" i="1"/>
  <c r="F217" i="1" s="1"/>
  <c r="J211" i="1"/>
  <c r="F213" i="1" l="1"/>
  <c r="J258" i="1"/>
  <c r="J259" i="1"/>
  <c r="I266" i="1"/>
  <c r="I267" i="1" s="1"/>
  <c r="J263" i="1" s="1"/>
  <c r="I290" i="1"/>
  <c r="J245" i="1"/>
  <c r="F247" i="1" s="1"/>
  <c r="F250" i="1"/>
  <c r="F252" i="1" s="1"/>
  <c r="I269" i="1" l="1"/>
  <c r="I275" i="1" s="1"/>
  <c r="J260" i="1"/>
  <c r="J264" i="1"/>
  <c r="J273" i="1"/>
  <c r="J265" i="1"/>
  <c r="J290" i="1" l="1"/>
  <c r="J266" i="1"/>
  <c r="J267" i="1" s="1"/>
  <c r="I276" i="1"/>
  <c r="J272" i="1" s="1"/>
  <c r="I278" i="1"/>
  <c r="I283" i="1" l="1"/>
  <c r="I302" i="1" s="1"/>
  <c r="I282" i="1"/>
  <c r="I296" i="1" s="1"/>
  <c r="J274" i="1"/>
  <c r="E292" i="1"/>
  <c r="E293" i="1"/>
  <c r="E291" i="1"/>
  <c r="J269" i="1"/>
  <c r="I285" i="1" l="1"/>
  <c r="E294" i="1"/>
  <c r="J275" i="1"/>
  <c r="J276" i="1" l="1"/>
  <c r="J278" i="1"/>
  <c r="J282" i="1" l="1"/>
  <c r="J296" i="1" s="1"/>
  <c r="J283" i="1"/>
  <c r="J302" i="1" s="1"/>
  <c r="E305" i="1" l="1"/>
  <c r="E303" i="1"/>
  <c r="E304" i="1"/>
  <c r="E298" i="1"/>
  <c r="E297" i="1"/>
  <c r="E299" i="1"/>
  <c r="J285" i="1"/>
  <c r="C369" i="1" l="1"/>
  <c r="C353" i="1"/>
  <c r="C345" i="1"/>
  <c r="C361" i="1"/>
  <c r="C321" i="1"/>
  <c r="C337" i="1"/>
  <c r="C390" i="1"/>
  <c r="C313" i="1"/>
  <c r="C377" i="1"/>
  <c r="C329" i="1"/>
  <c r="E306" i="1"/>
  <c r="E30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E1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Based on actual FY18 tax owed - from property's assessed value.</t>
        </r>
      </text>
    </comment>
  </commentList>
</comments>
</file>

<file path=xl/sharedStrings.xml><?xml version="1.0" encoding="utf-8"?>
<sst xmlns="http://schemas.openxmlformats.org/spreadsheetml/2006/main" count="1052" uniqueCount="306">
  <si>
    <t>Sources of Funds:</t>
  </si>
  <si>
    <t>Investor Equity:</t>
  </si>
  <si>
    <t>Total Sources:</t>
  </si>
  <si>
    <t>Uses of Funds:</t>
  </si>
  <si>
    <t>Prepayment Penalty:</t>
  </si>
  <si>
    <t>Potential Gross Revenue:</t>
  </si>
  <si>
    <t>Operating Expenses:</t>
  </si>
  <si>
    <t>Total Operating Expenses:</t>
  </si>
  <si>
    <t>Net Operating Income (NOI):</t>
  </si>
  <si>
    <t>Maturity:</t>
  </si>
  <si>
    <t>Internal Rate of Return (IRR):</t>
  </si>
  <si>
    <t>Units:</t>
  </si>
  <si>
    <t>Name</t>
  </si>
  <si>
    <t>Date</t>
  </si>
  <si>
    <t>Location:</t>
  </si>
  <si>
    <t>Property Type:</t>
  </si>
  <si>
    <t>%</t>
  </si>
  <si>
    <t># Years</t>
  </si>
  <si>
    <t>Months in Year:</t>
  </si>
  <si>
    <t>#</t>
  </si>
  <si>
    <t>Renewal Probability:</t>
  </si>
  <si>
    <t># Months of Downtime for Non-Renewal:</t>
  </si>
  <si>
    <t>sq. ft.</t>
  </si>
  <si>
    <t>Lease Expiration Date:</t>
  </si>
  <si>
    <t>(+) Base Rental Income:</t>
  </si>
  <si>
    <t>(-) Absorption &amp; Turnover Vacancy:</t>
  </si>
  <si>
    <t>(-) Concessions &amp; Free Rent:</t>
  </si>
  <si>
    <t>(-) Tenant Improvements (TIs):</t>
  </si>
  <si>
    <t>(-) Leasing Commissions (LCs):</t>
  </si>
  <si>
    <t>(+) Expense Reimbursements:</t>
  </si>
  <si>
    <t xml:space="preserve">Numerical Year: </t>
  </si>
  <si>
    <t>Year</t>
  </si>
  <si>
    <t>Tenant #1 - Triple Net (NNN) Lease:</t>
  </si>
  <si>
    <t>Revenue:</t>
  </si>
  <si>
    <t>Property Pro-Forma:</t>
  </si>
  <si>
    <t>NOI Margin:</t>
  </si>
  <si>
    <t>(+) Capital Costs Paid from Reserves:</t>
  </si>
  <si>
    <t>Adjusted Net Operating Income:</t>
  </si>
  <si>
    <t>Adjusted NOI Margin:</t>
  </si>
  <si>
    <t>Lease Start Date:</t>
  </si>
  <si>
    <t>Property Management Fees % EGI:</t>
  </si>
  <si>
    <t>Cash Flow to Equity Investors:</t>
  </si>
  <si>
    <t>Replacement Reserves:</t>
  </si>
  <si>
    <t>x</t>
  </si>
  <si>
    <t>Debt Service Coverage Ratio (DSCR) - NOI:</t>
  </si>
  <si>
    <t>Debt Service Coverage Ratio (DSCR) - Adj. NOI:</t>
  </si>
  <si>
    <t>Invested Equity:</t>
  </si>
  <si>
    <t>Cash-on-Cash Multiple:</t>
  </si>
  <si>
    <t>Sources &amp; Uses of Funds:</t>
  </si>
  <si>
    <t>Loan-to-Value (LTV) Ratio:</t>
  </si>
  <si>
    <t>Total Uses:</t>
  </si>
  <si>
    <t>Effective Gross Income (EGI):</t>
  </si>
  <si>
    <t>Office/Retail</t>
  </si>
  <si>
    <t>Rentable to Gross Area %:</t>
  </si>
  <si>
    <t>Rent Roll:</t>
  </si>
  <si>
    <t>Initial Lease Term (Years):</t>
  </si>
  <si>
    <t>Expense Inflation:</t>
  </si>
  <si>
    <t>Expense Inflation Multiplier:</t>
  </si>
  <si>
    <t>(-) Property Management Fees:</t>
  </si>
  <si>
    <t>(-) CapEx, TI, and LC Reserves:</t>
  </si>
  <si>
    <t>(-) Senior Loan Principal Repayment:</t>
  </si>
  <si>
    <t>Numerical Year #:</t>
  </si>
  <si>
    <t>(-) Cash Interest Expense on Senior Loan:</t>
  </si>
  <si>
    <t>(-) Cash Interest Expense on Mezzanine:</t>
  </si>
  <si>
    <t>Loan Issuance Fees:</t>
  </si>
  <si>
    <t>Senior Loan Amount:</t>
  </si>
  <si>
    <t>Senior Loan:</t>
  </si>
  <si>
    <t>Mezzanine:</t>
  </si>
  <si>
    <t>Mezzanine Amount:</t>
  </si>
  <si>
    <t>Tenor (Years):</t>
  </si>
  <si>
    <t>N/A</t>
  </si>
  <si>
    <t>(+) Ending Senior Loan Balance:</t>
  </si>
  <si>
    <t>(+) Ending Mezzanine Balance:</t>
  </si>
  <si>
    <t>PIK Interest on Mezzanine:</t>
  </si>
  <si>
    <t>Cash Interest Coverage Ratio - NOI:</t>
  </si>
  <si>
    <t>Cash Interest Coverage Ratio - Adjusted NOI:</t>
  </si>
  <si>
    <t>Operating Assumptions:</t>
  </si>
  <si>
    <t>Operating Scenario:</t>
  </si>
  <si>
    <t>Base</t>
  </si>
  <si>
    <t>Downside</t>
  </si>
  <si>
    <t>Upside</t>
  </si>
  <si>
    <t>Selected:</t>
  </si>
  <si>
    <t>New Tenants - # Months of Free Rent:</t>
  </si>
  <si>
    <t>Renewal Tenants - # Months of Free Rent:</t>
  </si>
  <si>
    <t>New - Leasing Commissions % Lease Value:</t>
  </si>
  <si>
    <t>Renewal - Leasing Commissions % Lease Value:</t>
  </si>
  <si>
    <t>Replacement Reserve Balance:</t>
  </si>
  <si>
    <t>Credit Stats &amp; Ratios for Permanent Loans:</t>
  </si>
  <si>
    <t>IRR / Multiple Between:</t>
  </si>
  <si>
    <t>Low:</t>
  </si>
  <si>
    <t>High:</t>
  </si>
  <si>
    <t>45 Milk Street</t>
  </si>
  <si>
    <t>($ in USD as Stated)</t>
  </si>
  <si>
    <t>Monthly Cash Flow Projections</t>
  </si>
  <si>
    <t>Acquisition Date:</t>
  </si>
  <si>
    <t>Boston, MA</t>
  </si>
  <si>
    <t>Gross Square Feet of Property:</t>
  </si>
  <si>
    <t>Rentable Square Feet:</t>
  </si>
  <si>
    <t>Acquisition &amp; Exit Assumptions:</t>
  </si>
  <si>
    <t>Going-In Cap Rate:</t>
  </si>
  <si>
    <t>Acquisition Price:</t>
  </si>
  <si>
    <t>$</t>
  </si>
  <si>
    <t>Acquisition Price per RSF:</t>
  </si>
  <si>
    <t>$ / sq. ft.</t>
  </si>
  <si>
    <t>Acquisition Costs (% Gross Acquisition Price):</t>
  </si>
  <si>
    <t>Exit Date:</t>
  </si>
  <si>
    <t>Exit Cap Rate:</t>
  </si>
  <si>
    <t>Exit Price:</t>
  </si>
  <si>
    <t>Exit Price per RSF:</t>
  </si>
  <si>
    <t>Selling Costs (% Gross Sale Price):</t>
  </si>
  <si>
    <t>Financing Assumptions:</t>
  </si>
  <si>
    <t>Cash Interest Rate:</t>
  </si>
  <si>
    <t>PIK Interest Rate:</t>
  </si>
  <si>
    <t>Market Rent per Square Foot per Year:</t>
  </si>
  <si>
    <t>% Rentable Square Feet Occupied:</t>
  </si>
  <si>
    <t>Rentable Square Feet Occupied:</t>
  </si>
  <si>
    <t>$ / sq. ft. / Yr.</t>
  </si>
  <si>
    <t>(-) Loss to Lease:</t>
  </si>
  <si>
    <t>Common Area Maintenance (CAM) / RSF / Year:</t>
  </si>
  <si>
    <t>Insurance / RSF / Year:</t>
  </si>
  <si>
    <t>Real Estate Taxes % Property Value:</t>
  </si>
  <si>
    <t>Replacement Reserves / RSF / Year:</t>
  </si>
  <si>
    <t>Common Area Utilities / RSF / Year:</t>
  </si>
  <si>
    <t>Office Expense Growth Rate - Boston Financial District:</t>
  </si>
  <si>
    <t>Selected Office Expense Growth Rate:</t>
  </si>
  <si>
    <t>(-) General Vacancy:</t>
  </si>
  <si>
    <t>(+) Percentage Rent:</t>
  </si>
  <si>
    <t>(-) Common Area Maintenance (CAM):</t>
  </si>
  <si>
    <t>(-) Common Area Utilities:</t>
  </si>
  <si>
    <t>(-) Insurance:</t>
  </si>
  <si>
    <t>(-) Real Estate &amp; Property Taxes:</t>
  </si>
  <si>
    <t>Monthly Retail Sales:</t>
  </si>
  <si>
    <t>Retail Sales Growth Rate - Boston Financial District:</t>
  </si>
  <si>
    <t>Selected Retail Sales Growth Rate:</t>
  </si>
  <si>
    <t>Historical:</t>
  </si>
  <si>
    <t>Projected:</t>
  </si>
  <si>
    <t>Stabilized:</t>
  </si>
  <si>
    <t>Amortization (Years):</t>
  </si>
  <si>
    <t>Retail Sales Growth:</t>
  </si>
  <si>
    <t>Monthly Distribution of Retail Sales:</t>
  </si>
  <si>
    <t>Initial Average Monthly Sales:</t>
  </si>
  <si>
    <t>Retail Sales Growth Multiplier:</t>
  </si>
  <si>
    <t>Initial Artificial Breakpoint:</t>
  </si>
  <si>
    <t>Percentage Rent Beyond Breakpoint:</t>
  </si>
  <si>
    <t>Initial Retail Sales per Square Foot per Year:</t>
  </si>
  <si>
    <t>Initial Natural Breakpoint:</t>
  </si>
  <si>
    <t>Established Percentage Rent:</t>
  </si>
  <si>
    <t>EGI Growth Rate:</t>
  </si>
  <si>
    <t>EGI YoY Growth Rate:</t>
  </si>
  <si>
    <t>Renovation Costs % Initial Acquisition Price:</t>
  </si>
  <si>
    <t>Renovation Costs:</t>
  </si>
  <si>
    <t>New - Tenant Improvements per RSF:</t>
  </si>
  <si>
    <t>Renewal - Tenant Improvements per RSF:</t>
  </si>
  <si>
    <t>Acquisition Costs:</t>
  </si>
  <si>
    <t>Additional Reserves % Initial Acquisition Price:</t>
  </si>
  <si>
    <t>Additional Reserves:</t>
  </si>
  <si>
    <t>Property Name:</t>
  </si>
  <si>
    <t>Monthly Distribution of Renovation Costs:</t>
  </si>
  <si>
    <t>Total Acquisition Costs:</t>
  </si>
  <si>
    <t>Renovation Cost (CapEx) Reserves:</t>
  </si>
  <si>
    <t>Interest-Only Period (Years):</t>
  </si>
  <si>
    <t>Renovation Costs per RSF:</t>
  </si>
  <si>
    <t>Additional Reserves per RSF:</t>
  </si>
  <si>
    <t>Total Acquisition Costs per RSF:</t>
  </si>
  <si>
    <t>Additional Draw from Senior Loan TI/LC Holdback:</t>
  </si>
  <si>
    <t>Holdback:</t>
  </si>
  <si>
    <t>Total:</t>
  </si>
  <si>
    <t>Drawn at Close:</t>
  </si>
  <si>
    <t>LIBOR Spread:</t>
  </si>
  <si>
    <t>LIBOR Floor:</t>
  </si>
  <si>
    <t>Ending Debt Balance:</t>
  </si>
  <si>
    <t>Senior Loan Balance - Basis to Lenders:</t>
  </si>
  <si>
    <t>LIBOR:</t>
  </si>
  <si>
    <t>Interest Rate on Senior Loan:</t>
  </si>
  <si>
    <t>Fiscal Year:</t>
  </si>
  <si>
    <t>Year #:</t>
  </si>
  <si>
    <t>Year #</t>
  </si>
  <si>
    <t>Annual Holdback Release:</t>
  </si>
  <si>
    <t>Debt Yield - NOI:</t>
  </si>
  <si>
    <t>Capital Costs and Replacement Reserve:</t>
  </si>
  <si>
    <t>Total Monthly Capital Costs:</t>
  </si>
  <si>
    <t>(-) Capital Expenditures (CapEx):</t>
  </si>
  <si>
    <t>Implied Property Value:</t>
  </si>
  <si>
    <t>Debt Yield - Adjusted NOI:</t>
  </si>
  <si>
    <t>Returns to Equity Investors:</t>
  </si>
  <si>
    <t>Forward NOI:</t>
  </si>
  <si>
    <t>(-) Initial Equity Investment:</t>
  </si>
  <si>
    <t>(+) Proceeds from Sale of Property:</t>
  </si>
  <si>
    <t>(+) Return of Replacement Reserve:</t>
  </si>
  <si>
    <t>(-) Selling Costs:</t>
  </si>
  <si>
    <t>(+) Cash Flows to Equity Investors:</t>
  </si>
  <si>
    <t>(-) Senior Loan Repayment:</t>
  </si>
  <si>
    <t>(-) Mezzanine Repayment:</t>
  </si>
  <si>
    <t>(-) Prepayment Penalty on Senior Loan:</t>
  </si>
  <si>
    <t>(-) Prepayment Penalty on Mezzanine:</t>
  </si>
  <si>
    <t>Total Returns to Equity:</t>
  </si>
  <si>
    <t>HYM Investment</t>
  </si>
  <si>
    <t>Limited Partners</t>
  </si>
  <si>
    <t>Preferred Return to Limited Partners:</t>
  </si>
  <si>
    <t>GP Equity Contribution:</t>
  </si>
  <si>
    <t>LP Equity Contribution:</t>
  </si>
  <si>
    <t>General Partners (GP) Name:</t>
  </si>
  <si>
    <t>Limited Partners (LP) Name:</t>
  </si>
  <si>
    <t>Catch-Up Return to General Partners:</t>
  </si>
  <si>
    <t>GP Promote:</t>
  </si>
  <si>
    <t>Ending Balance:</t>
  </si>
  <si>
    <t>Total Cash Flows to Equity Investors:</t>
  </si>
  <si>
    <t>(-) Invested Equity:</t>
  </si>
  <si>
    <t>(+) Net Cash Flow After Debt Service:</t>
  </si>
  <si>
    <t>Total Cash Flow to Equity Investors:</t>
  </si>
  <si>
    <t>(+) Beginning Balance:</t>
  </si>
  <si>
    <t>(+) Investor Injections:</t>
  </si>
  <si>
    <t>(+) Investor Accruals:</t>
  </si>
  <si>
    <t>LP Cash Flow:</t>
  </si>
  <si>
    <t>GP Cash Flow:</t>
  </si>
  <si>
    <t>(-) Preferred Distribution:</t>
  </si>
  <si>
    <t>(-) Catch-Up Distribution:</t>
  </si>
  <si>
    <t>Remaining Cash to Distribute:</t>
  </si>
  <si>
    <t>Returns Summary:</t>
  </si>
  <si>
    <t>Positive Cash Flows:</t>
  </si>
  <si>
    <t>Limited Partner Cash Flows:</t>
  </si>
  <si>
    <t>General Partner Cash Flows:</t>
  </si>
  <si>
    <t>Equity Investors - Waterfall Returns Schedule:</t>
  </si>
  <si>
    <t>Cash Flow Available for Catch-Up Distributions:</t>
  </si>
  <si>
    <t>Lease Term for New Tenants:</t>
  </si>
  <si>
    <t>Returns to Senior Lenders:</t>
  </si>
  <si>
    <t>(-) Senior Loan Issued:</t>
  </si>
  <si>
    <t>(+) Cash Interest Received:</t>
  </si>
  <si>
    <t>(+) Senior Loan Principal Repayment:</t>
  </si>
  <si>
    <t>(+) Senior Loan Issuance Fees:</t>
  </si>
  <si>
    <t>(+) Repayment of Senior Loan:</t>
  </si>
  <si>
    <t>(+) Prepayment Penalty on Senior Loan:</t>
  </si>
  <si>
    <t>Total Cash Flows to Senior Lenders:</t>
  </si>
  <si>
    <t>Recovery:</t>
  </si>
  <si>
    <t>Total Returns:</t>
  </si>
  <si>
    <t>Invested Amount:</t>
  </si>
  <si>
    <t>Returns to Mezzanine Investors:</t>
  </si>
  <si>
    <t>(-) Mezzanine Issued:</t>
  </si>
  <si>
    <t>(+) Mezzanine Issuance Fees:</t>
  </si>
  <si>
    <t>(+) Repayment of Mezzanine:</t>
  </si>
  <si>
    <t>(+) Prepayment Penalty on Mezzanine:</t>
  </si>
  <si>
    <t>Total Cash Flows to Mezzanine Investors:</t>
  </si>
  <si>
    <t>Release of TI/LC/CapEx Holdback:</t>
  </si>
  <si>
    <t>Has Renovation Begun?</t>
  </si>
  <si>
    <t>Market Scenario:</t>
  </si>
  <si>
    <t>Sensitivity Analyses:</t>
  </si>
  <si>
    <t>Year 4 Exit Cap Rate:</t>
  </si>
  <si>
    <t>General Partners - IRR vs. Acquisition Price and Market Scenario:</t>
  </si>
  <si>
    <t>General Partners - IRR vs. Year 4 Exit Cap Rate and Market Scenario:</t>
  </si>
  <si>
    <t>Limited Partners - IRR vs. Year 4 Exit Cap Rate and Market Scenario:</t>
  </si>
  <si>
    <t>Limited Partners - IRR vs. Acquisition Price and Market Scenario:</t>
  </si>
  <si>
    <t>Lease Terms, Capital Costs, and Operating Expenses:</t>
  </si>
  <si>
    <t>Acquisition Overview:</t>
  </si>
  <si>
    <t>Acquisition, Financing, and Exit Assumptions:</t>
  </si>
  <si>
    <t>IRR Hurdles:</t>
  </si>
  <si>
    <t>Boston Financial District - Class-B Office/Retail Cap Rates:</t>
  </si>
  <si>
    <t>Selected Class-B Office/Retail Cap Rate:</t>
  </si>
  <si>
    <t>Month #:</t>
  </si>
  <si>
    <t>Change in Boston Financial District Office Market Rents (Starting Rates for Leases):</t>
  </si>
  <si>
    <t>Selected Change in Office Market Rents:</t>
  </si>
  <si>
    <t>Fixed Annual Rental Escalations for New and Renewal Leases Starting in Specified Year:</t>
  </si>
  <si>
    <t>Selected Fixed Annual Rental Escalation:</t>
  </si>
  <si>
    <t>Monthly Change in Market Rental Rates:</t>
  </si>
  <si>
    <t>Initial Lease - Annual Rental Escalation:</t>
  </si>
  <si>
    <t>Initial Lease - Rent-Free Months:</t>
  </si>
  <si>
    <t>Renewal Lease Start Date:</t>
  </si>
  <si>
    <t>Renewal Lease Term (Years):</t>
  </si>
  <si>
    <t>Renewal Lease Expiration Date:</t>
  </si>
  <si>
    <t>Renewal Lease - Annual Rental Escalation:</t>
  </si>
  <si>
    <t>New Lease Start Date:</t>
  </si>
  <si>
    <t>New Lease Term (Years):</t>
  </si>
  <si>
    <t>New Lease Expiration Date:</t>
  </si>
  <si>
    <t>New Lease - Annual Rental Escalation:</t>
  </si>
  <si>
    <t>Escalated Rent Paid by Initial Tenant:</t>
  </si>
  <si>
    <t>Escalated Rent Paid by Initial Tenant - Renewal:</t>
  </si>
  <si>
    <t>Escalated Rent Paid by New Tenant:</t>
  </si>
  <si>
    <t>(+) Baseline Rental Income @ Market Rate:</t>
  </si>
  <si>
    <t>In-Place Rental Income - Initial Tenant:</t>
  </si>
  <si>
    <t>In-Place Rental Income - Initial Tenant Renewal:</t>
  </si>
  <si>
    <t>In-Place Rental Income - New Tenant:</t>
  </si>
  <si>
    <t>Remaining Cash Flow Available for Distribution:</t>
  </si>
  <si>
    <t>Cash Flow Split for Remaining Available Distributions:</t>
  </si>
  <si>
    <t>Market Rental Growth Multiplier:</t>
  </si>
  <si>
    <t>Tenant #2 - Triple Net (NNN) Lease:</t>
  </si>
  <si>
    <t>Tenant #3 - Triple Net (NNN) Lease:</t>
  </si>
  <si>
    <t>Tenant #4 - Triple Net (NNN) Lease:</t>
  </si>
  <si>
    <t>Tenant #5 - Triple Net (NNN) Lease with Percentage Rent:</t>
  </si>
  <si>
    <t>Tenant #6 - Full Service (FS) Lease:</t>
  </si>
  <si>
    <t>Tenant #7 - Double Net (NN) Lease with Percentage Rent:</t>
  </si>
  <si>
    <t>Tenant Name:</t>
  </si>
  <si>
    <t>Trader Joe's</t>
  </si>
  <si>
    <t>Safety Insurance</t>
  </si>
  <si>
    <t>PTC</t>
  </si>
  <si>
    <t>Suffolk Construction</t>
  </si>
  <si>
    <t>WeWork</t>
  </si>
  <si>
    <t>Tenant #6 - Lease Start Date:</t>
  </si>
  <si>
    <t>Tenant #7 - Lease Start Date:</t>
  </si>
  <si>
    <t>(-) Monthly Renovation Costs (CapEx):</t>
  </si>
  <si>
    <t>(-) Monthly Tenant Improvements (TIs):</t>
  </si>
  <si>
    <t>(-) Monthly Leasing Commissions (LCs):</t>
  </si>
  <si>
    <t>Senior Loan LTV:</t>
  </si>
  <si>
    <t>General Partners - IRR vs. Senior Loan LTV and Market Scenario:</t>
  </si>
  <si>
    <t>Limited Partners - IRR vs. Senior Loan LTV and Market Scenario:</t>
  </si>
  <si>
    <t>Renovation Costs % Acquisition Price:</t>
  </si>
  <si>
    <t>General Partners - IRR vs. Renovation Costs % Acquisition Price and Market Scenario:</t>
  </si>
  <si>
    <t>Limited Partners - IRR vs. Renovation Costs % Acquisition Price and Market Scenario: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</si>
</sst>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0.0%"/>
    <numFmt numFmtId="166" formatCode="0.0%_);\(0.0%\);\-_);@_)"/>
    <numFmt numFmtId="167" formatCode="yyyy\-mm\-dd"/>
    <numFmt numFmtId="168" formatCode="#,##0_);\(#,##0\);\-_);@_)"/>
    <numFmt numFmtId="169" formatCode="&quot;FY&quot;yy"/>
    <numFmt numFmtId="170" formatCode="#,##0\ &quot;sq. ft.&quot;"/>
    <numFmt numFmtId="171" formatCode="0.00\ \x_);\(0.00\ \x\);\-_);@_)"/>
    <numFmt numFmtId="172" formatCode="[$-409]mmm\-yy;@"/>
    <numFmt numFmtId="173" formatCode="_-[$£-809]* #,##0_-;\-[$£-809]* #,##0_-;_-[$£-809]* &quot;-&quot;_-;_-@_-"/>
    <numFmt numFmtId="174" formatCode="0.00%_);\(0.00%\);\-_);@_)"/>
    <numFmt numFmtId="175" formatCode="0.00\ \x"/>
    <numFmt numFmtId="176" formatCode="_(&quot;$&quot;* #,##0_);_(&quot;$&quot;* \(#,##0\);_(&quot;$&quot;* &quot;-&quot;??_);_(@_)"/>
    <numFmt numFmtId="177" formatCode="0.0\ \x_);\(0.0\ \x\);\-_);@_)"/>
    <numFmt numFmtId="178" formatCode="0_);\(0\)"/>
  </numFmts>
  <fonts count="3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i/>
      <sz val="12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2"/>
      <color theme="1"/>
      <name val="Calibri"/>
      <family val="2"/>
      <scheme val="minor"/>
    </font>
    <font>
      <sz val="12"/>
      <color rgb="FF0000FF"/>
      <name val="Calibri"/>
      <family val="2"/>
    </font>
    <font>
      <sz val="12"/>
      <color rgb="FF1F497D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auto="1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auto="1"/>
      </bottom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/>
  </cellStyleXfs>
  <cellXfs count="308">
    <xf numFmtId="0" fontId="0" fillId="0" borderId="0" xfId="0"/>
    <xf numFmtId="0" fontId="3" fillId="0" borderId="0" xfId="0" applyFont="1"/>
    <xf numFmtId="0" fontId="0" fillId="0" borderId="0" xfId="0" applyFont="1" applyBorder="1"/>
    <xf numFmtId="0" fontId="0" fillId="0" borderId="0" xfId="0" applyFont="1"/>
    <xf numFmtId="41" fontId="9" fillId="0" borderId="0" xfId="0" applyNumberFormat="1" applyFont="1" applyBorder="1"/>
    <xf numFmtId="0" fontId="0" fillId="0" borderId="1" xfId="0" applyFont="1" applyBorder="1"/>
    <xf numFmtId="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Fill="1" applyBorder="1"/>
    <xf numFmtId="0" fontId="0" fillId="0" borderId="0" xfId="0" applyFont="1" applyBorder="1" applyAlignment="1">
      <alignment horizontal="center"/>
    </xf>
    <xf numFmtId="0" fontId="10" fillId="0" borderId="0" xfId="0" applyFont="1" applyBorder="1"/>
    <xf numFmtId="166" fontId="8" fillId="2" borderId="3" xfId="0" applyNumberFormat="1" applyFont="1" applyFill="1" applyBorder="1" applyAlignment="1" applyProtection="1">
      <alignment horizontal="center"/>
      <protection locked="0"/>
    </xf>
    <xf numFmtId="10" fontId="8" fillId="2" borderId="3" xfId="0" applyNumberFormat="1" applyFont="1" applyFill="1" applyBorder="1" applyAlignment="1" applyProtection="1">
      <alignment horizontal="center"/>
      <protection locked="0"/>
    </xf>
    <xf numFmtId="41" fontId="9" fillId="0" borderId="0" xfId="0" applyNumberFormat="1" applyFont="1"/>
    <xf numFmtId="167" fontId="8" fillId="2" borderId="3" xfId="0" applyNumberFormat="1" applyFont="1" applyFill="1" applyBorder="1" applyAlignment="1" applyProtection="1">
      <alignment horizontal="center"/>
      <protection locked="0"/>
    </xf>
    <xf numFmtId="0" fontId="8" fillId="2" borderId="3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Alignment="1">
      <alignment horizontal="left" indent="1"/>
    </xf>
    <xf numFmtId="0" fontId="1" fillId="3" borderId="1" xfId="0" applyNumberFormat="1" applyFont="1" applyFill="1" applyBorder="1" applyAlignment="1"/>
    <xf numFmtId="168" fontId="1" fillId="0" borderId="0" xfId="0" applyNumberFormat="1" applyFont="1" applyBorder="1"/>
    <xf numFmtId="0" fontId="9" fillId="0" borderId="0" xfId="0" applyFont="1" applyAlignment="1">
      <alignment horizontal="left" indent="1"/>
    </xf>
    <xf numFmtId="41" fontId="9" fillId="0" borderId="1" xfId="0" applyNumberFormat="1" applyFont="1" applyBorder="1"/>
    <xf numFmtId="41" fontId="8" fillId="2" borderId="3" xfId="0" applyNumberFormat="1" applyFont="1" applyFill="1" applyBorder="1" applyProtection="1">
      <protection locked="0"/>
    </xf>
    <xf numFmtId="41" fontId="11" fillId="0" borderId="2" xfId="0" applyNumberFormat="1" applyFont="1" applyBorder="1"/>
    <xf numFmtId="41" fontId="11" fillId="0" borderId="0" xfId="0" applyNumberFormat="1" applyFont="1" applyBorder="1"/>
    <xf numFmtId="0" fontId="3" fillId="0" borderId="0" xfId="0" applyFont="1" applyFill="1"/>
    <xf numFmtId="0" fontId="11" fillId="3" borderId="1" xfId="0" applyFont="1" applyFill="1" applyBorder="1"/>
    <xf numFmtId="0" fontId="3" fillId="3" borderId="1" xfId="0" applyFont="1" applyFill="1" applyBorder="1"/>
    <xf numFmtId="0" fontId="12" fillId="0" borderId="0" xfId="0" applyFont="1"/>
    <xf numFmtId="1" fontId="8" fillId="2" borderId="3" xfId="0" applyNumberFormat="1" applyFont="1" applyFill="1" applyBorder="1" applyAlignment="1" applyProtection="1">
      <alignment horizontal="center"/>
      <protection locked="0"/>
    </xf>
    <xf numFmtId="0" fontId="1" fillId="0" borderId="2" xfId="0" applyFont="1" applyBorder="1"/>
    <xf numFmtId="0" fontId="13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/>
    <xf numFmtId="0" fontId="2" fillId="4" borderId="1" xfId="0" applyFont="1" applyFill="1" applyBorder="1" applyAlignment="1"/>
    <xf numFmtId="0" fontId="3" fillId="4" borderId="1" xfId="0" applyFont="1" applyFill="1" applyBorder="1"/>
    <xf numFmtId="0" fontId="7" fillId="4" borderId="1" xfId="0" applyFont="1" applyFill="1" applyBorder="1"/>
    <xf numFmtId="0" fontId="2" fillId="4" borderId="1" xfId="0" applyFont="1" applyFill="1" applyBorder="1"/>
    <xf numFmtId="0" fontId="14" fillId="0" borderId="0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" fillId="4" borderId="0" xfId="0" applyNumberFormat="1" applyFont="1" applyFill="1" applyBorder="1" applyAlignment="1">
      <alignment horizontal="left"/>
    </xf>
    <xf numFmtId="0" fontId="13" fillId="4" borderId="0" xfId="0" applyNumberFormat="1" applyFont="1" applyFill="1" applyBorder="1" applyAlignment="1">
      <alignment horizontal="left"/>
    </xf>
    <xf numFmtId="0" fontId="7" fillId="4" borderId="5" xfId="0" applyNumberFormat="1" applyFont="1" applyFill="1" applyBorder="1" applyAlignment="1">
      <alignment horizontal="centerContinuous"/>
    </xf>
    <xf numFmtId="0" fontId="7" fillId="4" borderId="1" xfId="0" applyNumberFormat="1" applyFont="1" applyFill="1" applyBorder="1" applyAlignment="1">
      <alignment horizontal="left"/>
    </xf>
    <xf numFmtId="169" fontId="7" fillId="4" borderId="1" xfId="0" applyNumberFormat="1" applyFont="1" applyFill="1" applyBorder="1" applyAlignment="1">
      <alignment horizontal="center"/>
    </xf>
    <xf numFmtId="0" fontId="16" fillId="0" borderId="0" xfId="0" applyNumberFormat="1" applyFont="1" applyBorder="1"/>
    <xf numFmtId="43" fontId="9" fillId="0" borderId="0" xfId="0" applyNumberFormat="1" applyFont="1" applyBorder="1"/>
    <xf numFmtId="0" fontId="17" fillId="3" borderId="1" xfId="0" applyNumberFormat="1" applyFont="1" applyFill="1" applyBorder="1"/>
    <xf numFmtId="0" fontId="14" fillId="3" borderId="1" xfId="0" applyNumberFormat="1" applyFont="1" applyFill="1" applyBorder="1" applyAlignment="1">
      <alignment horizontal="left"/>
    </xf>
    <xf numFmtId="0" fontId="16" fillId="3" borderId="1" xfId="0" applyNumberFormat="1" applyFont="1" applyFill="1" applyBorder="1"/>
    <xf numFmtId="0" fontId="16" fillId="3" borderId="1" xfId="0" applyFont="1" applyFill="1" applyBorder="1"/>
    <xf numFmtId="0" fontId="16" fillId="0" borderId="0" xfId="0" applyNumberFormat="1" applyFont="1" applyBorder="1" applyAlignment="1">
      <alignment horizontal="left" indent="1"/>
    </xf>
    <xf numFmtId="168" fontId="8" fillId="2" borderId="3" xfId="0" applyNumberFormat="1" applyFont="1" applyFill="1" applyBorder="1" applyAlignment="1" applyProtection="1">
      <alignment horizontal="center"/>
      <protection locked="0"/>
    </xf>
    <xf numFmtId="0" fontId="16" fillId="0" borderId="0" xfId="0" applyFont="1"/>
    <xf numFmtId="0" fontId="14" fillId="0" borderId="0" xfId="0" quotePrefix="1" applyNumberFormat="1" applyFont="1" applyBorder="1" applyAlignment="1">
      <alignment horizontal="center"/>
    </xf>
    <xf numFmtId="1" fontId="8" fillId="2" borderId="4" xfId="0" applyNumberFormat="1" applyFont="1" applyFill="1" applyBorder="1" applyAlignment="1" applyProtection="1">
      <alignment horizontal="center"/>
      <protection locked="0"/>
    </xf>
    <xf numFmtId="0" fontId="14" fillId="0" borderId="0" xfId="0" applyNumberFormat="1" applyFont="1" applyFill="1" applyBorder="1" applyAlignment="1">
      <alignment horizontal="center"/>
    </xf>
    <xf numFmtId="0" fontId="14" fillId="0" borderId="0" xfId="0" applyNumberFormat="1" applyFont="1" applyBorder="1" applyAlignment="1">
      <alignment horizontal="left"/>
    </xf>
    <xf numFmtId="168" fontId="16" fillId="0" borderId="0" xfId="0" applyNumberFormat="1" applyFont="1" applyBorder="1"/>
    <xf numFmtId="0" fontId="16" fillId="0" borderId="0" xfId="0" applyNumberFormat="1" applyFont="1" applyBorder="1" applyAlignment="1">
      <alignment horizontal="left"/>
    </xf>
    <xf numFmtId="0" fontId="13" fillId="4" borderId="1" xfId="0" applyFont="1" applyFill="1" applyBorder="1" applyAlignment="1">
      <alignment horizontal="center"/>
    </xf>
    <xf numFmtId="0" fontId="16" fillId="0" borderId="0" xfId="0" applyNumberFormat="1" applyFont="1" applyFill="1" applyBorder="1"/>
    <xf numFmtId="0" fontId="16" fillId="0" borderId="0" xfId="0" applyFont="1" applyFill="1" applyBorder="1"/>
    <xf numFmtId="168" fontId="20" fillId="0" borderId="0" xfId="0" applyNumberFormat="1" applyFont="1" applyBorder="1"/>
    <xf numFmtId="166" fontId="14" fillId="0" borderId="0" xfId="0" applyNumberFormat="1" applyFont="1" applyBorder="1"/>
    <xf numFmtId="0" fontId="3" fillId="0" borderId="0" xfId="0" applyFont="1" applyBorder="1"/>
    <xf numFmtId="171" fontId="14" fillId="0" borderId="0" xfId="0" applyNumberFormat="1" applyFont="1" applyBorder="1"/>
    <xf numFmtId="0" fontId="9" fillId="0" borderId="0" xfId="0" applyFont="1"/>
    <xf numFmtId="0" fontId="19" fillId="0" borderId="0" xfId="0" applyFont="1"/>
    <xf numFmtId="0" fontId="19" fillId="0" borderId="0" xfId="0" applyFont="1" applyAlignment="1">
      <alignment horizontal="left" indent="1"/>
    </xf>
    <xf numFmtId="41" fontId="1" fillId="0" borderId="0" xfId="0" applyNumberFormat="1" applyFont="1"/>
    <xf numFmtId="166" fontId="8" fillId="0" borderId="0" xfId="0" applyNumberFormat="1" applyFont="1" applyFill="1" applyBorder="1" applyAlignment="1" applyProtection="1">
      <alignment horizontal="center"/>
      <protection locked="0"/>
    </xf>
    <xf numFmtId="0" fontId="15" fillId="0" borderId="0" xfId="0" applyNumberFormat="1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/>
    </xf>
    <xf numFmtId="0" fontId="16" fillId="0" borderId="0" xfId="0" applyNumberFormat="1" applyFont="1" applyFill="1" applyBorder="1" applyAlignment="1">
      <alignment horizontal="left" indent="1"/>
    </xf>
    <xf numFmtId="0" fontId="9" fillId="0" borderId="1" xfId="0" applyFont="1" applyBorder="1" applyAlignment="1">
      <alignment horizontal="left" indent="1"/>
    </xf>
    <xf numFmtId="0" fontId="8" fillId="2" borderId="3" xfId="0" applyNumberFormat="1" applyFont="1" applyFill="1" applyBorder="1" applyAlignment="1" applyProtection="1">
      <alignment horizontal="center" wrapText="1"/>
      <protection locked="0"/>
    </xf>
    <xf numFmtId="0" fontId="20" fillId="0" borderId="0" xfId="0" applyNumberFormat="1" applyFont="1" applyBorder="1"/>
    <xf numFmtId="0" fontId="11" fillId="0" borderId="0" xfId="0" applyNumberFormat="1" applyFont="1" applyBorder="1"/>
    <xf numFmtId="0" fontId="20" fillId="0" borderId="0" xfId="0" applyNumberFormat="1" applyFont="1" applyBorder="1" applyAlignment="1">
      <alignment horizontal="left" indent="1"/>
    </xf>
    <xf numFmtId="0" fontId="11" fillId="0" borderId="2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15" fillId="0" borderId="0" xfId="0" applyNumberFormat="1" applyFont="1" applyBorder="1" applyAlignment="1">
      <alignment horizontal="left" indent="1"/>
    </xf>
    <xf numFmtId="0" fontId="20" fillId="0" borderId="0" xfId="0" applyFont="1"/>
    <xf numFmtId="0" fontId="21" fillId="0" borderId="0" xfId="0" applyNumberFormat="1" applyFont="1" applyFill="1" applyBorder="1" applyAlignment="1">
      <alignment horizontal="left" indent="1"/>
    </xf>
    <xf numFmtId="0" fontId="18" fillId="0" borderId="0" xfId="0" applyFont="1"/>
    <xf numFmtId="14" fontId="0" fillId="0" borderId="0" xfId="0" applyNumberFormat="1" applyFont="1" applyAlignment="1">
      <alignment horizontal="center"/>
    </xf>
    <xf numFmtId="167" fontId="9" fillId="2" borderId="3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Alignment="1">
      <alignment horizontal="center"/>
    </xf>
    <xf numFmtId="0" fontId="9" fillId="0" borderId="0" xfId="78" applyFont="1" applyFill="1" applyBorder="1"/>
    <xf numFmtId="0" fontId="0" fillId="0" borderId="0" xfId="0" applyFont="1" applyFill="1" applyBorder="1"/>
    <xf numFmtId="44" fontId="9" fillId="0" borderId="0" xfId="0" applyNumberFormat="1" applyFont="1"/>
    <xf numFmtId="172" fontId="7" fillId="4" borderId="1" xfId="0" applyNumberFormat="1" applyFont="1" applyFill="1" applyBorder="1" applyAlignment="1">
      <alignment horizontal="center"/>
    </xf>
    <xf numFmtId="170" fontId="9" fillId="0" borderId="0" xfId="0" applyNumberFormat="1" applyFont="1" applyFill="1" applyBorder="1" applyProtection="1">
      <protection locked="0"/>
    </xf>
    <xf numFmtId="0" fontId="0" fillId="0" borderId="0" xfId="0" applyFill="1" applyBorder="1"/>
    <xf numFmtId="173" fontId="9" fillId="0" borderId="0" xfId="0" applyNumberFormat="1" applyFont="1"/>
    <xf numFmtId="0" fontId="15" fillId="0" borderId="1" xfId="0" applyFont="1" applyBorder="1" applyAlignment="1">
      <alignment horizontal="center"/>
    </xf>
    <xf numFmtId="173" fontId="1" fillId="0" borderId="0" xfId="0" applyNumberFormat="1" applyFont="1"/>
    <xf numFmtId="166" fontId="9" fillId="0" borderId="6" xfId="0" applyNumberFormat="1" applyFont="1" applyFill="1" applyBorder="1" applyAlignment="1" applyProtection="1">
      <alignment horizontal="center"/>
      <protection locked="0"/>
    </xf>
    <xf numFmtId="165" fontId="0" fillId="0" borderId="0" xfId="0" applyNumberFormat="1" applyFont="1"/>
    <xf numFmtId="167" fontId="9" fillId="0" borderId="6" xfId="0" applyNumberFormat="1" applyFont="1" applyFill="1" applyBorder="1" applyAlignment="1" applyProtection="1">
      <alignment horizontal="center"/>
      <protection locked="0"/>
    </xf>
    <xf numFmtId="0" fontId="17" fillId="0" borderId="0" xfId="0" applyNumberFormat="1" applyFont="1" applyFill="1" applyBorder="1"/>
    <xf numFmtId="0" fontId="14" fillId="0" borderId="0" xfId="0" applyNumberFormat="1" applyFont="1" applyFill="1" applyBorder="1" applyAlignment="1">
      <alignment horizontal="left"/>
    </xf>
    <xf numFmtId="174" fontId="9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Font="1" applyFill="1" applyBorder="1"/>
    <xf numFmtId="39" fontId="8" fillId="2" borderId="3" xfId="0" applyNumberFormat="1" applyFont="1" applyFill="1" applyBorder="1" applyAlignment="1" applyProtection="1">
      <alignment horizontal="center"/>
      <protection locked="0"/>
    </xf>
    <xf numFmtId="39" fontId="19" fillId="0" borderId="0" xfId="0" applyNumberFormat="1" applyFont="1" applyAlignment="1">
      <alignment horizontal="center"/>
    </xf>
    <xf numFmtId="0" fontId="16" fillId="0" borderId="1" xfId="0" applyNumberFormat="1" applyFont="1" applyBorder="1" applyAlignment="1">
      <alignment horizontal="left" indent="1"/>
    </xf>
    <xf numFmtId="43" fontId="0" fillId="0" borderId="0" xfId="0" applyNumberFormat="1"/>
    <xf numFmtId="169" fontId="7" fillId="4" borderId="8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173" fontId="0" fillId="0" borderId="0" xfId="0" applyNumberFormat="1" applyFont="1"/>
    <xf numFmtId="41" fontId="8" fillId="0" borderId="0" xfId="0" applyNumberFormat="1" applyFont="1" applyFill="1" applyBorder="1" applyProtection="1">
      <protection locked="0"/>
    </xf>
    <xf numFmtId="0" fontId="21" fillId="0" borderId="0" xfId="0" applyNumberFormat="1" applyFont="1" applyBorder="1" applyAlignment="1">
      <alignment horizontal="left" indent="1"/>
    </xf>
    <xf numFmtId="41" fontId="8" fillId="0" borderId="1" xfId="0" applyNumberFormat="1" applyFont="1" applyFill="1" applyBorder="1" applyProtection="1">
      <protection locked="0"/>
    </xf>
    <xf numFmtId="0" fontId="11" fillId="0" borderId="0" xfId="0" applyFont="1"/>
    <xf numFmtId="0" fontId="11" fillId="0" borderId="2" xfId="0" applyFont="1" applyBorder="1"/>
    <xf numFmtId="0" fontId="14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9" fillId="2" borderId="3" xfId="0" applyNumberFormat="1" applyFont="1" applyFill="1" applyBorder="1" applyAlignment="1" applyProtection="1">
      <alignment horizontal="center"/>
      <protection locked="0"/>
    </xf>
    <xf numFmtId="0" fontId="11" fillId="0" borderId="0" xfId="0" applyFont="1" applyBorder="1"/>
    <xf numFmtId="0" fontId="3" fillId="0" borderId="1" xfId="0" applyFont="1" applyBorder="1"/>
    <xf numFmtId="174" fontId="8" fillId="0" borderId="0" xfId="0" applyNumberFormat="1" applyFont="1" applyFill="1" applyBorder="1" applyAlignment="1" applyProtection="1">
      <alignment horizontal="center"/>
      <protection locked="0"/>
    </xf>
    <xf numFmtId="174" fontId="8" fillId="2" borderId="3" xfId="0" applyNumberFormat="1" applyFont="1" applyFill="1" applyBorder="1" applyAlignment="1" applyProtection="1">
      <alignment horizontal="center"/>
      <protection locked="0"/>
    </xf>
    <xf numFmtId="174" fontId="11" fillId="0" borderId="2" xfId="0" applyNumberFormat="1" applyFont="1" applyFill="1" applyBorder="1" applyAlignment="1" applyProtection="1">
      <alignment horizontal="center"/>
      <protection locked="0"/>
    </xf>
    <xf numFmtId="0" fontId="14" fillId="0" borderId="1" xfId="0" applyNumberFormat="1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166" fontId="9" fillId="2" borderId="3" xfId="0" applyNumberFormat="1" applyFont="1" applyFill="1" applyBorder="1" applyAlignment="1" applyProtection="1">
      <alignment horizontal="center"/>
      <protection locked="0"/>
    </xf>
    <xf numFmtId="1" fontId="9" fillId="2" borderId="4" xfId="0" applyNumberFormat="1" applyFont="1" applyFill="1" applyBorder="1" applyAlignment="1" applyProtection="1">
      <alignment horizontal="center"/>
      <protection locked="0"/>
    </xf>
    <xf numFmtId="1" fontId="9" fillId="2" borderId="3" xfId="0" applyNumberFormat="1" applyFont="1" applyFill="1" applyBorder="1" applyAlignment="1" applyProtection="1">
      <alignment horizontal="center"/>
      <protection locked="0"/>
    </xf>
    <xf numFmtId="43" fontId="8" fillId="2" borderId="3" xfId="0" applyNumberFormat="1" applyFont="1" applyFill="1" applyBorder="1" applyAlignment="1" applyProtection="1">
      <alignment horizontal="center"/>
      <protection locked="0"/>
    </xf>
    <xf numFmtId="43" fontId="9" fillId="2" borderId="3" xfId="0" applyNumberFormat="1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/>
    <xf numFmtId="0" fontId="8" fillId="2" borderId="3" xfId="0" applyNumberFormat="1" applyFont="1" applyFill="1" applyBorder="1" applyAlignment="1" applyProtection="1">
      <alignment horizontal="centerContinuous"/>
      <protection locked="0"/>
    </xf>
    <xf numFmtId="0" fontId="1" fillId="3" borderId="1" xfId="0" applyFont="1" applyFill="1" applyBorder="1" applyAlignment="1">
      <alignment horizontal="center"/>
    </xf>
    <xf numFmtId="175" fontId="8" fillId="2" borderId="3" xfId="0" applyNumberFormat="1" applyFont="1" applyFill="1" applyBorder="1" applyAlignment="1" applyProtection="1">
      <alignment horizontal="center"/>
      <protection locked="0"/>
    </xf>
    <xf numFmtId="166" fontId="9" fillId="0" borderId="0" xfId="0" applyNumberFormat="1" applyFont="1" applyFill="1" applyBorder="1" applyAlignment="1" applyProtection="1">
      <alignment horizontal="center"/>
      <protection locked="0"/>
    </xf>
    <xf numFmtId="42" fontId="9" fillId="0" borderId="0" xfId="0" applyNumberFormat="1" applyFont="1" applyFill="1" applyBorder="1" applyProtection="1">
      <protection locked="0"/>
    </xf>
    <xf numFmtId="0" fontId="7" fillId="4" borderId="9" xfId="0" applyNumberFormat="1" applyFont="1" applyFill="1" applyBorder="1" applyAlignment="1">
      <alignment horizontal="centerContinuous"/>
    </xf>
    <xf numFmtId="43" fontId="0" fillId="0" borderId="0" xfId="0" applyNumberFormat="1" applyFont="1"/>
    <xf numFmtId="167" fontId="9" fillId="0" borderId="0" xfId="0" applyNumberFormat="1" applyFont="1" applyFill="1" applyBorder="1" applyAlignment="1" applyProtection="1">
      <alignment horizontal="center"/>
      <protection locked="0"/>
    </xf>
    <xf numFmtId="170" fontId="9" fillId="0" borderId="0" xfId="0" applyNumberFormat="1" applyFont="1" applyFill="1" applyBorder="1" applyAlignment="1">
      <alignment horizontal="center"/>
    </xf>
    <xf numFmtId="167" fontId="8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>
      <alignment horizontal="left" indent="1"/>
    </xf>
    <xf numFmtId="0" fontId="9" fillId="0" borderId="0" xfId="0" applyFont="1" applyFill="1" applyBorder="1"/>
    <xf numFmtId="0" fontId="16" fillId="0" borderId="0" xfId="0" applyFont="1" applyBorder="1" applyAlignment="1">
      <alignment horizontal="left" indent="1"/>
    </xf>
    <xf numFmtId="44" fontId="9" fillId="0" borderId="0" xfId="0" applyNumberFormat="1" applyFont="1" applyFill="1" applyBorder="1" applyProtection="1">
      <protection locked="0"/>
    </xf>
    <xf numFmtId="174" fontId="9" fillId="0" borderId="6" xfId="0" applyNumberFormat="1" applyFont="1" applyFill="1" applyBorder="1" applyAlignment="1" applyProtection="1">
      <alignment horizontal="center"/>
      <protection locked="0"/>
    </xf>
    <xf numFmtId="44" fontId="8" fillId="2" borderId="3" xfId="0" applyNumberFormat="1" applyFont="1" applyFill="1" applyBorder="1"/>
    <xf numFmtId="43" fontId="8" fillId="2" borderId="4" xfId="0" applyNumberFormat="1" applyFont="1" applyFill="1" applyBorder="1"/>
    <xf numFmtId="43" fontId="9" fillId="0" borderId="0" xfId="0" applyNumberFormat="1" applyFont="1" applyFill="1" applyBorder="1" applyProtection="1">
      <protection locked="0"/>
    </xf>
    <xf numFmtId="42" fontId="9" fillId="0" borderId="0" xfId="0" applyNumberFormat="1" applyFont="1"/>
    <xf numFmtId="44" fontId="9" fillId="2" borderId="3" xfId="0" applyNumberFormat="1" applyFont="1" applyFill="1" applyBorder="1" applyAlignment="1" applyProtection="1">
      <alignment horizontal="center"/>
      <protection locked="0"/>
    </xf>
    <xf numFmtId="44" fontId="8" fillId="2" borderId="3" xfId="0" applyNumberFormat="1" applyFont="1" applyFill="1" applyBorder="1" applyAlignment="1" applyProtection="1">
      <alignment horizontal="center"/>
      <protection locked="0"/>
    </xf>
    <xf numFmtId="176" fontId="8" fillId="2" borderId="3" xfId="0" applyNumberFormat="1" applyFont="1" applyFill="1" applyBorder="1"/>
    <xf numFmtId="169" fontId="7" fillId="4" borderId="10" xfId="0" applyNumberFormat="1" applyFont="1" applyFill="1" applyBorder="1" applyAlignment="1">
      <alignment horizontal="center"/>
    </xf>
    <xf numFmtId="166" fontId="0" fillId="0" borderId="0" xfId="0" applyNumberFormat="1"/>
    <xf numFmtId="166" fontId="9" fillId="0" borderId="0" xfId="0" applyNumberFormat="1" applyFont="1" applyAlignment="1">
      <alignment horizontal="center"/>
    </xf>
    <xf numFmtId="168" fontId="9" fillId="0" borderId="0" xfId="0" applyNumberFormat="1" applyFont="1"/>
    <xf numFmtId="166" fontId="9" fillId="0" borderId="2" xfId="0" applyNumberFormat="1" applyFont="1" applyFill="1" applyBorder="1" applyAlignment="1" applyProtection="1">
      <alignment horizontal="center"/>
      <protection locked="0"/>
    </xf>
    <xf numFmtId="176" fontId="9" fillId="0" borderId="11" xfId="0" applyNumberFormat="1" applyFont="1" applyFill="1" applyBorder="1"/>
    <xf numFmtId="0" fontId="15" fillId="0" borderId="0" xfId="0" applyFont="1" applyAlignment="1">
      <alignment horizontal="left" indent="1"/>
    </xf>
    <xf numFmtId="43" fontId="3" fillId="0" borderId="0" xfId="0" applyNumberFormat="1" applyFont="1"/>
    <xf numFmtId="176" fontId="8" fillId="2" borderId="3" xfId="0" applyNumberFormat="1" applyFont="1" applyFill="1" applyBorder="1" applyAlignment="1" applyProtection="1">
      <alignment horizontal="center"/>
      <protection locked="0"/>
    </xf>
    <xf numFmtId="166" fontId="15" fillId="0" borderId="0" xfId="0" applyNumberFormat="1" applyFont="1" applyFill="1" applyBorder="1" applyAlignment="1" applyProtection="1">
      <protection locked="0"/>
    </xf>
    <xf numFmtId="41" fontId="15" fillId="0" borderId="0" xfId="0" applyNumberFormat="1" applyFont="1" applyBorder="1"/>
    <xf numFmtId="0" fontId="9" fillId="0" borderId="0" xfId="0" applyFont="1" applyFill="1" applyAlignment="1">
      <alignment horizontal="left" indent="1"/>
    </xf>
    <xf numFmtId="0" fontId="0" fillId="0" borderId="0" xfId="0" applyFill="1"/>
    <xf numFmtId="0" fontId="14" fillId="0" borderId="0" xfId="0" applyFont="1" applyFill="1" applyAlignment="1">
      <alignment horizontal="center"/>
    </xf>
    <xf numFmtId="0" fontId="0" fillId="0" borderId="0" xfId="0" applyFill="1" applyBorder="1" applyAlignment="1">
      <alignment horizontal="left" indent="1"/>
    </xf>
    <xf numFmtId="41" fontId="9" fillId="0" borderId="0" xfId="0" applyNumberFormat="1" applyFont="1" applyFill="1" applyBorder="1"/>
    <xf numFmtId="0" fontId="9" fillId="0" borderId="1" xfId="0" applyFont="1" applyFill="1" applyBorder="1" applyAlignment="1">
      <alignment horizontal="left" indent="1"/>
    </xf>
    <xf numFmtId="0" fontId="0" fillId="0" borderId="1" xfId="0" applyFill="1" applyBorder="1"/>
    <xf numFmtId="41" fontId="9" fillId="0" borderId="1" xfId="0" applyNumberFormat="1" applyFont="1" applyFill="1" applyBorder="1" applyProtection="1">
      <protection locked="0"/>
    </xf>
    <xf numFmtId="168" fontId="16" fillId="0" borderId="0" xfId="0" applyNumberFormat="1" applyFont="1" applyBorder="1" applyAlignment="1">
      <alignment horizontal="left" indent="1"/>
    </xf>
    <xf numFmtId="0" fontId="16" fillId="0" borderId="0" xfId="0" applyFont="1" applyAlignment="1">
      <alignment horizontal="left" indent="1"/>
    </xf>
    <xf numFmtId="168" fontId="16" fillId="0" borderId="1" xfId="0" applyNumberFormat="1" applyFont="1" applyBorder="1" applyAlignment="1">
      <alignment horizontal="left" indent="1"/>
    </xf>
    <xf numFmtId="42" fontId="0" fillId="0" borderId="0" xfId="0" applyNumberFormat="1" applyFill="1"/>
    <xf numFmtId="0" fontId="9" fillId="0" borderId="0" xfId="0" applyNumberFormat="1" applyFont="1" applyBorder="1" applyAlignment="1">
      <alignment horizontal="left"/>
    </xf>
    <xf numFmtId="42" fontId="1" fillId="0" borderId="0" xfId="0" applyNumberFormat="1" applyFont="1"/>
    <xf numFmtId="43" fontId="9" fillId="0" borderId="0" xfId="0" applyNumberFormat="1" applyFont="1"/>
    <xf numFmtId="166" fontId="9" fillId="0" borderId="0" xfId="0" applyNumberFormat="1" applyFont="1"/>
    <xf numFmtId="0" fontId="1" fillId="3" borderId="1" xfId="0" applyNumberFormat="1" applyFont="1" applyFill="1" applyBorder="1" applyAlignment="1">
      <alignment horizontal="center"/>
    </xf>
    <xf numFmtId="41" fontId="8" fillId="2" borderId="3" xfId="0" applyNumberFormat="1" applyFont="1" applyFill="1" applyBorder="1" applyAlignment="1" applyProtection="1">
      <alignment horizontal="center"/>
      <protection locked="0"/>
    </xf>
    <xf numFmtId="41" fontId="8" fillId="2" borderId="7" xfId="0" applyNumberFormat="1" applyFont="1" applyFill="1" applyBorder="1" applyAlignment="1" applyProtection="1">
      <alignment horizontal="center"/>
      <protection locked="0"/>
    </xf>
    <xf numFmtId="41" fontId="11" fillId="0" borderId="0" xfId="0" applyNumberFormat="1" applyFont="1" applyFill="1" applyBorder="1"/>
    <xf numFmtId="0" fontId="1" fillId="0" borderId="0" xfId="0" applyFont="1" applyBorder="1" applyAlignment="1">
      <alignment horizontal="left" indent="1"/>
    </xf>
    <xf numFmtId="0" fontId="2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7" fillId="0" borderId="0" xfId="0" applyNumberFormat="1" applyFont="1" applyBorder="1" applyAlignment="1">
      <alignment horizontal="center"/>
    </xf>
    <xf numFmtId="0" fontId="9" fillId="0" borderId="0" xfId="0" applyNumberFormat="1" applyFont="1" applyBorder="1" applyAlignment="1">
      <alignment horizontal="left" indent="1"/>
    </xf>
    <xf numFmtId="0" fontId="17" fillId="0" borderId="2" xfId="0" applyNumberFormat="1" applyFont="1" applyBorder="1"/>
    <xf numFmtId="0" fontId="15" fillId="0" borderId="2" xfId="0" applyFont="1" applyBorder="1" applyAlignment="1">
      <alignment horizontal="center"/>
    </xf>
    <xf numFmtId="42" fontId="11" fillId="0" borderId="2" xfId="0" applyNumberFormat="1" applyFont="1" applyBorder="1"/>
    <xf numFmtId="166" fontId="0" fillId="0" borderId="0" xfId="0" applyNumberFormat="1" applyFont="1" applyBorder="1" applyAlignment="1">
      <alignment horizontal="center"/>
    </xf>
    <xf numFmtId="174" fontId="11" fillId="0" borderId="0" xfId="0" applyNumberFormat="1" applyFont="1" applyFill="1" applyBorder="1" applyAlignment="1" applyProtection="1">
      <alignment horizontal="center"/>
      <protection locked="0"/>
    </xf>
    <xf numFmtId="41" fontId="0" fillId="0" borderId="0" xfId="0" applyNumberFormat="1"/>
    <xf numFmtId="42" fontId="0" fillId="0" borderId="0" xfId="0" applyNumberFormat="1"/>
    <xf numFmtId="0" fontId="1" fillId="0" borderId="0" xfId="0" applyNumberFormat="1" applyFont="1" applyBorder="1"/>
    <xf numFmtId="168" fontId="26" fillId="2" borderId="3" xfId="0" applyNumberFormat="1" applyFont="1" applyFill="1" applyBorder="1"/>
    <xf numFmtId="41" fontId="9" fillId="0" borderId="12" xfId="0" applyNumberFormat="1" applyFont="1" applyFill="1" applyBorder="1" applyProtection="1">
      <protection locked="0"/>
    </xf>
    <xf numFmtId="41" fontId="9" fillId="0" borderId="0" xfId="0" applyNumberFormat="1" applyFont="1" applyFill="1" applyBorder="1" applyProtection="1">
      <protection locked="0"/>
    </xf>
    <xf numFmtId="41" fontId="16" fillId="0" borderId="0" xfId="0" applyNumberFormat="1" applyFont="1" applyBorder="1"/>
    <xf numFmtId="41" fontId="20" fillId="0" borderId="0" xfId="0" applyNumberFormat="1" applyFont="1" applyBorder="1"/>
    <xf numFmtId="168" fontId="16" fillId="0" borderId="2" xfId="0" applyNumberFormat="1" applyFont="1" applyBorder="1"/>
    <xf numFmtId="42" fontId="17" fillId="0" borderId="2" xfId="0" applyNumberFormat="1" applyFont="1" applyBorder="1"/>
    <xf numFmtId="9" fontId="16" fillId="0" borderId="0" xfId="0" applyNumberFormat="1" applyFont="1" applyBorder="1"/>
    <xf numFmtId="0" fontId="17" fillId="5" borderId="13" xfId="0" applyNumberFormat="1" applyFont="1" applyFill="1" applyBorder="1" applyAlignment="1">
      <alignment horizontal="left"/>
    </xf>
    <xf numFmtId="0" fontId="25" fillId="5" borderId="14" xfId="0" applyNumberFormat="1" applyFont="1" applyFill="1" applyBorder="1" applyAlignment="1">
      <alignment horizontal="center"/>
    </xf>
    <xf numFmtId="0" fontId="17" fillId="5" borderId="14" xfId="0" applyNumberFormat="1" applyFont="1" applyFill="1" applyBorder="1"/>
    <xf numFmtId="166" fontId="1" fillId="5" borderId="15" xfId="0" applyNumberFormat="1" applyFont="1" applyFill="1" applyBorder="1" applyAlignment="1">
      <alignment horizontal="center"/>
    </xf>
    <xf numFmtId="0" fontId="16" fillId="0" borderId="0" xfId="0" applyFont="1" applyBorder="1"/>
    <xf numFmtId="0" fontId="14" fillId="0" borderId="0" xfId="0" applyFont="1" applyBorder="1" applyAlignment="1">
      <alignment horizontal="left"/>
    </xf>
    <xf numFmtId="177" fontId="19" fillId="0" borderId="0" xfId="0" applyNumberFormat="1" applyFont="1" applyBorder="1" applyAlignment="1">
      <alignment horizontal="center"/>
    </xf>
    <xf numFmtId="42" fontId="17" fillId="0" borderId="0" xfId="0" applyNumberFormat="1" applyFont="1" applyBorder="1"/>
    <xf numFmtId="0" fontId="8" fillId="0" borderId="12" xfId="0" applyNumberFormat="1" applyFont="1" applyFill="1" applyBorder="1" applyAlignment="1" applyProtection="1">
      <protection locked="0"/>
    </xf>
    <xf numFmtId="0" fontId="0" fillId="0" borderId="0" xfId="0" applyAlignment="1">
      <alignment horizontal="left" indent="1"/>
    </xf>
    <xf numFmtId="0" fontId="13" fillId="4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19" fillId="3" borderId="1" xfId="0" applyFont="1" applyFill="1" applyBorder="1"/>
    <xf numFmtId="0" fontId="19" fillId="0" borderId="1" xfId="0" applyFont="1" applyBorder="1" applyAlignment="1">
      <alignment horizontal="left" indent="1"/>
    </xf>
    <xf numFmtId="0" fontId="1" fillId="0" borderId="0" xfId="0" applyFont="1" applyBorder="1" applyAlignment="1">
      <alignment horizontal="left"/>
    </xf>
    <xf numFmtId="0" fontId="0" fillId="0" borderId="1" xfId="0" applyBorder="1"/>
    <xf numFmtId="41" fontId="1" fillId="0" borderId="2" xfId="0" applyNumberFormat="1" applyFont="1" applyBorder="1"/>
    <xf numFmtId="0" fontId="1" fillId="0" borderId="0" xfId="0" applyFont="1"/>
    <xf numFmtId="0" fontId="1" fillId="0" borderId="0" xfId="0" applyFont="1" applyFill="1" applyBorder="1"/>
    <xf numFmtId="41" fontId="19" fillId="0" borderId="0" xfId="0" applyNumberFormat="1" applyFont="1"/>
    <xf numFmtId="166" fontId="19" fillId="0" borderId="0" xfId="0" applyNumberFormat="1" applyFont="1" applyAlignment="1">
      <alignment horizontal="center"/>
    </xf>
    <xf numFmtId="42" fontId="9" fillId="0" borderId="0" xfId="0" applyNumberFormat="1" applyFont="1" applyBorder="1"/>
    <xf numFmtId="41" fontId="0" fillId="0" borderId="1" xfId="0" applyNumberFormat="1" applyBorder="1"/>
    <xf numFmtId="0" fontId="19" fillId="0" borderId="0" xfId="0" applyFont="1" applyBorder="1" applyAlignment="1">
      <alignment horizontal="left" indent="1"/>
    </xf>
    <xf numFmtId="9" fontId="0" fillId="0" borderId="0" xfId="0" applyNumberFormat="1"/>
    <xf numFmtId="0" fontId="0" fillId="0" borderId="0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41" fontId="19" fillId="0" borderId="0" xfId="0" applyNumberFormat="1" applyFont="1" applyAlignment="1">
      <alignment horizontal="center"/>
    </xf>
    <xf numFmtId="0" fontId="16" fillId="0" borderId="1" xfId="0" applyFont="1" applyBorder="1" applyAlignment="1">
      <alignment horizontal="left" indent="1"/>
    </xf>
    <xf numFmtId="0" fontId="1" fillId="0" borderId="0" xfId="0" applyFont="1" applyBorder="1"/>
    <xf numFmtId="42" fontId="16" fillId="0" borderId="0" xfId="0" applyNumberFormat="1" applyFont="1"/>
    <xf numFmtId="168" fontId="16" fillId="0" borderId="0" xfId="0" applyNumberFormat="1" applyFont="1"/>
    <xf numFmtId="0" fontId="16" fillId="0" borderId="1" xfId="0" applyFont="1" applyBorder="1"/>
    <xf numFmtId="168" fontId="16" fillId="0" borderId="1" xfId="0" applyNumberFormat="1" applyFont="1" applyBorder="1"/>
    <xf numFmtId="42" fontId="17" fillId="0" borderId="0" xfId="0" applyNumberFormat="1" applyFont="1"/>
    <xf numFmtId="168" fontId="17" fillId="0" borderId="0" xfId="0" applyNumberFormat="1" applyFont="1"/>
    <xf numFmtId="166" fontId="19" fillId="0" borderId="0" xfId="0" applyNumberFormat="1" applyFont="1" applyBorder="1" applyAlignment="1">
      <alignment horizontal="center"/>
    </xf>
    <xf numFmtId="168" fontId="20" fillId="0" borderId="0" xfId="0" applyNumberFormat="1" applyFont="1" applyFill="1" applyBorder="1"/>
    <xf numFmtId="178" fontId="9" fillId="0" borderId="0" xfId="0" applyNumberFormat="1" applyFont="1" applyFill="1" applyBorder="1" applyAlignment="1" applyProtection="1">
      <alignment horizontal="center"/>
      <protection locked="0"/>
    </xf>
    <xf numFmtId="168" fontId="3" fillId="0" borderId="0" xfId="0" applyNumberFormat="1" applyFont="1"/>
    <xf numFmtId="0" fontId="17" fillId="0" borderId="0" xfId="0" applyFont="1"/>
    <xf numFmtId="0" fontId="7" fillId="4" borderId="16" xfId="78" applyFont="1" applyFill="1" applyBorder="1" applyAlignment="1">
      <alignment horizontal="center"/>
    </xf>
    <xf numFmtId="0" fontId="7" fillId="4" borderId="14" xfId="78" applyFont="1" applyFill="1" applyBorder="1" applyAlignment="1">
      <alignment horizontal="centerContinuous"/>
    </xf>
    <xf numFmtId="0" fontId="7" fillId="4" borderId="15" xfId="78" applyFont="1" applyFill="1" applyBorder="1" applyAlignment="1">
      <alignment horizontal="centerContinuous"/>
    </xf>
    <xf numFmtId="166" fontId="27" fillId="4" borderId="17" xfId="78" applyNumberFormat="1" applyFont="1" applyFill="1" applyBorder="1"/>
    <xf numFmtId="174" fontId="9" fillId="3" borderId="14" xfId="78" applyNumberFormat="1" applyFont="1" applyFill="1" applyBorder="1" applyAlignment="1">
      <alignment horizontal="center"/>
    </xf>
    <xf numFmtId="174" fontId="9" fillId="3" borderId="15" xfId="78" applyNumberFormat="1" applyFont="1" applyFill="1" applyBorder="1" applyAlignment="1">
      <alignment horizontal="center"/>
    </xf>
    <xf numFmtId="0" fontId="9" fillId="6" borderId="18" xfId="78" applyFont="1" applyFill="1" applyBorder="1" applyAlignment="1">
      <alignment horizontal="right"/>
    </xf>
    <xf numFmtId="166" fontId="9" fillId="0" borderId="16" xfId="78" applyNumberFormat="1" applyFont="1" applyFill="1" applyBorder="1" applyAlignment="1">
      <alignment horizontal="center"/>
    </xf>
    <xf numFmtId="166" fontId="20" fillId="0" borderId="0" xfId="0" quotePrefix="1" applyNumberFormat="1" applyFont="1" applyFill="1" applyBorder="1" applyAlignment="1">
      <alignment horizontal="center"/>
    </xf>
    <xf numFmtId="166" fontId="20" fillId="0" borderId="0" xfId="0" quotePrefix="1" applyNumberFormat="1" applyFont="1" applyBorder="1" applyAlignment="1">
      <alignment horizontal="center"/>
    </xf>
    <xf numFmtId="166" fontId="9" fillId="0" borderId="19" xfId="78" applyNumberFormat="1" applyFont="1" applyFill="1" applyBorder="1" applyAlignment="1">
      <alignment horizontal="center"/>
    </xf>
    <xf numFmtId="0" fontId="28" fillId="4" borderId="1" xfId="78" applyFont="1" applyFill="1" applyBorder="1"/>
    <xf numFmtId="0" fontId="9" fillId="6" borderId="17" xfId="78" applyFont="1" applyFill="1" applyBorder="1" applyAlignment="1">
      <alignment horizontal="right"/>
    </xf>
    <xf numFmtId="0" fontId="9" fillId="6" borderId="20" xfId="78" applyFont="1" applyFill="1" applyBorder="1" applyAlignment="1">
      <alignment horizontal="right"/>
    </xf>
    <xf numFmtId="0" fontId="7" fillId="0" borderId="0" xfId="78" applyFont="1" applyFill="1" applyBorder="1" applyAlignment="1">
      <alignment horizontal="centerContinuous"/>
    </xf>
    <xf numFmtId="174" fontId="9" fillId="0" borderId="0" xfId="78" applyNumberFormat="1" applyFont="1" applyFill="1" applyBorder="1" applyAlignment="1">
      <alignment horizontal="center"/>
    </xf>
    <xf numFmtId="174" fontId="9" fillId="3" borderId="13" xfId="78" applyNumberFormat="1" applyFont="1" applyFill="1" applyBorder="1" applyAlignment="1">
      <alignment horizontal="center"/>
    </xf>
    <xf numFmtId="174" fontId="8" fillId="3" borderId="13" xfId="78" applyNumberFormat="1" applyFont="1" applyFill="1" applyBorder="1" applyAlignment="1">
      <alignment horizontal="center"/>
    </xf>
    <xf numFmtId="174" fontId="8" fillId="2" borderId="21" xfId="0" applyNumberFormat="1" applyFont="1" applyFill="1" applyBorder="1" applyAlignment="1" applyProtection="1">
      <alignment horizontal="center"/>
      <protection locked="0"/>
    </xf>
    <xf numFmtId="174" fontId="8" fillId="2" borderId="4" xfId="0" applyNumberFormat="1" applyFont="1" applyFill="1" applyBorder="1" applyAlignment="1" applyProtection="1">
      <alignment horizontal="center"/>
      <protection locked="0"/>
    </xf>
    <xf numFmtId="0" fontId="9" fillId="0" borderId="0" xfId="0" applyFont="1" applyBorder="1" applyAlignment="1">
      <alignment horizontal="left" indent="1"/>
    </xf>
    <xf numFmtId="174" fontId="8" fillId="0" borderId="22" xfId="0" applyNumberFormat="1" applyFont="1" applyFill="1" applyBorder="1" applyAlignment="1" applyProtection="1">
      <alignment horizontal="center"/>
      <protection locked="0"/>
    </xf>
    <xf numFmtId="174" fontId="8" fillId="0" borderId="23" xfId="0" applyNumberFormat="1" applyFont="1" applyFill="1" applyBorder="1" applyAlignment="1" applyProtection="1">
      <alignment horizontal="center"/>
      <protection locked="0"/>
    </xf>
    <xf numFmtId="42" fontId="8" fillId="3" borderId="13" xfId="78" applyNumberFormat="1" applyFont="1" applyFill="1" applyBorder="1" applyAlignment="1">
      <alignment horizontal="center"/>
    </xf>
    <xf numFmtId="42" fontId="9" fillId="3" borderId="13" xfId="78" applyNumberFormat="1" applyFont="1" applyFill="1" applyBorder="1" applyAlignment="1">
      <alignment horizontal="center"/>
    </xf>
    <xf numFmtId="42" fontId="9" fillId="3" borderId="14" xfId="78" applyNumberFormat="1" applyFont="1" applyFill="1" applyBorder="1" applyAlignment="1">
      <alignment horizontal="center"/>
    </xf>
    <xf numFmtId="42" fontId="9" fillId="3" borderId="15" xfId="78" applyNumberFormat="1" applyFont="1" applyFill="1" applyBorder="1" applyAlignment="1">
      <alignment horizontal="center"/>
    </xf>
    <xf numFmtId="42" fontId="9" fillId="3" borderId="18" xfId="78" applyNumberFormat="1" applyFont="1" applyFill="1" applyBorder="1" applyAlignment="1">
      <alignment horizontal="center"/>
    </xf>
    <xf numFmtId="42" fontId="8" fillId="3" borderId="18" xfId="78" applyNumberFormat="1" applyFont="1" applyFill="1" applyBorder="1" applyAlignment="1">
      <alignment horizontal="center"/>
    </xf>
    <xf numFmtId="41" fontId="9" fillId="6" borderId="17" xfId="78" applyNumberFormat="1" applyFont="1" applyFill="1" applyBorder="1" applyAlignment="1">
      <alignment horizontal="right"/>
    </xf>
    <xf numFmtId="41" fontId="9" fillId="6" borderId="20" xfId="78" applyNumberFormat="1" applyFont="1" applyFill="1" applyBorder="1" applyAlignment="1">
      <alignment horizontal="right"/>
    </xf>
    <xf numFmtId="165" fontId="3" fillId="0" borderId="0" xfId="0" applyNumberFormat="1" applyFont="1"/>
    <xf numFmtId="44" fontId="3" fillId="0" borderId="0" xfId="0" applyNumberFormat="1" applyFont="1"/>
    <xf numFmtId="170" fontId="8" fillId="2" borderId="3" xfId="0" applyNumberFormat="1" applyFont="1" applyFill="1" applyBorder="1" applyAlignment="1">
      <alignment horizontal="center"/>
    </xf>
    <xf numFmtId="174" fontId="8" fillId="0" borderId="12" xfId="0" applyNumberFormat="1" applyFont="1" applyFill="1" applyBorder="1" applyAlignment="1" applyProtection="1">
      <alignment horizontal="center"/>
      <protection locked="0"/>
    </xf>
    <xf numFmtId="0" fontId="28" fillId="0" borderId="0" xfId="78" applyFont="1" applyFill="1" applyBorder="1"/>
    <xf numFmtId="174" fontId="11" fillId="3" borderId="14" xfId="78" applyNumberFormat="1" applyFont="1" applyFill="1" applyBorder="1" applyAlignment="1">
      <alignment horizontal="center"/>
    </xf>
    <xf numFmtId="41" fontId="11" fillId="6" borderId="17" xfId="78" applyNumberFormat="1" applyFont="1" applyFill="1" applyBorder="1" applyAlignment="1">
      <alignment horizontal="right"/>
    </xf>
    <xf numFmtId="42" fontId="11" fillId="3" borderId="14" xfId="78" applyNumberFormat="1" applyFont="1" applyFill="1" applyBorder="1" applyAlignment="1">
      <alignment horizontal="center"/>
    </xf>
    <xf numFmtId="166" fontId="18" fillId="0" borderId="0" xfId="0" quotePrefix="1" applyNumberFormat="1" applyFont="1" applyBorder="1" applyAlignment="1">
      <alignment horizontal="center"/>
    </xf>
    <xf numFmtId="166" fontId="11" fillId="0" borderId="19" xfId="78" applyNumberFormat="1" applyFont="1" applyFill="1" applyBorder="1" applyAlignment="1">
      <alignment horizontal="center"/>
    </xf>
    <xf numFmtId="166" fontId="18" fillId="0" borderId="0" xfId="0" quotePrefix="1" applyNumberFormat="1" applyFont="1" applyFill="1" applyBorder="1" applyAlignment="1">
      <alignment horizontal="center"/>
    </xf>
    <xf numFmtId="168" fontId="29" fillId="0" borderId="0" xfId="0" applyNumberFormat="1" applyFont="1" applyFill="1" applyBorder="1" applyAlignment="1" applyProtection="1">
      <alignment horizontal="center"/>
      <protection locked="0"/>
    </xf>
    <xf numFmtId="43" fontId="8" fillId="2" borderId="3" xfId="0" applyNumberFormat="1" applyFont="1" applyFill="1" applyBorder="1"/>
    <xf numFmtId="9" fontId="9" fillId="0" borderId="0" xfId="0" applyNumberFormat="1" applyFont="1"/>
    <xf numFmtId="168" fontId="0" fillId="0" borderId="0" xfId="0" applyNumberFormat="1"/>
    <xf numFmtId="164" fontId="0" fillId="0" borderId="0" xfId="0" applyNumberFormat="1" applyFont="1"/>
    <xf numFmtId="9" fontId="9" fillId="0" borderId="0" xfId="0" applyNumberFormat="1" applyFont="1" applyBorder="1"/>
    <xf numFmtId="164" fontId="3" fillId="0" borderId="0" xfId="0" applyNumberFormat="1" applyFont="1"/>
    <xf numFmtId="41" fontId="9" fillId="0" borderId="0" xfId="0" applyNumberFormat="1" applyFont="1" applyFill="1" applyBorder="1" applyProtection="1"/>
    <xf numFmtId="166" fontId="8" fillId="3" borderId="13" xfId="78" applyNumberFormat="1" applyFont="1" applyFill="1" applyBorder="1" applyAlignment="1">
      <alignment horizontal="center"/>
    </xf>
    <xf numFmtId="166" fontId="9" fillId="3" borderId="14" xfId="78" applyNumberFormat="1" applyFont="1" applyFill="1" applyBorder="1" applyAlignment="1">
      <alignment horizontal="center"/>
    </xf>
    <xf numFmtId="166" fontId="9" fillId="3" borderId="15" xfId="78" applyNumberFormat="1" applyFont="1" applyFill="1" applyBorder="1" applyAlignment="1">
      <alignment horizontal="center"/>
    </xf>
    <xf numFmtId="166" fontId="9" fillId="3" borderId="13" xfId="78" applyNumberFormat="1" applyFont="1" applyFill="1" applyBorder="1" applyAlignment="1">
      <alignment horizontal="center"/>
    </xf>
    <xf numFmtId="166" fontId="11" fillId="3" borderId="14" xfId="78" applyNumberFormat="1" applyFont="1" applyFill="1" applyBorder="1" applyAlignment="1">
      <alignment horizont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6" builtinId="8" hidden="1"/>
    <cellStyle name="Normal" xfId="0" builtinId="0"/>
    <cellStyle name="Normal 2" xfId="78" xr:uid="{00000000-0005-0000-0000-00004D000000}"/>
    <cellStyle name="Normal 22" xfId="75" xr:uid="{00000000-0005-0000-0000-00004E000000}"/>
  </cellStyles>
  <dxfs count="0"/>
  <tableStyles count="0" defaultTableStyle="TableStyleMedium9" defaultPivotStyle="PivotStyleMedium7"/>
  <colors>
    <mruColors>
      <color rgb="FF0000FF"/>
      <color rgb="FFFFFF99"/>
      <color rgb="FF1F497D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B1:L398"/>
  <sheetViews>
    <sheetView showGridLines="0" tabSelected="1" topLeftCell="A308" zoomScaleNormal="100" workbookViewId="0">
      <selection activeCell="B308" sqref="B308"/>
    </sheetView>
  </sheetViews>
  <sheetFormatPr defaultColWidth="11" defaultRowHeight="15.75" outlineLevelRow="2" x14ac:dyDescent="0.25"/>
  <cols>
    <col min="1" max="2" width="2.625" customWidth="1"/>
    <col min="3" max="3" width="42" bestFit="1" customWidth="1"/>
    <col min="4" max="11" width="14.125" customWidth="1"/>
    <col min="12" max="12" width="2.625" customWidth="1"/>
  </cols>
  <sheetData>
    <row r="1" spans="2:12" x14ac:dyDescent="0.25">
      <c r="C1" s="1"/>
      <c r="D1" s="1"/>
      <c r="E1" s="1"/>
      <c r="F1" s="1"/>
      <c r="G1" s="1"/>
      <c r="H1" s="1"/>
      <c r="I1" s="1"/>
      <c r="J1" s="1"/>
    </row>
    <row r="2" spans="2:12" ht="18.75" x14ac:dyDescent="0.3">
      <c r="B2" s="27" t="str">
        <f>E7&amp;" - Investment Analysis"</f>
        <v>45 Milk Street - Investment Analysis</v>
      </c>
      <c r="C2" s="1"/>
      <c r="D2" s="1"/>
      <c r="E2" s="1"/>
      <c r="F2" s="1"/>
      <c r="G2" s="1"/>
      <c r="H2" s="1"/>
      <c r="I2" s="1"/>
      <c r="J2" s="1"/>
    </row>
    <row r="3" spans="2:12" x14ac:dyDescent="0.25">
      <c r="B3" s="3" t="s">
        <v>92</v>
      </c>
      <c r="C3" s="1"/>
      <c r="D3" s="1"/>
      <c r="E3" s="1"/>
      <c r="F3" s="1"/>
      <c r="G3" s="1"/>
      <c r="H3" s="1"/>
      <c r="I3" s="1"/>
      <c r="J3" s="1"/>
    </row>
    <row r="4" spans="2:12" x14ac:dyDescent="0.25">
      <c r="B4" s="1"/>
      <c r="C4" s="1"/>
      <c r="D4" s="1"/>
      <c r="E4" s="1"/>
      <c r="F4" s="1"/>
      <c r="G4" s="1"/>
      <c r="H4" s="1"/>
      <c r="I4" s="1"/>
      <c r="J4" s="1"/>
      <c r="L4" s="92"/>
    </row>
    <row r="5" spans="2:12" x14ac:dyDescent="0.25">
      <c r="B5" s="31" t="s">
        <v>252</v>
      </c>
      <c r="C5" s="32"/>
      <c r="D5" s="30" t="s">
        <v>11</v>
      </c>
      <c r="E5" s="33"/>
      <c r="F5" s="33"/>
      <c r="G5" s="33"/>
      <c r="H5" s="33"/>
      <c r="I5" s="30" t="str">
        <f>+$D$5</f>
        <v>Units:</v>
      </c>
      <c r="J5" s="33"/>
      <c r="K5" s="33"/>
      <c r="L5" s="91"/>
    </row>
    <row r="6" spans="2:12" outlineLevel="1" x14ac:dyDescent="0.25">
      <c r="B6" s="1"/>
      <c r="C6" s="1"/>
      <c r="D6" s="1"/>
      <c r="E6" s="1"/>
      <c r="F6" s="1"/>
      <c r="G6" s="1"/>
      <c r="H6" s="1"/>
      <c r="I6" s="1"/>
      <c r="J6" s="1"/>
      <c r="L6" s="91"/>
    </row>
    <row r="7" spans="2:12" ht="15.75" customHeight="1" outlineLevel="1" x14ac:dyDescent="0.25">
      <c r="C7" s="66" t="s">
        <v>156</v>
      </c>
      <c r="D7" s="71" t="s">
        <v>12</v>
      </c>
      <c r="E7" s="76" t="s">
        <v>91</v>
      </c>
      <c r="F7" s="1"/>
      <c r="G7" s="66" t="s">
        <v>77</v>
      </c>
      <c r="H7" s="66"/>
      <c r="I7" s="71" t="s">
        <v>12</v>
      </c>
      <c r="J7" s="124" t="s">
        <v>78</v>
      </c>
      <c r="L7" s="92"/>
    </row>
    <row r="8" spans="2:12" outlineLevel="1" x14ac:dyDescent="0.25">
      <c r="C8" s="66" t="s">
        <v>15</v>
      </c>
      <c r="D8" s="71" t="s">
        <v>12</v>
      </c>
      <c r="E8" s="15" t="s">
        <v>52</v>
      </c>
      <c r="F8" s="1"/>
      <c r="G8" s="66"/>
      <c r="H8" s="66"/>
      <c r="I8" s="73"/>
      <c r="J8" s="95"/>
      <c r="L8" s="92"/>
    </row>
    <row r="9" spans="2:12" outlineLevel="1" x14ac:dyDescent="0.25">
      <c r="C9" s="66" t="s">
        <v>14</v>
      </c>
      <c r="D9" s="71" t="s">
        <v>12</v>
      </c>
      <c r="E9" s="15" t="s">
        <v>95</v>
      </c>
      <c r="F9" s="1"/>
      <c r="G9" t="s">
        <v>201</v>
      </c>
      <c r="I9" s="36" t="s">
        <v>12</v>
      </c>
      <c r="J9" s="138" t="s">
        <v>196</v>
      </c>
      <c r="K9" s="220"/>
      <c r="L9" s="92"/>
    </row>
    <row r="10" spans="2:12" outlineLevel="1" x14ac:dyDescent="0.25">
      <c r="F10" s="1"/>
      <c r="G10" t="s">
        <v>202</v>
      </c>
      <c r="I10" s="36" t="s">
        <v>12</v>
      </c>
      <c r="J10" s="138" t="s">
        <v>197</v>
      </c>
      <c r="L10" s="92"/>
    </row>
    <row r="11" spans="2:12" outlineLevel="1" x14ac:dyDescent="0.25">
      <c r="C11" s="81" t="s">
        <v>94</v>
      </c>
      <c r="D11" s="71" t="s">
        <v>13</v>
      </c>
      <c r="E11" s="14">
        <v>43465</v>
      </c>
      <c r="F11" s="1"/>
      <c r="G11" s="66"/>
      <c r="I11" s="37"/>
      <c r="J11" s="97"/>
      <c r="K11" s="96"/>
      <c r="L11" s="92"/>
    </row>
    <row r="12" spans="2:12" outlineLevel="1" x14ac:dyDescent="0.25">
      <c r="C12" s="77" t="s">
        <v>18</v>
      </c>
      <c r="D12" s="71" t="s">
        <v>19</v>
      </c>
      <c r="E12" s="28">
        <v>12</v>
      </c>
      <c r="F12" s="1"/>
      <c r="G12" t="s">
        <v>199</v>
      </c>
      <c r="I12" s="71" t="s">
        <v>16</v>
      </c>
      <c r="J12" s="11">
        <v>0.1</v>
      </c>
      <c r="L12" s="92"/>
    </row>
    <row r="13" spans="2:12" outlineLevel="1" x14ac:dyDescent="0.25">
      <c r="C13" s="66"/>
      <c r="D13" s="66"/>
      <c r="G13" t="s">
        <v>200</v>
      </c>
      <c r="I13" s="71" t="s">
        <v>16</v>
      </c>
      <c r="J13" s="100">
        <f>1-GP_Equity_Pct</f>
        <v>0.9</v>
      </c>
      <c r="L13" s="92"/>
    </row>
    <row r="14" spans="2:12" outlineLevel="1" x14ac:dyDescent="0.25">
      <c r="C14" s="66" t="s">
        <v>96</v>
      </c>
      <c r="D14" s="37" t="s">
        <v>22</v>
      </c>
      <c r="E14" s="286">
        <v>61000</v>
      </c>
      <c r="G14" s="66"/>
      <c r="H14" s="66"/>
      <c r="I14" s="71"/>
      <c r="J14" s="147"/>
      <c r="L14" s="92"/>
    </row>
    <row r="15" spans="2:12" outlineLevel="1" x14ac:dyDescent="0.25">
      <c r="C15" s="66" t="s">
        <v>53</v>
      </c>
      <c r="D15" s="71" t="s">
        <v>16</v>
      </c>
      <c r="E15" s="11">
        <v>0.9</v>
      </c>
      <c r="J15" s="96"/>
      <c r="L15" s="92"/>
    </row>
    <row r="16" spans="2:12" outlineLevel="1" x14ac:dyDescent="0.25">
      <c r="C16" s="66" t="s">
        <v>97</v>
      </c>
      <c r="D16" s="37" t="s">
        <v>22</v>
      </c>
      <c r="E16" s="146">
        <f>Gross_Sq_Ft*E15</f>
        <v>54900</v>
      </c>
      <c r="J16" s="96"/>
      <c r="L16" s="92"/>
    </row>
    <row r="17" spans="2:12" x14ac:dyDescent="0.25">
      <c r="C17" s="66"/>
      <c r="D17" s="66"/>
      <c r="L17" s="92"/>
    </row>
    <row r="18" spans="2:12" x14ac:dyDescent="0.25">
      <c r="B18" s="34" t="s">
        <v>253</v>
      </c>
      <c r="C18" s="35"/>
      <c r="D18" s="30" t="str">
        <f>+$D$5</f>
        <v>Units:</v>
      </c>
      <c r="E18" s="33"/>
      <c r="F18" s="33"/>
      <c r="G18" s="33"/>
      <c r="H18" s="33"/>
      <c r="I18" s="30" t="str">
        <f>+$D$5</f>
        <v>Units:</v>
      </c>
      <c r="J18" s="33"/>
      <c r="K18" s="33"/>
      <c r="L18" s="92"/>
    </row>
    <row r="19" spans="2:12" outlineLevel="1" x14ac:dyDescent="0.25">
      <c r="B19" s="1"/>
      <c r="C19" s="1"/>
      <c r="D19" s="1"/>
      <c r="E19" s="1"/>
      <c r="F19" s="1"/>
      <c r="G19" s="1"/>
      <c r="H19" s="1"/>
      <c r="I19" s="1"/>
      <c r="L19" s="92"/>
    </row>
    <row r="20" spans="2:12" outlineLevel="1" x14ac:dyDescent="0.25">
      <c r="C20" s="25" t="s">
        <v>98</v>
      </c>
      <c r="D20" s="25"/>
      <c r="E20" s="26"/>
      <c r="F20" s="24"/>
      <c r="G20" s="25" t="s">
        <v>110</v>
      </c>
      <c r="H20" s="25"/>
      <c r="I20" s="26"/>
      <c r="J20" s="26"/>
      <c r="K20" s="106"/>
      <c r="L20" s="92"/>
    </row>
    <row r="21" spans="2:12" outlineLevel="1" x14ac:dyDescent="0.25">
      <c r="C21" s="50" t="s">
        <v>100</v>
      </c>
      <c r="D21" s="53" t="s">
        <v>101</v>
      </c>
      <c r="E21" s="168">
        <v>20500000</v>
      </c>
      <c r="F21" s="1"/>
      <c r="G21" s="19" t="s">
        <v>64</v>
      </c>
      <c r="H21" s="66"/>
      <c r="I21" s="71" t="s">
        <v>16</v>
      </c>
      <c r="J21" s="12">
        <v>0.01</v>
      </c>
      <c r="L21" s="92"/>
    </row>
    <row r="22" spans="2:12" outlineLevel="1" x14ac:dyDescent="0.25">
      <c r="C22" s="150" t="s">
        <v>99</v>
      </c>
      <c r="D22" s="53" t="s">
        <v>16</v>
      </c>
      <c r="E22" s="105">
        <f>+G148/Acq_Price</f>
        <v>8.0209174854177626E-2</v>
      </c>
      <c r="F22" s="1"/>
      <c r="G22" s="19" t="s">
        <v>4</v>
      </c>
      <c r="H22" s="66"/>
      <c r="I22" s="71" t="s">
        <v>16</v>
      </c>
      <c r="J22" s="12">
        <v>0.01</v>
      </c>
      <c r="L22" s="92"/>
    </row>
    <row r="23" spans="2:12" outlineLevel="1" x14ac:dyDescent="0.25">
      <c r="C23" s="74" t="s">
        <v>102</v>
      </c>
      <c r="D23" s="36" t="s">
        <v>103</v>
      </c>
      <c r="E23" s="151">
        <f>+Acq_Price/Rentable_Sq_Ft</f>
        <v>373.40619307832424</v>
      </c>
      <c r="F23" s="1"/>
      <c r="G23" s="148"/>
      <c r="H23" s="149"/>
      <c r="I23" s="73"/>
      <c r="J23" s="145"/>
      <c r="L23" s="92"/>
    </row>
    <row r="24" spans="2:12" outlineLevel="1" x14ac:dyDescent="0.25">
      <c r="F24" s="1"/>
      <c r="G24" s="25" t="s">
        <v>66</v>
      </c>
      <c r="H24" s="26"/>
      <c r="I24" s="26"/>
      <c r="J24" s="26"/>
      <c r="L24" s="92"/>
    </row>
    <row r="25" spans="2:12" outlineLevel="1" x14ac:dyDescent="0.25">
      <c r="C25" s="50" t="s">
        <v>104</v>
      </c>
      <c r="D25" s="36" t="s">
        <v>16</v>
      </c>
      <c r="E25" s="11">
        <v>0.01</v>
      </c>
      <c r="F25" s="1"/>
      <c r="G25" s="19" t="s">
        <v>49</v>
      </c>
      <c r="H25" s="66"/>
      <c r="I25" s="71" t="s">
        <v>16</v>
      </c>
      <c r="J25" s="11">
        <v>0.65</v>
      </c>
      <c r="L25" s="92"/>
    </row>
    <row r="26" spans="2:12" outlineLevel="1" x14ac:dyDescent="0.25">
      <c r="C26" s="19"/>
      <c r="D26" s="71"/>
      <c r="E26" s="70"/>
      <c r="F26" s="1"/>
      <c r="G26" s="19" t="s">
        <v>65</v>
      </c>
      <c r="H26" s="66"/>
      <c r="I26" s="37" t="s">
        <v>101</v>
      </c>
      <c r="J26" s="13">
        <f>+Senior_Loan_LTV*Total_Acq_Costs</f>
        <v>15457000</v>
      </c>
      <c r="L26" s="92"/>
    </row>
    <row r="27" spans="2:12" outlineLevel="1" x14ac:dyDescent="0.25">
      <c r="C27" s="74" t="s">
        <v>149</v>
      </c>
      <c r="D27" s="36" t="s">
        <v>16</v>
      </c>
      <c r="E27" s="11">
        <v>0.15</v>
      </c>
      <c r="F27" s="1"/>
      <c r="G27" s="19" t="s">
        <v>165</v>
      </c>
      <c r="I27" s="37" t="s">
        <v>101</v>
      </c>
      <c r="J27" s="13">
        <f>+Renovation_Costs+Additional_Reserves</f>
        <v>3280000</v>
      </c>
      <c r="L27" s="92"/>
    </row>
    <row r="28" spans="2:12" outlineLevel="1" x14ac:dyDescent="0.25">
      <c r="C28" s="74" t="s">
        <v>150</v>
      </c>
      <c r="D28" s="53" t="s">
        <v>101</v>
      </c>
      <c r="E28" s="156">
        <f>+Acq_Price*E27</f>
        <v>3075000</v>
      </c>
      <c r="F28" s="1"/>
      <c r="G28" s="19" t="s">
        <v>177</v>
      </c>
      <c r="I28" s="36" t="s">
        <v>116</v>
      </c>
      <c r="J28" s="158">
        <v>35</v>
      </c>
      <c r="L28" s="92"/>
    </row>
    <row r="29" spans="2:12" outlineLevel="1" x14ac:dyDescent="0.25">
      <c r="C29" s="74" t="s">
        <v>161</v>
      </c>
      <c r="D29" s="36" t="s">
        <v>103</v>
      </c>
      <c r="E29" s="155">
        <f>+Renovation_Costs/Rentable_Sq_Ft</f>
        <v>56.010928961748633</v>
      </c>
      <c r="F29" s="1"/>
      <c r="L29" s="92"/>
    </row>
    <row r="30" spans="2:12" outlineLevel="1" x14ac:dyDescent="0.25">
      <c r="F30" s="1"/>
      <c r="G30" s="74" t="s">
        <v>168</v>
      </c>
      <c r="H30" s="52"/>
      <c r="I30" s="71" t="s">
        <v>16</v>
      </c>
      <c r="J30" s="128">
        <v>0.03</v>
      </c>
      <c r="L30" s="92"/>
    </row>
    <row r="31" spans="2:12" outlineLevel="1" x14ac:dyDescent="0.25">
      <c r="C31" s="74" t="s">
        <v>154</v>
      </c>
      <c r="D31" s="36" t="s">
        <v>16</v>
      </c>
      <c r="E31" s="11">
        <v>0.01</v>
      </c>
      <c r="F31" s="1"/>
      <c r="G31" s="74" t="s">
        <v>169</v>
      </c>
      <c r="H31" s="52"/>
      <c r="I31" s="71" t="s">
        <v>16</v>
      </c>
      <c r="J31" s="128">
        <v>1.7500000000000002E-2</v>
      </c>
      <c r="L31" s="92"/>
    </row>
    <row r="32" spans="2:12" outlineLevel="1" x14ac:dyDescent="0.25">
      <c r="C32" s="74" t="s">
        <v>155</v>
      </c>
      <c r="D32" s="53" t="s">
        <v>101</v>
      </c>
      <c r="E32" s="156">
        <f>+Acq_Price*E31</f>
        <v>205000</v>
      </c>
      <c r="F32" s="1"/>
      <c r="L32" s="92"/>
    </row>
    <row r="33" spans="2:12" outlineLevel="1" x14ac:dyDescent="0.25">
      <c r="C33" s="74" t="s">
        <v>162</v>
      </c>
      <c r="D33" s="36" t="s">
        <v>103</v>
      </c>
      <c r="E33" s="155">
        <f>+Additional_Reserves/Rentable_Sq_Ft</f>
        <v>3.7340619307832421</v>
      </c>
      <c r="F33" s="185"/>
      <c r="G33" s="19" t="s">
        <v>160</v>
      </c>
      <c r="I33" s="37" t="s">
        <v>17</v>
      </c>
      <c r="J33" s="15">
        <v>2</v>
      </c>
      <c r="L33" s="92"/>
    </row>
    <row r="34" spans="2:12" outlineLevel="1" x14ac:dyDescent="0.25">
      <c r="B34" s="1"/>
      <c r="E34" s="110"/>
      <c r="F34" s="1"/>
      <c r="G34" s="19" t="s">
        <v>137</v>
      </c>
      <c r="H34" s="66"/>
      <c r="I34" s="37" t="s">
        <v>17</v>
      </c>
      <c r="J34" s="15">
        <v>30</v>
      </c>
      <c r="L34" s="92"/>
    </row>
    <row r="35" spans="2:12" ht="17.100000000000001" customHeight="1" outlineLevel="1" x14ac:dyDescent="0.25">
      <c r="C35" s="74" t="s">
        <v>158</v>
      </c>
      <c r="D35" s="53" t="s">
        <v>101</v>
      </c>
      <c r="E35" s="156">
        <f>+Acq_Price+Renovation_Costs+Additional_Reserves</f>
        <v>23780000</v>
      </c>
      <c r="F35" s="1"/>
      <c r="G35" s="19" t="s">
        <v>69</v>
      </c>
      <c r="I35" s="37" t="s">
        <v>17</v>
      </c>
      <c r="J35" s="15">
        <v>5</v>
      </c>
      <c r="L35" s="91"/>
    </row>
    <row r="36" spans="2:12" ht="17.100000000000001" customHeight="1" outlineLevel="1" x14ac:dyDescent="0.25">
      <c r="C36" s="74" t="s">
        <v>163</v>
      </c>
      <c r="D36" s="36" t="s">
        <v>103</v>
      </c>
      <c r="E36" s="155">
        <f>+Total_Acq_Costs/Rentable_Sq_Ft</f>
        <v>433.1511839708561</v>
      </c>
      <c r="F36" s="1"/>
      <c r="G36" s="19" t="s">
        <v>9</v>
      </c>
      <c r="H36" s="66"/>
      <c r="I36" s="73" t="s">
        <v>13</v>
      </c>
      <c r="J36" s="102">
        <f>EOMONTH(Acq_Date,J35*Months)</f>
        <v>45291</v>
      </c>
      <c r="L36" s="92"/>
    </row>
    <row r="37" spans="2:12" ht="17.100000000000001" customHeight="1" outlineLevel="1" x14ac:dyDescent="0.25">
      <c r="F37" s="1"/>
      <c r="L37" s="92"/>
    </row>
    <row r="38" spans="2:12" ht="17.100000000000001" customHeight="1" outlineLevel="1" x14ac:dyDescent="0.25">
      <c r="C38" s="19" t="s">
        <v>105</v>
      </c>
      <c r="D38" s="71" t="s">
        <v>13</v>
      </c>
      <c r="E38" s="89">
        <v>44926</v>
      </c>
      <c r="F38" s="1"/>
      <c r="G38" s="25" t="s">
        <v>67</v>
      </c>
      <c r="H38" s="26"/>
      <c r="I38" s="26"/>
      <c r="J38" s="26"/>
      <c r="L38" s="92"/>
    </row>
    <row r="39" spans="2:12" ht="17.100000000000001" customHeight="1" outlineLevel="1" x14ac:dyDescent="0.25">
      <c r="C39" s="150" t="s">
        <v>106</v>
      </c>
      <c r="D39" s="53" t="s">
        <v>16</v>
      </c>
      <c r="E39" s="152">
        <f>INDEX($G$190:$J$199,8,MATCH(Exit_Date,$G$190:$J$190))</f>
        <v>7.0000000000000007E-2</v>
      </c>
      <c r="F39" s="1"/>
      <c r="G39" s="19" t="s">
        <v>49</v>
      </c>
      <c r="I39" s="71" t="s">
        <v>16</v>
      </c>
      <c r="J39" s="11">
        <v>0.1</v>
      </c>
      <c r="L39" s="92"/>
    </row>
    <row r="40" spans="2:12" ht="17.100000000000001" customHeight="1" outlineLevel="1" x14ac:dyDescent="0.25">
      <c r="C40" s="150" t="s">
        <v>107</v>
      </c>
      <c r="D40" s="53" t="s">
        <v>101</v>
      </c>
      <c r="E40" s="142">
        <f>INDEX($G$190:$J$199,10,MATCH(Exit_Date,$G$190:$J$190))</f>
        <v>35183419.35971041</v>
      </c>
      <c r="F40" s="1"/>
      <c r="G40" s="19" t="s">
        <v>68</v>
      </c>
      <c r="I40" s="37" t="s">
        <v>101</v>
      </c>
      <c r="J40" s="13">
        <f>+Mezz_LTV*Total_Acq_Costs</f>
        <v>2378000</v>
      </c>
      <c r="L40" s="92"/>
    </row>
    <row r="41" spans="2:12" ht="17.100000000000001" customHeight="1" outlineLevel="1" x14ac:dyDescent="0.25">
      <c r="C41" s="74" t="s">
        <v>108</v>
      </c>
      <c r="D41" s="36" t="s">
        <v>103</v>
      </c>
      <c r="E41" s="151">
        <f>+Exit_Price/Rentable_Sq_Ft</f>
        <v>640.86374061403296</v>
      </c>
      <c r="F41" s="1"/>
      <c r="L41" s="92"/>
    </row>
    <row r="42" spans="2:12" ht="17.100000000000001" customHeight="1" outlineLevel="1" x14ac:dyDescent="0.25">
      <c r="C42" s="19"/>
      <c r="D42" s="71"/>
      <c r="E42" s="145"/>
      <c r="G42" s="19" t="s">
        <v>111</v>
      </c>
      <c r="I42" s="71" t="s">
        <v>16</v>
      </c>
      <c r="J42" s="12">
        <v>0.03</v>
      </c>
      <c r="L42" s="92"/>
    </row>
    <row r="43" spans="2:12" ht="17.100000000000001" customHeight="1" outlineLevel="1" x14ac:dyDescent="0.25">
      <c r="C43" s="50" t="s">
        <v>109</v>
      </c>
      <c r="D43" s="36" t="s">
        <v>16</v>
      </c>
      <c r="E43" s="11">
        <v>0.02</v>
      </c>
      <c r="F43" s="1"/>
      <c r="G43" s="19" t="s">
        <v>112</v>
      </c>
      <c r="I43" s="71" t="s">
        <v>16</v>
      </c>
      <c r="J43" s="12">
        <v>0.06</v>
      </c>
      <c r="L43" s="92"/>
    </row>
    <row r="44" spans="2:12" ht="17.100000000000001" customHeight="1" outlineLevel="1" x14ac:dyDescent="0.25">
      <c r="F44" s="1"/>
      <c r="G44" s="19"/>
      <c r="I44" s="71"/>
      <c r="J44" s="90"/>
      <c r="L44" s="92"/>
    </row>
    <row r="45" spans="2:12" ht="17.100000000000001" customHeight="1" outlineLevel="1" x14ac:dyDescent="0.25">
      <c r="C45" s="137" t="s">
        <v>254</v>
      </c>
      <c r="D45" s="139" t="s">
        <v>89</v>
      </c>
      <c r="E45" s="139" t="s">
        <v>90</v>
      </c>
      <c r="F45" s="1"/>
      <c r="G45" s="19" t="s">
        <v>137</v>
      </c>
      <c r="I45" s="37" t="s">
        <v>17</v>
      </c>
      <c r="J45" s="15" t="s">
        <v>70</v>
      </c>
      <c r="L45" s="92"/>
    </row>
    <row r="46" spans="2:12" ht="17.100000000000001" customHeight="1" outlineLevel="1" x14ac:dyDescent="0.25">
      <c r="C46" s="221" t="s">
        <v>198</v>
      </c>
      <c r="D46" s="36"/>
      <c r="E46" s="11">
        <v>0.08</v>
      </c>
      <c r="F46" s="1"/>
      <c r="G46" s="19" t="s">
        <v>69</v>
      </c>
      <c r="I46" s="37" t="s">
        <v>17</v>
      </c>
      <c r="J46" s="15">
        <v>5</v>
      </c>
      <c r="L46" s="92"/>
    </row>
    <row r="47" spans="2:12" ht="17.100000000000001" customHeight="1" outlineLevel="1" x14ac:dyDescent="0.25">
      <c r="C47" s="221" t="s">
        <v>203</v>
      </c>
      <c r="D47" s="36"/>
      <c r="E47" s="11">
        <v>0.2</v>
      </c>
      <c r="F47" s="1"/>
      <c r="G47" s="19" t="s">
        <v>9</v>
      </c>
      <c r="I47" s="73" t="s">
        <v>13</v>
      </c>
      <c r="J47" s="102">
        <f>EOMONTH(Acq_Date,J46*Months)</f>
        <v>45291</v>
      </c>
      <c r="L47" s="92"/>
    </row>
    <row r="48" spans="2:12" ht="17.100000000000001" customHeight="1" outlineLevel="1" x14ac:dyDescent="0.25">
      <c r="F48" s="1"/>
      <c r="L48" s="92"/>
    </row>
    <row r="49" spans="2:12" ht="17.100000000000001" customHeight="1" outlineLevel="1" x14ac:dyDescent="0.25">
      <c r="C49" s="68" t="s">
        <v>88</v>
      </c>
      <c r="D49" s="11">
        <v>0.2</v>
      </c>
      <c r="E49" s="140"/>
      <c r="F49" s="1"/>
      <c r="G49" s="1"/>
      <c r="H49" s="1"/>
      <c r="I49" s="1"/>
      <c r="J49" s="1"/>
      <c r="L49" s="92"/>
    </row>
    <row r="50" spans="2:12" ht="17.100000000000001" customHeight="1" outlineLevel="1" x14ac:dyDescent="0.25">
      <c r="C50" s="16" t="s">
        <v>204</v>
      </c>
      <c r="E50" s="11">
        <v>0.1</v>
      </c>
      <c r="F50" s="1"/>
      <c r="G50" s="1"/>
      <c r="H50" s="1"/>
      <c r="I50" s="1"/>
      <c r="J50" s="1"/>
      <c r="L50" s="92"/>
    </row>
    <row r="51" spans="2:12" ht="17.100000000000001" customHeight="1" outlineLevel="1" x14ac:dyDescent="0.25">
      <c r="C51" s="68" t="str">
        <f>GP_Name&amp;":"</f>
        <v>HYM Investment:</v>
      </c>
      <c r="D51" s="67"/>
      <c r="E51" s="100">
        <f>+GP_Equity_Pct+E50</f>
        <v>0.2</v>
      </c>
      <c r="F51" s="1"/>
      <c r="G51" s="1"/>
      <c r="H51" s="1"/>
      <c r="I51" s="1"/>
      <c r="J51" s="1"/>
      <c r="L51" s="92"/>
    </row>
    <row r="52" spans="2:12" ht="17.100000000000001" customHeight="1" outlineLevel="1" x14ac:dyDescent="0.25">
      <c r="C52" s="68" t="str">
        <f>LP_Name&amp;":"</f>
        <v>Limited Partners:</v>
      </c>
      <c r="D52" s="67"/>
      <c r="E52" s="141">
        <f>1-E51</f>
        <v>0.8</v>
      </c>
      <c r="F52" s="1"/>
      <c r="G52" s="1"/>
      <c r="H52" s="1"/>
      <c r="I52" s="1"/>
      <c r="J52" s="1"/>
      <c r="L52" s="92"/>
    </row>
    <row r="53" spans="2:12" ht="17.100000000000001" customHeight="1" x14ac:dyDescent="0.25">
      <c r="F53" s="1"/>
      <c r="G53" s="1"/>
      <c r="H53" s="1"/>
      <c r="I53" s="1"/>
      <c r="J53" s="1"/>
      <c r="L53" s="92"/>
    </row>
    <row r="54" spans="2:12" x14ac:dyDescent="0.25">
      <c r="B54" s="34" t="s">
        <v>48</v>
      </c>
      <c r="C54" s="35"/>
      <c r="D54" s="30"/>
      <c r="E54" s="33"/>
      <c r="F54" s="33"/>
      <c r="G54" s="33"/>
      <c r="H54" s="33"/>
      <c r="I54" s="30"/>
      <c r="J54" s="33"/>
      <c r="K54" s="33"/>
      <c r="L54" s="92"/>
    </row>
    <row r="55" spans="2:12" outlineLevel="1" x14ac:dyDescent="0.25">
      <c r="B55" s="1"/>
      <c r="C55" s="1"/>
      <c r="D55" s="1"/>
      <c r="E55" s="1"/>
      <c r="F55" s="1"/>
      <c r="G55" s="1"/>
      <c r="H55" s="1"/>
      <c r="I55" s="1"/>
      <c r="J55" s="1"/>
      <c r="L55" s="92"/>
    </row>
    <row r="56" spans="2:12" outlineLevel="1" x14ac:dyDescent="0.25">
      <c r="C56" s="17" t="s">
        <v>0</v>
      </c>
      <c r="D56" s="187" t="s">
        <v>166</v>
      </c>
      <c r="E56" s="187" t="s">
        <v>167</v>
      </c>
      <c r="F56" s="1"/>
      <c r="G56" s="17" t="s">
        <v>3</v>
      </c>
      <c r="H56" s="17"/>
      <c r="I56" s="17"/>
      <c r="J56" s="187" t="str">
        <f>$D$56</f>
        <v>Total:</v>
      </c>
      <c r="K56" s="187" t="str">
        <f>$E$56</f>
        <v>Drawn at Close:</v>
      </c>
      <c r="L56" s="92"/>
    </row>
    <row r="57" spans="2:12" outlineLevel="1" x14ac:dyDescent="0.25">
      <c r="C57" s="179" t="s">
        <v>66</v>
      </c>
      <c r="D57" s="182">
        <f>+Senior_Loan_Balance</f>
        <v>15457000</v>
      </c>
      <c r="E57" s="182">
        <f>+D57-Senior_Loan_Holdback</f>
        <v>12177000</v>
      </c>
      <c r="F57" s="1"/>
      <c r="G57" s="171" t="s">
        <v>100</v>
      </c>
      <c r="H57" s="172"/>
      <c r="I57" s="173"/>
      <c r="J57" s="182">
        <f>+Acq_Price</f>
        <v>20500000</v>
      </c>
      <c r="K57" s="182">
        <f>+J57</f>
        <v>20500000</v>
      </c>
      <c r="L57" s="92"/>
    </row>
    <row r="58" spans="2:12" outlineLevel="1" x14ac:dyDescent="0.25">
      <c r="C58" s="180" t="s">
        <v>67</v>
      </c>
      <c r="D58" s="4">
        <f>+Mezz_Balance</f>
        <v>2378000</v>
      </c>
      <c r="E58" s="4">
        <f>+D58</f>
        <v>2378000</v>
      </c>
      <c r="F58" s="1"/>
      <c r="G58" s="148" t="s">
        <v>153</v>
      </c>
      <c r="H58" s="174"/>
      <c r="I58" s="173"/>
      <c r="J58" s="175">
        <f>+Acq_Price*E25</f>
        <v>205000</v>
      </c>
      <c r="K58" s="175">
        <f>+J58</f>
        <v>205000</v>
      </c>
      <c r="L58" s="92"/>
    </row>
    <row r="59" spans="2:12" outlineLevel="1" x14ac:dyDescent="0.25">
      <c r="C59" s="181" t="s">
        <v>1</v>
      </c>
      <c r="D59" s="20">
        <f>+J62-SUM(D57:D58)</f>
        <v>6328350</v>
      </c>
      <c r="E59" s="20">
        <f>+K62-SUM(E57:E58)</f>
        <v>6328350</v>
      </c>
      <c r="F59" s="1"/>
      <c r="G59" s="148" t="s">
        <v>64</v>
      </c>
      <c r="H59" s="174"/>
      <c r="I59" s="173"/>
      <c r="J59" s="175">
        <f>+Total_Acq_Costs*(Senior_Loan_LTV+Mezz_LTV)*Loan_Issuance_Fees</f>
        <v>178350</v>
      </c>
      <c r="K59" s="175">
        <f>+J59</f>
        <v>178350</v>
      </c>
      <c r="L59" s="92"/>
    </row>
    <row r="60" spans="2:12" outlineLevel="1" x14ac:dyDescent="0.25">
      <c r="C60" s="18" t="s">
        <v>2</v>
      </c>
      <c r="D60" s="184">
        <f>SUM(D57:D59)</f>
        <v>24163350</v>
      </c>
      <c r="E60" s="184">
        <f>SUM(E57:E59)</f>
        <v>20883350</v>
      </c>
      <c r="F60" s="1"/>
      <c r="G60" s="148" t="s">
        <v>159</v>
      </c>
      <c r="J60" s="175">
        <f>+Renovation_Costs</f>
        <v>3075000</v>
      </c>
      <c r="K60" s="188">
        <v>0</v>
      </c>
      <c r="L60" s="92"/>
    </row>
    <row r="61" spans="2:12" outlineLevel="1" x14ac:dyDescent="0.25">
      <c r="C61" s="18"/>
      <c r="D61" s="18"/>
      <c r="E61" s="99"/>
      <c r="F61" s="1"/>
      <c r="G61" s="176" t="s">
        <v>42</v>
      </c>
      <c r="H61" s="177"/>
      <c r="I61" s="177"/>
      <c r="J61" s="178">
        <f>+Additional_Reserves</f>
        <v>205000</v>
      </c>
      <c r="K61" s="189">
        <v>0</v>
      </c>
      <c r="L61" s="92"/>
    </row>
    <row r="62" spans="2:12" outlineLevel="1" x14ac:dyDescent="0.25">
      <c r="F62" s="1"/>
      <c r="G62" s="18" t="s">
        <v>50</v>
      </c>
      <c r="I62" s="64"/>
      <c r="J62" s="184">
        <f>SUM(J57:J61)</f>
        <v>24163350</v>
      </c>
      <c r="K62" s="184">
        <f>SUM(K57:K61)</f>
        <v>20883350</v>
      </c>
    </row>
    <row r="63" spans="2:12" x14ac:dyDescent="0.25">
      <c r="B63" s="1"/>
      <c r="C63" s="1"/>
      <c r="D63" s="1"/>
      <c r="E63" s="1"/>
      <c r="F63" s="1"/>
      <c r="G63" s="1"/>
      <c r="H63" s="1"/>
      <c r="I63" s="1"/>
      <c r="J63" s="1"/>
    </row>
    <row r="64" spans="2:12" x14ac:dyDescent="0.25">
      <c r="B64" s="39"/>
      <c r="C64" s="39"/>
      <c r="D64" s="40"/>
      <c r="E64" s="39"/>
      <c r="F64" s="41" t="s">
        <v>134</v>
      </c>
      <c r="G64" s="143" t="s">
        <v>135</v>
      </c>
      <c r="H64" s="41"/>
      <c r="I64" s="41"/>
      <c r="J64" s="41"/>
      <c r="K64" s="143" t="s">
        <v>136</v>
      </c>
    </row>
    <row r="65" spans="2:11" x14ac:dyDescent="0.25">
      <c r="B65" s="42" t="s">
        <v>76</v>
      </c>
      <c r="C65" s="42"/>
      <c r="D65" s="30" t="str">
        <f>+$D$5</f>
        <v>Units:</v>
      </c>
      <c r="E65" s="42"/>
      <c r="F65" s="111">
        <f>Acq_Date</f>
        <v>43465</v>
      </c>
      <c r="G65" s="160">
        <f t="shared" ref="G65:K65" si="0">EOMONTH(F65,Months)</f>
        <v>43830</v>
      </c>
      <c r="H65" s="111">
        <f t="shared" si="0"/>
        <v>44196</v>
      </c>
      <c r="I65" s="43">
        <f t="shared" si="0"/>
        <v>44561</v>
      </c>
      <c r="J65" s="43">
        <f t="shared" si="0"/>
        <v>44926</v>
      </c>
      <c r="K65" s="160">
        <f t="shared" si="0"/>
        <v>45291</v>
      </c>
    </row>
    <row r="66" spans="2:11" outlineLevel="1" x14ac:dyDescent="0.25">
      <c r="B66" s="1"/>
      <c r="C66" s="1"/>
      <c r="D66" s="1"/>
      <c r="E66" s="1"/>
      <c r="F66" s="1"/>
      <c r="G66" s="1"/>
      <c r="H66" s="1"/>
      <c r="I66" s="1"/>
      <c r="J66" s="1"/>
    </row>
    <row r="67" spans="2:11" outlineLevel="1" x14ac:dyDescent="0.25">
      <c r="B67" s="1"/>
      <c r="C67" s="114" t="s">
        <v>30</v>
      </c>
      <c r="D67" s="115" t="s">
        <v>31</v>
      </c>
      <c r="E67" s="1"/>
      <c r="F67" s="112">
        <f>YEAR(F65)</f>
        <v>2018</v>
      </c>
      <c r="G67" s="112">
        <f t="shared" ref="G67:K67" si="1">YEAR(G65)</f>
        <v>2019</v>
      </c>
      <c r="H67" s="112">
        <f t="shared" si="1"/>
        <v>2020</v>
      </c>
      <c r="I67" s="112">
        <f t="shared" si="1"/>
        <v>2021</v>
      </c>
      <c r="J67" s="112">
        <f t="shared" si="1"/>
        <v>2022</v>
      </c>
      <c r="K67" s="112">
        <f t="shared" si="1"/>
        <v>2023</v>
      </c>
    </row>
    <row r="68" spans="2:11" outlineLevel="1" x14ac:dyDescent="0.25">
      <c r="B68" s="1"/>
      <c r="C68" s="66" t="s">
        <v>61</v>
      </c>
      <c r="D68" s="115" t="s">
        <v>19</v>
      </c>
      <c r="E68" s="1"/>
      <c r="F68" s="28">
        <v>1</v>
      </c>
      <c r="G68" s="113">
        <f>+F68+1</f>
        <v>2</v>
      </c>
      <c r="H68" s="113">
        <f t="shared" ref="H68:K68" si="2">+G68+1</f>
        <v>3</v>
      </c>
      <c r="I68" s="113">
        <f t="shared" si="2"/>
        <v>4</v>
      </c>
      <c r="J68" s="113">
        <f t="shared" si="2"/>
        <v>5</v>
      </c>
      <c r="K68" s="113">
        <f t="shared" si="2"/>
        <v>6</v>
      </c>
    </row>
    <row r="69" spans="2:11" outlineLevel="1" x14ac:dyDescent="0.25">
      <c r="B69" s="1"/>
      <c r="C69" s="1"/>
      <c r="D69" s="1"/>
      <c r="E69" s="1"/>
      <c r="F69" s="1"/>
      <c r="G69" s="1"/>
      <c r="H69" s="1"/>
      <c r="I69" s="1"/>
      <c r="J69" s="1"/>
    </row>
    <row r="70" spans="2:11" outlineLevel="1" x14ac:dyDescent="0.25">
      <c r="B70" s="1"/>
      <c r="C70" s="120" t="s">
        <v>258</v>
      </c>
      <c r="D70" s="1"/>
      <c r="E70" s="1"/>
      <c r="F70" s="1"/>
      <c r="G70" s="1"/>
      <c r="H70" s="1"/>
      <c r="I70" s="1"/>
    </row>
    <row r="71" spans="2:11" outlineLevel="1" x14ac:dyDescent="0.25">
      <c r="B71" s="1"/>
      <c r="C71" s="273" t="s">
        <v>80</v>
      </c>
      <c r="D71" s="36" t="s">
        <v>16</v>
      </c>
      <c r="E71" s="64"/>
      <c r="F71" s="274">
        <v>0.06</v>
      </c>
      <c r="G71" s="128">
        <v>0.04</v>
      </c>
      <c r="H71" s="128">
        <v>0.05</v>
      </c>
      <c r="I71" s="128">
        <v>0.04</v>
      </c>
      <c r="J71" s="128">
        <v>0.03</v>
      </c>
      <c r="K71" s="128">
        <v>0.03</v>
      </c>
    </row>
    <row r="72" spans="2:11" outlineLevel="1" x14ac:dyDescent="0.25">
      <c r="B72" s="1"/>
      <c r="C72" s="19" t="s">
        <v>78</v>
      </c>
      <c r="D72" s="36" t="s">
        <v>16</v>
      </c>
      <c r="E72" s="1"/>
      <c r="F72" s="127">
        <v>0.06</v>
      </c>
      <c r="G72" s="272">
        <v>0.04</v>
      </c>
      <c r="H72" s="272">
        <v>0.03</v>
      </c>
      <c r="I72" s="272">
        <v>0.03</v>
      </c>
      <c r="J72" s="272">
        <v>2.5000000000000001E-2</v>
      </c>
      <c r="K72" s="272">
        <v>2.5000000000000001E-2</v>
      </c>
    </row>
    <row r="73" spans="2:11" outlineLevel="1" x14ac:dyDescent="0.25">
      <c r="B73" s="1"/>
      <c r="C73" s="19" t="s">
        <v>79</v>
      </c>
      <c r="D73" s="36" t="s">
        <v>16</v>
      </c>
      <c r="E73" s="1"/>
      <c r="F73" s="127">
        <v>0.06</v>
      </c>
      <c r="G73" s="271">
        <v>0.04</v>
      </c>
      <c r="H73" s="271">
        <v>-0.03</v>
      </c>
      <c r="I73" s="271">
        <v>-0.01</v>
      </c>
      <c r="J73" s="271">
        <v>0.06</v>
      </c>
      <c r="K73" s="271">
        <v>2.5000000000000001E-2</v>
      </c>
    </row>
    <row r="74" spans="2:11" outlineLevel="1" x14ac:dyDescent="0.25">
      <c r="B74" s="1"/>
      <c r="C74" s="121" t="s">
        <v>259</v>
      </c>
      <c r="D74" s="122" t="s">
        <v>16</v>
      </c>
      <c r="E74" s="123"/>
      <c r="F74" s="129">
        <f t="shared" ref="F74:K74" si="3">INDEX(F71:F73,MATCH(Scenario,$C71:$C73,0),1)</f>
        <v>0.06</v>
      </c>
      <c r="G74" s="129">
        <f t="shared" si="3"/>
        <v>0.04</v>
      </c>
      <c r="H74" s="129">
        <f t="shared" si="3"/>
        <v>0.03</v>
      </c>
      <c r="I74" s="129">
        <f t="shared" si="3"/>
        <v>0.03</v>
      </c>
      <c r="J74" s="129">
        <f t="shared" si="3"/>
        <v>2.5000000000000001E-2</v>
      </c>
      <c r="K74" s="129">
        <f t="shared" si="3"/>
        <v>2.5000000000000001E-2</v>
      </c>
    </row>
    <row r="75" spans="2:11" outlineLevel="1" x14ac:dyDescent="0.25">
      <c r="B75" s="1"/>
      <c r="C75" s="1"/>
      <c r="D75" s="1"/>
      <c r="E75" s="1"/>
      <c r="F75" s="1"/>
      <c r="G75" s="1"/>
      <c r="H75" s="1"/>
      <c r="I75" s="1"/>
    </row>
    <row r="76" spans="2:11" outlineLevel="1" x14ac:dyDescent="0.25">
      <c r="B76" s="1"/>
      <c r="C76" s="120" t="s">
        <v>260</v>
      </c>
      <c r="D76" s="1"/>
      <c r="E76" s="1"/>
      <c r="F76" s="1"/>
      <c r="G76" s="1"/>
      <c r="H76" s="1"/>
      <c r="I76" s="1"/>
    </row>
    <row r="77" spans="2:11" outlineLevel="1" x14ac:dyDescent="0.25">
      <c r="B77" s="1"/>
      <c r="C77" s="273" t="str">
        <f>$C$71</f>
        <v>Upside</v>
      </c>
      <c r="D77" s="36" t="s">
        <v>16</v>
      </c>
      <c r="E77" s="1"/>
      <c r="F77" s="274">
        <v>0.02</v>
      </c>
      <c r="G77" s="128">
        <v>0.03</v>
      </c>
      <c r="H77" s="128">
        <v>0.04</v>
      </c>
      <c r="I77" s="128">
        <v>0.03</v>
      </c>
      <c r="J77" s="128">
        <v>2.5000000000000001E-2</v>
      </c>
      <c r="K77" s="128">
        <v>2.5000000000000001E-2</v>
      </c>
    </row>
    <row r="78" spans="2:11" outlineLevel="1" x14ac:dyDescent="0.25">
      <c r="B78" s="1"/>
      <c r="C78" s="19" t="str">
        <f>$C$72</f>
        <v>Base</v>
      </c>
      <c r="D78" s="36" t="s">
        <v>16</v>
      </c>
      <c r="E78" s="1"/>
      <c r="F78" s="127">
        <v>0.02</v>
      </c>
      <c r="G78" s="272">
        <v>0.03</v>
      </c>
      <c r="H78" s="272">
        <v>2.5000000000000001E-2</v>
      </c>
      <c r="I78" s="272">
        <v>2.5000000000000001E-2</v>
      </c>
      <c r="J78" s="272">
        <v>0.02</v>
      </c>
      <c r="K78" s="272">
        <v>0.02</v>
      </c>
    </row>
    <row r="79" spans="2:11" outlineLevel="1" x14ac:dyDescent="0.25">
      <c r="B79" s="1"/>
      <c r="C79" s="75" t="str">
        <f>$C$73</f>
        <v>Downside</v>
      </c>
      <c r="D79" s="130" t="s">
        <v>16</v>
      </c>
      <c r="E79" s="126"/>
      <c r="F79" s="127">
        <v>0.02</v>
      </c>
      <c r="G79" s="271">
        <v>0.03</v>
      </c>
      <c r="H79" s="271">
        <v>0.01</v>
      </c>
      <c r="I79" s="271">
        <v>0.01</v>
      </c>
      <c r="J79" s="271">
        <v>1.4999999999999999E-2</v>
      </c>
      <c r="K79" s="271">
        <v>1.4999999999999999E-2</v>
      </c>
    </row>
    <row r="80" spans="2:11" outlineLevel="1" x14ac:dyDescent="0.25">
      <c r="B80" s="1"/>
      <c r="C80" s="121" t="s">
        <v>261</v>
      </c>
      <c r="D80" s="1"/>
      <c r="E80" s="1"/>
      <c r="F80" s="129">
        <f t="shared" ref="F80:K80" si="4">INDEX(F77:F79,MATCH(Scenario,$C77:$C79,0),1)</f>
        <v>0.02</v>
      </c>
      <c r="G80" s="129">
        <f t="shared" si="4"/>
        <v>0.03</v>
      </c>
      <c r="H80" s="129">
        <f t="shared" si="4"/>
        <v>2.5000000000000001E-2</v>
      </c>
      <c r="I80" s="129">
        <f t="shared" si="4"/>
        <v>2.5000000000000001E-2</v>
      </c>
      <c r="J80" s="129">
        <f t="shared" si="4"/>
        <v>0.02</v>
      </c>
      <c r="K80" s="129">
        <f t="shared" si="4"/>
        <v>0.02</v>
      </c>
    </row>
    <row r="81" spans="2:11" outlineLevel="1" x14ac:dyDescent="0.25">
      <c r="B81" s="1"/>
      <c r="C81" s="1"/>
      <c r="D81" s="1"/>
      <c r="E81" s="1"/>
      <c r="F81" s="1"/>
      <c r="G81" s="1"/>
      <c r="H81" s="1"/>
      <c r="I81" s="1"/>
    </row>
    <row r="82" spans="2:11" outlineLevel="1" x14ac:dyDescent="0.25">
      <c r="B82" s="1"/>
      <c r="C82" s="120" t="s">
        <v>123</v>
      </c>
      <c r="D82" s="1"/>
      <c r="E82" s="1"/>
      <c r="F82" s="1"/>
      <c r="G82" s="1"/>
      <c r="H82" s="1"/>
      <c r="I82" s="1"/>
    </row>
    <row r="83" spans="2:11" outlineLevel="1" x14ac:dyDescent="0.25">
      <c r="B83" s="1"/>
      <c r="C83" s="273" t="str">
        <f>$C$71</f>
        <v>Upside</v>
      </c>
      <c r="D83" s="36" t="s">
        <v>16</v>
      </c>
      <c r="E83" s="64"/>
      <c r="F83" s="274">
        <v>0.04</v>
      </c>
      <c r="G83" s="128">
        <v>0.03</v>
      </c>
      <c r="H83" s="128">
        <v>3.5000000000000003E-2</v>
      </c>
      <c r="I83" s="128">
        <v>0.03</v>
      </c>
      <c r="J83" s="128">
        <v>0.02</v>
      </c>
      <c r="K83" s="128">
        <v>0.02</v>
      </c>
    </row>
    <row r="84" spans="2:11" outlineLevel="1" x14ac:dyDescent="0.25">
      <c r="B84" s="1"/>
      <c r="C84" s="19" t="str">
        <f>$C$72</f>
        <v>Base</v>
      </c>
      <c r="D84" s="36" t="s">
        <v>16</v>
      </c>
      <c r="E84" s="1"/>
      <c r="F84" s="127">
        <v>0.04</v>
      </c>
      <c r="G84" s="272">
        <v>0.03</v>
      </c>
      <c r="H84" s="272">
        <v>0.02</v>
      </c>
      <c r="I84" s="272">
        <v>0.02</v>
      </c>
      <c r="J84" s="272">
        <v>1.4999999999999999E-2</v>
      </c>
      <c r="K84" s="272">
        <v>1.4999999999999999E-2</v>
      </c>
    </row>
    <row r="85" spans="2:11" outlineLevel="1" x14ac:dyDescent="0.25">
      <c r="B85" s="1"/>
      <c r="C85" s="75" t="str">
        <f>$C$73</f>
        <v>Downside</v>
      </c>
      <c r="D85" s="130" t="s">
        <v>16</v>
      </c>
      <c r="E85" s="126"/>
      <c r="F85" s="127">
        <v>0.04</v>
      </c>
      <c r="G85" s="128">
        <v>0.03</v>
      </c>
      <c r="H85" s="128">
        <v>-0.01</v>
      </c>
      <c r="I85" s="128">
        <v>-5.0000000000000001E-3</v>
      </c>
      <c r="J85" s="128">
        <v>0.04</v>
      </c>
      <c r="K85" s="128">
        <v>1.4999999999999999E-2</v>
      </c>
    </row>
    <row r="86" spans="2:11" outlineLevel="1" x14ac:dyDescent="0.25">
      <c r="B86" s="1"/>
      <c r="C86" s="125" t="s">
        <v>124</v>
      </c>
      <c r="D86" s="36" t="s">
        <v>16</v>
      </c>
      <c r="E86" s="1"/>
      <c r="F86" s="129">
        <f t="shared" ref="F86:K86" si="5">INDEX(F83:F85,MATCH(Scenario,$C83:$C85,0),1)</f>
        <v>0.04</v>
      </c>
      <c r="G86" s="129">
        <f t="shared" si="5"/>
        <v>0.03</v>
      </c>
      <c r="H86" s="129">
        <f t="shared" si="5"/>
        <v>0.02</v>
      </c>
      <c r="I86" s="129">
        <f t="shared" si="5"/>
        <v>0.02</v>
      </c>
      <c r="J86" s="129">
        <f t="shared" si="5"/>
        <v>1.4999999999999999E-2</v>
      </c>
      <c r="K86" s="129">
        <f t="shared" si="5"/>
        <v>1.4999999999999999E-2</v>
      </c>
    </row>
    <row r="87" spans="2:11" outlineLevel="1" x14ac:dyDescent="0.25">
      <c r="B87" s="1"/>
      <c r="C87" s="1"/>
      <c r="D87" s="1"/>
      <c r="E87" s="1"/>
      <c r="F87" s="1"/>
      <c r="G87" s="1"/>
      <c r="H87" s="1"/>
      <c r="I87" s="1"/>
    </row>
    <row r="88" spans="2:11" outlineLevel="1" x14ac:dyDescent="0.25">
      <c r="B88" s="1"/>
      <c r="C88" s="120" t="s">
        <v>132</v>
      </c>
      <c r="D88" s="1"/>
      <c r="E88" s="1"/>
      <c r="F88" s="1"/>
      <c r="G88" s="1"/>
      <c r="H88" s="1"/>
      <c r="I88" s="1"/>
    </row>
    <row r="89" spans="2:11" outlineLevel="1" x14ac:dyDescent="0.25">
      <c r="B89" s="1"/>
      <c r="C89" s="273" t="str">
        <f>$C$71</f>
        <v>Upside</v>
      </c>
      <c r="D89" s="36" t="s">
        <v>16</v>
      </c>
      <c r="E89" s="64"/>
      <c r="F89" s="274">
        <v>0.02</v>
      </c>
      <c r="G89" s="128">
        <v>0.03</v>
      </c>
      <c r="H89" s="128">
        <v>0.04</v>
      </c>
      <c r="I89" s="128">
        <v>0.03</v>
      </c>
      <c r="J89" s="128">
        <v>0.03</v>
      </c>
      <c r="K89" s="128">
        <v>2.5000000000000001E-2</v>
      </c>
    </row>
    <row r="90" spans="2:11" outlineLevel="1" x14ac:dyDescent="0.25">
      <c r="B90" s="1"/>
      <c r="C90" s="19" t="str">
        <f>$C$72</f>
        <v>Base</v>
      </c>
      <c r="D90" s="36" t="s">
        <v>16</v>
      </c>
      <c r="E90" s="1"/>
      <c r="F90" s="127">
        <v>0.02</v>
      </c>
      <c r="G90" s="272">
        <v>0.03</v>
      </c>
      <c r="H90" s="272">
        <v>0.03</v>
      </c>
      <c r="I90" s="272">
        <v>2.5000000000000001E-2</v>
      </c>
      <c r="J90" s="272">
        <v>2.5000000000000001E-2</v>
      </c>
      <c r="K90" s="272">
        <v>0.02</v>
      </c>
    </row>
    <row r="91" spans="2:11" outlineLevel="1" x14ac:dyDescent="0.25">
      <c r="B91" s="1"/>
      <c r="C91" s="75" t="str">
        <f>$C$73</f>
        <v>Downside</v>
      </c>
      <c r="D91" s="130" t="s">
        <v>16</v>
      </c>
      <c r="E91" s="126"/>
      <c r="F91" s="275">
        <v>0.02</v>
      </c>
      <c r="G91" s="128">
        <v>0.03</v>
      </c>
      <c r="H91" s="128">
        <v>-0.02</v>
      </c>
      <c r="I91" s="128">
        <v>-0.01</v>
      </c>
      <c r="J91" s="128">
        <v>0.05</v>
      </c>
      <c r="K91" s="128">
        <v>0.02</v>
      </c>
    </row>
    <row r="92" spans="2:11" outlineLevel="1" x14ac:dyDescent="0.25">
      <c r="B92" s="1"/>
      <c r="C92" s="125" t="s">
        <v>133</v>
      </c>
      <c r="D92" s="36" t="s">
        <v>16</v>
      </c>
      <c r="E92" s="1"/>
      <c r="F92" s="129">
        <f t="shared" ref="F92:K92" si="6">INDEX(F89:F91,MATCH(Scenario,$C89:$C91,0),1)</f>
        <v>0.02</v>
      </c>
      <c r="G92" s="129">
        <f t="shared" si="6"/>
        <v>0.03</v>
      </c>
      <c r="H92" s="129">
        <f t="shared" si="6"/>
        <v>0.03</v>
      </c>
      <c r="I92" s="129">
        <f t="shared" si="6"/>
        <v>2.5000000000000001E-2</v>
      </c>
      <c r="J92" s="129">
        <f t="shared" si="6"/>
        <v>2.5000000000000001E-2</v>
      </c>
      <c r="K92" s="129">
        <f t="shared" si="6"/>
        <v>0.02</v>
      </c>
    </row>
    <row r="93" spans="2:11" outlineLevel="1" x14ac:dyDescent="0.25">
      <c r="B93" s="1"/>
      <c r="C93" s="1"/>
      <c r="D93" s="1"/>
      <c r="E93" s="1"/>
      <c r="F93" s="1"/>
      <c r="G93" s="1"/>
      <c r="H93" s="1"/>
      <c r="I93" s="1"/>
      <c r="J93" s="1"/>
    </row>
    <row r="94" spans="2:11" outlineLevel="1" x14ac:dyDescent="0.25">
      <c r="B94" s="1"/>
      <c r="C94" s="25" t="s">
        <v>251</v>
      </c>
      <c r="D94" s="26"/>
      <c r="E94" s="131" t="s">
        <v>81</v>
      </c>
      <c r="F94" s="131" t="str">
        <f t="array" ref="F94:H94">TRANSPOSE(C71:C73)</f>
        <v>Upside</v>
      </c>
      <c r="G94" s="131" t="str">
        <v>Base</v>
      </c>
      <c r="H94" s="131" t="str">
        <v>Downside</v>
      </c>
      <c r="I94" s="1"/>
      <c r="J94" s="1"/>
    </row>
    <row r="95" spans="2:11" outlineLevel="1" x14ac:dyDescent="0.25">
      <c r="B95" s="1"/>
      <c r="C95" s="1"/>
      <c r="D95" s="1"/>
      <c r="E95" s="1"/>
      <c r="F95" s="1"/>
      <c r="G95" s="1"/>
      <c r="H95" s="1"/>
      <c r="I95" s="1"/>
      <c r="J95" s="1"/>
    </row>
    <row r="96" spans="2:11" outlineLevel="1" x14ac:dyDescent="0.25">
      <c r="B96" s="1"/>
      <c r="C96" s="50" t="s">
        <v>20</v>
      </c>
      <c r="D96" s="53" t="s">
        <v>16</v>
      </c>
      <c r="E96" s="132">
        <f>INDEX(F96:H96,1,MATCH(Scenario,F$94:H$94,0))</f>
        <v>0.6</v>
      </c>
      <c r="F96" s="11">
        <v>0.7</v>
      </c>
      <c r="G96" s="11">
        <v>0.6</v>
      </c>
      <c r="H96" s="11">
        <v>0.5</v>
      </c>
    </row>
    <row r="97" spans="2:11" outlineLevel="1" x14ac:dyDescent="0.25">
      <c r="B97" s="1"/>
      <c r="C97" s="50" t="s">
        <v>21</v>
      </c>
      <c r="D97" s="36" t="s">
        <v>19</v>
      </c>
      <c r="E97" s="133">
        <f>INDEX(F97:H97,1,MATCH(Scenario,F$94:H$94,0))</f>
        <v>6</v>
      </c>
      <c r="F97" s="54">
        <v>3</v>
      </c>
      <c r="G97" s="54">
        <v>6</v>
      </c>
      <c r="H97" s="54">
        <v>9</v>
      </c>
      <c r="K97" s="60"/>
    </row>
    <row r="98" spans="2:11" outlineLevel="1" x14ac:dyDescent="0.25">
      <c r="B98" s="1"/>
      <c r="C98" s="103"/>
      <c r="D98" s="104"/>
      <c r="E98" s="60"/>
      <c r="F98" s="60"/>
      <c r="G98" s="60"/>
      <c r="H98" s="60"/>
      <c r="K98" s="60"/>
    </row>
    <row r="99" spans="2:11" outlineLevel="1" x14ac:dyDescent="0.25">
      <c r="B99" s="1"/>
      <c r="C99" s="50" t="s">
        <v>82</v>
      </c>
      <c r="D99" s="36" t="s">
        <v>19</v>
      </c>
      <c r="E99" s="134">
        <f>INDEX(F99:H99,1,MATCH(Scenario,F$94:H$94,0))</f>
        <v>3</v>
      </c>
      <c r="F99" s="28">
        <v>2</v>
      </c>
      <c r="G99" s="28">
        <v>3</v>
      </c>
      <c r="H99" s="28">
        <v>4</v>
      </c>
      <c r="K99" s="60"/>
    </row>
    <row r="100" spans="2:11" outlineLevel="1" x14ac:dyDescent="0.25">
      <c r="B100" s="1"/>
      <c r="C100" s="50" t="s">
        <v>83</v>
      </c>
      <c r="D100" s="36" t="s">
        <v>19</v>
      </c>
      <c r="E100" s="133">
        <f>INDEX(F100:H100,1,MATCH(Scenario,F$94:H$94,0))</f>
        <v>2</v>
      </c>
      <c r="F100" s="54">
        <v>1</v>
      </c>
      <c r="G100" s="54">
        <v>2</v>
      </c>
      <c r="H100" s="54">
        <v>3</v>
      </c>
      <c r="K100" s="60"/>
    </row>
    <row r="101" spans="2:11" outlineLevel="1" x14ac:dyDescent="0.25">
      <c r="B101" s="1"/>
      <c r="F101" s="60"/>
      <c r="G101" s="60"/>
      <c r="H101" s="60"/>
      <c r="K101" s="60"/>
    </row>
    <row r="102" spans="2:11" outlineLevel="1" x14ac:dyDescent="0.25">
      <c r="B102" s="1"/>
      <c r="C102" s="50" t="s">
        <v>151</v>
      </c>
      <c r="D102" s="72" t="s">
        <v>103</v>
      </c>
      <c r="E102" s="157">
        <f>INDEX(F102:H102,1,MATCH(Scenario,F$94:H$94,0))</f>
        <v>45</v>
      </c>
      <c r="F102" s="158">
        <v>35</v>
      </c>
      <c r="G102" s="158">
        <v>45</v>
      </c>
      <c r="H102" s="158">
        <v>55</v>
      </c>
      <c r="K102" s="60"/>
    </row>
    <row r="103" spans="2:11" outlineLevel="1" x14ac:dyDescent="0.25">
      <c r="B103" s="1"/>
      <c r="C103" s="50" t="s">
        <v>152</v>
      </c>
      <c r="D103" s="72" t="s">
        <v>103</v>
      </c>
      <c r="E103" s="136">
        <f>INDEX(F103:H103,1,MATCH(Scenario,F$94:H$94,0))</f>
        <v>20</v>
      </c>
      <c r="F103" s="135">
        <v>15</v>
      </c>
      <c r="G103" s="135">
        <v>20</v>
      </c>
      <c r="H103" s="135">
        <v>25</v>
      </c>
      <c r="K103" s="60"/>
    </row>
    <row r="104" spans="2:11" outlineLevel="1" x14ac:dyDescent="0.25">
      <c r="B104" s="1"/>
      <c r="F104" s="60"/>
      <c r="G104" s="60"/>
      <c r="H104" s="60"/>
      <c r="K104" s="60"/>
    </row>
    <row r="105" spans="2:11" outlineLevel="1" x14ac:dyDescent="0.25">
      <c r="B105" s="1"/>
      <c r="C105" s="50" t="s">
        <v>84</v>
      </c>
      <c r="D105" s="53" t="s">
        <v>16</v>
      </c>
      <c r="E105" s="132">
        <f>INDEX(F105:H105,1,MATCH(Scenario,F$94:H$94,0))</f>
        <v>0.06</v>
      </c>
      <c r="F105" s="11">
        <v>0.05</v>
      </c>
      <c r="G105" s="11">
        <v>0.06</v>
      </c>
      <c r="H105" s="11">
        <v>7.0000000000000007E-2</v>
      </c>
      <c r="K105" s="60"/>
    </row>
    <row r="106" spans="2:11" outlineLevel="1" x14ac:dyDescent="0.25">
      <c r="B106" s="1"/>
      <c r="C106" s="50" t="s">
        <v>85</v>
      </c>
      <c r="D106" s="53" t="s">
        <v>16</v>
      </c>
      <c r="E106" s="132">
        <f>INDEX(F106:H106,1,MATCH(Scenario,F$94:H$94,0))</f>
        <v>0.03</v>
      </c>
      <c r="F106" s="11">
        <v>0.02</v>
      </c>
      <c r="G106" s="11">
        <v>0.03</v>
      </c>
      <c r="H106" s="11">
        <v>0.04</v>
      </c>
      <c r="K106" s="60"/>
    </row>
    <row r="107" spans="2:11" outlineLevel="1" x14ac:dyDescent="0.25">
      <c r="B107" s="1"/>
      <c r="C107" s="103"/>
      <c r="D107" s="104"/>
      <c r="E107" s="60"/>
      <c r="F107" s="60"/>
      <c r="G107" s="60"/>
      <c r="H107" s="60"/>
      <c r="K107" s="60"/>
    </row>
    <row r="108" spans="2:11" outlineLevel="1" x14ac:dyDescent="0.25">
      <c r="B108" s="1"/>
      <c r="C108" s="74" t="s">
        <v>295</v>
      </c>
      <c r="D108" s="55" t="s">
        <v>13</v>
      </c>
      <c r="E108" s="89">
        <f>INDEX(F108:H108,1,MATCH(Scenario,F$94:H$94,0))</f>
        <v>44012</v>
      </c>
      <c r="F108" s="14">
        <v>43861</v>
      </c>
      <c r="G108" s="14">
        <v>44012</v>
      </c>
      <c r="H108" s="14" t="s">
        <v>70</v>
      </c>
      <c r="K108" s="60"/>
    </row>
    <row r="109" spans="2:11" outlineLevel="1" x14ac:dyDescent="0.25">
      <c r="B109" s="1"/>
      <c r="C109" s="74" t="s">
        <v>296</v>
      </c>
      <c r="D109" s="55" t="s">
        <v>13</v>
      </c>
      <c r="E109" s="89" t="str">
        <f>INDEX(F109:H109,1,MATCH(Scenario,F$94:H$94,0))</f>
        <v>N/A</v>
      </c>
      <c r="F109" s="14">
        <v>44227</v>
      </c>
      <c r="G109" s="14" t="s">
        <v>70</v>
      </c>
      <c r="H109" s="14" t="s">
        <v>70</v>
      </c>
      <c r="K109" s="60"/>
    </row>
    <row r="110" spans="2:11" outlineLevel="1" x14ac:dyDescent="0.25">
      <c r="B110" s="1"/>
      <c r="C110" s="103"/>
      <c r="D110" s="104"/>
      <c r="E110" s="60"/>
      <c r="F110" s="60"/>
      <c r="G110" s="60"/>
      <c r="H110" s="60"/>
      <c r="I110" s="60"/>
      <c r="J110" s="60"/>
      <c r="K110" s="60"/>
    </row>
    <row r="111" spans="2:11" outlineLevel="1" x14ac:dyDescent="0.25">
      <c r="B111" s="1"/>
      <c r="C111" s="50" t="s">
        <v>118</v>
      </c>
      <c r="D111" s="36" t="s">
        <v>116</v>
      </c>
      <c r="E111" s="158">
        <v>2.5</v>
      </c>
      <c r="F111" s="60"/>
      <c r="G111" s="60"/>
      <c r="H111" s="60"/>
      <c r="I111" s="60"/>
      <c r="J111" s="60"/>
      <c r="K111" s="60"/>
    </row>
    <row r="112" spans="2:11" outlineLevel="1" x14ac:dyDescent="0.25">
      <c r="B112" s="1"/>
      <c r="C112" s="50" t="s">
        <v>119</v>
      </c>
      <c r="D112" s="36" t="s">
        <v>116</v>
      </c>
      <c r="E112" s="135">
        <v>1</v>
      </c>
      <c r="F112" s="60"/>
      <c r="G112" s="60"/>
      <c r="H112" s="60"/>
      <c r="I112" s="60"/>
      <c r="J112" s="60"/>
      <c r="K112" s="60"/>
    </row>
    <row r="113" spans="2:12" outlineLevel="1" x14ac:dyDescent="0.25">
      <c r="B113" s="1"/>
      <c r="C113" s="50" t="s">
        <v>120</v>
      </c>
      <c r="D113" s="36" t="s">
        <v>16</v>
      </c>
      <c r="E113" s="128">
        <v>2.5499999999999998E-2</v>
      </c>
      <c r="H113" s="60"/>
      <c r="I113" s="60"/>
      <c r="J113" s="60"/>
      <c r="K113" s="60"/>
    </row>
    <row r="114" spans="2:12" outlineLevel="1" x14ac:dyDescent="0.25">
      <c r="B114" s="1"/>
      <c r="C114" s="103"/>
      <c r="D114" s="104"/>
      <c r="E114" s="60"/>
      <c r="F114" s="60"/>
      <c r="G114" s="60"/>
      <c r="H114" s="60"/>
      <c r="I114" s="60"/>
      <c r="J114" s="60"/>
      <c r="K114" s="60"/>
    </row>
    <row r="115" spans="2:12" outlineLevel="1" x14ac:dyDescent="0.25">
      <c r="B115" s="1"/>
      <c r="C115" s="50" t="s">
        <v>121</v>
      </c>
      <c r="D115" s="36" t="s">
        <v>116</v>
      </c>
      <c r="E115" s="135">
        <v>3</v>
      </c>
      <c r="F115" s="60"/>
      <c r="G115" s="60"/>
      <c r="H115" s="60"/>
      <c r="I115" s="60"/>
      <c r="J115" s="60"/>
      <c r="K115" s="60"/>
    </row>
    <row r="116" spans="2:12" outlineLevel="1" x14ac:dyDescent="0.25">
      <c r="B116" s="1"/>
      <c r="C116" s="50" t="s">
        <v>122</v>
      </c>
      <c r="D116" s="36" t="s">
        <v>116</v>
      </c>
      <c r="E116" s="135">
        <v>2</v>
      </c>
      <c r="H116" s="60"/>
      <c r="I116" s="60"/>
      <c r="J116" s="60"/>
      <c r="K116" s="60"/>
    </row>
    <row r="117" spans="2:12" outlineLevel="1" x14ac:dyDescent="0.25">
      <c r="B117" s="1"/>
      <c r="F117" s="60"/>
      <c r="G117" s="60"/>
      <c r="H117" s="60"/>
      <c r="I117" s="60"/>
      <c r="J117" s="60"/>
      <c r="K117" s="60"/>
    </row>
    <row r="118" spans="2:12" outlineLevel="1" x14ac:dyDescent="0.25">
      <c r="B118" s="1"/>
      <c r="C118" s="50" t="s">
        <v>40</v>
      </c>
      <c r="D118" s="36" t="s">
        <v>16</v>
      </c>
      <c r="E118" s="11">
        <v>3.0000000000000006E-2</v>
      </c>
      <c r="F118" s="60"/>
      <c r="G118" s="60"/>
      <c r="H118" s="60"/>
      <c r="I118" s="60"/>
      <c r="J118" s="60"/>
      <c r="K118" s="60"/>
    </row>
    <row r="119" spans="2:12" outlineLevel="1" x14ac:dyDescent="0.25">
      <c r="B119" s="1"/>
      <c r="C119" s="50" t="s">
        <v>224</v>
      </c>
      <c r="D119" s="36" t="s">
        <v>17</v>
      </c>
      <c r="E119" s="51">
        <v>5</v>
      </c>
      <c r="F119" s="44"/>
      <c r="G119" s="60"/>
      <c r="H119" s="60"/>
      <c r="I119" s="60"/>
      <c r="J119" s="60"/>
      <c r="K119" s="60"/>
    </row>
    <row r="120" spans="2:12" outlineLevel="1" x14ac:dyDescent="0.25">
      <c r="B120" s="1"/>
      <c r="C120" s="1"/>
      <c r="D120" s="1"/>
      <c r="E120" s="1"/>
      <c r="F120" s="167"/>
      <c r="G120" s="1"/>
      <c r="H120" s="1"/>
      <c r="I120" s="1"/>
      <c r="J120" s="1"/>
    </row>
    <row r="121" spans="2:12" outlineLevel="1" x14ac:dyDescent="0.25">
      <c r="B121" s="1"/>
      <c r="C121" s="191" t="s">
        <v>174</v>
      </c>
      <c r="D121" s="192" t="s">
        <v>31</v>
      </c>
      <c r="E121" s="1"/>
      <c r="F121" s="193">
        <f>YEAR(F125)</f>
        <v>2018</v>
      </c>
      <c r="G121" s="193">
        <f t="shared" ref="G121:K121" si="7">YEAR(G125)</f>
        <v>2019</v>
      </c>
      <c r="H121" s="193">
        <f t="shared" si="7"/>
        <v>2020</v>
      </c>
      <c r="I121" s="193">
        <f t="shared" si="7"/>
        <v>2021</v>
      </c>
      <c r="J121" s="193">
        <f t="shared" si="7"/>
        <v>2022</v>
      </c>
      <c r="K121" s="193">
        <f t="shared" si="7"/>
        <v>2023</v>
      </c>
      <c r="L121" s="193"/>
    </row>
    <row r="122" spans="2:12" outlineLevel="1" x14ac:dyDescent="0.25">
      <c r="B122" s="1"/>
      <c r="C122" s="191" t="s">
        <v>175</v>
      </c>
      <c r="D122" s="192" t="s">
        <v>176</v>
      </c>
      <c r="E122" s="1"/>
      <c r="F122" s="194">
        <f>F121-$F121</f>
        <v>0</v>
      </c>
      <c r="G122" s="194">
        <f t="shared" ref="G122:K122" si="8">G121-$F121</f>
        <v>1</v>
      </c>
      <c r="H122" s="194">
        <f t="shared" si="8"/>
        <v>2</v>
      </c>
      <c r="I122" s="194">
        <f t="shared" si="8"/>
        <v>3</v>
      </c>
      <c r="J122" s="194">
        <f t="shared" si="8"/>
        <v>4</v>
      </c>
      <c r="K122" s="194">
        <f t="shared" si="8"/>
        <v>5</v>
      </c>
    </row>
    <row r="123" spans="2:12" x14ac:dyDescent="0.25">
      <c r="B123" s="1"/>
      <c r="C123" s="1"/>
      <c r="D123" s="1"/>
      <c r="E123" s="1"/>
      <c r="F123" s="167"/>
      <c r="G123" s="1"/>
      <c r="H123" s="1"/>
      <c r="I123" s="1"/>
      <c r="J123" s="1"/>
    </row>
    <row r="124" spans="2:12" x14ac:dyDescent="0.25">
      <c r="B124" s="39"/>
      <c r="C124" s="39"/>
      <c r="D124" s="40"/>
      <c r="E124" s="39"/>
      <c r="F124" s="41" t="str">
        <f>$F$64</f>
        <v>Historical:</v>
      </c>
      <c r="G124" s="143" t="str">
        <f>$G$64</f>
        <v>Projected:</v>
      </c>
      <c r="H124" s="41"/>
      <c r="I124" s="41"/>
      <c r="J124" s="41"/>
      <c r="K124" s="143" t="str">
        <f>$K$64</f>
        <v>Stabilized:</v>
      </c>
    </row>
    <row r="125" spans="2:12" x14ac:dyDescent="0.25">
      <c r="B125" s="42" t="s">
        <v>34</v>
      </c>
      <c r="C125" s="42"/>
      <c r="D125" s="30" t="str">
        <f>+$D$5</f>
        <v>Units:</v>
      </c>
      <c r="E125" s="42"/>
      <c r="F125" s="111">
        <f>$F$65</f>
        <v>43465</v>
      </c>
      <c r="G125" s="160">
        <f>$G$65</f>
        <v>43830</v>
      </c>
      <c r="H125" s="111">
        <f>$H$65</f>
        <v>44196</v>
      </c>
      <c r="I125" s="43">
        <f>$I$65</f>
        <v>44561</v>
      </c>
      <c r="J125" s="43">
        <f>$J$65</f>
        <v>44926</v>
      </c>
      <c r="K125" s="160">
        <f>$K$65</f>
        <v>45291</v>
      </c>
    </row>
    <row r="126" spans="2:12" outlineLevel="1" x14ac:dyDescent="0.25">
      <c r="B126" s="1"/>
      <c r="C126" s="1"/>
      <c r="D126" s="1"/>
      <c r="E126" s="1"/>
      <c r="F126" s="1"/>
      <c r="G126" s="1"/>
      <c r="H126" s="1"/>
      <c r="I126" s="1"/>
      <c r="J126" s="1"/>
    </row>
    <row r="127" spans="2:12" s="3" customFormat="1" outlineLevel="1" x14ac:dyDescent="0.25">
      <c r="C127" s="78" t="s">
        <v>33</v>
      </c>
      <c r="E127" s="4"/>
      <c r="F127" s="300"/>
      <c r="G127" s="300"/>
      <c r="H127" s="300"/>
      <c r="I127" s="300"/>
      <c r="J127" s="300"/>
      <c r="K127" s="300"/>
    </row>
    <row r="128" spans="2:12" s="3" customFormat="1" outlineLevel="1" x14ac:dyDescent="0.25">
      <c r="C128" s="79" t="s">
        <v>24</v>
      </c>
      <c r="D128" s="37" t="s">
        <v>101</v>
      </c>
      <c r="E128" s="116"/>
      <c r="F128" s="156">
        <f>SUMIF(Monthly!$F$9:$BY$9,Annual!F$68,Monthly!$F325:$BY325)</f>
        <v>2805084.1746585928</v>
      </c>
      <c r="G128" s="156">
        <f>SUMIF(Monthly!$F$9:$BY$9,Annual!G$68,Monthly!$F325:$BY325)</f>
        <v>2942642.092236056</v>
      </c>
      <c r="H128" s="156">
        <f>SUMIF(Monthly!$F$9:$BY$9,Annual!H$68,Monthly!$F325:$BY325)</f>
        <v>3044289.4686496286</v>
      </c>
      <c r="I128" s="156">
        <f>SUMIF(Monthly!$F$9:$BY$9,Annual!I$68,Monthly!$F325:$BY325)</f>
        <v>3135618.1527091204</v>
      </c>
      <c r="J128" s="156">
        <f>SUMIF(Monthly!$F$9:$BY$9,Annual!J$68,Monthly!$F325:$BY325)</f>
        <v>3221149.7423961023</v>
      </c>
      <c r="K128" s="156">
        <f>SUMIF(Monthly!$F$9:$BY$9,Annual!K$68,Monthly!$F325:$BY325)</f>
        <v>3301678.4859560002</v>
      </c>
    </row>
    <row r="129" spans="3:11" s="3" customFormat="1" outlineLevel="1" x14ac:dyDescent="0.25">
      <c r="C129" s="79" t="s">
        <v>117</v>
      </c>
      <c r="D129" s="37" t="s">
        <v>101</v>
      </c>
      <c r="F129" s="4">
        <f>SUMIF(Monthly!$F$9:$BY$9,Annual!F$68,Monthly!$F326:$BY326)</f>
        <v>-252956.61707742818</v>
      </c>
      <c r="G129" s="4">
        <f>SUMIF(Monthly!$F$9:$BY$9,Annual!G$68,Monthly!$F326:$BY326)</f>
        <v>-296740.24473881011</v>
      </c>
      <c r="H129" s="4">
        <f>SUMIF(Monthly!$F$9:$BY$9,Annual!H$68,Monthly!$F326:$BY326)</f>
        <v>-295303.3826802207</v>
      </c>
      <c r="I129" s="4">
        <f>SUMIF(Monthly!$F$9:$BY$9,Annual!I$68,Monthly!$F326:$BY326)</f>
        <v>-178965.28045943598</v>
      </c>
      <c r="J129" s="4">
        <f>SUMIF(Monthly!$F$9:$BY$9,Annual!J$68,Monthly!$F326:$BY326)</f>
        <v>-98433.72336183775</v>
      </c>
      <c r="K129" s="4">
        <f>SUMIF(Monthly!$F$9:$BY$9,Annual!K$68,Monthly!$F326:$BY326)</f>
        <v>-39238.441261096967</v>
      </c>
    </row>
    <row r="130" spans="3:11" s="3" customFormat="1" outlineLevel="1" x14ac:dyDescent="0.25">
      <c r="C130" s="79" t="s">
        <v>25</v>
      </c>
      <c r="D130" s="37" t="s">
        <v>101</v>
      </c>
      <c r="F130" s="4">
        <f>SUMIF(Monthly!$F$9:$BY$9,Annual!F$68,Monthly!$F327:$BY327)</f>
        <v>0</v>
      </c>
      <c r="G130" s="4">
        <f>SUMIF(Monthly!$F$9:$BY$9,Annual!G$68,Monthly!$F327:$BY327)</f>
        <v>-55227.772810633323</v>
      </c>
      <c r="H130" s="4">
        <f>SUMIF(Monthly!$F$9:$BY$9,Annual!H$68,Monthly!$F327:$BY327)</f>
        <v>-48770.906324738491</v>
      </c>
      <c r="I130" s="4">
        <f>SUMIF(Monthly!$F$9:$BY$9,Annual!I$68,Monthly!$F327:$BY327)</f>
        <v>-252211.30180843716</v>
      </c>
      <c r="J130" s="4">
        <f>SUMIF(Monthly!$F$9:$BY$9,Annual!J$68,Monthly!$F327:$BY327)</f>
        <v>-63248.08229002967</v>
      </c>
      <c r="K130" s="4">
        <f>SUMIF(Monthly!$F$9:$BY$9,Annual!K$68,Monthly!$F327:$BY327)</f>
        <v>-79546.593404017054</v>
      </c>
    </row>
    <row r="131" spans="3:11" s="3" customFormat="1" outlineLevel="1" x14ac:dyDescent="0.25">
      <c r="C131" s="79" t="s">
        <v>26</v>
      </c>
      <c r="D131" s="115" t="s">
        <v>101</v>
      </c>
      <c r="E131" s="2"/>
      <c r="F131" s="4">
        <f>SUMIF(Monthly!$F$9:$BY$9,Annual!F$68,Monthly!$F328:$BY328)</f>
        <v>-61762.5</v>
      </c>
      <c r="G131" s="4">
        <f>SUMIF(Monthly!$F$9:$BY$9,Annual!G$68,Monthly!$F328:$BY328)</f>
        <v>-27388.746476167096</v>
      </c>
      <c r="H131" s="4">
        <f>SUMIF(Monthly!$F$9:$BY$9,Annual!H$68,Monthly!$F328:$BY328)</f>
        <v>-193336.4745244823</v>
      </c>
      <c r="I131" s="4">
        <f>SUMIF(Monthly!$F$9:$BY$9,Annual!I$68,Monthly!$F328:$BY328)</f>
        <v>-182115.31954485268</v>
      </c>
      <c r="J131" s="4">
        <f>SUMIF(Monthly!$F$9:$BY$9,Annual!J$68,Monthly!$F328:$BY328)</f>
        <v>-109446.78985013611</v>
      </c>
      <c r="K131" s="4">
        <f>SUMIF(Monthly!$F$9:$BY$9,Annual!K$68,Monthly!$F328:$BY328)</f>
        <v>-79629.503273044305</v>
      </c>
    </row>
    <row r="132" spans="3:11" s="3" customFormat="1" outlineLevel="1" x14ac:dyDescent="0.25">
      <c r="C132" s="79" t="s">
        <v>29</v>
      </c>
      <c r="D132" s="98" t="s">
        <v>101</v>
      </c>
      <c r="E132" s="5"/>
      <c r="F132" s="20">
        <f>SUMIF(Monthly!$F$9:$BY$9,Annual!F$68,Monthly!$F329:$BY329)</f>
        <v>695030.68285020068</v>
      </c>
      <c r="G132" s="20">
        <f>SUMIF(Monthly!$F$9:$BY$9,Annual!G$68,Monthly!$F329:$BY329)</f>
        <v>701478.99547327962</v>
      </c>
      <c r="H132" s="20">
        <f>SUMIF(Monthly!$F$9:$BY$9,Annual!H$68,Monthly!$F329:$BY329)</f>
        <v>721686.30952352379</v>
      </c>
      <c r="I132" s="20">
        <f>SUMIF(Monthly!$F$9:$BY$9,Annual!I$68,Monthly!$F329:$BY329)</f>
        <v>675468.78394484275</v>
      </c>
      <c r="J132" s="20">
        <f>SUMIF(Monthly!$F$9:$BY$9,Annual!J$68,Monthly!$F329:$BY329)</f>
        <v>745972.30924869049</v>
      </c>
      <c r="K132" s="20">
        <f>SUMIF(Monthly!$F$9:$BY$9,Annual!K$68,Monthly!$F329:$BY329)</f>
        <v>752453.84727346851</v>
      </c>
    </row>
    <row r="133" spans="3:11" s="3" customFormat="1" outlineLevel="1" x14ac:dyDescent="0.25">
      <c r="C133" s="80" t="s">
        <v>5</v>
      </c>
      <c r="D133" s="115" t="s">
        <v>101</v>
      </c>
      <c r="E133" s="2"/>
      <c r="F133" s="23">
        <f>SUM(F128:F132)</f>
        <v>3185395.7404313651</v>
      </c>
      <c r="G133" s="23">
        <f t="shared" ref="G133:K133" si="9">SUM(G128:G132)</f>
        <v>3264764.3236837252</v>
      </c>
      <c r="H133" s="23">
        <f t="shared" si="9"/>
        <v>3228565.014643711</v>
      </c>
      <c r="I133" s="23">
        <f t="shared" si="9"/>
        <v>3197795.0348412371</v>
      </c>
      <c r="J133" s="23">
        <f t="shared" si="9"/>
        <v>3695993.4561427892</v>
      </c>
      <c r="K133" s="23">
        <f t="shared" si="9"/>
        <v>3855717.7952913106</v>
      </c>
    </row>
    <row r="134" spans="3:11" s="3" customFormat="1" outlineLevel="1" x14ac:dyDescent="0.25">
      <c r="C134" s="79" t="s">
        <v>125</v>
      </c>
      <c r="D134" s="37" t="s">
        <v>101</v>
      </c>
      <c r="F134" s="4">
        <f>SUMIF(Monthly!$F$9:$BY$9,Annual!F$68,Monthly!$F331:$BY331)</f>
        <v>-578017.3450811645</v>
      </c>
      <c r="G134" s="4">
        <f>SUMIF(Monthly!$F$9:$BY$9,Annual!G$68,Monthly!$F331:$BY331)</f>
        <v>-606362.61294561159</v>
      </c>
      <c r="H134" s="4">
        <f>SUMIF(Monthly!$F$9:$BY$9,Annual!H$68,Monthly!$F331:$BY331)</f>
        <v>-441442.34828178835</v>
      </c>
      <c r="I134" s="4">
        <f>SUMIF(Monthly!$F$9:$BY$9,Annual!I$68,Monthly!$F331:$BY331)</f>
        <v>-266052.44932077383</v>
      </c>
      <c r="J134" s="4">
        <f>SUMIF(Monthly!$F$9:$BY$9,Annual!J$68,Monthly!$F331:$BY331)</f>
        <v>-273309.67511239648</v>
      </c>
      <c r="K134" s="4">
        <f>SUMIF(Monthly!$F$9:$BY$9,Annual!K$68,Monthly!$F331:$BY331)</f>
        <v>-280142.41699020611</v>
      </c>
    </row>
    <row r="135" spans="3:11" s="3" customFormat="1" outlineLevel="1" x14ac:dyDescent="0.25">
      <c r="C135" s="79" t="s">
        <v>126</v>
      </c>
      <c r="D135" s="98" t="s">
        <v>101</v>
      </c>
      <c r="E135" s="5"/>
      <c r="F135" s="20">
        <f>SUMIF(Monthly!$F$9:$BY$9,Annual!F$68,Monthly!$F332:$BY332)</f>
        <v>111360.00000000001</v>
      </c>
      <c r="G135" s="20">
        <f>SUMIF(Monthly!$F$9:$BY$9,Annual!G$68,Monthly!$F332:$BY332)</f>
        <v>114700.80000000003</v>
      </c>
      <c r="H135" s="20">
        <f>SUMIF(Monthly!$F$9:$BY$9,Annual!H$68,Monthly!$F332:$BY332)</f>
        <v>118141.82400000002</v>
      </c>
      <c r="I135" s="20">
        <f>SUMIF(Monthly!$F$9:$BY$9,Annual!I$68,Monthly!$F332:$BY332)</f>
        <v>90175.207906122683</v>
      </c>
      <c r="J135" s="20">
        <f>SUMIF(Monthly!$F$9:$BY$9,Annual!J$68,Monthly!$F332:$BY332)</f>
        <v>124122.75383999999</v>
      </c>
      <c r="K135" s="20">
        <f>SUMIF(Monthly!$F$9:$BY$9,Annual!K$68,Monthly!$F332:$BY332)</f>
        <v>126605.20891680007</v>
      </c>
    </row>
    <row r="136" spans="3:11" s="3" customFormat="1" outlineLevel="1" x14ac:dyDescent="0.25">
      <c r="C136" s="80" t="s">
        <v>51</v>
      </c>
      <c r="D136" s="37" t="s">
        <v>101</v>
      </c>
      <c r="F136" s="23">
        <f>SUM(F133:F135)</f>
        <v>2718738.3953502006</v>
      </c>
      <c r="G136" s="23">
        <f t="shared" ref="G136:K136" si="10">SUM(G133:G135)</f>
        <v>2773102.5107381134</v>
      </c>
      <c r="H136" s="23">
        <f t="shared" si="10"/>
        <v>2905264.4903619229</v>
      </c>
      <c r="I136" s="23">
        <f t="shared" si="10"/>
        <v>3021917.7934265858</v>
      </c>
      <c r="J136" s="23">
        <f t="shared" si="10"/>
        <v>3546806.5348703926</v>
      </c>
      <c r="K136" s="23">
        <f t="shared" si="10"/>
        <v>3702180.5872179046</v>
      </c>
    </row>
    <row r="137" spans="3:11" s="3" customFormat="1" outlineLevel="1" x14ac:dyDescent="0.25">
      <c r="C137" s="166" t="s">
        <v>147</v>
      </c>
      <c r="D137" s="36" t="s">
        <v>16</v>
      </c>
      <c r="F137" s="169" t="str">
        <f>IFERROR(F136/E136-1,"N/A")</f>
        <v>N/A</v>
      </c>
      <c r="G137" s="169">
        <f t="shared" ref="G137:K137" si="11">IFERROR(G136/F136-1,"N/A")</f>
        <v>1.9996081815334188E-2</v>
      </c>
      <c r="H137" s="169">
        <f t="shared" si="11"/>
        <v>4.7658526546366931E-2</v>
      </c>
      <c r="I137" s="169">
        <f t="shared" si="11"/>
        <v>4.0152386624920045E-2</v>
      </c>
      <c r="J137" s="169">
        <f t="shared" si="11"/>
        <v>0.17369391800980449</v>
      </c>
      <c r="K137" s="169">
        <f t="shared" si="11"/>
        <v>4.3806745820487603E-2</v>
      </c>
    </row>
    <row r="138" spans="3:11" s="3" customFormat="1" outlineLevel="1" x14ac:dyDescent="0.25">
      <c r="C138" s="81"/>
      <c r="F138" s="4"/>
      <c r="G138" s="4"/>
      <c r="H138" s="4"/>
      <c r="I138" s="4"/>
      <c r="J138" s="4"/>
      <c r="K138" s="4"/>
    </row>
    <row r="139" spans="3:11" s="3" customFormat="1" outlineLevel="1" x14ac:dyDescent="0.25">
      <c r="C139" s="82" t="s">
        <v>6</v>
      </c>
      <c r="G139" s="4"/>
      <c r="H139" s="4"/>
      <c r="I139" s="4"/>
      <c r="J139" s="4"/>
      <c r="K139" s="4"/>
    </row>
    <row r="140" spans="3:11" s="3" customFormat="1" outlineLevel="1" x14ac:dyDescent="0.25">
      <c r="C140" s="50" t="s">
        <v>58</v>
      </c>
      <c r="D140" s="37" t="s">
        <v>101</v>
      </c>
      <c r="F140" s="4">
        <f>SUMIF(Monthly!$F$9:$BY$9,Annual!F$68,Monthly!$F337:$BY337)</f>
        <v>-81562.151860506041</v>
      </c>
      <c r="G140" s="4">
        <f>SUMIF(Monthly!$F$9:$BY$9,Annual!G$68,Monthly!$F337:$BY337)</f>
        <v>-83193.075322143442</v>
      </c>
      <c r="H140" s="4">
        <f>SUMIF(Monthly!$F$9:$BY$9,Annual!H$68,Monthly!$F337:$BY337)</f>
        <v>-87157.934710857691</v>
      </c>
      <c r="I140" s="4">
        <f>SUMIF(Monthly!$F$9:$BY$9,Annual!I$68,Monthly!$F337:$BY337)</f>
        <v>-90657.533802797596</v>
      </c>
      <c r="J140" s="4">
        <f>SUMIF(Monthly!$F$9:$BY$9,Annual!J$68,Monthly!$F337:$BY337)</f>
        <v>-106404.19604611181</v>
      </c>
      <c r="K140" s="4">
        <f>SUMIF(Monthly!$F$9:$BY$9,Annual!K$68,Monthly!$F337:$BY337)</f>
        <v>-111065.41761653716</v>
      </c>
    </row>
    <row r="141" spans="3:11" s="3" customFormat="1" outlineLevel="1" x14ac:dyDescent="0.25">
      <c r="C141" s="50" t="s">
        <v>127</v>
      </c>
      <c r="D141" s="37" t="s">
        <v>101</v>
      </c>
      <c r="F141" s="4">
        <f>SUMIF(Monthly!$F$9:$BY$9,Annual!F$68,Monthly!$F338:$BY338)</f>
        <v>-140205.93159119762</v>
      </c>
      <c r="G141" s="4">
        <f>SUMIF(Monthly!$F$9:$BY$9,Annual!G$68,Monthly!$F338:$BY338)</f>
        <v>-145049.05034541781</v>
      </c>
      <c r="H141" s="4">
        <f>SUMIF(Monthly!$F$9:$BY$9,Annual!H$68,Monthly!$F338:$BY338)</f>
        <v>-148610.12185238575</v>
      </c>
      <c r="I141" s="4">
        <f>SUMIF(Monthly!$F$9:$BY$9,Annual!I$68,Monthly!$F338:$BY338)</f>
        <v>-151582.3242894336</v>
      </c>
      <c r="J141" s="4">
        <f>SUMIF(Monthly!$F$9:$BY$9,Annual!J$68,Monthly!$F338:$BY338)</f>
        <v>-154201.88533366992</v>
      </c>
      <c r="K141" s="4">
        <f>SUMIF(Monthly!$F$9:$BY$9,Annual!K$68,Monthly!$F338:$BY338)</f>
        <v>-156514.91361367487</v>
      </c>
    </row>
    <row r="142" spans="3:11" s="3" customFormat="1" outlineLevel="1" x14ac:dyDescent="0.25">
      <c r="C142" s="50" t="s">
        <v>128</v>
      </c>
      <c r="D142" s="37" t="s">
        <v>101</v>
      </c>
      <c r="F142" s="4">
        <f>SUMIF(Monthly!$F$9:$BY$9,Annual!F$68,Monthly!$F339:$BY339)</f>
        <v>-112164.74527295808</v>
      </c>
      <c r="G142" s="4">
        <f>SUMIF(Monthly!$F$9:$BY$9,Annual!G$68,Monthly!$F339:$BY339)</f>
        <v>-116039.24027633421</v>
      </c>
      <c r="H142" s="4">
        <f>SUMIF(Monthly!$F$9:$BY$9,Annual!H$68,Monthly!$F339:$BY339)</f>
        <v>-118888.09748190861</v>
      </c>
      <c r="I142" s="4">
        <f>SUMIF(Monthly!$F$9:$BY$9,Annual!I$68,Monthly!$F339:$BY339)</f>
        <v>-121265.85943154685</v>
      </c>
      <c r="J142" s="4">
        <f>SUMIF(Monthly!$F$9:$BY$9,Annual!J$68,Monthly!$F339:$BY339)</f>
        <v>-123361.50826693595</v>
      </c>
      <c r="K142" s="4">
        <f>SUMIF(Monthly!$F$9:$BY$9,Annual!K$68,Monthly!$F339:$BY339)</f>
        <v>-125211.93089093993</v>
      </c>
    </row>
    <row r="143" spans="3:11" s="3" customFormat="1" outlineLevel="1" x14ac:dyDescent="0.25">
      <c r="C143" s="50" t="s">
        <v>129</v>
      </c>
      <c r="D143" s="37" t="s">
        <v>101</v>
      </c>
      <c r="F143" s="4">
        <f>SUMIF(Monthly!$F$9:$BY$9,Annual!F$68,Monthly!$F340:$BY340)</f>
        <v>-56082.372636479042</v>
      </c>
      <c r="G143" s="4">
        <f>SUMIF(Monthly!$F$9:$BY$9,Annual!G$68,Monthly!$F340:$BY340)</f>
        <v>-58019.620138167105</v>
      </c>
      <c r="H143" s="4">
        <f>SUMIF(Monthly!$F$9:$BY$9,Annual!H$68,Monthly!$F340:$BY340)</f>
        <v>-59444.048740954306</v>
      </c>
      <c r="I143" s="4">
        <f>SUMIF(Monthly!$F$9:$BY$9,Annual!I$68,Monthly!$F340:$BY340)</f>
        <v>-60632.929715773425</v>
      </c>
      <c r="J143" s="4">
        <f>SUMIF(Monthly!$F$9:$BY$9,Annual!J$68,Monthly!$F340:$BY340)</f>
        <v>-61680.754133467977</v>
      </c>
      <c r="K143" s="4">
        <f>SUMIF(Monthly!$F$9:$BY$9,Annual!K$68,Monthly!$F340:$BY340)</f>
        <v>-62605.965445469963</v>
      </c>
    </row>
    <row r="144" spans="3:11" s="3" customFormat="1" outlineLevel="1" x14ac:dyDescent="0.25">
      <c r="C144" s="50" t="s">
        <v>130</v>
      </c>
      <c r="D144" s="37" t="s">
        <v>101</v>
      </c>
      <c r="F144" s="4">
        <f>SUMIF(Monthly!$F$9:$BY$9,Annual!F$68,Monthly!$F341:$BY341)</f>
        <v>-534008.38425718434</v>
      </c>
      <c r="G144" s="4">
        <f>SUMIF(Monthly!$F$9:$BY$9,Annual!G$68,Monthly!$F341:$BY341)</f>
        <v>-552454.57973090804</v>
      </c>
      <c r="H144" s="4">
        <f>SUMIF(Monthly!$F$9:$BY$9,Annual!H$68,Monthly!$F341:$BY341)</f>
        <v>-566017.78650881338</v>
      </c>
      <c r="I144" s="4">
        <f>SUMIF(Monthly!$F$9:$BY$9,Annual!I$68,Monthly!$F341:$BY341)</f>
        <v>-577338.14223899005</v>
      </c>
      <c r="J144" s="4">
        <f>SUMIF(Monthly!$F$9:$BY$9,Annual!J$68,Monthly!$F341:$BY341)</f>
        <v>-587315.37747304875</v>
      </c>
      <c r="K144" s="4">
        <f>SUMIF(Monthly!$F$9:$BY$9,Annual!K$68,Monthly!$F341:$BY341)</f>
        <v>-596125.10813514399</v>
      </c>
    </row>
    <row r="145" spans="3:11" s="3" customFormat="1" outlineLevel="1" x14ac:dyDescent="0.25">
      <c r="C145" s="109" t="s">
        <v>59</v>
      </c>
      <c r="D145" s="98" t="s">
        <v>101</v>
      </c>
      <c r="E145" s="5"/>
      <c r="F145" s="20">
        <f>SUMIF(Monthly!$F$9:$BY$9,Annual!F$68,Monthly!$F342:$BY342)</f>
        <v>-168247.11790943713</v>
      </c>
      <c r="G145" s="20">
        <f>SUMIF(Monthly!$F$9:$BY$9,Annual!G$68,Monthly!$F342:$BY342)</f>
        <v>-174058.86041450137</v>
      </c>
      <c r="H145" s="20">
        <f>SUMIF(Monthly!$F$9:$BY$9,Annual!H$68,Monthly!$F342:$BY342)</f>
        <v>-178332.14622286291</v>
      </c>
      <c r="I145" s="20">
        <f>SUMIF(Monthly!$F$9:$BY$9,Annual!I$68,Monthly!$F342:$BY342)</f>
        <v>-181898.78914732026</v>
      </c>
      <c r="J145" s="20">
        <f>SUMIF(Monthly!$F$9:$BY$9,Annual!J$68,Monthly!$F342:$BY342)</f>
        <v>-185042.26240040391</v>
      </c>
      <c r="K145" s="20">
        <f>SUMIF(Monthly!$F$9:$BY$9,Annual!K$68,Monthly!$F342:$BY342)</f>
        <v>-187817.89633640987</v>
      </c>
    </row>
    <row r="146" spans="3:11" s="3" customFormat="1" outlineLevel="1" x14ac:dyDescent="0.25">
      <c r="C146" s="83" t="s">
        <v>7</v>
      </c>
      <c r="D146" s="37" t="s">
        <v>101</v>
      </c>
      <c r="F146" s="69">
        <f>SUM(F140:F145)</f>
        <v>-1092270.7035277621</v>
      </c>
      <c r="G146" s="69">
        <f t="shared" ref="G146:K146" si="12">SUM(G140:G145)</f>
        <v>-1128814.426227472</v>
      </c>
      <c r="H146" s="69">
        <f t="shared" si="12"/>
        <v>-1158450.1355177828</v>
      </c>
      <c r="I146" s="69">
        <f t="shared" si="12"/>
        <v>-1183375.5786258618</v>
      </c>
      <c r="J146" s="69">
        <f t="shared" si="12"/>
        <v>-1218005.9836536383</v>
      </c>
      <c r="K146" s="69">
        <f t="shared" si="12"/>
        <v>-1239341.2320381759</v>
      </c>
    </row>
    <row r="147" spans="3:11" s="3" customFormat="1" outlineLevel="1" x14ac:dyDescent="0.25">
      <c r="C147" s="81"/>
      <c r="G147" s="4"/>
      <c r="H147" s="4"/>
      <c r="I147" s="4"/>
      <c r="J147" s="4"/>
      <c r="K147" s="4"/>
    </row>
    <row r="148" spans="3:11" s="3" customFormat="1" outlineLevel="1" x14ac:dyDescent="0.25">
      <c r="C148" s="82" t="s">
        <v>8</v>
      </c>
      <c r="D148" s="37" t="s">
        <v>101</v>
      </c>
      <c r="F148" s="69">
        <f>+F136+F146</f>
        <v>1626467.6918224385</v>
      </c>
      <c r="G148" s="69">
        <f t="shared" ref="G148:K148" si="13">+G136+G146</f>
        <v>1644288.0845106414</v>
      </c>
      <c r="H148" s="69">
        <f t="shared" si="13"/>
        <v>1746814.3548441401</v>
      </c>
      <c r="I148" s="69">
        <f t="shared" si="13"/>
        <v>1838542.2148007241</v>
      </c>
      <c r="J148" s="69">
        <f t="shared" si="13"/>
        <v>2328800.5512167541</v>
      </c>
      <c r="K148" s="69">
        <f t="shared" si="13"/>
        <v>2462839.3551797289</v>
      </c>
    </row>
    <row r="149" spans="3:11" s="3" customFormat="1" outlineLevel="1" x14ac:dyDescent="0.25">
      <c r="C149" s="84" t="s">
        <v>35</v>
      </c>
      <c r="D149" s="36" t="s">
        <v>16</v>
      </c>
      <c r="F149" s="169">
        <f>+F148/F$136</f>
        <v>0.59824354362455434</v>
      </c>
      <c r="G149" s="169">
        <f t="shared" ref="G149:K149" si="14">+G148/G$136</f>
        <v>0.59294168828724014</v>
      </c>
      <c r="H149" s="169">
        <f t="shared" si="14"/>
        <v>0.60125828840682627</v>
      </c>
      <c r="I149" s="169">
        <f t="shared" si="14"/>
        <v>0.60840245846528496</v>
      </c>
      <c r="J149" s="169">
        <f t="shared" si="14"/>
        <v>0.65659080311293416</v>
      </c>
      <c r="K149" s="169">
        <f t="shared" si="14"/>
        <v>0.66524020024384889</v>
      </c>
    </row>
    <row r="150" spans="3:11" s="3" customFormat="1" outlineLevel="1" x14ac:dyDescent="0.25">
      <c r="C150" s="81"/>
    </row>
    <row r="151" spans="3:11" s="3" customFormat="1" outlineLevel="1" x14ac:dyDescent="0.25">
      <c r="C151" s="79" t="s">
        <v>181</v>
      </c>
      <c r="D151" s="37" t="s">
        <v>101</v>
      </c>
      <c r="F151" s="4">
        <f>SUMIF(Monthly!$F$9:$BY$9,Annual!F$68,Monthly!$F348:$BY348)</f>
        <v>0</v>
      </c>
      <c r="G151" s="4">
        <f>SUMIF(Monthly!$F$9:$BY$9,Annual!G$68,Monthly!$F348:$BY348)</f>
        <v>-1260750</v>
      </c>
      <c r="H151" s="4">
        <f>SUMIF(Monthly!$F$9:$BY$9,Annual!H$68,Monthly!$F348:$BY348)</f>
        <v>-1014750</v>
      </c>
      <c r="I151" s="4">
        <f>SUMIF(Monthly!$F$9:$BY$9,Annual!I$68,Monthly!$F348:$BY348)</f>
        <v>-799500</v>
      </c>
      <c r="J151" s="4">
        <f>SUMIF(Monthly!$F$9:$BY$9,Annual!J$68,Monthly!$F348:$BY348)</f>
        <v>0</v>
      </c>
      <c r="K151" s="4">
        <f>SUMIF(Monthly!$F$9:$BY$9,Annual!K$68,Monthly!$F348:$BY348)</f>
        <v>0</v>
      </c>
    </row>
    <row r="152" spans="3:11" s="3" customFormat="1" outlineLevel="1" x14ac:dyDescent="0.25">
      <c r="C152" s="79" t="s">
        <v>27</v>
      </c>
      <c r="D152" s="37" t="s">
        <v>101</v>
      </c>
      <c r="F152" s="4">
        <f>SUMIF(Monthly!$F$9:$BY$9,Annual!F$68,Monthly!$F349:$BY349)</f>
        <v>0</v>
      </c>
      <c r="G152" s="4">
        <f>SUMIF(Monthly!$F$9:$BY$9,Annual!G$68,Monthly!$F349:$BY349)</f>
        <v>-69706.826427267762</v>
      </c>
      <c r="H152" s="4">
        <f>SUMIF(Monthly!$F$9:$BY$9,Annual!H$68,Monthly!$F349:$BY349)</f>
        <v>-553403.94783007877</v>
      </c>
      <c r="I152" s="4">
        <f>SUMIF(Monthly!$F$9:$BY$9,Annual!I$68,Monthly!$F349:$BY349)</f>
        <v>-527756.97355768585</v>
      </c>
      <c r="J152" s="4">
        <f>SUMIF(Monthly!$F$9:$BY$9,Annual!J$68,Monthly!$F349:$BY349)</f>
        <v>-386765.44765871973</v>
      </c>
      <c r="K152" s="4">
        <f>SUMIF(Monthly!$F$9:$BY$9,Annual!K$68,Monthly!$F349:$BY349)</f>
        <v>-234218.98691409573</v>
      </c>
    </row>
    <row r="153" spans="3:11" s="3" customFormat="1" outlineLevel="1" x14ac:dyDescent="0.25">
      <c r="C153" s="79" t="s">
        <v>28</v>
      </c>
      <c r="D153" s="37" t="s">
        <v>101</v>
      </c>
      <c r="F153" s="4">
        <f>SUMIF(Monthly!$F$9:$BY$9,Annual!F$68,Monthly!$F350:$BY350)</f>
        <v>0</v>
      </c>
      <c r="G153" s="4">
        <f>SUMIF(Monthly!$F$9:$BY$9,Annual!G$68,Monthly!$F350:$BY350)</f>
        <v>-26173.903447373388</v>
      </c>
      <c r="H153" s="4">
        <f>SUMIF(Monthly!$F$9:$BY$9,Annual!H$68,Monthly!$F350:$BY350)</f>
        <v>-221207.69770669792</v>
      </c>
      <c r="I153" s="4">
        <f>SUMIF(Monthly!$F$9:$BY$9,Annual!I$68,Monthly!$F350:$BY350)</f>
        <v>-195693.14612752877</v>
      </c>
      <c r="J153" s="4">
        <f>SUMIF(Monthly!$F$9:$BY$9,Annual!J$68,Monthly!$F350:$BY350)</f>
        <v>-137470.83427700435</v>
      </c>
      <c r="K153" s="4">
        <f>SUMIF(Monthly!$F$9:$BY$9,Annual!K$68,Monthly!$F350:$BY350)</f>
        <v>-87099.720684042113</v>
      </c>
    </row>
    <row r="154" spans="3:11" s="3" customFormat="1" outlineLevel="1" x14ac:dyDescent="0.25">
      <c r="C154" s="79" t="s">
        <v>36</v>
      </c>
      <c r="D154" s="37" t="s">
        <v>101</v>
      </c>
      <c r="F154" s="4">
        <f>SUMIF(Monthly!$F$9:$BY$9,Annual!F$68,Monthly!$F351:$BY351)</f>
        <v>0</v>
      </c>
      <c r="G154" s="4">
        <f>SUMIF(Monthly!$F$9:$BY$9,Annual!G$68,Monthly!$F351:$BY351)</f>
        <v>1303055.9783239383</v>
      </c>
      <c r="H154" s="4">
        <f>SUMIF(Monthly!$F$9:$BY$9,Annual!H$68,Monthly!$F351:$BY351)</f>
        <v>1730371.3123194398</v>
      </c>
      <c r="I154" s="4">
        <f>SUMIF(Monthly!$F$9:$BY$9,Annual!I$68,Monthly!$F351:$BY351)</f>
        <v>949109.62305074325</v>
      </c>
      <c r="J154" s="4">
        <f>SUMIF(Monthly!$F$9:$BY$9,Annual!J$68,Monthly!$F351:$BY351)</f>
        <v>76766.27087116742</v>
      </c>
      <c r="K154" s="4">
        <f>SUMIF(Monthly!$F$9:$BY$9,Annual!K$68,Monthly!$F351:$BY351)</f>
        <v>217496.45809600782</v>
      </c>
    </row>
    <row r="155" spans="3:11" s="3" customFormat="1" outlineLevel="1" x14ac:dyDescent="0.25">
      <c r="C155" s="85"/>
      <c r="D155" s="52"/>
    </row>
    <row r="156" spans="3:11" s="3" customFormat="1" outlineLevel="1" x14ac:dyDescent="0.25">
      <c r="C156" s="78" t="s">
        <v>37</v>
      </c>
      <c r="D156" s="37" t="s">
        <v>101</v>
      </c>
      <c r="F156" s="69">
        <f>+F148+SUM(F151:F154)</f>
        <v>1626467.6918224385</v>
      </c>
      <c r="G156" s="69">
        <f t="shared" ref="G156:K156" si="15">+G148+SUM(G151:G154)</f>
        <v>1590713.3329599386</v>
      </c>
      <c r="H156" s="69">
        <f t="shared" si="15"/>
        <v>1687824.0216268033</v>
      </c>
      <c r="I156" s="69">
        <f t="shared" si="15"/>
        <v>1264701.7181662526</v>
      </c>
      <c r="J156" s="69">
        <f t="shared" si="15"/>
        <v>1881330.5401521975</v>
      </c>
      <c r="K156" s="69">
        <f t="shared" si="15"/>
        <v>2359017.1056775991</v>
      </c>
    </row>
    <row r="157" spans="3:11" s="3" customFormat="1" outlineLevel="1" x14ac:dyDescent="0.25">
      <c r="C157" s="86" t="s">
        <v>38</v>
      </c>
      <c r="D157" s="36" t="s">
        <v>16</v>
      </c>
      <c r="F157" s="169">
        <f>+F156/F$136</f>
        <v>0.59824354362455434</v>
      </c>
      <c r="G157" s="169">
        <f t="shared" ref="G157:K157" si="16">+G156/G$136</f>
        <v>0.57362226127606808</v>
      </c>
      <c r="H157" s="169">
        <f t="shared" si="16"/>
        <v>0.58095365403944443</v>
      </c>
      <c r="I157" s="169">
        <f t="shared" si="16"/>
        <v>0.41850963679994529</v>
      </c>
      <c r="J157" s="169">
        <f t="shared" si="16"/>
        <v>0.53042942197605514</v>
      </c>
      <c r="K157" s="169">
        <f t="shared" si="16"/>
        <v>0.63719666021217536</v>
      </c>
    </row>
    <row r="158" spans="3:11" s="3" customFormat="1" outlineLevel="1" x14ac:dyDescent="0.25">
      <c r="C158" s="81"/>
      <c r="G158" s="4"/>
      <c r="H158" s="4"/>
      <c r="I158" s="4"/>
      <c r="J158" s="4"/>
      <c r="K158" s="4"/>
    </row>
    <row r="159" spans="3:11" s="3" customFormat="1" outlineLevel="1" x14ac:dyDescent="0.25">
      <c r="C159" s="79" t="s">
        <v>62</v>
      </c>
      <c r="D159" s="37" t="s">
        <v>101</v>
      </c>
      <c r="F159" s="4"/>
      <c r="G159" s="4">
        <f>-F168*G173</f>
        <v>-911963</v>
      </c>
      <c r="H159" s="4">
        <f t="shared" ref="H159:J159" si="17">-G168*H173</f>
        <v>-958334</v>
      </c>
      <c r="I159" s="4">
        <f t="shared" si="17"/>
        <v>-1004705</v>
      </c>
      <c r="J159" s="4">
        <f t="shared" si="17"/>
        <v>-1016040.1333333334</v>
      </c>
      <c r="K159" s="4"/>
    </row>
    <row r="160" spans="3:11" s="3" customFormat="1" outlineLevel="1" x14ac:dyDescent="0.25">
      <c r="C160" s="79" t="s">
        <v>63</v>
      </c>
      <c r="D160" s="37" t="s">
        <v>101</v>
      </c>
      <c r="F160" s="4"/>
      <c r="G160" s="4">
        <f>-F169*Mezz_Cash_Interest</f>
        <v>-71340</v>
      </c>
      <c r="H160" s="4">
        <f>-G169*Mezz_Cash_Interest</f>
        <v>-75620.399999999994</v>
      </c>
      <c r="I160" s="4">
        <f>-H169*Mezz_Cash_Interest</f>
        <v>-80157.623999999996</v>
      </c>
      <c r="J160" s="4">
        <f>-I169*Mezz_Cash_Interest</f>
        <v>-84967.081439999994</v>
      </c>
      <c r="K160" s="4"/>
    </row>
    <row r="161" spans="3:11" s="3" customFormat="1" outlineLevel="1" x14ac:dyDescent="0.25">
      <c r="C161" s="79" t="s">
        <v>60</v>
      </c>
      <c r="D161" s="37" t="s">
        <v>101</v>
      </c>
      <c r="F161" s="4"/>
      <c r="G161" s="4">
        <f>IF(G122&lt;=Senior_Loan_IO_Period,0,-Senior_Loan_Balance/Senior_Loan_Amort_Period)</f>
        <v>0</v>
      </c>
      <c r="H161" s="4">
        <f>IF(H122&lt;=Senior_Loan_IO_Period,0,-Senior_Loan_Balance/Senior_Loan_Amort_Period)</f>
        <v>0</v>
      </c>
      <c r="I161" s="4">
        <f>IF(I122&lt;=Senior_Loan_IO_Period,0,-Senior_Loan_Balance/Senior_Loan_Amort_Period)</f>
        <v>-515233.33333333331</v>
      </c>
      <c r="J161" s="4">
        <f>IF(J122&lt;=Senior_Loan_IO_Period,0,-Senior_Loan_Balance/Senior_Loan_Amort_Period)</f>
        <v>-515233.33333333331</v>
      </c>
      <c r="K161" s="4"/>
    </row>
    <row r="162" spans="3:11" s="3" customFormat="1" outlineLevel="1" x14ac:dyDescent="0.25">
      <c r="C162" s="81"/>
      <c r="G162" s="4"/>
      <c r="H162" s="4"/>
      <c r="I162" s="4"/>
      <c r="J162" s="4"/>
      <c r="K162" s="4"/>
    </row>
    <row r="163" spans="3:11" s="3" customFormat="1" outlineLevel="1" x14ac:dyDescent="0.25">
      <c r="C163" s="87" t="s">
        <v>41</v>
      </c>
      <c r="D163" s="37" t="s">
        <v>101</v>
      </c>
      <c r="F163" s="69"/>
      <c r="G163" s="69">
        <f>+G156+SUM(G159:G161)</f>
        <v>607410.33295993856</v>
      </c>
      <c r="H163" s="69">
        <f t="shared" ref="H163:J163" si="18">+H156+SUM(H159:H161)</f>
        <v>653869.6216268033</v>
      </c>
      <c r="I163" s="69">
        <f t="shared" si="18"/>
        <v>-335394.23916708073</v>
      </c>
      <c r="J163" s="69">
        <f t="shared" si="18"/>
        <v>265089.99204553082</v>
      </c>
      <c r="K163" s="69"/>
    </row>
    <row r="164" spans="3:11" s="3" customFormat="1" outlineLevel="1" x14ac:dyDescent="0.25">
      <c r="G164" s="4"/>
      <c r="H164" s="4"/>
      <c r="I164" s="4"/>
      <c r="J164" s="4"/>
      <c r="K164" s="4"/>
    </row>
    <row r="165" spans="3:11" s="3" customFormat="1" outlineLevel="1" x14ac:dyDescent="0.25">
      <c r="C165" s="52" t="s">
        <v>73</v>
      </c>
      <c r="D165" s="37" t="s">
        <v>101</v>
      </c>
      <c r="F165" s="4"/>
      <c r="G165" s="4">
        <f>-F169*Mezz_PIK_Interest</f>
        <v>-142680</v>
      </c>
      <c r="H165" s="4">
        <f>-G169*Mezz_PIK_Interest</f>
        <v>-151240.79999999999</v>
      </c>
      <c r="I165" s="4">
        <f>-H169*Mezz_PIK_Interest</f>
        <v>-160315.24799999999</v>
      </c>
      <c r="J165" s="4">
        <f>-I169*Mezz_PIK_Interest</f>
        <v>-169934.16287999999</v>
      </c>
      <c r="K165" s="4"/>
    </row>
    <row r="166" spans="3:11" s="3" customFormat="1" outlineLevel="1" x14ac:dyDescent="0.25">
      <c r="C166" s="3" t="s">
        <v>164</v>
      </c>
      <c r="D166" s="37" t="s">
        <v>101</v>
      </c>
      <c r="G166" s="4">
        <f>SUMIF(Monthly!$F$9:$BY$9,Annual!G$68,Monthly!$F318:$BY318)</f>
        <v>960750</v>
      </c>
      <c r="H166" s="4">
        <f>SUMIF(Monthly!$F$9:$BY$9,Annual!H$68,Monthly!$F318:$BY318)</f>
        <v>1921500</v>
      </c>
      <c r="I166" s="4">
        <f>SUMIF(Monthly!$F$9:$BY$9,Annual!I$68,Monthly!$F318:$BY318)</f>
        <v>397750</v>
      </c>
      <c r="J166" s="4">
        <f>SUMIF(Monthly!$F$9:$BY$9,Annual!J$68,Monthly!$F318:$BY318)</f>
        <v>0</v>
      </c>
      <c r="K166" s="4"/>
    </row>
    <row r="167" spans="3:11" s="3" customFormat="1" outlineLevel="1" x14ac:dyDescent="0.25">
      <c r="G167" s="4"/>
      <c r="H167" s="4"/>
      <c r="I167" s="4"/>
      <c r="J167" s="4"/>
      <c r="K167" s="4"/>
    </row>
    <row r="168" spans="3:11" s="3" customFormat="1" outlineLevel="1" x14ac:dyDescent="0.25">
      <c r="C168" s="16" t="s">
        <v>71</v>
      </c>
      <c r="D168" s="37" t="s">
        <v>101</v>
      </c>
      <c r="E168" s="117"/>
      <c r="F168" s="4">
        <f>D57</f>
        <v>15457000</v>
      </c>
      <c r="G168" s="4">
        <f>+F168+G161</f>
        <v>15457000</v>
      </c>
      <c r="H168" s="4">
        <f t="shared" ref="H168:J168" si="19">+G168+H161</f>
        <v>15457000</v>
      </c>
      <c r="I168" s="4">
        <f t="shared" si="19"/>
        <v>14941766.666666666</v>
      </c>
      <c r="J168" s="4">
        <f t="shared" si="19"/>
        <v>14426533.333333332</v>
      </c>
      <c r="K168" s="175"/>
    </row>
    <row r="169" spans="3:11" s="3" customFormat="1" outlineLevel="1" x14ac:dyDescent="0.25">
      <c r="C169" s="16" t="s">
        <v>72</v>
      </c>
      <c r="D169" s="98" t="s">
        <v>101</v>
      </c>
      <c r="E169" s="119"/>
      <c r="F169" s="20">
        <f t="shared" ref="F169" si="20">D58</f>
        <v>2378000</v>
      </c>
      <c r="G169" s="20">
        <f>+F169-G165</f>
        <v>2520680</v>
      </c>
      <c r="H169" s="20">
        <f t="shared" ref="H169:J169" si="21">+G169-H165</f>
        <v>2671920.7999999998</v>
      </c>
      <c r="I169" s="20">
        <f t="shared" si="21"/>
        <v>2832236.048</v>
      </c>
      <c r="J169" s="20">
        <f t="shared" si="21"/>
        <v>3002170.2108800001</v>
      </c>
      <c r="K169" s="175"/>
    </row>
    <row r="170" spans="3:11" s="3" customFormat="1" outlineLevel="1" x14ac:dyDescent="0.25">
      <c r="C170" s="29" t="s">
        <v>170</v>
      </c>
      <c r="D170" s="37" t="s">
        <v>101</v>
      </c>
      <c r="E170" s="2"/>
      <c r="F170" s="23">
        <f>SUM(F168:F169)</f>
        <v>17835000</v>
      </c>
      <c r="G170" s="23">
        <f>SUM(G168:G169)</f>
        <v>17977680</v>
      </c>
      <c r="H170" s="23">
        <f t="shared" ref="H170:J170" si="22">SUM(H168:H169)</f>
        <v>18128920.800000001</v>
      </c>
      <c r="I170" s="23">
        <f t="shared" si="22"/>
        <v>17774002.714666665</v>
      </c>
      <c r="J170" s="23">
        <f t="shared" si="22"/>
        <v>17428703.544213332</v>
      </c>
      <c r="K170" s="190"/>
    </row>
    <row r="171" spans="3:11" s="3" customFormat="1" outlineLevel="1" x14ac:dyDescent="0.25">
      <c r="G171" s="4"/>
      <c r="H171" s="4"/>
      <c r="I171" s="4"/>
      <c r="J171" s="4"/>
      <c r="K171" s="175"/>
    </row>
    <row r="172" spans="3:11" s="3" customFormat="1" outlineLevel="1" x14ac:dyDescent="0.25">
      <c r="C172" s="58" t="s">
        <v>172</v>
      </c>
      <c r="D172" s="36" t="s">
        <v>16</v>
      </c>
      <c r="F172" s="127">
        <v>2.5999999999999999E-2</v>
      </c>
      <c r="G172" s="128">
        <v>2.9000000000000001E-2</v>
      </c>
      <c r="H172" s="128">
        <v>3.2000000000000001E-2</v>
      </c>
      <c r="I172" s="128">
        <v>3.5000000000000003E-2</v>
      </c>
      <c r="J172" s="128">
        <v>3.7999999999999999E-2</v>
      </c>
      <c r="K172" s="127"/>
    </row>
    <row r="173" spans="3:11" s="3" customFormat="1" outlineLevel="1" x14ac:dyDescent="0.25">
      <c r="C173" s="44" t="s">
        <v>173</v>
      </c>
      <c r="D173" s="36" t="s">
        <v>16</v>
      </c>
      <c r="G173" s="105">
        <f>Senior_Loan_LIBOR_Spread+MAX(G172,Senior_Loan_LIBOR_Floor)</f>
        <v>5.8999999999999997E-2</v>
      </c>
      <c r="H173" s="105">
        <f>Senior_Loan_LIBOR_Spread+MAX(H172,Senior_Loan_LIBOR_Floor)</f>
        <v>6.2E-2</v>
      </c>
      <c r="I173" s="105">
        <f>Senior_Loan_LIBOR_Spread+MAX(I172,Senior_Loan_LIBOR_Floor)</f>
        <v>6.5000000000000002E-2</v>
      </c>
      <c r="J173" s="105">
        <f>Senior_Loan_LIBOR_Spread+MAX(J172,Senior_Loan_LIBOR_Floor)</f>
        <v>6.8000000000000005E-2</v>
      </c>
      <c r="K173" s="105"/>
    </row>
    <row r="174" spans="3:11" s="3" customFormat="1" outlineLevel="1" x14ac:dyDescent="0.25">
      <c r="G174" s="4"/>
      <c r="H174" s="4"/>
      <c r="I174" s="4"/>
      <c r="J174" s="4"/>
      <c r="K174" s="4"/>
    </row>
    <row r="175" spans="3:11" s="3" customFormat="1" outlineLevel="1" x14ac:dyDescent="0.25">
      <c r="C175" s="3" t="s">
        <v>171</v>
      </c>
      <c r="D175" s="37" t="s">
        <v>101</v>
      </c>
      <c r="F175" s="4">
        <f>E57</f>
        <v>12177000</v>
      </c>
      <c r="G175" s="4">
        <f>+F175+G161+G166</f>
        <v>13137750</v>
      </c>
      <c r="H175" s="4">
        <f t="shared" ref="H175:J175" si="23">+G175+H161+H166</f>
        <v>15059250</v>
      </c>
      <c r="I175" s="4">
        <f t="shared" si="23"/>
        <v>14941766.666666666</v>
      </c>
      <c r="J175" s="4">
        <f t="shared" si="23"/>
        <v>14426533.333333332</v>
      </c>
      <c r="K175" s="4"/>
    </row>
    <row r="176" spans="3:11" s="3" customFormat="1" outlineLevel="1" x14ac:dyDescent="0.25">
      <c r="G176" s="4"/>
      <c r="H176" s="4"/>
      <c r="I176" s="4"/>
      <c r="J176" s="4"/>
      <c r="K176" s="4"/>
    </row>
    <row r="177" spans="2:11" s="3" customFormat="1" outlineLevel="1" x14ac:dyDescent="0.25">
      <c r="C177" s="3" t="s">
        <v>42</v>
      </c>
      <c r="D177" s="37" t="s">
        <v>101</v>
      </c>
      <c r="G177" s="4">
        <f>INDEX(Monthly!$F$5:$BY$320,ROWS(Monthly!$F$5:$F$320),MATCH(Annual!G125,Monthly!$F$5:$BY$5,0))</f>
        <v>0</v>
      </c>
      <c r="H177" s="4">
        <f>INDEX(Monthly!$F$5:$BY$320,ROWS(Monthly!$F$5:$F$320),MATCH(Annual!H125,Monthly!$F$5:$BY$5,0))</f>
        <v>369460.83390342304</v>
      </c>
      <c r="I177" s="4">
        <f>INDEX(Monthly!$F$5:$BY$320,ROWS(Monthly!$F$5:$F$320),MATCH(Annual!I125,Monthly!$F$5:$BY$5,0))</f>
        <v>0</v>
      </c>
      <c r="J177" s="4">
        <f>INDEX(Monthly!$F$5:$BY$320,ROWS(Monthly!$F$5:$F$320),MATCH(Annual!J125,Monthly!$F$5:$BY$5,0))</f>
        <v>108275.9915292365</v>
      </c>
      <c r="K177" s="4"/>
    </row>
    <row r="178" spans="2:11" s="3" customFormat="1" outlineLevel="1" x14ac:dyDescent="0.25">
      <c r="G178" s="4"/>
      <c r="H178" s="4"/>
      <c r="I178" s="4"/>
      <c r="J178" s="4"/>
      <c r="K178" s="4"/>
    </row>
    <row r="179" spans="2:11" s="3" customFormat="1" outlineLevel="1" x14ac:dyDescent="0.25">
      <c r="C179" s="46" t="s">
        <v>87</v>
      </c>
      <c r="D179" s="47"/>
      <c r="E179" s="48"/>
      <c r="F179" s="48"/>
      <c r="G179" s="48"/>
      <c r="H179" s="48"/>
      <c r="I179" s="48"/>
      <c r="J179" s="48"/>
      <c r="K179" s="48"/>
    </row>
    <row r="180" spans="2:11" s="3" customFormat="1" outlineLevel="1" x14ac:dyDescent="0.25">
      <c r="C180" s="118" t="s">
        <v>178</v>
      </c>
      <c r="D180" s="36" t="s">
        <v>16</v>
      </c>
      <c r="F180" s="63">
        <f>+F148/(F169+F175)</f>
        <v>0.11174632029010227</v>
      </c>
      <c r="G180" s="63">
        <f t="shared" ref="G180:J180" si="24">+G148/(G169+G175)</f>
        <v>0.1050097669121771</v>
      </c>
      <c r="H180" s="63">
        <f t="shared" si="24"/>
        <v>9.8516582720196907E-2</v>
      </c>
      <c r="I180" s="63">
        <f t="shared" si="24"/>
        <v>0.10343996477977382</v>
      </c>
      <c r="J180" s="63">
        <f t="shared" si="24"/>
        <v>0.13361869087445469</v>
      </c>
      <c r="K180" s="63"/>
    </row>
    <row r="181" spans="2:11" s="3" customFormat="1" outlineLevel="1" x14ac:dyDescent="0.25">
      <c r="C181" s="118" t="s">
        <v>183</v>
      </c>
      <c r="D181" s="36" t="s">
        <v>16</v>
      </c>
      <c r="F181" s="63">
        <f>+F156/(F169+F175)</f>
        <v>0.11174632029010227</v>
      </c>
      <c r="G181" s="63">
        <f t="shared" ref="G181:J181" si="25">+G156/(G169+G175)</f>
        <v>0.10158830310318075</v>
      </c>
      <c r="H181" s="63">
        <f t="shared" si="25"/>
        <v>9.5189654460200862E-2</v>
      </c>
      <c r="I181" s="63">
        <f t="shared" si="25"/>
        <v>7.1154581130037309E-2</v>
      </c>
      <c r="J181" s="63">
        <f t="shared" si="25"/>
        <v>0.10794437666459911</v>
      </c>
      <c r="K181" s="4"/>
    </row>
    <row r="182" spans="2:11" s="3" customFormat="1" outlineLevel="1" x14ac:dyDescent="0.25">
      <c r="C182" s="77"/>
      <c r="D182" s="56"/>
      <c r="G182" s="4"/>
      <c r="H182" s="4"/>
      <c r="J182" s="4"/>
      <c r="K182" s="4"/>
    </row>
    <row r="183" spans="2:11" s="3" customFormat="1" outlineLevel="1" x14ac:dyDescent="0.25">
      <c r="C183" s="118" t="s">
        <v>74</v>
      </c>
      <c r="D183" s="36" t="s">
        <v>43</v>
      </c>
      <c r="F183" s="65"/>
      <c r="G183" s="65">
        <f>-G148/SUM(G159:G160)</f>
        <v>1.6722089574735777</v>
      </c>
      <c r="H183" s="65">
        <f t="shared" ref="H183:J183" si="26">-H148/SUM(H159:H160)</f>
        <v>1.6894500906849859</v>
      </c>
      <c r="I183" s="65">
        <f t="shared" si="26"/>
        <v>1.6947235291615355</v>
      </c>
      <c r="J183" s="65">
        <f t="shared" si="26"/>
        <v>2.1151546692599914</v>
      </c>
      <c r="K183" s="65"/>
    </row>
    <row r="184" spans="2:11" s="3" customFormat="1" outlineLevel="1" x14ac:dyDescent="0.25">
      <c r="C184" s="118" t="s">
        <v>75</v>
      </c>
      <c r="D184" s="36" t="s">
        <v>43</v>
      </c>
      <c r="F184" s="65"/>
      <c r="G184" s="65">
        <f>-G156/SUM(G159:G160)</f>
        <v>1.6177244785787683</v>
      </c>
      <c r="H184" s="65">
        <f t="shared" ref="H184:J184" si="27">-H156/SUM(H159:H160)</f>
        <v>1.632396962213037</v>
      </c>
      <c r="I184" s="65">
        <f t="shared" si="27"/>
        <v>1.1657713061430464</v>
      </c>
      <c r="J184" s="65">
        <f t="shared" si="27"/>
        <v>1.708735887384272</v>
      </c>
      <c r="K184" s="65"/>
    </row>
    <row r="185" spans="2:11" s="3" customFormat="1" outlineLevel="1" x14ac:dyDescent="0.25">
      <c r="C185" s="77"/>
      <c r="D185" s="56"/>
      <c r="F185" s="44"/>
      <c r="G185" s="44"/>
      <c r="H185" s="44"/>
      <c r="I185" s="44"/>
      <c r="J185" s="44"/>
      <c r="K185" s="4"/>
    </row>
    <row r="186" spans="2:11" s="3" customFormat="1" outlineLevel="1" x14ac:dyDescent="0.25">
      <c r="C186" s="118" t="s">
        <v>44</v>
      </c>
      <c r="D186" s="36" t="s">
        <v>43</v>
      </c>
      <c r="F186" s="65"/>
      <c r="G186" s="65">
        <f>-G148/SUM(G159:G161)</f>
        <v>1.6722089574735777</v>
      </c>
      <c r="H186" s="65">
        <f t="shared" ref="H186:J186" si="28">-H148/SUM(H159:H161)</f>
        <v>1.6894500906849859</v>
      </c>
      <c r="I186" s="65">
        <f t="shared" si="28"/>
        <v>1.1490199736925637</v>
      </c>
      <c r="J186" s="65">
        <f t="shared" si="28"/>
        <v>1.4408749699695449</v>
      </c>
      <c r="K186" s="65"/>
    </row>
    <row r="187" spans="2:11" s="3" customFormat="1" outlineLevel="1" x14ac:dyDescent="0.25">
      <c r="C187" s="118" t="s">
        <v>45</v>
      </c>
      <c r="D187" s="36" t="s">
        <v>43</v>
      </c>
      <c r="F187" s="65"/>
      <c r="G187" s="65">
        <f>-G156/SUM(G159:G161)</f>
        <v>1.6177244785787683</v>
      </c>
      <c r="H187" s="65">
        <f t="shared" ref="H187:J187" si="29">-H156/SUM(H159:H161)</f>
        <v>1.632396962213037</v>
      </c>
      <c r="I187" s="65">
        <f t="shared" si="29"/>
        <v>0.79039117146071813</v>
      </c>
      <c r="J187" s="65">
        <f t="shared" si="29"/>
        <v>1.1640164221570042</v>
      </c>
      <c r="K187" s="65"/>
    </row>
    <row r="188" spans="2:11" s="3" customFormat="1" x14ac:dyDescent="0.25"/>
    <row r="189" spans="2:11" x14ac:dyDescent="0.25">
      <c r="B189" s="39"/>
      <c r="C189" s="39"/>
      <c r="D189" s="40"/>
      <c r="E189" s="39"/>
      <c r="F189" s="41" t="str">
        <f>$F$64</f>
        <v>Historical:</v>
      </c>
      <c r="G189" s="143" t="str">
        <f>$G$64</f>
        <v>Projected:</v>
      </c>
      <c r="H189" s="41"/>
      <c r="I189" s="41"/>
      <c r="J189" s="41"/>
    </row>
    <row r="190" spans="2:11" x14ac:dyDescent="0.25">
      <c r="B190" s="42" t="s">
        <v>184</v>
      </c>
      <c r="C190" s="42"/>
      <c r="D190" s="30" t="str">
        <f>+$D$5</f>
        <v>Units:</v>
      </c>
      <c r="E190" s="42"/>
      <c r="F190" s="111">
        <f>$F$65</f>
        <v>43465</v>
      </c>
      <c r="G190" s="160">
        <f>$G$65</f>
        <v>43830</v>
      </c>
      <c r="H190" s="111">
        <f>$H$65</f>
        <v>44196</v>
      </c>
      <c r="I190" s="43">
        <f>$I$65</f>
        <v>44561</v>
      </c>
      <c r="J190" s="43">
        <f>$J$65</f>
        <v>44926</v>
      </c>
    </row>
    <row r="191" spans="2:11" outlineLevel="1" x14ac:dyDescent="0.25"/>
    <row r="192" spans="2:11" outlineLevel="1" x14ac:dyDescent="0.25">
      <c r="C192" s="52" t="s">
        <v>185</v>
      </c>
      <c r="D192" s="36" t="s">
        <v>101</v>
      </c>
      <c r="F192" s="202"/>
      <c r="G192" s="202">
        <f>+H148</f>
        <v>1746814.3548441401</v>
      </c>
      <c r="H192" s="202">
        <f t="shared" ref="H192:J192" si="30">+I148</f>
        <v>1838542.2148007241</v>
      </c>
      <c r="I192" s="202">
        <f t="shared" si="30"/>
        <v>2328800.5512167541</v>
      </c>
      <c r="J192" s="202">
        <f t="shared" si="30"/>
        <v>2462839.3551797289</v>
      </c>
    </row>
    <row r="193" spans="3:11" outlineLevel="1" x14ac:dyDescent="0.25">
      <c r="C193" s="120" t="s">
        <v>255</v>
      </c>
      <c r="D193" s="36"/>
    </row>
    <row r="194" spans="3:11" outlineLevel="1" x14ac:dyDescent="0.25">
      <c r="C194" s="19" t="s">
        <v>80</v>
      </c>
      <c r="D194" s="36" t="s">
        <v>16</v>
      </c>
      <c r="E194" s="1"/>
      <c r="F194" s="274">
        <v>7.4999999999999997E-2</v>
      </c>
      <c r="G194" s="128">
        <v>7.2499999999999995E-2</v>
      </c>
      <c r="H194" s="128">
        <v>7.0000000000000007E-2</v>
      </c>
      <c r="I194" s="128">
        <v>6.8500000000000005E-2</v>
      </c>
      <c r="J194" s="128">
        <v>6.7500000000000004E-2</v>
      </c>
      <c r="K194" s="127"/>
    </row>
    <row r="195" spans="3:11" outlineLevel="1" x14ac:dyDescent="0.25">
      <c r="C195" s="19" t="s">
        <v>78</v>
      </c>
      <c r="D195" s="36" t="s">
        <v>16</v>
      </c>
      <c r="E195" s="1"/>
      <c r="F195" s="127">
        <v>7.4999999999999997E-2</v>
      </c>
      <c r="G195" s="272">
        <v>7.2499999999999995E-2</v>
      </c>
      <c r="H195" s="272">
        <v>7.1999999999999995E-2</v>
      </c>
      <c r="I195" s="272">
        <v>7.0999999999999994E-2</v>
      </c>
      <c r="J195" s="272">
        <v>7.0000000000000007E-2</v>
      </c>
      <c r="K195" s="127"/>
    </row>
    <row r="196" spans="3:11" outlineLevel="1" x14ac:dyDescent="0.25">
      <c r="C196" s="19" t="s">
        <v>79</v>
      </c>
      <c r="D196" s="36" t="s">
        <v>16</v>
      </c>
      <c r="E196" s="1"/>
      <c r="F196" s="127">
        <v>7.4999999999999997E-2</v>
      </c>
      <c r="G196" s="128">
        <v>7.2499999999999995E-2</v>
      </c>
      <c r="H196" s="128">
        <v>0.08</v>
      </c>
      <c r="I196" s="128">
        <v>7.4999999999999997E-2</v>
      </c>
      <c r="J196" s="128">
        <v>7.2499999999999995E-2</v>
      </c>
      <c r="K196" s="287"/>
    </row>
    <row r="197" spans="3:11" outlineLevel="1" x14ac:dyDescent="0.25">
      <c r="C197" s="121" t="s">
        <v>256</v>
      </c>
      <c r="D197" s="122" t="s">
        <v>16</v>
      </c>
      <c r="E197" s="123"/>
      <c r="F197" s="129">
        <f t="shared" ref="F197:J197" si="31">INDEX(F194:F196,MATCH(Scenario,$C194:$C196,0),1)</f>
        <v>7.4999999999999997E-2</v>
      </c>
      <c r="G197" s="129">
        <f t="shared" si="31"/>
        <v>7.2499999999999995E-2</v>
      </c>
      <c r="H197" s="129">
        <f t="shared" si="31"/>
        <v>7.1999999999999995E-2</v>
      </c>
      <c r="I197" s="129">
        <f t="shared" si="31"/>
        <v>7.0999999999999994E-2</v>
      </c>
      <c r="J197" s="129">
        <f t="shared" si="31"/>
        <v>7.0000000000000007E-2</v>
      </c>
      <c r="K197" s="200"/>
    </row>
    <row r="198" spans="3:11" outlineLevel="1" x14ac:dyDescent="0.25">
      <c r="C198" s="44"/>
      <c r="D198" s="56"/>
    </row>
    <row r="199" spans="3:11" outlineLevel="1" x14ac:dyDescent="0.25">
      <c r="C199" s="52" t="s">
        <v>182</v>
      </c>
      <c r="D199" s="36" t="s">
        <v>101</v>
      </c>
      <c r="G199" s="201">
        <f>+G192/G197</f>
        <v>24093991.101298485</v>
      </c>
      <c r="H199" s="201">
        <f t="shared" ref="H199:J199" si="32">+H192/H197</f>
        <v>25535308.538898949</v>
      </c>
      <c r="I199" s="201">
        <f t="shared" si="32"/>
        <v>32800007.76361626</v>
      </c>
      <c r="J199" s="201">
        <f t="shared" si="32"/>
        <v>35183419.35971041</v>
      </c>
    </row>
    <row r="200" spans="3:11" outlineLevel="1" x14ac:dyDescent="0.25"/>
    <row r="201" spans="3:11" outlineLevel="1" x14ac:dyDescent="0.25">
      <c r="C201" s="203" t="s">
        <v>41</v>
      </c>
      <c r="D201" s="56"/>
      <c r="E201" s="57"/>
      <c r="F201" s="57"/>
      <c r="G201" s="57"/>
      <c r="H201" s="57"/>
      <c r="I201" s="57"/>
      <c r="J201" s="57"/>
      <c r="K201" s="57"/>
    </row>
    <row r="202" spans="3:11" outlineLevel="1" x14ac:dyDescent="0.25">
      <c r="C202" s="74" t="s">
        <v>186</v>
      </c>
      <c r="D202" s="36" t="s">
        <v>101</v>
      </c>
      <c r="E202" s="57"/>
      <c r="F202" s="57">
        <f>-E59</f>
        <v>-6328350</v>
      </c>
      <c r="G202" s="204">
        <v>0</v>
      </c>
      <c r="H202" s="205">
        <f>+G202</f>
        <v>0</v>
      </c>
      <c r="I202" s="206">
        <f t="shared" ref="I202:J202" si="33">+H202</f>
        <v>0</v>
      </c>
      <c r="J202" s="206">
        <f t="shared" si="33"/>
        <v>0</v>
      </c>
      <c r="K202" s="206"/>
    </row>
    <row r="203" spans="3:11" outlineLevel="1" x14ac:dyDescent="0.25">
      <c r="C203" s="74" t="s">
        <v>187</v>
      </c>
      <c r="D203" s="36" t="s">
        <v>101</v>
      </c>
      <c r="E203" s="57"/>
      <c r="F203" s="207"/>
      <c r="G203" s="62">
        <f>IF(G$190=Exit_Date,G199,0)</f>
        <v>0</v>
      </c>
      <c r="H203" s="62">
        <f>IF(H$190=Exit_Date,H199,0)</f>
        <v>0</v>
      </c>
      <c r="I203" s="62">
        <f>IF(I$190=Exit_Date,I199,0)</f>
        <v>0</v>
      </c>
      <c r="J203" s="62">
        <f>IF(J$190=Exit_Date,J199,0)</f>
        <v>35183419.35971041</v>
      </c>
      <c r="K203" s="62"/>
    </row>
    <row r="204" spans="3:11" outlineLevel="1" x14ac:dyDescent="0.25">
      <c r="C204" s="74" t="s">
        <v>188</v>
      </c>
      <c r="D204" s="36" t="s">
        <v>101</v>
      </c>
      <c r="E204" s="57"/>
      <c r="F204" s="207"/>
      <c r="G204" s="62">
        <f>IF(G$190=Exit_Date,G177,0)</f>
        <v>0</v>
      </c>
      <c r="H204" s="62">
        <f>IF(H$190=Exit_Date,H177,0)</f>
        <v>0</v>
      </c>
      <c r="I204" s="62">
        <f>IF(I$190=Exit_Date,I177,0)</f>
        <v>0</v>
      </c>
      <c r="J204" s="62">
        <f>IF(J$190=Exit_Date,J177,0)</f>
        <v>108275.9915292365</v>
      </c>
      <c r="K204" s="208"/>
    </row>
    <row r="205" spans="3:11" outlineLevel="1" x14ac:dyDescent="0.25">
      <c r="C205" s="50" t="s">
        <v>189</v>
      </c>
      <c r="D205" s="36" t="s">
        <v>101</v>
      </c>
      <c r="E205" s="57"/>
      <c r="F205" s="207"/>
      <c r="G205" s="208">
        <f>-G203*Exit_Fee_Pct</f>
        <v>0</v>
      </c>
      <c r="H205" s="208">
        <f>-H203*Exit_Fee_Pct</f>
        <v>0</v>
      </c>
      <c r="I205" s="208">
        <f>-I203*Exit_Fee_Pct</f>
        <v>0</v>
      </c>
      <c r="J205" s="208">
        <f>-J203*Exit_Fee_Pct</f>
        <v>-703668.38719420822</v>
      </c>
      <c r="K205" s="208"/>
    </row>
    <row r="206" spans="3:11" outlineLevel="1" x14ac:dyDescent="0.25">
      <c r="C206" s="74" t="s">
        <v>190</v>
      </c>
      <c r="D206" s="36" t="s">
        <v>101</v>
      </c>
      <c r="E206" s="57"/>
      <c r="F206" s="207"/>
      <c r="G206" s="207">
        <f>IF(G$190&lt;=Exit_Date,G163,0)</f>
        <v>607410.33295993856</v>
      </c>
      <c r="H206" s="207">
        <f>IF(H$190&lt;=Exit_Date,H163,0)</f>
        <v>653869.6216268033</v>
      </c>
      <c r="I206" s="207">
        <f>IF(I$190&lt;=Exit_Date,I163,0)</f>
        <v>-335394.23916708073</v>
      </c>
      <c r="J206" s="207">
        <f>IF(J$190&lt;=Exit_Date,J163,0)</f>
        <v>265089.99204553082</v>
      </c>
      <c r="K206" s="207"/>
    </row>
    <row r="207" spans="3:11" outlineLevel="1" x14ac:dyDescent="0.25">
      <c r="C207" s="74" t="s">
        <v>191</v>
      </c>
      <c r="D207" s="36" t="s">
        <v>101</v>
      </c>
      <c r="E207" s="57"/>
      <c r="F207" s="207"/>
      <c r="G207" s="208">
        <f>IF(G$190=Exit_Date,-MAX(0,MIN(G175,SUM(G$203:G206))),0)</f>
        <v>0</v>
      </c>
      <c r="H207" s="208">
        <f>IF(H$190=Exit_Date,-MAX(0,MIN(H175,SUM(H$203:H206))),0)</f>
        <v>0</v>
      </c>
      <c r="I207" s="208">
        <f>IF(I$190=Exit_Date,-MAX(0,MIN(I175,SUM(I$203:I206))),0)</f>
        <v>0</v>
      </c>
      <c r="J207" s="208">
        <f>IF(J$190=Exit_Date,-MAX(0,MIN(J175,SUM(J$203:J206))),0)</f>
        <v>-14426533.333333332</v>
      </c>
      <c r="K207" s="208"/>
    </row>
    <row r="208" spans="3:11" outlineLevel="1" x14ac:dyDescent="0.25">
      <c r="C208" s="74" t="s">
        <v>192</v>
      </c>
      <c r="D208" s="36" t="s">
        <v>101</v>
      </c>
      <c r="E208" s="57"/>
      <c r="F208" s="207"/>
      <c r="G208" s="208">
        <f>IF(G$190=Exit_Date,-MAX(0,MIN(G169,SUM(G$203:G207))),0)</f>
        <v>0</v>
      </c>
      <c r="H208" s="208">
        <f>IF(H$190=Exit_Date,-MAX(0,MIN(H169,SUM(H$203:H207))),0)</f>
        <v>0</v>
      </c>
      <c r="I208" s="208">
        <f>IF(I$190=Exit_Date,-MAX(0,MIN(I169,SUM(I$203:I207))),0)</f>
        <v>0</v>
      </c>
      <c r="J208" s="208">
        <f>IF(J$190=Exit_Date,-MAX(0,MIN(J169,SUM(J$203:J207))),0)</f>
        <v>-3002170.2108800001</v>
      </c>
      <c r="K208" s="208"/>
    </row>
    <row r="209" spans="2:11" outlineLevel="1" x14ac:dyDescent="0.25">
      <c r="C209" s="74" t="s">
        <v>193</v>
      </c>
      <c r="D209" s="36" t="s">
        <v>101</v>
      </c>
      <c r="E209" s="57"/>
      <c r="F209" s="207"/>
      <c r="G209" s="208">
        <f>IF(G$190&lt;Senior_Loan_Maturity,-MAX(0,MIN(-Loan_Prepay_Penalty*G207,SUM(G$203:G208))),0)</f>
        <v>0</v>
      </c>
      <c r="H209" s="208">
        <f>IF(H$190&lt;Senior_Loan_Maturity,-MAX(0,MIN(-Loan_Prepay_Penalty*H207,SUM(H$203:H208))),0)</f>
        <v>0</v>
      </c>
      <c r="I209" s="208">
        <f>IF(I$190&lt;Senior_Loan_Maturity,-MAX(0,MIN(-Loan_Prepay_Penalty*I207,SUM(I$203:I208))),0)</f>
        <v>0</v>
      </c>
      <c r="J209" s="208">
        <f>IF(J$190&lt;Senior_Loan_Maturity,-MAX(0,MIN(-Loan_Prepay_Penalty*J207,SUM(J$203:J208))),0)</f>
        <v>-144265.33333333331</v>
      </c>
      <c r="K209" s="208"/>
    </row>
    <row r="210" spans="2:11" outlineLevel="1" x14ac:dyDescent="0.25">
      <c r="C210" s="74" t="s">
        <v>194</v>
      </c>
      <c r="D210" s="130" t="s">
        <v>101</v>
      </c>
      <c r="E210" s="57"/>
      <c r="F210" s="207"/>
      <c r="G210" s="208">
        <f>IF(G$190&lt;Mezz_Maturity,-MAX(0,MIN(-Loan_Prepay_Penalty*G208,SUM(G$203:G209))),0)</f>
        <v>0</v>
      </c>
      <c r="H210" s="208">
        <f>IF(H$190&lt;Mezz_Maturity,-MAX(0,MIN(-Loan_Prepay_Penalty*H208,SUM(H$203:H209))),0)</f>
        <v>0</v>
      </c>
      <c r="I210" s="208">
        <f>IF(I$190&lt;Mezz_Maturity,-MAX(0,MIN(-Loan_Prepay_Penalty*I208,SUM(I$203:I209))),0)</f>
        <v>0</v>
      </c>
      <c r="J210" s="208">
        <f>IF(J$190&lt;Mezz_Maturity,-MAX(0,MIN(-Loan_Prepay_Penalty*J208,SUM(J$203:J209))),0)</f>
        <v>-30021.702108800004</v>
      </c>
      <c r="K210" s="208"/>
    </row>
    <row r="211" spans="2:11" outlineLevel="1" x14ac:dyDescent="0.25">
      <c r="C211" s="29" t="s">
        <v>206</v>
      </c>
      <c r="D211" s="36" t="s">
        <v>101</v>
      </c>
      <c r="E211" s="209"/>
      <c r="F211" s="210">
        <f>SUM(F202:F210)</f>
        <v>-6328350</v>
      </c>
      <c r="G211" s="210">
        <f>SUM(G202:G210)</f>
        <v>607410.33295993856</v>
      </c>
      <c r="H211" s="210">
        <f t="shared" ref="H211:J211" si="34">SUM(H202:H210)</f>
        <v>653869.6216268033</v>
      </c>
      <c r="I211" s="210">
        <f t="shared" si="34"/>
        <v>-335394.23916708073</v>
      </c>
      <c r="J211" s="210">
        <f t="shared" si="34"/>
        <v>17250126.3764355</v>
      </c>
      <c r="K211" s="219"/>
    </row>
    <row r="212" spans="2:11" outlineLevel="1" x14ac:dyDescent="0.25">
      <c r="C212" s="44"/>
      <c r="D212" s="56"/>
      <c r="E212" s="44"/>
      <c r="F212" s="211"/>
      <c r="G212" s="57"/>
      <c r="H212" s="57"/>
      <c r="I212" s="57"/>
      <c r="J212" s="57"/>
      <c r="K212" s="57"/>
    </row>
    <row r="213" spans="2:11" outlineLevel="1" x14ac:dyDescent="0.25">
      <c r="C213" s="212" t="s">
        <v>10</v>
      </c>
      <c r="D213" s="213" t="s">
        <v>16</v>
      </c>
      <c r="E213" s="214"/>
      <c r="F213" s="215">
        <f>IRR(F211:J211)</f>
        <v>0.32243698335723714</v>
      </c>
      <c r="G213" s="57"/>
      <c r="H213" s="57"/>
      <c r="I213" s="57"/>
      <c r="J213" s="57"/>
      <c r="K213" s="57"/>
    </row>
    <row r="214" spans="2:11" outlineLevel="1" x14ac:dyDescent="0.25">
      <c r="C214" s="216"/>
      <c r="D214" s="217"/>
      <c r="E214" s="216"/>
      <c r="F214" s="216"/>
      <c r="G214" s="216"/>
      <c r="H214" s="216"/>
      <c r="I214" s="216"/>
      <c r="J214" s="216"/>
      <c r="K214" s="216"/>
    </row>
    <row r="215" spans="2:11" outlineLevel="1" x14ac:dyDescent="0.25">
      <c r="C215" s="150" t="s">
        <v>195</v>
      </c>
      <c r="D215" s="36" t="s">
        <v>101</v>
      </c>
      <c r="E215" s="216"/>
      <c r="F215" s="57">
        <f>SUM(F203:J210)</f>
        <v>18176012.091855157</v>
      </c>
      <c r="G215" s="216"/>
      <c r="H215" s="216"/>
      <c r="I215" s="216"/>
      <c r="J215" s="216"/>
      <c r="K215" s="216"/>
    </row>
    <row r="216" spans="2:11" outlineLevel="1" x14ac:dyDescent="0.25">
      <c r="C216" s="150" t="s">
        <v>46</v>
      </c>
      <c r="D216" s="36" t="s">
        <v>101</v>
      </c>
      <c r="E216" s="216"/>
      <c r="F216" s="57">
        <f>-SUM(F202:J202)</f>
        <v>6328350</v>
      </c>
      <c r="G216" s="216"/>
      <c r="H216" s="216"/>
      <c r="I216" s="216"/>
      <c r="J216" s="216"/>
      <c r="K216" s="216"/>
    </row>
    <row r="217" spans="2:11" outlineLevel="1" x14ac:dyDescent="0.25">
      <c r="C217" s="150" t="s">
        <v>47</v>
      </c>
      <c r="D217" s="36" t="s">
        <v>43</v>
      </c>
      <c r="E217" s="216"/>
      <c r="F217" s="218">
        <f>+F215/F216</f>
        <v>2.8721565798122981</v>
      </c>
      <c r="G217" s="216"/>
      <c r="H217" s="216"/>
      <c r="I217" s="216"/>
      <c r="J217" s="216"/>
      <c r="K217" s="216"/>
    </row>
    <row r="218" spans="2:11" x14ac:dyDescent="0.25">
      <c r="C218" s="52"/>
      <c r="D218" s="52"/>
      <c r="E218" s="52"/>
      <c r="F218" s="52"/>
      <c r="G218" s="52"/>
      <c r="H218" s="52"/>
      <c r="I218" s="52"/>
      <c r="J218" s="52"/>
      <c r="K218" s="52"/>
    </row>
    <row r="219" spans="2:11" x14ac:dyDescent="0.25">
      <c r="B219" s="39"/>
      <c r="C219" s="39"/>
      <c r="D219" s="40"/>
      <c r="E219" s="39"/>
      <c r="F219" s="41" t="str">
        <f>$F$64</f>
        <v>Historical:</v>
      </c>
      <c r="G219" s="143" t="str">
        <f>$G$64</f>
        <v>Projected:</v>
      </c>
      <c r="H219" s="41"/>
      <c r="I219" s="41"/>
      <c r="J219" s="41"/>
      <c r="K219" s="52"/>
    </row>
    <row r="220" spans="2:11" x14ac:dyDescent="0.25">
      <c r="B220" s="42" t="s">
        <v>225</v>
      </c>
      <c r="C220" s="42"/>
      <c r="D220" s="30" t="str">
        <f>+$D$5</f>
        <v>Units:</v>
      </c>
      <c r="E220" s="42"/>
      <c r="F220" s="111">
        <f>$F$65</f>
        <v>43465</v>
      </c>
      <c r="G220" s="160">
        <f>$G$65</f>
        <v>43830</v>
      </c>
      <c r="H220" s="111">
        <f>$H$65</f>
        <v>44196</v>
      </c>
      <c r="I220" s="43">
        <f>$I$65</f>
        <v>44561</v>
      </c>
      <c r="J220" s="43">
        <f>$J$65</f>
        <v>44926</v>
      </c>
      <c r="K220" s="52"/>
    </row>
    <row r="221" spans="2:11" outlineLevel="1" x14ac:dyDescent="0.25">
      <c r="C221" s="52"/>
      <c r="D221" s="52"/>
      <c r="E221" s="52"/>
      <c r="F221" s="242"/>
      <c r="G221" s="52"/>
      <c r="H221" s="52"/>
      <c r="I221" s="52"/>
      <c r="J221" s="52"/>
      <c r="K221" s="52"/>
    </row>
    <row r="222" spans="2:11" outlineLevel="1" x14ac:dyDescent="0.25">
      <c r="C222" s="180" t="s">
        <v>226</v>
      </c>
      <c r="D222" s="36" t="s">
        <v>101</v>
      </c>
      <c r="E222" s="52"/>
      <c r="F222" s="242">
        <f>-E57</f>
        <v>-12177000</v>
      </c>
      <c r="G222" s="249">
        <f>IF(G$220&lt;=Exit_Date,-G166,0)</f>
        <v>-960750</v>
      </c>
      <c r="H222" s="249">
        <f>IF(H$220&lt;=Exit_Date,-H166,0)</f>
        <v>-1921500</v>
      </c>
      <c r="I222" s="249">
        <f>IF(I$220&lt;=Exit_Date,-I166,0)</f>
        <v>-397750</v>
      </c>
      <c r="J222" s="249">
        <f>IF(J$220&lt;=Exit_Date,-J166,0)</f>
        <v>0</v>
      </c>
      <c r="K222" s="52"/>
    </row>
    <row r="223" spans="2:11" outlineLevel="1" x14ac:dyDescent="0.25">
      <c r="C223" s="180" t="s">
        <v>227</v>
      </c>
      <c r="D223" s="36" t="s">
        <v>101</v>
      </c>
      <c r="E223" s="52"/>
      <c r="F223" s="243"/>
      <c r="G223" s="243">
        <f>IF(G$220&lt;=Exit_Date,-G159,0)</f>
        <v>911963</v>
      </c>
      <c r="H223" s="243">
        <f>IF(H$220&lt;=Exit_Date,-H159,0)</f>
        <v>958334</v>
      </c>
      <c r="I223" s="243">
        <f>IF(I$220&lt;=Exit_Date,-I159,0)</f>
        <v>1004705</v>
      </c>
      <c r="J223" s="243">
        <f>IF(J$220&lt;=Exit_Date,-J159,0)</f>
        <v>1016040.1333333334</v>
      </c>
      <c r="K223" s="52"/>
    </row>
    <row r="224" spans="2:11" outlineLevel="1" x14ac:dyDescent="0.25">
      <c r="C224" s="180" t="s">
        <v>228</v>
      </c>
      <c r="D224" s="36" t="s">
        <v>101</v>
      </c>
      <c r="E224" s="52"/>
      <c r="F224" s="243"/>
      <c r="G224" s="243">
        <f>IF(G$220&lt;=Exit_Date,-G161,0)</f>
        <v>0</v>
      </c>
      <c r="H224" s="243">
        <f>IF(H$220&lt;=Exit_Date,-H161,0)</f>
        <v>0</v>
      </c>
      <c r="I224" s="243">
        <f>IF(I$220&lt;=Exit_Date,-I161,0)</f>
        <v>515233.33333333331</v>
      </c>
      <c r="J224" s="243">
        <f>IF(J$220&lt;=Exit_Date,-J161,0)</f>
        <v>515233.33333333331</v>
      </c>
      <c r="K224" s="52"/>
    </row>
    <row r="225" spans="2:11" outlineLevel="1" x14ac:dyDescent="0.25">
      <c r="C225" s="180" t="s">
        <v>229</v>
      </c>
      <c r="D225" s="36" t="s">
        <v>101</v>
      </c>
      <c r="E225" s="52"/>
      <c r="F225" s="243">
        <f>+Senior_Loan_Balance*Loan_Issuance_Fees</f>
        <v>154570</v>
      </c>
      <c r="G225" s="204">
        <v>0</v>
      </c>
      <c r="H225" s="302">
        <f>+G225</f>
        <v>0</v>
      </c>
      <c r="I225" s="302">
        <f t="shared" ref="I225:J225" si="35">+H225</f>
        <v>0</v>
      </c>
      <c r="J225" s="302">
        <f t="shared" si="35"/>
        <v>0</v>
      </c>
      <c r="K225" s="52"/>
    </row>
    <row r="226" spans="2:11" outlineLevel="1" x14ac:dyDescent="0.25">
      <c r="C226" s="180" t="s">
        <v>230</v>
      </c>
      <c r="D226" s="36" t="s">
        <v>101</v>
      </c>
      <c r="E226" s="52"/>
      <c r="F226" s="243"/>
      <c r="G226" s="243">
        <f>-G207</f>
        <v>0</v>
      </c>
      <c r="H226" s="243">
        <f t="shared" ref="H226:J226" si="36">-H207</f>
        <v>0</v>
      </c>
      <c r="I226" s="243">
        <f t="shared" si="36"/>
        <v>0</v>
      </c>
      <c r="J226" s="243">
        <f t="shared" si="36"/>
        <v>14426533.333333332</v>
      </c>
      <c r="K226" s="52"/>
    </row>
    <row r="227" spans="2:11" outlineLevel="1" x14ac:dyDescent="0.25">
      <c r="C227" s="240" t="s">
        <v>231</v>
      </c>
      <c r="D227" s="130" t="s">
        <v>101</v>
      </c>
      <c r="E227" s="244"/>
      <c r="F227" s="245"/>
      <c r="G227" s="245">
        <f>-G209</f>
        <v>0</v>
      </c>
      <c r="H227" s="245">
        <f t="shared" ref="H227:J227" si="37">-H209</f>
        <v>0</v>
      </c>
      <c r="I227" s="245">
        <f t="shared" si="37"/>
        <v>0</v>
      </c>
      <c r="J227" s="245">
        <f t="shared" si="37"/>
        <v>144265.33333333331</v>
      </c>
      <c r="K227" s="52"/>
    </row>
    <row r="228" spans="2:11" outlineLevel="1" x14ac:dyDescent="0.25">
      <c r="C228" s="241" t="s">
        <v>232</v>
      </c>
      <c r="D228" s="36" t="s">
        <v>101</v>
      </c>
      <c r="E228" s="52"/>
      <c r="F228" s="246">
        <f>SUM(F222:F227)</f>
        <v>-12022430</v>
      </c>
      <c r="G228" s="246">
        <f t="shared" ref="G228:J228" si="38">SUM(G222:G227)</f>
        <v>-48787</v>
      </c>
      <c r="H228" s="246">
        <f t="shared" si="38"/>
        <v>-963166</v>
      </c>
      <c r="I228" s="246">
        <f t="shared" si="38"/>
        <v>1122188.3333333333</v>
      </c>
      <c r="J228" s="246">
        <f t="shared" si="38"/>
        <v>16102072.133333333</v>
      </c>
      <c r="K228" s="52"/>
    </row>
    <row r="229" spans="2:11" outlineLevel="1" x14ac:dyDescent="0.25">
      <c r="C229" s="52"/>
      <c r="D229" s="52"/>
      <c r="E229" s="52"/>
      <c r="F229" s="52"/>
      <c r="G229" s="52"/>
      <c r="H229" s="52"/>
      <c r="I229" s="52"/>
      <c r="J229" s="52"/>
      <c r="K229" s="52"/>
    </row>
    <row r="230" spans="2:11" outlineLevel="1" x14ac:dyDescent="0.25">
      <c r="C230" s="212" t="s">
        <v>10</v>
      </c>
      <c r="D230" s="213" t="s">
        <v>16</v>
      </c>
      <c r="E230" s="214"/>
      <c r="F230" s="215">
        <f>IRR(F228:J228)</f>
        <v>7.6298583687157029E-2</v>
      </c>
      <c r="G230" s="52"/>
      <c r="H230" s="52"/>
      <c r="I230" s="52"/>
      <c r="J230" s="52"/>
      <c r="K230" s="52"/>
    </row>
    <row r="231" spans="2:11" outlineLevel="1" x14ac:dyDescent="0.25">
      <c r="C231" s="216"/>
      <c r="D231" s="217"/>
      <c r="E231" s="216"/>
      <c r="F231" s="216"/>
      <c r="G231" s="52"/>
      <c r="H231" s="52"/>
      <c r="I231" s="52"/>
      <c r="J231" s="52"/>
      <c r="K231" s="52"/>
    </row>
    <row r="232" spans="2:11" outlineLevel="1" x14ac:dyDescent="0.25">
      <c r="C232" s="150" t="s">
        <v>233</v>
      </c>
      <c r="D232" s="36" t="s">
        <v>16</v>
      </c>
      <c r="E232" s="216"/>
      <c r="F232" s="248">
        <f>-((SUM(F224:J224)+SUM(F226:J226))/SUM(F222:J222))</f>
        <v>0.99999999999999989</v>
      </c>
      <c r="G232" s="52"/>
      <c r="H232" s="52"/>
      <c r="I232" s="52"/>
      <c r="J232" s="52"/>
      <c r="K232" s="52"/>
    </row>
    <row r="233" spans="2:11" outlineLevel="1" x14ac:dyDescent="0.25">
      <c r="C233" s="150" t="s">
        <v>234</v>
      </c>
      <c r="D233" s="36" t="s">
        <v>101</v>
      </c>
      <c r="E233" s="216"/>
      <c r="F233" s="57">
        <f>SUM(F223:J227)</f>
        <v>19646877.466666665</v>
      </c>
      <c r="G233" s="52"/>
      <c r="H233" s="52"/>
      <c r="I233" s="52"/>
      <c r="J233" s="52"/>
      <c r="K233" s="52"/>
    </row>
    <row r="234" spans="2:11" outlineLevel="1" x14ac:dyDescent="0.25">
      <c r="C234" s="150" t="s">
        <v>235</v>
      </c>
      <c r="D234" s="36" t="s">
        <v>101</v>
      </c>
      <c r="E234" s="216"/>
      <c r="F234" s="57">
        <f>-SUM(F222:J222)</f>
        <v>15457000</v>
      </c>
      <c r="G234" s="52"/>
      <c r="H234" s="52"/>
      <c r="I234" s="52"/>
      <c r="J234" s="52"/>
      <c r="K234" s="52"/>
    </row>
    <row r="235" spans="2:11" outlineLevel="1" x14ac:dyDescent="0.25">
      <c r="C235" s="150" t="s">
        <v>47</v>
      </c>
      <c r="D235" s="36" t="s">
        <v>43</v>
      </c>
      <c r="E235" s="216"/>
      <c r="F235" s="218">
        <f>+F233/F234</f>
        <v>1.2710666666666666</v>
      </c>
      <c r="G235" s="52"/>
      <c r="H235" s="52"/>
      <c r="I235" s="52"/>
      <c r="J235" s="52"/>
      <c r="K235" s="52"/>
    </row>
    <row r="236" spans="2:11" x14ac:dyDescent="0.25">
      <c r="C236" s="52"/>
      <c r="D236" s="52"/>
      <c r="E236" s="52"/>
      <c r="F236" s="52"/>
      <c r="G236" s="52"/>
      <c r="H236" s="52"/>
      <c r="I236" s="52"/>
      <c r="J236" s="52"/>
      <c r="K236" s="52"/>
    </row>
    <row r="237" spans="2:11" x14ac:dyDescent="0.25">
      <c r="B237" s="39"/>
      <c r="C237" s="39"/>
      <c r="D237" s="40"/>
      <c r="E237" s="39"/>
      <c r="F237" s="41" t="str">
        <f>$F$64</f>
        <v>Historical:</v>
      </c>
      <c r="G237" s="143" t="str">
        <f>$G$64</f>
        <v>Projected:</v>
      </c>
      <c r="H237" s="41"/>
      <c r="I237" s="41"/>
      <c r="J237" s="41"/>
      <c r="K237" s="52"/>
    </row>
    <row r="238" spans="2:11" x14ac:dyDescent="0.25">
      <c r="B238" s="42" t="s">
        <v>236</v>
      </c>
      <c r="C238" s="42"/>
      <c r="D238" s="30" t="str">
        <f>+$D$5</f>
        <v>Units:</v>
      </c>
      <c r="E238" s="42"/>
      <c r="F238" s="111">
        <f>$F$65</f>
        <v>43465</v>
      </c>
      <c r="G238" s="160">
        <f>$G$65</f>
        <v>43830</v>
      </c>
      <c r="H238" s="111">
        <f>$H$65</f>
        <v>44196</v>
      </c>
      <c r="I238" s="43">
        <f>$I$65</f>
        <v>44561</v>
      </c>
      <c r="J238" s="43">
        <f>$J$65</f>
        <v>44926</v>
      </c>
      <c r="K238" s="52"/>
    </row>
    <row r="239" spans="2:11" outlineLevel="1" x14ac:dyDescent="0.25">
      <c r="C239" s="52"/>
      <c r="D239" s="52"/>
      <c r="E239" s="52"/>
      <c r="F239" s="52"/>
      <c r="G239" s="52"/>
      <c r="H239" s="52"/>
      <c r="I239" s="52"/>
      <c r="J239" s="52"/>
      <c r="K239" s="52"/>
    </row>
    <row r="240" spans="2:11" outlineLevel="1" x14ac:dyDescent="0.25">
      <c r="C240" s="180" t="s">
        <v>237</v>
      </c>
      <c r="D240" s="36" t="s">
        <v>101</v>
      </c>
      <c r="E240" s="52"/>
      <c r="F240" s="242">
        <f>-E58</f>
        <v>-2378000</v>
      </c>
      <c r="G240" s="204">
        <v>0</v>
      </c>
      <c r="H240" s="206">
        <f>+G240</f>
        <v>0</v>
      </c>
      <c r="I240" s="206">
        <f t="shared" ref="I240:J240" si="39">+H240</f>
        <v>0</v>
      </c>
      <c r="J240" s="206">
        <f t="shared" si="39"/>
        <v>0</v>
      </c>
      <c r="K240" s="206"/>
    </row>
    <row r="241" spans="2:11" outlineLevel="1" x14ac:dyDescent="0.25">
      <c r="C241" s="180" t="s">
        <v>227</v>
      </c>
      <c r="D241" s="36" t="s">
        <v>101</v>
      </c>
      <c r="E241" s="52"/>
      <c r="F241" s="243"/>
      <c r="G241" s="243">
        <f>IF(G$238&lt;=Exit_Date,-G160,0)</f>
        <v>71340</v>
      </c>
      <c r="H241" s="243">
        <f>IF(H$238&lt;=Exit_Date,-H160,0)</f>
        <v>75620.399999999994</v>
      </c>
      <c r="I241" s="243">
        <f>IF(I$238&lt;=Exit_Date,-I160,0)</f>
        <v>80157.623999999996</v>
      </c>
      <c r="J241" s="243">
        <f>IF(J$238&lt;=Exit_Date,-J160,0)</f>
        <v>84967.081439999994</v>
      </c>
      <c r="K241" s="243"/>
    </row>
    <row r="242" spans="2:11" outlineLevel="1" x14ac:dyDescent="0.25">
      <c r="C242" s="180" t="s">
        <v>238</v>
      </c>
      <c r="D242" s="36" t="s">
        <v>101</v>
      </c>
      <c r="E242" s="52"/>
      <c r="F242" s="243">
        <f>Mezz_Balance*Loan_Issuance_Fees</f>
        <v>23780</v>
      </c>
      <c r="G242" s="204">
        <v>0</v>
      </c>
      <c r="H242" s="206">
        <f>+G242</f>
        <v>0</v>
      </c>
      <c r="I242" s="206">
        <f t="shared" ref="I242:J242" si="40">+H242</f>
        <v>0</v>
      </c>
      <c r="J242" s="206">
        <f t="shared" si="40"/>
        <v>0</v>
      </c>
      <c r="K242" s="206"/>
    </row>
    <row r="243" spans="2:11" outlineLevel="1" x14ac:dyDescent="0.25">
      <c r="C243" s="180" t="s">
        <v>239</v>
      </c>
      <c r="D243" s="36" t="s">
        <v>101</v>
      </c>
      <c r="E243" s="52"/>
      <c r="F243" s="243"/>
      <c r="G243" s="243">
        <f>-G208</f>
        <v>0</v>
      </c>
      <c r="H243" s="243">
        <f t="shared" ref="H243:J243" si="41">-H208</f>
        <v>0</v>
      </c>
      <c r="I243" s="243">
        <f t="shared" si="41"/>
        <v>0</v>
      </c>
      <c r="J243" s="243">
        <f t="shared" si="41"/>
        <v>3002170.2108800001</v>
      </c>
      <c r="K243" s="243"/>
    </row>
    <row r="244" spans="2:11" outlineLevel="1" x14ac:dyDescent="0.25">
      <c r="C244" s="240" t="s">
        <v>240</v>
      </c>
      <c r="D244" s="130" t="s">
        <v>101</v>
      </c>
      <c r="E244" s="244"/>
      <c r="F244" s="245"/>
      <c r="G244" s="245">
        <f>-G210</f>
        <v>0</v>
      </c>
      <c r="H244" s="245">
        <f t="shared" ref="H244:J244" si="42">-H210</f>
        <v>0</v>
      </c>
      <c r="I244" s="245">
        <f t="shared" si="42"/>
        <v>0</v>
      </c>
      <c r="J244" s="245">
        <f t="shared" si="42"/>
        <v>30021.702108800004</v>
      </c>
      <c r="K244" s="57"/>
    </row>
    <row r="245" spans="2:11" outlineLevel="1" x14ac:dyDescent="0.25">
      <c r="C245" s="241" t="s">
        <v>241</v>
      </c>
      <c r="D245" s="36" t="s">
        <v>101</v>
      </c>
      <c r="E245" s="52"/>
      <c r="F245" s="246">
        <f>SUM(F240:F244)</f>
        <v>-2354220</v>
      </c>
      <c r="G245" s="246">
        <f>SUM(G240:G244)</f>
        <v>71340</v>
      </c>
      <c r="H245" s="246">
        <f>SUM(H240:H244)</f>
        <v>75620.399999999994</v>
      </c>
      <c r="I245" s="246">
        <f t="shared" ref="I245:J245" si="43">SUM(I240:I244)</f>
        <v>80157.623999999996</v>
      </c>
      <c r="J245" s="246">
        <f t="shared" si="43"/>
        <v>3117158.9944288</v>
      </c>
      <c r="K245" s="247"/>
    </row>
    <row r="246" spans="2:11" outlineLevel="1" x14ac:dyDescent="0.25">
      <c r="C246" s="52"/>
      <c r="D246" s="52"/>
      <c r="E246" s="52"/>
      <c r="F246" s="52"/>
      <c r="G246" s="52"/>
      <c r="H246" s="52"/>
      <c r="I246" s="52"/>
      <c r="J246" s="52"/>
      <c r="K246" s="52"/>
    </row>
    <row r="247" spans="2:11" outlineLevel="1" x14ac:dyDescent="0.25">
      <c r="C247" s="212" t="s">
        <v>10</v>
      </c>
      <c r="D247" s="213" t="s">
        <v>16</v>
      </c>
      <c r="E247" s="214"/>
      <c r="F247" s="215">
        <f>IRR(F245:J245)</f>
        <v>9.5395753648412462E-2</v>
      </c>
      <c r="G247" s="52"/>
      <c r="H247" s="52"/>
      <c r="I247" s="52"/>
      <c r="J247" s="52"/>
      <c r="K247" s="52"/>
    </row>
    <row r="248" spans="2:11" outlineLevel="1" x14ac:dyDescent="0.25">
      <c r="C248" s="216"/>
      <c r="D248" s="217"/>
      <c r="E248" s="216"/>
      <c r="F248" s="216"/>
      <c r="G248" s="52"/>
      <c r="H248" s="52"/>
      <c r="I248" s="52"/>
      <c r="J248" s="52"/>
      <c r="K248" s="52"/>
    </row>
    <row r="249" spans="2:11" outlineLevel="1" x14ac:dyDescent="0.25">
      <c r="C249" s="150" t="s">
        <v>233</v>
      </c>
      <c r="D249" s="36" t="s">
        <v>16</v>
      </c>
      <c r="E249" s="216"/>
      <c r="F249" s="248">
        <f>SUM(G243:J243)/INDEX($F$125:$J$169,ROWS($F$125:$F$169),MATCH(Exit_Date,$F$125:$J$125,0))</f>
        <v>1</v>
      </c>
      <c r="G249" s="52"/>
      <c r="H249" s="52"/>
      <c r="I249" s="52"/>
      <c r="J249" s="52"/>
      <c r="K249" s="52"/>
    </row>
    <row r="250" spans="2:11" outlineLevel="1" x14ac:dyDescent="0.25">
      <c r="C250" s="150" t="s">
        <v>234</v>
      </c>
      <c r="D250" s="36" t="s">
        <v>101</v>
      </c>
      <c r="E250" s="216"/>
      <c r="F250" s="57">
        <f>SUM(F241:J244)</f>
        <v>3368057.0184288002</v>
      </c>
      <c r="G250" s="52"/>
      <c r="H250" s="52"/>
      <c r="I250" s="52"/>
      <c r="J250" s="52"/>
      <c r="K250" s="52"/>
    </row>
    <row r="251" spans="2:11" outlineLevel="1" x14ac:dyDescent="0.25">
      <c r="C251" s="150" t="s">
        <v>235</v>
      </c>
      <c r="D251" s="36" t="s">
        <v>101</v>
      </c>
      <c r="E251" s="216"/>
      <c r="F251" s="57">
        <f>-SUM(F240:J240)</f>
        <v>2378000</v>
      </c>
      <c r="G251" s="52"/>
      <c r="H251" s="52"/>
      <c r="I251" s="52"/>
      <c r="J251" s="52"/>
      <c r="K251" s="52"/>
    </row>
    <row r="252" spans="2:11" outlineLevel="1" x14ac:dyDescent="0.25">
      <c r="C252" s="150" t="s">
        <v>47</v>
      </c>
      <c r="D252" s="36" t="s">
        <v>43</v>
      </c>
      <c r="E252" s="216"/>
      <c r="F252" s="218">
        <f>+F250/F251</f>
        <v>1.4163402096000002</v>
      </c>
      <c r="G252" s="52"/>
      <c r="H252" s="52"/>
      <c r="I252" s="52"/>
      <c r="J252" s="52"/>
      <c r="K252" s="52"/>
    </row>
    <row r="253" spans="2:11" x14ac:dyDescent="0.25">
      <c r="C253" s="52"/>
      <c r="D253" s="52"/>
      <c r="E253" s="52"/>
      <c r="F253" s="52"/>
      <c r="G253" s="52"/>
      <c r="H253" s="52"/>
      <c r="I253" s="52"/>
      <c r="J253" s="52"/>
      <c r="K253" s="52"/>
    </row>
    <row r="254" spans="2:11" x14ac:dyDescent="0.25">
      <c r="B254" s="39"/>
      <c r="C254" s="40"/>
      <c r="D254" s="40"/>
      <c r="E254" s="39"/>
      <c r="F254" s="41" t="str">
        <f>$F$64</f>
        <v>Historical:</v>
      </c>
      <c r="G254" s="143" t="str">
        <f>$G$64</f>
        <v>Projected:</v>
      </c>
      <c r="H254" s="41"/>
      <c r="I254" s="41"/>
      <c r="J254" s="41"/>
    </row>
    <row r="255" spans="2:11" x14ac:dyDescent="0.25">
      <c r="B255" s="42" t="s">
        <v>222</v>
      </c>
      <c r="C255" s="222"/>
      <c r="D255" s="30" t="str">
        <f>+$D$5</f>
        <v>Units:</v>
      </c>
      <c r="E255" s="42"/>
      <c r="F255" s="111">
        <f>$F$65</f>
        <v>43465</v>
      </c>
      <c r="G255" s="160">
        <f>$G$65</f>
        <v>43830</v>
      </c>
      <c r="H255" s="111">
        <f>$H$65</f>
        <v>44196</v>
      </c>
      <c r="I255" s="43">
        <f>$I$65</f>
        <v>44561</v>
      </c>
      <c r="J255" s="43">
        <f>$J$65</f>
        <v>44926</v>
      </c>
    </row>
    <row r="256" spans="2:11" outlineLevel="1" x14ac:dyDescent="0.25"/>
    <row r="257" spans="3:10" outlineLevel="1" x14ac:dyDescent="0.25">
      <c r="C257" s="230" t="s">
        <v>41</v>
      </c>
    </row>
    <row r="258" spans="3:10" outlineLevel="1" x14ac:dyDescent="0.25">
      <c r="C258" s="68" t="s">
        <v>207</v>
      </c>
      <c r="D258" s="36" t="s">
        <v>101</v>
      </c>
      <c r="F258" s="233">
        <f>MIN(F211,0)</f>
        <v>-6328350</v>
      </c>
      <c r="G258" s="233">
        <f t="shared" ref="G258:J258" si="44">MIN(G211,0)</f>
        <v>0</v>
      </c>
      <c r="H258" s="233">
        <f t="shared" si="44"/>
        <v>0</v>
      </c>
      <c r="I258" s="233">
        <f t="shared" si="44"/>
        <v>-335394.23916708073</v>
      </c>
      <c r="J258" s="233">
        <f t="shared" si="44"/>
        <v>0</v>
      </c>
    </row>
    <row r="259" spans="3:10" outlineLevel="1" x14ac:dyDescent="0.25">
      <c r="C259" s="225" t="s">
        <v>208</v>
      </c>
      <c r="D259" s="130" t="s">
        <v>101</v>
      </c>
      <c r="E259" s="227"/>
      <c r="F259" s="234">
        <f>MAX(F211,0)</f>
        <v>0</v>
      </c>
      <c r="G259" s="234">
        <f t="shared" ref="G259:J259" si="45">MAX(G211,0)</f>
        <v>607410.33295993856</v>
      </c>
      <c r="H259" s="234">
        <f t="shared" si="45"/>
        <v>653869.6216268033</v>
      </c>
      <c r="I259" s="234">
        <f t="shared" si="45"/>
        <v>0</v>
      </c>
      <c r="J259" s="234">
        <f t="shared" si="45"/>
        <v>17250126.3764355</v>
      </c>
    </row>
    <row r="260" spans="3:10" outlineLevel="1" x14ac:dyDescent="0.25">
      <c r="C260" s="226" t="s">
        <v>209</v>
      </c>
      <c r="D260" s="36" t="s">
        <v>101</v>
      </c>
      <c r="F260" s="69">
        <f>SUM(F258:F259)</f>
        <v>-6328350</v>
      </c>
      <c r="G260" s="69">
        <f t="shared" ref="G260:J260" si="46">SUM(G258:G259)</f>
        <v>607410.33295993856</v>
      </c>
      <c r="H260" s="69">
        <f t="shared" si="46"/>
        <v>653869.6216268033</v>
      </c>
      <c r="I260" s="69">
        <f t="shared" si="46"/>
        <v>-335394.23916708073</v>
      </c>
      <c r="J260" s="69">
        <f t="shared" si="46"/>
        <v>17250126.3764355</v>
      </c>
    </row>
    <row r="261" spans="3:10" outlineLevel="1" x14ac:dyDescent="0.25">
      <c r="I261" s="201"/>
    </row>
    <row r="262" spans="3:10" outlineLevel="1" x14ac:dyDescent="0.25">
      <c r="C262" s="223" t="str">
        <f>"Limited Partners - Preferred Return of "&amp;TEXT(LP_Pref_Return,"0.0%")&amp;":"</f>
        <v>Limited Partners - Preferred Return of 8.0%:</v>
      </c>
      <c r="D262" s="224"/>
      <c r="E262" s="224"/>
      <c r="F262" s="224"/>
      <c r="G262" s="224"/>
      <c r="H262" s="224"/>
      <c r="I262" s="224"/>
      <c r="J262" s="224"/>
    </row>
    <row r="263" spans="3:10" outlineLevel="1" x14ac:dyDescent="0.25">
      <c r="C263" s="68" t="s">
        <v>210</v>
      </c>
      <c r="D263" s="36" t="s">
        <v>101</v>
      </c>
      <c r="F263" s="21">
        <v>0</v>
      </c>
      <c r="G263" s="201">
        <f>+F267</f>
        <v>5695515</v>
      </c>
      <c r="H263" s="201">
        <f t="shared" ref="H263:J263" si="47">+G267</f>
        <v>5543745.8670400614</v>
      </c>
      <c r="I263" s="201">
        <f t="shared" si="47"/>
        <v>5333375.9147764631</v>
      </c>
      <c r="J263" s="201">
        <f t="shared" si="47"/>
        <v>6061900.8032089528</v>
      </c>
    </row>
    <row r="264" spans="3:10" outlineLevel="1" x14ac:dyDescent="0.25">
      <c r="C264" s="68" t="s">
        <v>211</v>
      </c>
      <c r="D264" s="36" t="s">
        <v>101</v>
      </c>
      <c r="F264" s="231">
        <f>-F$258*LP_Equity_Pct</f>
        <v>5695515</v>
      </c>
      <c r="G264" s="231">
        <f>-G$258*LP_Equity_Pct</f>
        <v>0</v>
      </c>
      <c r="H264" s="231">
        <f>-H$258*LP_Equity_Pct</f>
        <v>0</v>
      </c>
      <c r="I264" s="231">
        <f>-I$258*LP_Equity_Pct</f>
        <v>301854.81525037269</v>
      </c>
      <c r="J264" s="231">
        <f>-J$258*LP_Equity_Pct</f>
        <v>0</v>
      </c>
    </row>
    <row r="265" spans="3:10" outlineLevel="1" x14ac:dyDescent="0.25">
      <c r="C265" s="235" t="s">
        <v>212</v>
      </c>
      <c r="D265" s="36" t="s">
        <v>101</v>
      </c>
      <c r="E265" s="141">
        <f>LP_Pref_Return</f>
        <v>0.08</v>
      </c>
      <c r="G265" s="201">
        <f>+G263*$E265</f>
        <v>455641.2</v>
      </c>
      <c r="H265" s="201">
        <f t="shared" ref="H265:J265" si="48">+H263*$E265</f>
        <v>443499.66936320491</v>
      </c>
      <c r="I265" s="201">
        <f t="shared" si="48"/>
        <v>426670.07318211708</v>
      </c>
      <c r="J265" s="201">
        <f t="shared" si="48"/>
        <v>484952.06425671623</v>
      </c>
    </row>
    <row r="266" spans="3:10" outlineLevel="1" x14ac:dyDescent="0.25">
      <c r="C266" s="238" t="s">
        <v>215</v>
      </c>
      <c r="D266" s="130" t="s">
        <v>101</v>
      </c>
      <c r="E266" s="227"/>
      <c r="F266" s="227"/>
      <c r="G266" s="201">
        <f>MIN(0,MAX(-(G263+G264+G265),-G260))</f>
        <v>-607410.33295993856</v>
      </c>
      <c r="H266" s="201">
        <f t="shared" ref="H266:J266" si="49">MIN(0,MAX(-(H263+H264+H265),-H260))</f>
        <v>-653869.6216268033</v>
      </c>
      <c r="I266" s="201">
        <f t="shared" si="49"/>
        <v>0</v>
      </c>
      <c r="J266" s="201">
        <f t="shared" si="49"/>
        <v>-6546852.8674656693</v>
      </c>
    </row>
    <row r="267" spans="3:10" outlineLevel="1" x14ac:dyDescent="0.25">
      <c r="C267" s="226" t="s">
        <v>205</v>
      </c>
      <c r="D267" s="36" t="s">
        <v>101</v>
      </c>
      <c r="F267" s="228">
        <f>SUM(F263:F266)</f>
        <v>5695515</v>
      </c>
      <c r="G267" s="228">
        <f t="shared" ref="G267:J267" si="50">SUM(G263:G266)</f>
        <v>5543745.8670400614</v>
      </c>
      <c r="H267" s="228">
        <f t="shared" si="50"/>
        <v>5333375.9147764631</v>
      </c>
      <c r="I267" s="228">
        <f t="shared" si="50"/>
        <v>6061900.8032089528</v>
      </c>
      <c r="J267" s="228">
        <f t="shared" si="50"/>
        <v>0</v>
      </c>
    </row>
    <row r="268" spans="3:10" outlineLevel="1" x14ac:dyDescent="0.25">
      <c r="D268" s="236"/>
      <c r="F268" s="201"/>
      <c r="G268" s="201"/>
      <c r="H268" s="201"/>
      <c r="I268" s="201"/>
      <c r="J268" s="201"/>
    </row>
    <row r="269" spans="3:10" outlineLevel="1" x14ac:dyDescent="0.25">
      <c r="C269" s="229" t="s">
        <v>223</v>
      </c>
      <c r="D269" s="36" t="s">
        <v>101</v>
      </c>
      <c r="G269" s="69">
        <f>MAX(G260+G266,0)</f>
        <v>0</v>
      </c>
      <c r="H269" s="69">
        <f t="shared" ref="H269:J269" si="51">MAX(H260+H266,0)</f>
        <v>0</v>
      </c>
      <c r="I269" s="69">
        <f t="shared" si="51"/>
        <v>0</v>
      </c>
      <c r="J269" s="69">
        <f t="shared" si="51"/>
        <v>10703273.50896983</v>
      </c>
    </row>
    <row r="270" spans="3:10" outlineLevel="1" x14ac:dyDescent="0.25"/>
    <row r="271" spans="3:10" outlineLevel="1" x14ac:dyDescent="0.25">
      <c r="C271" s="223" t="str">
        <f>"General Partners - Catch-Up Return of "&amp;TEXT(GP_Catchup_Return,"0.0%")&amp;":"</f>
        <v>General Partners - Catch-Up Return of 20.0%:</v>
      </c>
      <c r="D271" s="224"/>
      <c r="E271" s="224"/>
      <c r="F271" s="224"/>
      <c r="G271" s="224"/>
      <c r="H271" s="224"/>
      <c r="I271" s="224"/>
      <c r="J271" s="224"/>
    </row>
    <row r="272" spans="3:10" outlineLevel="1" x14ac:dyDescent="0.25">
      <c r="C272" s="68" t="s">
        <v>210</v>
      </c>
      <c r="D272" s="36" t="s">
        <v>101</v>
      </c>
      <c r="F272" s="21">
        <v>0</v>
      </c>
      <c r="G272" s="201">
        <f>+F276</f>
        <v>632835</v>
      </c>
      <c r="H272" s="201">
        <f t="shared" ref="H272:J272" si="52">+G276</f>
        <v>759402</v>
      </c>
      <c r="I272" s="201">
        <f t="shared" si="52"/>
        <v>911282.4</v>
      </c>
      <c r="J272" s="201">
        <f t="shared" si="52"/>
        <v>1127078.3039167081</v>
      </c>
    </row>
    <row r="273" spans="2:10" outlineLevel="1" x14ac:dyDescent="0.25">
      <c r="C273" s="68" t="s">
        <v>211</v>
      </c>
      <c r="D273" s="36" t="s">
        <v>101</v>
      </c>
      <c r="F273" s="231">
        <f>-F$258*GP_Equity_Pct</f>
        <v>632835</v>
      </c>
      <c r="G273" s="231">
        <f>-G$258*GP_Equity_Pct</f>
        <v>0</v>
      </c>
      <c r="H273" s="231">
        <f>-H$258*GP_Equity_Pct</f>
        <v>0</v>
      </c>
      <c r="I273" s="231">
        <f>-I$258*GP_Equity_Pct</f>
        <v>33539.423916708074</v>
      </c>
      <c r="J273" s="231">
        <f>-J$258*GP_Equity_Pct</f>
        <v>0</v>
      </c>
    </row>
    <row r="274" spans="2:10" outlineLevel="1" x14ac:dyDescent="0.25">
      <c r="C274" s="235" t="s">
        <v>212</v>
      </c>
      <c r="D274" s="36" t="s">
        <v>101</v>
      </c>
      <c r="E274" s="141">
        <f>GP_Catchup_Return</f>
        <v>0.2</v>
      </c>
      <c r="G274" s="201">
        <f>+G272*$E274</f>
        <v>126567</v>
      </c>
      <c r="H274" s="201">
        <f t="shared" ref="H274:J274" si="53">+H272*$E274</f>
        <v>151880.4</v>
      </c>
      <c r="I274" s="201">
        <f t="shared" si="53"/>
        <v>182256.48</v>
      </c>
      <c r="J274" s="201">
        <f t="shared" si="53"/>
        <v>225415.66078334162</v>
      </c>
    </row>
    <row r="275" spans="2:10" outlineLevel="1" x14ac:dyDescent="0.25">
      <c r="C275" s="238" t="s">
        <v>216</v>
      </c>
      <c r="D275" s="130" t="s">
        <v>101</v>
      </c>
      <c r="E275" s="227"/>
      <c r="F275" s="227"/>
      <c r="G275" s="201">
        <f>MIN(0,MAX(-(G272+G273+G274),-G269))</f>
        <v>0</v>
      </c>
      <c r="H275" s="201">
        <f t="shared" ref="H275:J275" si="54">MIN(0,MAX(-(H272+H273+H274),-H269))</f>
        <v>0</v>
      </c>
      <c r="I275" s="201">
        <f t="shared" si="54"/>
        <v>0</v>
      </c>
      <c r="J275" s="201">
        <f t="shared" si="54"/>
        <v>-1352493.9647000497</v>
      </c>
    </row>
    <row r="276" spans="2:10" outlineLevel="1" x14ac:dyDescent="0.25">
      <c r="C276" s="226" t="s">
        <v>205</v>
      </c>
      <c r="D276" s="36" t="s">
        <v>101</v>
      </c>
      <c r="F276" s="228">
        <f>SUM(F272:F275)</f>
        <v>632835</v>
      </c>
      <c r="G276" s="228">
        <f t="shared" ref="G276:J276" si="55">SUM(G272:G275)</f>
        <v>759402</v>
      </c>
      <c r="H276" s="228">
        <f t="shared" si="55"/>
        <v>911282.4</v>
      </c>
      <c r="I276" s="228">
        <f t="shared" si="55"/>
        <v>1127078.3039167081</v>
      </c>
      <c r="J276" s="228">
        <f t="shared" si="55"/>
        <v>0</v>
      </c>
    </row>
    <row r="277" spans="2:10" outlineLevel="1" x14ac:dyDescent="0.25">
      <c r="D277" s="236"/>
      <c r="F277" s="201"/>
      <c r="J277" s="201"/>
    </row>
    <row r="278" spans="2:10" outlineLevel="1" x14ac:dyDescent="0.25">
      <c r="C278" s="229" t="s">
        <v>280</v>
      </c>
      <c r="D278" s="36" t="s">
        <v>101</v>
      </c>
      <c r="G278" s="69">
        <f>MAX(G269+G275,0)</f>
        <v>0</v>
      </c>
      <c r="H278" s="69">
        <f t="shared" ref="H278:J278" si="56">MAX(H269+H275,0)</f>
        <v>0</v>
      </c>
      <c r="I278" s="69">
        <f t="shared" si="56"/>
        <v>0</v>
      </c>
      <c r="J278" s="69">
        <f t="shared" si="56"/>
        <v>9350779.5442697816</v>
      </c>
    </row>
    <row r="279" spans="2:10" outlineLevel="1" x14ac:dyDescent="0.25"/>
    <row r="280" spans="2:10" outlineLevel="1" x14ac:dyDescent="0.25">
      <c r="C280" s="223" t="s">
        <v>281</v>
      </c>
      <c r="D280" s="224"/>
      <c r="E280" s="224"/>
      <c r="F280" s="224"/>
      <c r="G280" s="224"/>
      <c r="H280" s="224"/>
      <c r="I280" s="224"/>
      <c r="J280" s="224"/>
    </row>
    <row r="281" spans="2:10" outlineLevel="1" x14ac:dyDescent="0.25"/>
    <row r="282" spans="2:10" outlineLevel="1" x14ac:dyDescent="0.25">
      <c r="C282" s="237" t="s">
        <v>213</v>
      </c>
      <c r="D282" s="36" t="s">
        <v>101</v>
      </c>
      <c r="E282" s="232">
        <f>Tier_3_LP_Split</f>
        <v>0.8</v>
      </c>
      <c r="G282" s="231">
        <f>+G$278*$E282</f>
        <v>0</v>
      </c>
      <c r="H282" s="231">
        <f t="shared" ref="H282:J282" si="57">+H$278*$E282</f>
        <v>0</v>
      </c>
      <c r="I282" s="231">
        <f t="shared" si="57"/>
        <v>0</v>
      </c>
      <c r="J282" s="231">
        <f t="shared" si="57"/>
        <v>7480623.635415826</v>
      </c>
    </row>
    <row r="283" spans="2:10" outlineLevel="1" x14ac:dyDescent="0.25">
      <c r="C283" s="237" t="s">
        <v>214</v>
      </c>
      <c r="D283" s="36" t="s">
        <v>101</v>
      </c>
      <c r="E283" s="232">
        <f>1-E282</f>
        <v>0.19999999999999996</v>
      </c>
      <c r="G283" s="231">
        <f t="shared" ref="G283:J283" si="58">+G$278*$E283</f>
        <v>0</v>
      </c>
      <c r="H283" s="231">
        <f t="shared" si="58"/>
        <v>0</v>
      </c>
      <c r="I283" s="231">
        <f t="shared" si="58"/>
        <v>0</v>
      </c>
      <c r="J283" s="231">
        <f t="shared" si="58"/>
        <v>1870155.9088539558</v>
      </c>
    </row>
    <row r="284" spans="2:10" outlineLevel="1" x14ac:dyDescent="0.25"/>
    <row r="285" spans="2:10" outlineLevel="1" x14ac:dyDescent="0.25">
      <c r="C285" s="229" t="s">
        <v>217</v>
      </c>
      <c r="D285" s="36" t="s">
        <v>101</v>
      </c>
      <c r="G285" s="69">
        <f>+G278-SUM(G282:G283)</f>
        <v>0</v>
      </c>
      <c r="H285" s="69">
        <f t="shared" ref="H285:J285" si="59">+H278-SUM(H282:H283)</f>
        <v>0</v>
      </c>
      <c r="I285" s="69">
        <f t="shared" si="59"/>
        <v>0</v>
      </c>
      <c r="J285" s="69">
        <f t="shared" si="59"/>
        <v>0</v>
      </c>
    </row>
    <row r="287" spans="2:10" x14ac:dyDescent="0.25">
      <c r="B287" s="40"/>
      <c r="C287" s="40"/>
      <c r="D287" s="40"/>
      <c r="E287" s="39"/>
      <c r="F287" s="41" t="str">
        <f>$F$64</f>
        <v>Historical:</v>
      </c>
      <c r="G287" s="143" t="str">
        <f>$G$64</f>
        <v>Projected:</v>
      </c>
      <c r="H287" s="41"/>
      <c r="I287" s="41"/>
      <c r="J287" s="41"/>
    </row>
    <row r="288" spans="2:10" x14ac:dyDescent="0.25">
      <c r="B288" s="42" t="s">
        <v>218</v>
      </c>
      <c r="C288" s="42"/>
      <c r="D288" s="30" t="str">
        <f>+$D$5</f>
        <v>Units:</v>
      </c>
      <c r="E288" s="42"/>
      <c r="F288" s="111">
        <f>$F$65</f>
        <v>43465</v>
      </c>
      <c r="G288" s="160">
        <f>$G$65</f>
        <v>43830</v>
      </c>
      <c r="H288" s="111">
        <f>$H$65</f>
        <v>44196</v>
      </c>
      <c r="I288" s="43">
        <f>$I$65</f>
        <v>44561</v>
      </c>
      <c r="J288" s="43">
        <f>$J$65</f>
        <v>44926</v>
      </c>
    </row>
    <row r="289" spans="3:10" outlineLevel="1" x14ac:dyDescent="0.25"/>
    <row r="290" spans="3:10" outlineLevel="1" x14ac:dyDescent="0.25">
      <c r="C290" s="229" t="s">
        <v>206</v>
      </c>
      <c r="D290" s="36" t="s">
        <v>101</v>
      </c>
      <c r="F290" s="69">
        <f>+F260</f>
        <v>-6328350</v>
      </c>
      <c r="G290" s="69">
        <f t="shared" ref="G290:J290" si="60">+G260</f>
        <v>607410.33295993856</v>
      </c>
      <c r="H290" s="69">
        <f t="shared" si="60"/>
        <v>653869.6216268033</v>
      </c>
      <c r="I290" s="69">
        <f t="shared" si="60"/>
        <v>-335394.23916708073</v>
      </c>
      <c r="J290" s="69">
        <f t="shared" si="60"/>
        <v>17250126.3764355</v>
      </c>
    </row>
    <row r="291" spans="3:10" outlineLevel="1" x14ac:dyDescent="0.25">
      <c r="C291" s="68" t="s">
        <v>10</v>
      </c>
      <c r="D291" s="38" t="s">
        <v>16</v>
      </c>
      <c r="E291" s="162">
        <f>IRR(F290:J290)</f>
        <v>0.32243698335723714</v>
      </c>
      <c r="F291" s="201"/>
      <c r="G291" s="201"/>
      <c r="H291" s="201"/>
      <c r="I291" s="201"/>
      <c r="J291" s="201"/>
    </row>
    <row r="292" spans="3:10" outlineLevel="1" x14ac:dyDescent="0.25">
      <c r="C292" s="68" t="s">
        <v>219</v>
      </c>
      <c r="D292" s="36" t="s">
        <v>101</v>
      </c>
      <c r="E292" s="239">
        <f>SUMIF(F290:J290,"&gt;0",F290:J290)</f>
        <v>18511406.33102224</v>
      </c>
    </row>
    <row r="293" spans="3:10" outlineLevel="1" x14ac:dyDescent="0.25">
      <c r="C293" s="68" t="s">
        <v>46</v>
      </c>
      <c r="D293" s="36" t="s">
        <v>101</v>
      </c>
      <c r="E293" s="239">
        <f>-SUMIF(F290:J290,"&lt;=0",F290:J290)</f>
        <v>6663744.2391670812</v>
      </c>
    </row>
    <row r="294" spans="3:10" outlineLevel="1" x14ac:dyDescent="0.25">
      <c r="C294" s="68" t="s">
        <v>47</v>
      </c>
      <c r="D294" s="55" t="s">
        <v>43</v>
      </c>
      <c r="E294" s="218">
        <f>+E292/E293</f>
        <v>2.7779286939343923</v>
      </c>
    </row>
    <row r="295" spans="3:10" outlineLevel="1" x14ac:dyDescent="0.25"/>
    <row r="296" spans="3:10" outlineLevel="1" x14ac:dyDescent="0.25">
      <c r="C296" s="229" t="s">
        <v>220</v>
      </c>
      <c r="D296" s="36" t="s">
        <v>101</v>
      </c>
      <c r="F296" s="69">
        <f>-F264-F266+F282</f>
        <v>-5695515</v>
      </c>
      <c r="G296" s="69">
        <f t="shared" ref="G296:J296" si="61">-G264-G266+G282</f>
        <v>607410.33295993856</v>
      </c>
      <c r="H296" s="69">
        <f t="shared" si="61"/>
        <v>653869.6216268033</v>
      </c>
      <c r="I296" s="69">
        <f t="shared" si="61"/>
        <v>-301854.81525037269</v>
      </c>
      <c r="J296" s="69">
        <f t="shared" si="61"/>
        <v>14027476.502881495</v>
      </c>
    </row>
    <row r="297" spans="3:10" outlineLevel="1" x14ac:dyDescent="0.25">
      <c r="C297" s="68" t="s">
        <v>10</v>
      </c>
      <c r="D297" s="38" t="s">
        <v>16</v>
      </c>
      <c r="E297" s="162">
        <f>IRR(F296:J296)</f>
        <v>0.29575731352628054</v>
      </c>
    </row>
    <row r="298" spans="3:10" outlineLevel="1" x14ac:dyDescent="0.25">
      <c r="C298" s="68" t="s">
        <v>219</v>
      </c>
      <c r="D298" s="36" t="s">
        <v>101</v>
      </c>
      <c r="E298" s="239">
        <f>SUMIF(F296:J296,"&gt;0",F296:J296)</f>
        <v>15288756.457468238</v>
      </c>
    </row>
    <row r="299" spans="3:10" outlineLevel="1" x14ac:dyDescent="0.25">
      <c r="C299" s="68" t="s">
        <v>46</v>
      </c>
      <c r="D299" s="36" t="s">
        <v>101</v>
      </c>
      <c r="E299" s="239">
        <f>-SUMIF(F296:J296,"&lt;=0",F296:J296)</f>
        <v>5997369.8152503725</v>
      </c>
    </row>
    <row r="300" spans="3:10" outlineLevel="1" x14ac:dyDescent="0.25">
      <c r="C300" s="68" t="s">
        <v>47</v>
      </c>
      <c r="D300" s="55" t="s">
        <v>43</v>
      </c>
      <c r="E300" s="218">
        <f>+E298/E299</f>
        <v>2.5492435731729137</v>
      </c>
    </row>
    <row r="301" spans="3:10" outlineLevel="1" x14ac:dyDescent="0.25"/>
    <row r="302" spans="3:10" outlineLevel="1" x14ac:dyDescent="0.25">
      <c r="C302" s="229" t="s">
        <v>221</v>
      </c>
      <c r="D302" s="36" t="s">
        <v>101</v>
      </c>
      <c r="F302" s="69">
        <f>-F273-F275+F283</f>
        <v>-632835</v>
      </c>
      <c r="G302" s="69">
        <f t="shared" ref="G302:J302" si="62">-G273-G275+G283</f>
        <v>0</v>
      </c>
      <c r="H302" s="69">
        <f t="shared" si="62"/>
        <v>0</v>
      </c>
      <c r="I302" s="69">
        <f t="shared" si="62"/>
        <v>-33539.423916708074</v>
      </c>
      <c r="J302" s="69">
        <f t="shared" si="62"/>
        <v>3222649.8735540053</v>
      </c>
    </row>
    <row r="303" spans="3:10" outlineLevel="1" x14ac:dyDescent="0.25">
      <c r="C303" s="68" t="s">
        <v>10</v>
      </c>
      <c r="D303" s="38" t="s">
        <v>16</v>
      </c>
      <c r="E303" s="162">
        <f>IRR(F302:J302)</f>
        <v>0.49632713057319866</v>
      </c>
    </row>
    <row r="304" spans="3:10" outlineLevel="1" x14ac:dyDescent="0.25">
      <c r="C304" s="68" t="s">
        <v>219</v>
      </c>
      <c r="D304" s="36" t="s">
        <v>101</v>
      </c>
      <c r="E304" s="239">
        <f>SUMIF(F302:J302,"&gt;0",F302:J302)</f>
        <v>3222649.8735540053</v>
      </c>
    </row>
    <row r="305" spans="2:12" outlineLevel="1" x14ac:dyDescent="0.25">
      <c r="C305" s="68" t="s">
        <v>46</v>
      </c>
      <c r="D305" s="36" t="s">
        <v>101</v>
      </c>
      <c r="E305" s="239">
        <f>-SUMIF(F302:J302,"&lt;=0",F302:J302)</f>
        <v>666374.4239167081</v>
      </c>
    </row>
    <row r="306" spans="2:12" outlineLevel="1" x14ac:dyDescent="0.25">
      <c r="C306" s="68" t="s">
        <v>47</v>
      </c>
      <c r="D306" s="55" t="s">
        <v>43</v>
      </c>
      <c r="E306" s="218">
        <f>+E304/E305</f>
        <v>4.8360947807877048</v>
      </c>
    </row>
    <row r="308" spans="2:12" x14ac:dyDescent="0.25">
      <c r="B308" s="264" t="s">
        <v>245</v>
      </c>
      <c r="C308" s="264"/>
      <c r="D308" s="264"/>
      <c r="E308" s="264"/>
      <c r="F308" s="264"/>
      <c r="G308" s="264"/>
      <c r="H308" s="264"/>
      <c r="I308" s="264"/>
      <c r="J308" s="264"/>
      <c r="K308" s="264"/>
      <c r="L308" s="288"/>
    </row>
    <row r="309" spans="2:12" outlineLevel="1" x14ac:dyDescent="0.25"/>
    <row r="310" spans="2:12" outlineLevel="1" x14ac:dyDescent="0.25">
      <c r="C310" s="252" t="s">
        <v>248</v>
      </c>
      <c r="D310" s="52"/>
      <c r="E310" s="52"/>
      <c r="F310" s="52"/>
      <c r="G310" s="52"/>
      <c r="H310" s="52"/>
      <c r="I310" s="52"/>
      <c r="J310" s="52"/>
      <c r="K310" s="52"/>
      <c r="L310" s="61"/>
    </row>
    <row r="311" spans="2:12" outlineLevel="1" x14ac:dyDescent="0.25">
      <c r="C311" s="52"/>
      <c r="D311" s="52"/>
      <c r="E311" s="52"/>
      <c r="F311" s="52"/>
      <c r="G311" s="52"/>
      <c r="H311" s="52"/>
      <c r="I311" s="52"/>
      <c r="J311" s="52"/>
      <c r="K311" s="52"/>
      <c r="L311" s="61"/>
    </row>
    <row r="312" spans="2:12" outlineLevel="1" x14ac:dyDescent="0.25">
      <c r="C312" s="253" t="s">
        <v>244</v>
      </c>
      <c r="D312" s="254" t="s">
        <v>246</v>
      </c>
      <c r="E312" s="254"/>
      <c r="F312" s="254"/>
      <c r="G312" s="254"/>
      <c r="H312" s="254"/>
      <c r="I312" s="254"/>
      <c r="J312" s="254"/>
      <c r="K312" s="255"/>
      <c r="L312" s="267"/>
    </row>
    <row r="313" spans="2:12" outlineLevel="1" x14ac:dyDescent="0.25">
      <c r="C313" s="256">
        <f>$E$303</f>
        <v>0.49632713057319866</v>
      </c>
      <c r="D313" s="270">
        <v>6.25E-2</v>
      </c>
      <c r="E313" s="257">
        <f>+D313+0.25%</f>
        <v>6.5000000000000002E-2</v>
      </c>
      <c r="F313" s="289">
        <f t="shared" ref="F313:K313" si="63">+E313+0.25%</f>
        <v>6.7500000000000004E-2</v>
      </c>
      <c r="G313" s="289">
        <f t="shared" si="63"/>
        <v>7.0000000000000007E-2</v>
      </c>
      <c r="H313" s="289">
        <f t="shared" si="63"/>
        <v>7.2500000000000009E-2</v>
      </c>
      <c r="I313" s="257">
        <f t="shared" si="63"/>
        <v>7.5000000000000011E-2</v>
      </c>
      <c r="J313" s="257">
        <f t="shared" si="63"/>
        <v>7.7500000000000013E-2</v>
      </c>
      <c r="K313" s="258">
        <f t="shared" si="63"/>
        <v>8.0000000000000016E-2</v>
      </c>
      <c r="L313" s="268"/>
    </row>
    <row r="314" spans="2:12" outlineLevel="1" x14ac:dyDescent="0.25">
      <c r="C314" s="259" t="str">
        <f>$C$71</f>
        <v>Upside</v>
      </c>
      <c r="D314" s="260">
        <f t="dataTable" ref="D314:K316" dt2D="1" dtr="1" r1="J197" r2="J7" ca="1"/>
        <v>0.75451025683300954</v>
      </c>
      <c r="E314" s="261">
        <v>0.72759178990797491</v>
      </c>
      <c r="F314" s="292">
        <v>0.70149319658576226</v>
      </c>
      <c r="G314" s="292">
        <v>0.67613416664423442</v>
      </c>
      <c r="H314" s="292">
        <v>0.65144252570852457</v>
      </c>
      <c r="I314" s="262">
        <v>0.62735299038814585</v>
      </c>
      <c r="J314" s="262">
        <v>0.60380612681441681</v>
      </c>
      <c r="K314" s="262">
        <v>0.58074747105363267</v>
      </c>
      <c r="L314" s="261"/>
    </row>
    <row r="315" spans="2:12" outlineLevel="1" x14ac:dyDescent="0.25">
      <c r="C315" s="265" t="str">
        <f>$C$72</f>
        <v>Base</v>
      </c>
      <c r="D315" s="263">
        <v>0.58529740851797363</v>
      </c>
      <c r="E315" s="261">
        <v>0.55509062586872515</v>
      </c>
      <c r="F315" s="292">
        <v>0.52546584338158153</v>
      </c>
      <c r="G315" s="292">
        <v>0.49632713057319866</v>
      </c>
      <c r="H315" s="292">
        <v>0.46758393668929998</v>
      </c>
      <c r="I315" s="262">
        <v>0.43914947300355189</v>
      </c>
      <c r="J315" s="262">
        <v>0.41093919452131789</v>
      </c>
      <c r="K315" s="262">
        <v>0.38286931457785456</v>
      </c>
      <c r="L315" s="261"/>
    </row>
    <row r="316" spans="2:12" outlineLevel="1" x14ac:dyDescent="0.25">
      <c r="C316" s="266" t="str">
        <f>$C$73</f>
        <v>Downside</v>
      </c>
      <c r="D316" s="263">
        <v>0.24874033517195371</v>
      </c>
      <c r="E316" s="261">
        <v>0.20335892608356509</v>
      </c>
      <c r="F316" s="292">
        <v>-9.9965100891593939E-2</v>
      </c>
      <c r="G316" s="292" t="e">
        <v>#NUM!</v>
      </c>
      <c r="H316" s="292" t="e">
        <v>#NUM!</v>
      </c>
      <c r="I316" s="262" t="e">
        <v>#NUM!</v>
      </c>
      <c r="J316" s="262" t="e">
        <v>#NUM!</v>
      </c>
      <c r="K316" s="262" t="e">
        <v>#NUM!</v>
      </c>
      <c r="L316" s="261"/>
    </row>
    <row r="317" spans="2:12" outlineLevel="1" x14ac:dyDescent="0.25"/>
    <row r="318" spans="2:12" hidden="1" outlineLevel="2" x14ac:dyDescent="0.25">
      <c r="C318" s="252" t="s">
        <v>249</v>
      </c>
      <c r="D318" s="52"/>
      <c r="E318" s="52"/>
      <c r="F318" s="52"/>
      <c r="G318" s="52"/>
      <c r="H318" s="52"/>
      <c r="I318" s="52"/>
      <c r="J318" s="52"/>
      <c r="K318" s="52"/>
    </row>
    <row r="319" spans="2:12" hidden="1" outlineLevel="2" x14ac:dyDescent="0.25">
      <c r="C319" s="52"/>
      <c r="D319" s="52"/>
      <c r="E319" s="52"/>
      <c r="F319" s="52"/>
      <c r="G319" s="52"/>
      <c r="H319" s="52"/>
      <c r="I319" s="52"/>
      <c r="J319" s="52"/>
      <c r="K319" s="52"/>
    </row>
    <row r="320" spans="2:12" hidden="1" outlineLevel="2" x14ac:dyDescent="0.25">
      <c r="C320" s="253" t="s">
        <v>244</v>
      </c>
      <c r="D320" s="254" t="s">
        <v>246</v>
      </c>
      <c r="E320" s="254"/>
      <c r="F320" s="254"/>
      <c r="G320" s="254"/>
      <c r="H320" s="254"/>
      <c r="I320" s="254"/>
      <c r="J320" s="254"/>
      <c r="K320" s="255"/>
    </row>
    <row r="321" spans="3:11" hidden="1" outlineLevel="2" x14ac:dyDescent="0.25">
      <c r="C321" s="256">
        <f>$E$297</f>
        <v>0.29575731352628054</v>
      </c>
      <c r="D321" s="269">
        <f>+D313</f>
        <v>6.25E-2</v>
      </c>
      <c r="E321" s="257">
        <f t="shared" ref="E321:K321" si="64">+E313</f>
        <v>6.5000000000000002E-2</v>
      </c>
      <c r="F321" s="289">
        <f t="shared" si="64"/>
        <v>6.7500000000000004E-2</v>
      </c>
      <c r="G321" s="289">
        <f t="shared" si="64"/>
        <v>7.0000000000000007E-2</v>
      </c>
      <c r="H321" s="289">
        <f t="shared" si="64"/>
        <v>7.2500000000000009E-2</v>
      </c>
      <c r="I321" s="257">
        <f t="shared" si="64"/>
        <v>7.5000000000000011E-2</v>
      </c>
      <c r="J321" s="257">
        <f t="shared" si="64"/>
        <v>7.7500000000000013E-2</v>
      </c>
      <c r="K321" s="258">
        <f t="shared" si="64"/>
        <v>8.0000000000000016E-2</v>
      </c>
    </row>
    <row r="322" spans="3:11" hidden="1" outlineLevel="2" x14ac:dyDescent="0.25">
      <c r="C322" s="259" t="str">
        <f>$C$71</f>
        <v>Upside</v>
      </c>
      <c r="D322" s="260">
        <f t="dataTable" ref="D322:K324" dt2D="1" dtr="1" r1="J197" r2="J7" ca="1"/>
        <v>0.49894072139952295</v>
      </c>
      <c r="E322" s="261">
        <v>0.47792334612541465</v>
      </c>
      <c r="F322" s="292">
        <v>0.45758745513484556</v>
      </c>
      <c r="G322" s="292">
        <v>0.43786924606887045</v>
      </c>
      <c r="H322" s="292">
        <v>0.41871160451891964</v>
      </c>
      <c r="I322" s="262">
        <v>0.40006310542507628</v>
      </c>
      <c r="J322" s="262">
        <v>0.38187718098213552</v>
      </c>
      <c r="K322" s="262">
        <v>0.36411142159425247</v>
      </c>
    </row>
    <row r="323" spans="3:11" hidden="1" outlineLevel="2" x14ac:dyDescent="0.25">
      <c r="C323" s="265" t="str">
        <f>$C$72</f>
        <v>Base</v>
      </c>
      <c r="D323" s="263">
        <v>0.36341492874474324</v>
      </c>
      <c r="E323" s="261">
        <v>0.34034004333242596</v>
      </c>
      <c r="F323" s="292">
        <v>0.31781089414938513</v>
      </c>
      <c r="G323" s="292">
        <v>0.29575731352628054</v>
      </c>
      <c r="H323" s="292">
        <v>0.27411459985910547</v>
      </c>
      <c r="I323" s="262">
        <v>0.2528224164449544</v>
      </c>
      <c r="J323" s="262">
        <v>0.23182382312117289</v>
      </c>
      <c r="K323" s="262">
        <v>0.21106440236742374</v>
      </c>
    </row>
    <row r="324" spans="3:11" hidden="1" outlineLevel="2" x14ac:dyDescent="0.25">
      <c r="C324" s="266" t="str">
        <f>$C$73</f>
        <v>Downside</v>
      </c>
      <c r="D324" s="263">
        <v>0.11350351902039835</v>
      </c>
      <c r="E324" s="261">
        <v>8.2283466551767992E-2</v>
      </c>
      <c r="F324" s="292">
        <v>8.0000000000000071E-2</v>
      </c>
      <c r="G324" s="292">
        <v>6.32234581035096E-2</v>
      </c>
      <c r="H324" s="292">
        <v>2.6872282640808764E-2</v>
      </c>
      <c r="I324" s="262">
        <v>-1.1043234015363779E-2</v>
      </c>
      <c r="J324" s="262">
        <v>-5.1076280275178298E-2</v>
      </c>
      <c r="K324" s="262">
        <v>-9.3993508065992715E-2</v>
      </c>
    </row>
    <row r="325" spans="3:11" hidden="1" outlineLevel="2" x14ac:dyDescent="0.25"/>
    <row r="326" spans="3:11" outlineLevel="1" collapsed="1" x14ac:dyDescent="0.25">
      <c r="C326" s="252" t="s">
        <v>247</v>
      </c>
      <c r="D326" s="52"/>
      <c r="E326" s="52"/>
      <c r="F326" s="52"/>
      <c r="G326" s="52"/>
      <c r="H326" s="52"/>
      <c r="I326" s="52"/>
      <c r="J326" s="52"/>
      <c r="K326" s="52"/>
    </row>
    <row r="327" spans="3:11" outlineLevel="1" x14ac:dyDescent="0.25">
      <c r="C327" s="52"/>
      <c r="D327" s="52"/>
      <c r="E327" s="52"/>
      <c r="F327" s="52"/>
      <c r="G327" s="52"/>
      <c r="H327" s="52"/>
      <c r="I327" s="52"/>
      <c r="J327" s="52"/>
      <c r="K327" s="52"/>
    </row>
    <row r="328" spans="3:11" outlineLevel="1" x14ac:dyDescent="0.25">
      <c r="C328" s="253" t="s">
        <v>244</v>
      </c>
      <c r="D328" s="254" t="s">
        <v>100</v>
      </c>
      <c r="E328" s="254"/>
      <c r="F328" s="254"/>
      <c r="G328" s="254"/>
      <c r="H328" s="254"/>
      <c r="I328" s="254"/>
      <c r="J328" s="254"/>
      <c r="K328" s="255"/>
    </row>
    <row r="329" spans="3:11" outlineLevel="1" x14ac:dyDescent="0.25">
      <c r="C329" s="256">
        <f>$E$303</f>
        <v>0.49632713057319866</v>
      </c>
      <c r="D329" s="276">
        <v>17500000</v>
      </c>
      <c r="E329" s="278">
        <f>+D329+1000000</f>
        <v>18500000</v>
      </c>
      <c r="F329" s="278">
        <f t="shared" ref="F329:K329" si="65">+E329+1000000</f>
        <v>19500000</v>
      </c>
      <c r="G329" s="291">
        <f t="shared" si="65"/>
        <v>20500000</v>
      </c>
      <c r="H329" s="278">
        <f t="shared" si="65"/>
        <v>21500000</v>
      </c>
      <c r="I329" s="278">
        <f t="shared" si="65"/>
        <v>22500000</v>
      </c>
      <c r="J329" s="278">
        <f t="shared" si="65"/>
        <v>23500000</v>
      </c>
      <c r="K329" s="279">
        <f t="shared" si="65"/>
        <v>24500000</v>
      </c>
    </row>
    <row r="330" spans="3:11" outlineLevel="1" x14ac:dyDescent="0.25">
      <c r="C330" s="259" t="str">
        <f>$C$71</f>
        <v>Upside</v>
      </c>
      <c r="D330" s="260">
        <f t="dataTable" ref="D330:K332" dt2D="1" dtr="1" r1="E21" r2="J7" ca="1"/>
        <v>0.83390026233217696</v>
      </c>
      <c r="E330" s="261">
        <v>0.78843021038846528</v>
      </c>
      <c r="F330" s="262">
        <v>0.74435562753297102</v>
      </c>
      <c r="G330" s="292">
        <v>0.70149319658576226</v>
      </c>
      <c r="H330" s="262">
        <v>0.65960238685145356</v>
      </c>
      <c r="I330" s="262">
        <v>0.61846092392180152</v>
      </c>
      <c r="J330" s="262">
        <v>0.57785297712518813</v>
      </c>
      <c r="K330" s="262">
        <v>0.53755013807088914</v>
      </c>
    </row>
    <row r="331" spans="3:11" outlineLevel="1" x14ac:dyDescent="0.25">
      <c r="C331" s="265" t="str">
        <f>$C$72</f>
        <v>Base</v>
      </c>
      <c r="D331" s="263">
        <v>0.64949793600745243</v>
      </c>
      <c r="E331" s="261">
        <v>0.59785476347718602</v>
      </c>
      <c r="F331" s="262">
        <v>0.54700740024792349</v>
      </c>
      <c r="G331" s="292">
        <v>0.49632713057319866</v>
      </c>
      <c r="H331" s="262">
        <v>0.44542991186637249</v>
      </c>
      <c r="I331" s="262">
        <v>0.39387070784754052</v>
      </c>
      <c r="J331" s="262">
        <v>0.34111508500855137</v>
      </c>
      <c r="K331" s="262">
        <v>0.28647955187999075</v>
      </c>
    </row>
    <row r="332" spans="3:11" outlineLevel="1" x14ac:dyDescent="0.25">
      <c r="C332" s="266" t="str">
        <f>$C$73</f>
        <v>Downside</v>
      </c>
      <c r="D332" s="263">
        <v>0.30976226359309122</v>
      </c>
      <c r="E332" s="261">
        <v>0.2329058451846453</v>
      </c>
      <c r="F332" s="262">
        <v>-0.17879622120889094</v>
      </c>
      <c r="G332" s="292" t="e">
        <v>#NUM!</v>
      </c>
      <c r="H332" s="262" t="e">
        <v>#NUM!</v>
      </c>
      <c r="I332" s="262" t="e">
        <v>#NUM!</v>
      </c>
      <c r="J332" s="262" t="e">
        <v>#NUM!</v>
      </c>
      <c r="K332" s="262" t="e">
        <v>#NUM!</v>
      </c>
    </row>
    <row r="333" spans="3:11" outlineLevel="1" x14ac:dyDescent="0.25"/>
    <row r="334" spans="3:11" hidden="1" outlineLevel="2" x14ac:dyDescent="0.25">
      <c r="C334" s="252" t="s">
        <v>250</v>
      </c>
      <c r="D334" s="52"/>
      <c r="E334" s="52"/>
      <c r="F334" s="52"/>
      <c r="G334" s="52"/>
      <c r="H334" s="52"/>
      <c r="I334" s="52"/>
      <c r="J334" s="52"/>
      <c r="K334" s="52"/>
    </row>
    <row r="335" spans="3:11" hidden="1" outlineLevel="2" x14ac:dyDescent="0.25">
      <c r="C335" s="52"/>
      <c r="D335" s="52"/>
      <c r="E335" s="52"/>
      <c r="F335" s="52"/>
      <c r="G335" s="52"/>
      <c r="H335" s="52"/>
      <c r="I335" s="52"/>
      <c r="J335" s="52"/>
      <c r="K335" s="52"/>
    </row>
    <row r="336" spans="3:11" hidden="1" outlineLevel="2" x14ac:dyDescent="0.25">
      <c r="C336" s="253" t="s">
        <v>244</v>
      </c>
      <c r="D336" s="254" t="s">
        <v>100</v>
      </c>
      <c r="E336" s="254"/>
      <c r="F336" s="254"/>
      <c r="G336" s="254"/>
      <c r="H336" s="254"/>
      <c r="I336" s="254"/>
      <c r="J336" s="254"/>
      <c r="K336" s="255"/>
    </row>
    <row r="337" spans="3:11" hidden="1" outlineLevel="2" x14ac:dyDescent="0.25">
      <c r="C337" s="256">
        <f>$E$297</f>
        <v>0.29575731352628054</v>
      </c>
      <c r="D337" s="277">
        <f>+D329</f>
        <v>17500000</v>
      </c>
      <c r="E337" s="278">
        <f t="shared" ref="E337:K337" si="66">+E329</f>
        <v>18500000</v>
      </c>
      <c r="F337" s="278">
        <f t="shared" si="66"/>
        <v>19500000</v>
      </c>
      <c r="G337" s="291">
        <f t="shared" si="66"/>
        <v>20500000</v>
      </c>
      <c r="H337" s="278">
        <f t="shared" si="66"/>
        <v>21500000</v>
      </c>
      <c r="I337" s="278">
        <f t="shared" si="66"/>
        <v>22500000</v>
      </c>
      <c r="J337" s="278">
        <f t="shared" si="66"/>
        <v>23500000</v>
      </c>
      <c r="K337" s="279">
        <f t="shared" si="66"/>
        <v>24500000</v>
      </c>
    </row>
    <row r="338" spans="3:11" hidden="1" outlineLevel="2" x14ac:dyDescent="0.25">
      <c r="C338" s="259" t="str">
        <f>$C$71</f>
        <v>Upside</v>
      </c>
      <c r="D338" s="260">
        <f t="dataTable" ref="D338:K340" dt2D="1" dtr="1" r1="E21" r2="J7" ca="1"/>
        <v>0.5832212693825336</v>
      </c>
      <c r="E338" s="261">
        <v>0.5395857478809889</v>
      </c>
      <c r="F338" s="262">
        <v>0.49740432494564124</v>
      </c>
      <c r="G338" s="292">
        <v>0.45758745513484556</v>
      </c>
      <c r="H338" s="262">
        <v>0.41980988957226328</v>
      </c>
      <c r="I338" s="262">
        <v>0.38379026104789937</v>
      </c>
      <c r="J338" s="262">
        <v>0.34926075106020638</v>
      </c>
      <c r="K338" s="262">
        <v>0.31592306333339026</v>
      </c>
    </row>
    <row r="339" spans="3:11" hidden="1" outlineLevel="2" x14ac:dyDescent="0.25">
      <c r="C339" s="265" t="str">
        <f>$C$72</f>
        <v>Base</v>
      </c>
      <c r="D339" s="263">
        <v>0.42826448399730555</v>
      </c>
      <c r="E339" s="261">
        <v>0.38280705847728003</v>
      </c>
      <c r="F339" s="262">
        <v>0.33881038183775281</v>
      </c>
      <c r="G339" s="292">
        <v>0.29575731352628054</v>
      </c>
      <c r="H339" s="262">
        <v>0.25423321943273769</v>
      </c>
      <c r="I339" s="262">
        <v>0.214016003487985</v>
      </c>
      <c r="J339" s="262">
        <v>0.17479463331595979</v>
      </c>
      <c r="K339" s="262">
        <v>0.13624628507763359</v>
      </c>
    </row>
    <row r="340" spans="3:11" hidden="1" outlineLevel="2" x14ac:dyDescent="0.25">
      <c r="C340" s="266" t="str">
        <f>$C$73</f>
        <v>Downside</v>
      </c>
      <c r="D340" s="263">
        <v>0.1615217116192087</v>
      </c>
      <c r="E340" s="261">
        <v>0.10362454773174568</v>
      </c>
      <c r="F340" s="262">
        <v>8.0000000000000071E-2</v>
      </c>
      <c r="G340" s="292">
        <v>2.6872282640808987E-2</v>
      </c>
      <c r="H340" s="262">
        <v>-4.4086520266940821E-2</v>
      </c>
      <c r="I340" s="262">
        <v>-0.12178443366343517</v>
      </c>
      <c r="J340" s="262">
        <v>-0.21134488822937525</v>
      </c>
      <c r="K340" s="262">
        <v>-0.32471387078750791</v>
      </c>
    </row>
    <row r="341" spans="3:11" hidden="1" outlineLevel="2" x14ac:dyDescent="0.25"/>
    <row r="342" spans="3:11" outlineLevel="1" collapsed="1" x14ac:dyDescent="0.25">
      <c r="C342" s="252" t="s">
        <v>301</v>
      </c>
      <c r="D342" s="52"/>
      <c r="E342" s="52"/>
      <c r="F342" s="52"/>
      <c r="G342" s="52"/>
      <c r="H342" s="52"/>
      <c r="I342" s="52"/>
      <c r="J342" s="52"/>
      <c r="K342" s="52"/>
    </row>
    <row r="343" spans="3:11" outlineLevel="1" x14ac:dyDescent="0.25">
      <c r="C343" s="52"/>
      <c r="D343" s="52"/>
      <c r="E343" s="52"/>
      <c r="F343" s="52"/>
      <c r="G343" s="52"/>
      <c r="H343" s="52"/>
      <c r="I343" s="52"/>
      <c r="J343" s="52"/>
      <c r="K343" s="52"/>
    </row>
    <row r="344" spans="3:11" outlineLevel="1" x14ac:dyDescent="0.25">
      <c r="C344" s="253" t="s">
        <v>244</v>
      </c>
      <c r="D344" s="254" t="s">
        <v>300</v>
      </c>
      <c r="E344" s="254"/>
      <c r="F344" s="254"/>
      <c r="G344" s="254"/>
      <c r="H344" s="254"/>
      <c r="I344" s="254"/>
      <c r="J344" s="254"/>
      <c r="K344" s="255"/>
    </row>
    <row r="345" spans="3:11" outlineLevel="1" x14ac:dyDescent="0.25">
      <c r="C345" s="256">
        <f>$E$303</f>
        <v>0.49632713057319866</v>
      </c>
      <c r="D345" s="303">
        <v>0.4</v>
      </c>
      <c r="E345" s="304">
        <f>+D345+5%</f>
        <v>0.45</v>
      </c>
      <c r="F345" s="304">
        <f t="shared" ref="F345:K345" si="67">+E345+5%</f>
        <v>0.5</v>
      </c>
      <c r="G345" s="304">
        <f t="shared" si="67"/>
        <v>0.55000000000000004</v>
      </c>
      <c r="H345" s="304">
        <f t="shared" si="67"/>
        <v>0.60000000000000009</v>
      </c>
      <c r="I345" s="307">
        <f t="shared" si="67"/>
        <v>0.65000000000000013</v>
      </c>
      <c r="J345" s="304">
        <f t="shared" si="67"/>
        <v>0.70000000000000018</v>
      </c>
      <c r="K345" s="305">
        <f t="shared" si="67"/>
        <v>0.75000000000000022</v>
      </c>
    </row>
    <row r="346" spans="3:11" outlineLevel="1" x14ac:dyDescent="0.25">
      <c r="C346" s="259" t="str">
        <f>$C$71</f>
        <v>Upside</v>
      </c>
      <c r="D346" s="260">
        <f t="dataTable" ref="D346:K348" dt2D="1" dtr="1" r1="J25" r2="J7" ca="1"/>
        <v>0.51169469064468642</v>
      </c>
      <c r="E346" s="261">
        <v>0.53725753258452102</v>
      </c>
      <c r="F346" s="262">
        <v>0.56725350143517428</v>
      </c>
      <c r="G346" s="262">
        <v>0.60305630600304005</v>
      </c>
      <c r="H346" s="262">
        <v>0.64672036502114594</v>
      </c>
      <c r="I346" s="292">
        <v>0.70149319658576226</v>
      </c>
      <c r="J346" s="262">
        <v>0.77290409903990609</v>
      </c>
      <c r="K346" s="262">
        <v>0.87141166864336173</v>
      </c>
    </row>
    <row r="347" spans="3:11" outlineLevel="1" x14ac:dyDescent="0.25">
      <c r="C347" s="265" t="str">
        <f>$C$72</f>
        <v>Base</v>
      </c>
      <c r="D347" s="263">
        <v>0.36639097128530773</v>
      </c>
      <c r="E347" s="261">
        <v>0.38342473530437782</v>
      </c>
      <c r="F347" s="262">
        <v>0.40368953484607273</v>
      </c>
      <c r="G347" s="262">
        <v>0.42799166259809485</v>
      </c>
      <c r="H347" s="262">
        <v>0.45803029229907399</v>
      </c>
      <c r="I347" s="292">
        <v>0.4963271305731991</v>
      </c>
      <c r="J347" s="262">
        <v>0.54715926107932522</v>
      </c>
      <c r="K347" s="262">
        <v>0.61868459375181417</v>
      </c>
    </row>
    <row r="348" spans="3:11" outlineLevel="1" x14ac:dyDescent="0.25">
      <c r="C348" s="266" t="str">
        <f>$C$73</f>
        <v>Downside</v>
      </c>
      <c r="D348" s="263" t="e">
        <v>#NUM!</v>
      </c>
      <c r="E348" s="261" t="e">
        <v>#NUM!</v>
      </c>
      <c r="F348" s="262" t="e">
        <v>#NUM!</v>
      </c>
      <c r="G348" s="262" t="e">
        <v>#NUM!</v>
      </c>
      <c r="H348" s="262" t="e">
        <v>#NUM!</v>
      </c>
      <c r="I348" s="292" t="e">
        <v>#NUM!</v>
      </c>
      <c r="J348" s="262" t="e">
        <v>#NUM!</v>
      </c>
      <c r="K348" s="262" t="e">
        <v>#NUM!</v>
      </c>
    </row>
    <row r="349" spans="3:11" outlineLevel="1" x14ac:dyDescent="0.25"/>
    <row r="350" spans="3:11" hidden="1" outlineLevel="2" x14ac:dyDescent="0.25">
      <c r="C350" s="252" t="s">
        <v>302</v>
      </c>
      <c r="D350" s="52"/>
      <c r="E350" s="52"/>
      <c r="F350" s="52"/>
      <c r="G350" s="52"/>
      <c r="H350" s="52"/>
      <c r="I350" s="52"/>
      <c r="J350" s="52"/>
      <c r="K350" s="52"/>
    </row>
    <row r="351" spans="3:11" hidden="1" outlineLevel="2" x14ac:dyDescent="0.25">
      <c r="C351" s="52"/>
      <c r="D351" s="52"/>
      <c r="E351" s="52"/>
      <c r="F351" s="52"/>
      <c r="G351" s="52"/>
      <c r="H351" s="52"/>
      <c r="I351" s="52"/>
      <c r="J351" s="52"/>
      <c r="K351" s="52"/>
    </row>
    <row r="352" spans="3:11" hidden="1" outlineLevel="2" x14ac:dyDescent="0.25">
      <c r="C352" s="253" t="s">
        <v>244</v>
      </c>
      <c r="D352" s="254" t="s">
        <v>300</v>
      </c>
      <c r="E352" s="254"/>
      <c r="F352" s="254"/>
      <c r="G352" s="254"/>
      <c r="H352" s="254"/>
      <c r="I352" s="254"/>
      <c r="J352" s="254"/>
      <c r="K352" s="255"/>
    </row>
    <row r="353" spans="3:11" hidden="1" outlineLevel="2" x14ac:dyDescent="0.25">
      <c r="C353" s="256">
        <f>$E$297</f>
        <v>0.29575731352628054</v>
      </c>
      <c r="D353" s="306">
        <f>+D345</f>
        <v>0.4</v>
      </c>
      <c r="E353" s="304">
        <f t="shared" ref="E353:K353" si="68">+E345</f>
        <v>0.45</v>
      </c>
      <c r="F353" s="304">
        <f t="shared" si="68"/>
        <v>0.5</v>
      </c>
      <c r="G353" s="304">
        <f t="shared" si="68"/>
        <v>0.55000000000000004</v>
      </c>
      <c r="H353" s="304">
        <f t="shared" si="68"/>
        <v>0.60000000000000009</v>
      </c>
      <c r="I353" s="307">
        <f t="shared" si="68"/>
        <v>0.65000000000000013</v>
      </c>
      <c r="J353" s="304">
        <f t="shared" si="68"/>
        <v>0.70000000000000018</v>
      </c>
      <c r="K353" s="305">
        <f t="shared" si="68"/>
        <v>0.75000000000000022</v>
      </c>
    </row>
    <row r="354" spans="3:11" hidden="1" outlineLevel="2" x14ac:dyDescent="0.25">
      <c r="C354" s="259" t="str">
        <f>$C$71</f>
        <v>Upside</v>
      </c>
      <c r="D354" s="260">
        <f t="dataTable" ref="D354:K356" dt2D="1" dtr="1" r1="J25" r2="J7" ca="1"/>
        <v>0.30729806109999758</v>
      </c>
      <c r="E354" s="261">
        <v>0.32710402656685988</v>
      </c>
      <c r="F354" s="262">
        <v>0.35052716373374593</v>
      </c>
      <c r="G354" s="262">
        <v>0.37873253091014702</v>
      </c>
      <c r="H354" s="262">
        <v>0.41348054284861968</v>
      </c>
      <c r="I354" s="292">
        <v>0.45758745513484578</v>
      </c>
      <c r="J354" s="262">
        <v>0.51591785315037053</v>
      </c>
      <c r="K354" s="262">
        <v>0.59784325148937922</v>
      </c>
    </row>
    <row r="355" spans="3:11" hidden="1" outlineLevel="2" x14ac:dyDescent="0.25">
      <c r="C355" s="265" t="str">
        <f>$C$72</f>
        <v>Base</v>
      </c>
      <c r="D355" s="263">
        <v>0.19736944388464295</v>
      </c>
      <c r="E355" s="261">
        <v>0.20987115710916449</v>
      </c>
      <c r="F355" s="262">
        <v>0.22484955209248425</v>
      </c>
      <c r="G355" s="262">
        <v>0.2431606022563455</v>
      </c>
      <c r="H355" s="262">
        <v>0.26609676887953748</v>
      </c>
      <c r="I355" s="292">
        <v>0.29575731352628076</v>
      </c>
      <c r="J355" s="262">
        <v>0.3358205141334405</v>
      </c>
      <c r="K355" s="262">
        <v>0.39347233205835086</v>
      </c>
    </row>
    <row r="356" spans="3:11" hidden="1" outlineLevel="2" x14ac:dyDescent="0.25">
      <c r="C356" s="266" t="str">
        <f>$C$73</f>
        <v>Downside</v>
      </c>
      <c r="D356" s="263">
        <v>6.2335786187303066E-2</v>
      </c>
      <c r="E356" s="261">
        <v>5.8425941476721865E-2</v>
      </c>
      <c r="F356" s="262">
        <v>5.3528467299692295E-2</v>
      </c>
      <c r="G356" s="262">
        <v>4.7214583934611865E-2</v>
      </c>
      <c r="H356" s="262">
        <v>3.8764886395574738E-2</v>
      </c>
      <c r="I356" s="292">
        <v>2.6872282640808987E-2</v>
      </c>
      <c r="J356" s="262">
        <v>8.8855864701138376E-3</v>
      </c>
      <c r="K356" s="262">
        <v>-2.1527837863347776E-2</v>
      </c>
    </row>
    <row r="357" spans="3:11" hidden="1" outlineLevel="2" x14ac:dyDescent="0.25"/>
    <row r="358" spans="3:11" outlineLevel="1" collapsed="1" x14ac:dyDescent="0.25">
      <c r="C358" s="252" t="s">
        <v>304</v>
      </c>
      <c r="D358" s="52"/>
      <c r="E358" s="52"/>
      <c r="F358" s="52"/>
      <c r="G358" s="52"/>
      <c r="H358" s="52"/>
      <c r="I358" s="52"/>
      <c r="J358" s="52"/>
      <c r="K358" s="52"/>
    </row>
    <row r="359" spans="3:11" outlineLevel="1" x14ac:dyDescent="0.25">
      <c r="C359" s="52"/>
      <c r="D359" s="52"/>
      <c r="E359" s="52"/>
      <c r="F359" s="52"/>
      <c r="G359" s="52"/>
      <c r="H359" s="52"/>
      <c r="I359" s="52"/>
      <c r="J359" s="52"/>
      <c r="K359" s="52"/>
    </row>
    <row r="360" spans="3:11" outlineLevel="1" x14ac:dyDescent="0.25">
      <c r="C360" s="253" t="s">
        <v>244</v>
      </c>
      <c r="D360" s="254" t="s">
        <v>303</v>
      </c>
      <c r="E360" s="254"/>
      <c r="F360" s="254"/>
      <c r="G360" s="254"/>
      <c r="H360" s="254"/>
      <c r="I360" s="254"/>
      <c r="J360" s="254"/>
      <c r="K360" s="255"/>
    </row>
    <row r="361" spans="3:11" outlineLevel="1" x14ac:dyDescent="0.25">
      <c r="C361" s="256">
        <f>$E$303</f>
        <v>0.49632713057319866</v>
      </c>
      <c r="D361" s="303">
        <v>0.1</v>
      </c>
      <c r="E361" s="304">
        <f>+D361+1.25%</f>
        <v>0.1125</v>
      </c>
      <c r="F361" s="304">
        <f t="shared" ref="F361:K361" si="69">+E361+1.25%</f>
        <v>0.125</v>
      </c>
      <c r="G361" s="304">
        <f t="shared" si="69"/>
        <v>0.13750000000000001</v>
      </c>
      <c r="H361" s="307">
        <f t="shared" si="69"/>
        <v>0.15000000000000002</v>
      </c>
      <c r="I361" s="304">
        <f t="shared" si="69"/>
        <v>0.16250000000000003</v>
      </c>
      <c r="J361" s="304">
        <f t="shared" si="69"/>
        <v>0.17500000000000004</v>
      </c>
      <c r="K361" s="305">
        <f t="shared" si="69"/>
        <v>0.18750000000000006</v>
      </c>
    </row>
    <row r="362" spans="3:11" outlineLevel="1" x14ac:dyDescent="0.25">
      <c r="C362" s="259" t="str">
        <f>$C$71</f>
        <v>Upside</v>
      </c>
      <c r="D362" s="260">
        <f t="dataTable" ref="D362:K364" dt2D="1" dtr="1" r1="E27" r2="J7" ca="1"/>
        <v>0.73796566955287957</v>
      </c>
      <c r="E362" s="261">
        <v>0.72889703955787133</v>
      </c>
      <c r="F362" s="262">
        <v>0.71988119504692638</v>
      </c>
      <c r="G362" s="262">
        <v>0.71073176394537407</v>
      </c>
      <c r="H362" s="292">
        <v>0.70149319658576226</v>
      </c>
      <c r="I362" s="262">
        <v>0.69229705445353851</v>
      </c>
      <c r="J362" s="262">
        <v>0.68312261374289407</v>
      </c>
      <c r="K362" s="262">
        <v>0.67395009037480791</v>
      </c>
    </row>
    <row r="363" spans="3:11" outlineLevel="1" x14ac:dyDescent="0.25">
      <c r="C363" s="265" t="str">
        <f>$C$72</f>
        <v>Base</v>
      </c>
      <c r="D363" s="263">
        <v>0.538192152184227</v>
      </c>
      <c r="E363" s="261">
        <v>0.52768958321687798</v>
      </c>
      <c r="F363" s="262">
        <v>0.51720071592903638</v>
      </c>
      <c r="G363" s="262">
        <v>0.5067219392096094</v>
      </c>
      <c r="H363" s="292">
        <v>0.49632713057319888</v>
      </c>
      <c r="I363" s="262">
        <v>0.48579502354842563</v>
      </c>
      <c r="J363" s="262">
        <v>0.47525675287280578</v>
      </c>
      <c r="K363" s="262">
        <v>0.46466846349358559</v>
      </c>
    </row>
    <row r="364" spans="3:11" outlineLevel="1" x14ac:dyDescent="0.25">
      <c r="C364" s="266" t="str">
        <f>$C$73</f>
        <v>Downside</v>
      </c>
      <c r="D364" s="263" t="e">
        <v>#NUM!</v>
      </c>
      <c r="E364" s="261" t="e">
        <v>#NUM!</v>
      </c>
      <c r="F364" s="262" t="e">
        <v>#NUM!</v>
      </c>
      <c r="G364" s="262" t="e">
        <v>#NUM!</v>
      </c>
      <c r="H364" s="292" t="e">
        <v>#NUM!</v>
      </c>
      <c r="I364" s="262" t="e">
        <v>#NUM!</v>
      </c>
      <c r="J364" s="262" t="e">
        <v>#NUM!</v>
      </c>
      <c r="K364" s="262" t="e">
        <v>#NUM!</v>
      </c>
    </row>
    <row r="365" spans="3:11" outlineLevel="1" x14ac:dyDescent="0.25"/>
    <row r="366" spans="3:11" hidden="1" outlineLevel="2" x14ac:dyDescent="0.25">
      <c r="C366" s="252" t="s">
        <v>305</v>
      </c>
      <c r="D366" s="52"/>
      <c r="E366" s="52"/>
      <c r="F366" s="52"/>
      <c r="G366" s="52"/>
      <c r="H366" s="52"/>
      <c r="I366" s="52"/>
      <c r="J366" s="52"/>
      <c r="K366" s="52"/>
    </row>
    <row r="367" spans="3:11" hidden="1" outlineLevel="2" x14ac:dyDescent="0.25">
      <c r="C367" s="52"/>
      <c r="D367" s="52"/>
      <c r="E367" s="52"/>
      <c r="F367" s="52"/>
      <c r="G367" s="52"/>
      <c r="H367" s="52"/>
      <c r="I367" s="52"/>
      <c r="J367" s="52"/>
      <c r="K367" s="52"/>
    </row>
    <row r="368" spans="3:11" hidden="1" outlineLevel="2" x14ac:dyDescent="0.25">
      <c r="C368" s="253" t="s">
        <v>244</v>
      </c>
      <c r="D368" s="254" t="s">
        <v>303</v>
      </c>
      <c r="E368" s="254"/>
      <c r="F368" s="254"/>
      <c r="G368" s="254"/>
      <c r="H368" s="254"/>
      <c r="I368" s="254"/>
      <c r="J368" s="254"/>
      <c r="K368" s="255"/>
    </row>
    <row r="369" spans="3:11" hidden="1" outlineLevel="2" x14ac:dyDescent="0.25">
      <c r="C369" s="256">
        <f>$E$297</f>
        <v>0.29575731352628054</v>
      </c>
      <c r="D369" s="306">
        <f>+D361</f>
        <v>0.1</v>
      </c>
      <c r="E369" s="304">
        <f t="shared" ref="E369:K369" si="70">+E361</f>
        <v>0.1125</v>
      </c>
      <c r="F369" s="304">
        <f t="shared" si="70"/>
        <v>0.125</v>
      </c>
      <c r="G369" s="304">
        <f t="shared" si="70"/>
        <v>0.13750000000000001</v>
      </c>
      <c r="H369" s="307">
        <f t="shared" si="70"/>
        <v>0.15000000000000002</v>
      </c>
      <c r="I369" s="304">
        <f t="shared" si="70"/>
        <v>0.16250000000000003</v>
      </c>
      <c r="J369" s="304">
        <f t="shared" si="70"/>
        <v>0.17500000000000004</v>
      </c>
      <c r="K369" s="305">
        <f t="shared" si="70"/>
        <v>0.18750000000000006</v>
      </c>
    </row>
    <row r="370" spans="3:11" hidden="1" outlineLevel="2" x14ac:dyDescent="0.25">
      <c r="C370" s="259" t="str">
        <f>$C$71</f>
        <v>Upside</v>
      </c>
      <c r="D370" s="260">
        <f t="dataTable" ref="D370:K372" dt2D="1" dtr="1" r1="E27" r2="J7" ca="1"/>
        <v>0.49410961709894119</v>
      </c>
      <c r="E370" s="261">
        <v>0.48590828271576259</v>
      </c>
      <c r="F370" s="262">
        <v>0.47779259673335495</v>
      </c>
      <c r="G370" s="262">
        <v>0.4682857071264428</v>
      </c>
      <c r="H370" s="292">
        <v>0.45758745513484533</v>
      </c>
      <c r="I370" s="262">
        <v>0.44712359907955368</v>
      </c>
      <c r="J370" s="262">
        <v>0.43675958020277506</v>
      </c>
      <c r="K370" s="262">
        <v>0.42638574903881077</v>
      </c>
    </row>
    <row r="371" spans="3:11" hidden="1" outlineLevel="2" x14ac:dyDescent="0.25">
      <c r="C371" s="265" t="str">
        <f>$C$72</f>
        <v>Base</v>
      </c>
      <c r="D371" s="263">
        <v>0.33191521022822612</v>
      </c>
      <c r="E371" s="261">
        <v>0.32315795136241809</v>
      </c>
      <c r="F371" s="262">
        <v>0.31446758777213168</v>
      </c>
      <c r="G371" s="262">
        <v>0.30584120345466781</v>
      </c>
      <c r="H371" s="292">
        <v>0.29575731352628076</v>
      </c>
      <c r="I371" s="262">
        <v>0.28532717903931282</v>
      </c>
      <c r="J371" s="262">
        <v>0.27499196931055536</v>
      </c>
      <c r="K371" s="262">
        <v>0.26464517362614481</v>
      </c>
    </row>
    <row r="372" spans="3:11" hidden="1" outlineLevel="2" x14ac:dyDescent="0.25">
      <c r="C372" s="266" t="str">
        <f>$C$73</f>
        <v>Downside</v>
      </c>
      <c r="D372" s="263">
        <v>8.0000000000000071E-2</v>
      </c>
      <c r="E372" s="261">
        <v>6.8418340440838499E-2</v>
      </c>
      <c r="F372" s="262">
        <v>5.4851924310134414E-2</v>
      </c>
      <c r="G372" s="262">
        <v>4.1149080995689147E-2</v>
      </c>
      <c r="H372" s="292">
        <v>2.6872282640808987E-2</v>
      </c>
      <c r="I372" s="262">
        <v>1.2254656533584374E-2</v>
      </c>
      <c r="J372" s="262">
        <v>-2.4145077911800206E-3</v>
      </c>
      <c r="K372" s="262">
        <v>-1.6998735164145851E-2</v>
      </c>
    </row>
    <row r="373" spans="3:11" hidden="1" outlineLevel="2" x14ac:dyDescent="0.25"/>
    <row r="374" spans="3:11" outlineLevel="1" collapsed="1" x14ac:dyDescent="0.25">
      <c r="C374" s="252" t="str">
        <f>"General Partners - IRR vs. Year 4 Exit Cap Rate and Acquisition Price ("&amp;Scenario&amp;" Case):"</f>
        <v>General Partners - IRR vs. Year 4 Exit Cap Rate and Acquisition Price (Base Case):</v>
      </c>
      <c r="D374" s="52"/>
      <c r="E374" s="52"/>
      <c r="F374" s="52"/>
      <c r="G374" s="52"/>
      <c r="H374" s="52"/>
      <c r="I374" s="52"/>
      <c r="J374" s="52"/>
      <c r="K374" s="52"/>
    </row>
    <row r="375" spans="3:11" outlineLevel="1" x14ac:dyDescent="0.25">
      <c r="C375" s="52"/>
      <c r="D375" s="52"/>
      <c r="E375" s="52"/>
      <c r="F375" s="52"/>
      <c r="G375" s="52"/>
      <c r="H375" s="52"/>
      <c r="I375" s="52"/>
      <c r="J375" s="52"/>
      <c r="K375" s="52"/>
    </row>
    <row r="376" spans="3:11" outlineLevel="1" x14ac:dyDescent="0.25">
      <c r="C376" s="253" t="s">
        <v>100</v>
      </c>
      <c r="D376" s="254" t="s">
        <v>246</v>
      </c>
      <c r="E376" s="254"/>
      <c r="F376" s="254"/>
      <c r="G376" s="254"/>
      <c r="H376" s="254"/>
      <c r="I376" s="254"/>
      <c r="J376" s="254"/>
      <c r="K376" s="255"/>
    </row>
    <row r="377" spans="3:11" outlineLevel="1" x14ac:dyDescent="0.25">
      <c r="C377" s="256">
        <f>$E$303</f>
        <v>0.49632713057319866</v>
      </c>
      <c r="D377" s="269">
        <f t="shared" ref="D377:K377" si="71">+D321</f>
        <v>6.25E-2</v>
      </c>
      <c r="E377" s="257">
        <f t="shared" si="71"/>
        <v>6.5000000000000002E-2</v>
      </c>
      <c r="F377" s="289">
        <f t="shared" si="71"/>
        <v>6.7500000000000004E-2</v>
      </c>
      <c r="G377" s="289">
        <f t="shared" si="71"/>
        <v>7.0000000000000007E-2</v>
      </c>
      <c r="H377" s="289">
        <f t="shared" si="71"/>
        <v>7.2500000000000009E-2</v>
      </c>
      <c r="I377" s="257">
        <f t="shared" si="71"/>
        <v>7.5000000000000011E-2</v>
      </c>
      <c r="J377" s="257">
        <f t="shared" si="71"/>
        <v>7.7500000000000013E-2</v>
      </c>
      <c r="K377" s="258">
        <f t="shared" si="71"/>
        <v>8.0000000000000016E-2</v>
      </c>
    </row>
    <row r="378" spans="3:11" outlineLevel="1" x14ac:dyDescent="0.25">
      <c r="C378" s="281">
        <v>24500000</v>
      </c>
      <c r="D378" s="260">
        <f t="dataTable" ref="D378:K385" dt2D="1" dtr="1" r1="J197" r2="E21" ca="1"/>
        <v>0.39772187907203493</v>
      </c>
      <c r="E378" s="261">
        <v>0.36086285889137293</v>
      </c>
      <c r="F378" s="292">
        <v>0.32385269149047313</v>
      </c>
      <c r="G378" s="292">
        <v>0.28647955187999075</v>
      </c>
      <c r="H378" s="292">
        <v>0.24850648205459747</v>
      </c>
      <c r="I378" s="262">
        <v>0.20965899984337555</v>
      </c>
      <c r="J378" s="262">
        <v>1.5615085456167854E-2</v>
      </c>
      <c r="K378" s="262" t="e">
        <v>#NUM!</v>
      </c>
    </row>
    <row r="379" spans="3:11" outlineLevel="1" x14ac:dyDescent="0.25">
      <c r="C379" s="282">
        <f>+C378-1000000</f>
        <v>23500000</v>
      </c>
      <c r="D379" s="263">
        <v>0.44512867008653489</v>
      </c>
      <c r="E379" s="261">
        <v>0.41038817908463243</v>
      </c>
      <c r="F379" s="292">
        <v>0.37576994485026916</v>
      </c>
      <c r="G379" s="292">
        <v>0.34111508500855137</v>
      </c>
      <c r="H379" s="292">
        <v>0.30625555501505186</v>
      </c>
      <c r="I379" s="262">
        <v>0.2710082535215812</v>
      </c>
      <c r="J379" s="262">
        <v>0.23516750167984113</v>
      </c>
      <c r="K379" s="262">
        <v>0.19241773432978793</v>
      </c>
    </row>
    <row r="380" spans="3:11" outlineLevel="1" x14ac:dyDescent="0.25">
      <c r="C380" s="282">
        <f t="shared" ref="C380:C385" si="72">+C379-1000000</f>
        <v>22500000</v>
      </c>
      <c r="D380" s="263">
        <v>0.49196111130090769</v>
      </c>
      <c r="E380" s="261">
        <v>0.45898623537611138</v>
      </c>
      <c r="F380" s="292">
        <v>0.42633188003738542</v>
      </c>
      <c r="G380" s="292">
        <v>0.39387070784754052</v>
      </c>
      <c r="H380" s="292">
        <v>0.36147421723856765</v>
      </c>
      <c r="I380" s="262">
        <v>0.32900948301467925</v>
      </c>
      <c r="J380" s="262">
        <v>0.29633542784264932</v>
      </c>
      <c r="K380" s="262">
        <v>0.26329831848397078</v>
      </c>
    </row>
    <row r="381" spans="3:11" outlineLevel="1" x14ac:dyDescent="0.25">
      <c r="C381" s="282">
        <f t="shared" si="72"/>
        <v>21500000</v>
      </c>
      <c r="D381" s="263">
        <v>0.53857559728137283</v>
      </c>
      <c r="E381" s="261">
        <v>0.50709431051026899</v>
      </c>
      <c r="F381" s="292">
        <v>0.47608173935622156</v>
      </c>
      <c r="G381" s="292">
        <v>0.44542991186637249</v>
      </c>
      <c r="H381" s="292">
        <v>0.41503391583100036</v>
      </c>
      <c r="I381" s="262">
        <v>0.38478977524909985</v>
      </c>
      <c r="J381" s="262">
        <v>0.3545922701526647</v>
      </c>
      <c r="K381" s="262">
        <v>0.324332577146486</v>
      </c>
    </row>
    <row r="382" spans="3:11" outlineLevel="1" x14ac:dyDescent="0.25">
      <c r="C382" s="290">
        <f t="shared" si="72"/>
        <v>20500000</v>
      </c>
      <c r="D382" s="293">
        <v>0.58529740851797363</v>
      </c>
      <c r="E382" s="294">
        <v>0.55509062586872515</v>
      </c>
      <c r="F382" s="292">
        <v>0.52546584338158153</v>
      </c>
      <c r="G382" s="292">
        <v>0.49632713057319866</v>
      </c>
      <c r="H382" s="292">
        <v>0.46758393668929998</v>
      </c>
      <c r="I382" s="292">
        <v>0.43914947300355189</v>
      </c>
      <c r="J382" s="292">
        <v>0.41093919452131789</v>
      </c>
      <c r="K382" s="292">
        <v>0.38286931457785456</v>
      </c>
    </row>
    <row r="383" spans="3:11" outlineLevel="1" x14ac:dyDescent="0.25">
      <c r="C383" s="282">
        <f t="shared" si="72"/>
        <v>19500000</v>
      </c>
      <c r="D383" s="263">
        <v>0.63242749779490071</v>
      </c>
      <c r="E383" s="261">
        <v>0.60331335007386011</v>
      </c>
      <c r="F383" s="292">
        <v>0.57486946973183595</v>
      </c>
      <c r="G383" s="292">
        <v>0.54700740024792349</v>
      </c>
      <c r="H383" s="292">
        <v>0.51964538549632922</v>
      </c>
      <c r="I383" s="262">
        <v>0.4927069789446159</v>
      </c>
      <c r="J383" s="262">
        <v>0.46611981436767502</v>
      </c>
      <c r="K383" s="262">
        <v>0.43981448931601053</v>
      </c>
    </row>
    <row r="384" spans="3:11" outlineLevel="1" x14ac:dyDescent="0.25">
      <c r="C384" s="282">
        <f t="shared" si="72"/>
        <v>18500000</v>
      </c>
      <c r="D384" s="263">
        <v>0.68026179158241629</v>
      </c>
      <c r="E384" s="261">
        <v>0.65208083653141036</v>
      </c>
      <c r="F384" s="292">
        <v>0.62463980651952133</v>
      </c>
      <c r="G384" s="292">
        <v>0.59785476347718602</v>
      </c>
      <c r="H384" s="292">
        <v>0.57164924865857936</v>
      </c>
      <c r="I384" s="262">
        <v>0.54595299006266695</v>
      </c>
      <c r="J384" s="262">
        <v>0.52070079750659004</v>
      </c>
      <c r="K384" s="262">
        <v>0.49583160210002286</v>
      </c>
    </row>
    <row r="385" spans="3:11" outlineLevel="1" x14ac:dyDescent="0.25">
      <c r="C385" s="283">
        <f t="shared" si="72"/>
        <v>17500000</v>
      </c>
      <c r="D385" s="263">
        <v>0.72933475990054997</v>
      </c>
      <c r="E385" s="261">
        <v>0.70195367161308009</v>
      </c>
      <c r="F385" s="292">
        <v>0.67536850896507095</v>
      </c>
      <c r="G385" s="292">
        <v>0.64949793600745243</v>
      </c>
      <c r="H385" s="292">
        <v>0.6242685816567819</v>
      </c>
      <c r="I385" s="262">
        <v>0.59961378505916163</v>
      </c>
      <c r="J385" s="262">
        <v>0.57547254079433863</v>
      </c>
      <c r="K385" s="262">
        <v>0.55178860215767145</v>
      </c>
    </row>
    <row r="386" spans="3:11" outlineLevel="1" x14ac:dyDescent="0.25"/>
    <row r="387" spans="3:11" outlineLevel="1" x14ac:dyDescent="0.25">
      <c r="C387" s="252" t="str">
        <f>"Limited Partners - IRR vs. Year 4 Exit Cap Rate and Acquisition Price ("&amp;Scenario&amp;" Case):"</f>
        <v>Limited Partners - IRR vs. Year 4 Exit Cap Rate and Acquisition Price (Base Case):</v>
      </c>
      <c r="D387" s="52"/>
      <c r="E387" s="52"/>
      <c r="F387" s="52"/>
      <c r="G387" s="52"/>
      <c r="H387" s="52"/>
      <c r="I387" s="52"/>
      <c r="J387" s="52"/>
      <c r="K387" s="52"/>
    </row>
    <row r="388" spans="3:11" outlineLevel="1" x14ac:dyDescent="0.25">
      <c r="C388" s="52"/>
      <c r="D388" s="52"/>
      <c r="E388" s="52"/>
      <c r="F388" s="52"/>
      <c r="G388" s="52"/>
      <c r="H388" s="52"/>
      <c r="I388" s="52"/>
      <c r="J388" s="52"/>
      <c r="K388" s="52"/>
    </row>
    <row r="389" spans="3:11" outlineLevel="1" x14ac:dyDescent="0.25">
      <c r="C389" s="253" t="s">
        <v>100</v>
      </c>
      <c r="D389" s="254" t="s">
        <v>246</v>
      </c>
      <c r="E389" s="254"/>
      <c r="F389" s="254"/>
      <c r="G389" s="254"/>
      <c r="H389" s="254"/>
      <c r="I389" s="254"/>
      <c r="J389" s="254"/>
      <c r="K389" s="255"/>
    </row>
    <row r="390" spans="3:11" outlineLevel="1" x14ac:dyDescent="0.25">
      <c r="C390" s="256">
        <f>$E$297</f>
        <v>0.29575731352628054</v>
      </c>
      <c r="D390" s="269">
        <f>+D377</f>
        <v>6.25E-2</v>
      </c>
      <c r="E390" s="257">
        <f t="shared" ref="E390:K390" si="73">+E377</f>
        <v>6.5000000000000002E-2</v>
      </c>
      <c r="F390" s="289">
        <f t="shared" si="73"/>
        <v>6.7500000000000004E-2</v>
      </c>
      <c r="G390" s="289">
        <f t="shared" si="73"/>
        <v>7.0000000000000007E-2</v>
      </c>
      <c r="H390" s="289">
        <f t="shared" si="73"/>
        <v>7.2500000000000009E-2</v>
      </c>
      <c r="I390" s="257">
        <f t="shared" si="73"/>
        <v>7.5000000000000011E-2</v>
      </c>
      <c r="J390" s="257">
        <f t="shared" si="73"/>
        <v>7.7500000000000013E-2</v>
      </c>
      <c r="K390" s="258">
        <f t="shared" si="73"/>
        <v>8.0000000000000016E-2</v>
      </c>
    </row>
    <row r="391" spans="3:11" outlineLevel="1" x14ac:dyDescent="0.25">
      <c r="C391" s="280">
        <f>+C378</f>
        <v>24500000</v>
      </c>
      <c r="D391" s="260">
        <f t="dataTable" ref="D391:K398" dt2D="1" dtr="1" r1="J197" r2="E21" ca="1"/>
        <v>0.21247847173178092</v>
      </c>
      <c r="E391" s="261">
        <v>0.18680035223048863</v>
      </c>
      <c r="F391" s="292">
        <v>0.16142125560490084</v>
      </c>
      <c r="G391" s="292">
        <v>0.13624628507763359</v>
      </c>
      <c r="H391" s="292">
        <v>0.11118099480677657</v>
      </c>
      <c r="I391" s="262">
        <v>8.6129191371460356E-2</v>
      </c>
      <c r="J391" s="262">
        <v>8.0000000000000071E-2</v>
      </c>
      <c r="K391" s="262">
        <v>7.6270162712538836E-2</v>
      </c>
    </row>
    <row r="392" spans="3:11" outlineLevel="1" x14ac:dyDescent="0.25">
      <c r="C392" s="282">
        <f t="shared" ref="C392:C398" si="74">+C379</f>
        <v>23500000</v>
      </c>
      <c r="D392" s="263">
        <v>0.24851858262947513</v>
      </c>
      <c r="E392" s="261">
        <v>0.22359581199280298</v>
      </c>
      <c r="F392" s="292">
        <v>0.19904964356483057</v>
      </c>
      <c r="G392" s="292">
        <v>0.17479463331595979</v>
      </c>
      <c r="H392" s="292">
        <v>0.15074783472241182</v>
      </c>
      <c r="I392" s="262">
        <v>0.12682712270524577</v>
      </c>
      <c r="J392" s="262">
        <v>0.10294947621275763</v>
      </c>
      <c r="K392" s="262">
        <v>8.0000000000000071E-2</v>
      </c>
    </row>
    <row r="393" spans="3:11" outlineLevel="1" x14ac:dyDescent="0.25">
      <c r="C393" s="282">
        <f t="shared" si="74"/>
        <v>22500000</v>
      </c>
      <c r="D393" s="263">
        <v>0.28548101217267408</v>
      </c>
      <c r="E393" s="261">
        <v>0.26124311239326681</v>
      </c>
      <c r="F393" s="292">
        <v>0.23744763083784304</v>
      </c>
      <c r="G393" s="292">
        <v>0.214016003487985</v>
      </c>
      <c r="H393" s="292">
        <v>0.1908735458424573</v>
      </c>
      <c r="I393" s="262">
        <v>0.16794808009921924</v>
      </c>
      <c r="J393" s="262">
        <v>0.14516861704986539</v>
      </c>
      <c r="K393" s="262">
        <v>0.12246403148639695</v>
      </c>
    </row>
    <row r="394" spans="3:11" outlineLevel="1" x14ac:dyDescent="0.25">
      <c r="C394" s="282">
        <f t="shared" si="74"/>
        <v>21500000</v>
      </c>
      <c r="D394" s="263">
        <v>0.3236848100932177</v>
      </c>
      <c r="E394" s="261">
        <v>0.30006067816381798</v>
      </c>
      <c r="F394" s="292">
        <v>0.27693469543058158</v>
      </c>
      <c r="G394" s="292">
        <v>0.25423321943273769</v>
      </c>
      <c r="H394" s="292">
        <v>0.2318874251677443</v>
      </c>
      <c r="I394" s="262">
        <v>0.20983210590854395</v>
      </c>
      <c r="J394" s="262">
        <v>0.18800457940186499</v>
      </c>
      <c r="K394" s="262">
        <v>0.16634365403169671</v>
      </c>
    </row>
    <row r="395" spans="3:11" outlineLevel="1" x14ac:dyDescent="0.25">
      <c r="C395" s="290">
        <f t="shared" si="74"/>
        <v>20500000</v>
      </c>
      <c r="D395" s="293">
        <v>0.36341492874474324</v>
      </c>
      <c r="E395" s="294">
        <v>0.34034004333242596</v>
      </c>
      <c r="F395" s="292">
        <v>0.31781089414938513</v>
      </c>
      <c r="G395" s="292">
        <v>0.29575731352628054</v>
      </c>
      <c r="H395" s="292">
        <v>0.27411459985910547</v>
      </c>
      <c r="I395" s="292">
        <v>0.2528224164449544</v>
      </c>
      <c r="J395" s="292">
        <v>0.23182382312117289</v>
      </c>
      <c r="K395" s="292">
        <v>0.21106440236742374</v>
      </c>
    </row>
    <row r="396" spans="3:11" outlineLevel="1" x14ac:dyDescent="0.25">
      <c r="C396" s="282">
        <f t="shared" si="74"/>
        <v>19500000</v>
      </c>
      <c r="D396" s="263">
        <v>0.40485278441416761</v>
      </c>
      <c r="E396" s="261">
        <v>0.38227435584269331</v>
      </c>
      <c r="F396" s="292">
        <v>0.36028280636849952</v>
      </c>
      <c r="G396" s="292">
        <v>0.33881038183775281</v>
      </c>
      <c r="H396" s="292">
        <v>0.31779525480363935</v>
      </c>
      <c r="I396" s="262">
        <v>0.29718047698720063</v>
      </c>
      <c r="J396" s="262">
        <v>0.27691307997991776</v>
      </c>
      <c r="K396" s="262">
        <v>0.25694328893877771</v>
      </c>
    </row>
    <row r="397" spans="3:11" outlineLevel="1" x14ac:dyDescent="0.25">
      <c r="C397" s="282">
        <f t="shared" si="74"/>
        <v>18500000</v>
      </c>
      <c r="D397" s="263">
        <v>0.44729990696181998</v>
      </c>
      <c r="E397" s="261">
        <v>0.42520097121889533</v>
      </c>
      <c r="F397" s="292">
        <v>0.40372537843517242</v>
      </c>
      <c r="G397" s="292">
        <v>0.38280705847728003</v>
      </c>
      <c r="H397" s="292">
        <v>0.36238620874834915</v>
      </c>
      <c r="I397" s="262">
        <v>0.34240827452907063</v>
      </c>
      <c r="J397" s="262">
        <v>0.3228230868298585</v>
      </c>
      <c r="K397" s="262">
        <v>0.30358412376003141</v>
      </c>
    </row>
    <row r="398" spans="3:11" outlineLevel="1" x14ac:dyDescent="0.25">
      <c r="C398" s="283">
        <f t="shared" si="74"/>
        <v>17500000</v>
      </c>
      <c r="D398" s="263">
        <v>0.49134238999216318</v>
      </c>
      <c r="E398" s="261">
        <v>0.46968211237089874</v>
      </c>
      <c r="F398" s="292">
        <v>0.44867781350081692</v>
      </c>
      <c r="G398" s="292">
        <v>0.42826448399730555</v>
      </c>
      <c r="H398" s="292">
        <v>0.40838364285413387</v>
      </c>
      <c r="I398" s="262">
        <v>0.38898232897656437</v>
      </c>
      <c r="J398" s="262">
        <v>0.37001225621878198</v>
      </c>
      <c r="K398" s="262">
        <v>0.35142909827483915</v>
      </c>
    </row>
  </sheetData>
  <dataValidations count="3">
    <dataValidation type="decimal" allowBlank="1" showInputMessage="1" showErrorMessage="1" sqref="E51:E52 E46:E47" xr:uid="{00000000-0002-0000-0000-000000000000}">
      <formula1>0</formula1>
      <formula2>1</formula2>
    </dataValidation>
    <dataValidation type="list" allowBlank="1" showInputMessage="1" showErrorMessage="1" sqref="J7" xr:uid="{29D4DA58-50B0-46BE-A4B9-E6673D18AE9B}">
      <formula1>$C$71:$C$73</formula1>
    </dataValidation>
    <dataValidation type="list" allowBlank="1" showInputMessage="1" showErrorMessage="1" sqref="E38" xr:uid="{5D9BA9FB-C870-4F15-9DF6-C1373379200B}">
      <formula1>$I$190:$J$190</formula1>
    </dataValidation>
  </dataValidations>
  <pageMargins left="0.7" right="0.7" top="0.75" bottom="0.75" header="0.3" footer="0.3"/>
  <pageSetup scale="38" orientation="portrait" horizontalDpi="1200" verticalDpi="1200" r:id="rId1"/>
  <rowBreaks count="5" manualBreakCount="5">
    <brk id="63" max="11" man="1"/>
    <brk id="123" max="11" man="1"/>
    <brk id="188" max="11" man="1"/>
    <brk id="253" max="11" man="1"/>
    <brk id="307" max="11" man="1"/>
  </rowBreaks>
  <ignoredErrors>
    <ignoredError sqref="J13 E22:E23 E29 E33 E36 E51:E52 J36 J47 E96:E109 F87:K91 F74:K86 F92:K92 J61 F137:K157 G173:J173 F197:J197 H202:J202 E39:E41 H240:J240" unlockedFormula="1"/>
    <ignoredError sqref="H241:J241" formula="1"/>
    <ignoredError sqref="H242:J242" formula="1" unlockedFormula="1"/>
    <ignoredError sqref="G316:K332 D348:K364 K378" evalError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autoPageBreaks="0"/>
  </sheetPr>
  <dimension ref="B2:CA355"/>
  <sheetViews>
    <sheetView showGridLines="0" zoomScaleNormal="10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B2" sqref="B2"/>
    </sheetView>
  </sheetViews>
  <sheetFormatPr defaultColWidth="11" defaultRowHeight="15.75" outlineLevelRow="1" x14ac:dyDescent="0.25"/>
  <cols>
    <col min="1" max="2" width="2.625" style="3" customWidth="1"/>
    <col min="3" max="3" width="42.375" style="3" bestFit="1" customWidth="1"/>
    <col min="4" max="77" width="14.375" style="3" customWidth="1"/>
    <col min="78" max="78" width="2.625" style="3" customWidth="1"/>
    <col min="79" max="16384" width="11" style="3"/>
  </cols>
  <sheetData>
    <row r="2" spans="2:77" ht="18.75" x14ac:dyDescent="0.3">
      <c r="B2" s="10" t="s">
        <v>93</v>
      </c>
      <c r="C2" s="2"/>
      <c r="D2" s="2"/>
      <c r="E2" s="2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77" x14ac:dyDescent="0.25">
      <c r="B3" s="3" t="str">
        <f>+Annual!$B$3</f>
        <v>($ in USD as Stated)</v>
      </c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2:77" x14ac:dyDescent="0.25"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</row>
    <row r="5" spans="2:77" x14ac:dyDescent="0.25">
      <c r="B5" s="34" t="s">
        <v>54</v>
      </c>
      <c r="C5" s="34"/>
      <c r="D5" s="59" t="str">
        <f>+Annual!$D$5</f>
        <v>Units:</v>
      </c>
      <c r="E5" s="59"/>
      <c r="F5" s="94">
        <f>EOMONTH(Acq_Date,-Months+1)</f>
        <v>43131</v>
      </c>
      <c r="G5" s="94">
        <f>EOMONTH(F5,1)</f>
        <v>43159</v>
      </c>
      <c r="H5" s="94">
        <f t="shared" ref="H5:BS5" si="0">EOMONTH(G5,1)</f>
        <v>43190</v>
      </c>
      <c r="I5" s="94">
        <f t="shared" si="0"/>
        <v>43220</v>
      </c>
      <c r="J5" s="94">
        <f t="shared" si="0"/>
        <v>43251</v>
      </c>
      <c r="K5" s="94">
        <f t="shared" si="0"/>
        <v>43281</v>
      </c>
      <c r="L5" s="94">
        <f t="shared" si="0"/>
        <v>43312</v>
      </c>
      <c r="M5" s="94">
        <f t="shared" si="0"/>
        <v>43343</v>
      </c>
      <c r="N5" s="94">
        <f t="shared" si="0"/>
        <v>43373</v>
      </c>
      <c r="O5" s="94">
        <f t="shared" si="0"/>
        <v>43404</v>
      </c>
      <c r="P5" s="94">
        <f t="shared" si="0"/>
        <v>43434</v>
      </c>
      <c r="Q5" s="94">
        <f t="shared" si="0"/>
        <v>43465</v>
      </c>
      <c r="R5" s="94">
        <f t="shared" si="0"/>
        <v>43496</v>
      </c>
      <c r="S5" s="94">
        <f t="shared" si="0"/>
        <v>43524</v>
      </c>
      <c r="T5" s="94">
        <f t="shared" si="0"/>
        <v>43555</v>
      </c>
      <c r="U5" s="94">
        <f t="shared" si="0"/>
        <v>43585</v>
      </c>
      <c r="V5" s="94">
        <f t="shared" si="0"/>
        <v>43616</v>
      </c>
      <c r="W5" s="94">
        <f t="shared" si="0"/>
        <v>43646</v>
      </c>
      <c r="X5" s="94">
        <f t="shared" si="0"/>
        <v>43677</v>
      </c>
      <c r="Y5" s="94">
        <f t="shared" si="0"/>
        <v>43708</v>
      </c>
      <c r="Z5" s="94">
        <f t="shared" si="0"/>
        <v>43738</v>
      </c>
      <c r="AA5" s="94">
        <f t="shared" si="0"/>
        <v>43769</v>
      </c>
      <c r="AB5" s="94">
        <f t="shared" si="0"/>
        <v>43799</v>
      </c>
      <c r="AC5" s="94">
        <f t="shared" si="0"/>
        <v>43830</v>
      </c>
      <c r="AD5" s="94">
        <f t="shared" si="0"/>
        <v>43861</v>
      </c>
      <c r="AE5" s="94">
        <f t="shared" si="0"/>
        <v>43890</v>
      </c>
      <c r="AF5" s="94">
        <f t="shared" si="0"/>
        <v>43921</v>
      </c>
      <c r="AG5" s="94">
        <f t="shared" si="0"/>
        <v>43951</v>
      </c>
      <c r="AH5" s="94">
        <f t="shared" si="0"/>
        <v>43982</v>
      </c>
      <c r="AI5" s="94">
        <f t="shared" si="0"/>
        <v>44012</v>
      </c>
      <c r="AJ5" s="94">
        <f t="shared" si="0"/>
        <v>44043</v>
      </c>
      <c r="AK5" s="94">
        <f t="shared" si="0"/>
        <v>44074</v>
      </c>
      <c r="AL5" s="94">
        <f t="shared" si="0"/>
        <v>44104</v>
      </c>
      <c r="AM5" s="94">
        <f t="shared" si="0"/>
        <v>44135</v>
      </c>
      <c r="AN5" s="94">
        <f t="shared" si="0"/>
        <v>44165</v>
      </c>
      <c r="AO5" s="94">
        <f t="shared" si="0"/>
        <v>44196</v>
      </c>
      <c r="AP5" s="94">
        <f t="shared" si="0"/>
        <v>44227</v>
      </c>
      <c r="AQ5" s="94">
        <f t="shared" si="0"/>
        <v>44255</v>
      </c>
      <c r="AR5" s="94">
        <f t="shared" si="0"/>
        <v>44286</v>
      </c>
      <c r="AS5" s="94">
        <f t="shared" si="0"/>
        <v>44316</v>
      </c>
      <c r="AT5" s="94">
        <f t="shared" si="0"/>
        <v>44347</v>
      </c>
      <c r="AU5" s="94">
        <f t="shared" si="0"/>
        <v>44377</v>
      </c>
      <c r="AV5" s="94">
        <f t="shared" si="0"/>
        <v>44408</v>
      </c>
      <c r="AW5" s="94">
        <f t="shared" si="0"/>
        <v>44439</v>
      </c>
      <c r="AX5" s="94">
        <f t="shared" si="0"/>
        <v>44469</v>
      </c>
      <c r="AY5" s="94">
        <f t="shared" si="0"/>
        <v>44500</v>
      </c>
      <c r="AZ5" s="94">
        <f t="shared" si="0"/>
        <v>44530</v>
      </c>
      <c r="BA5" s="94">
        <f t="shared" si="0"/>
        <v>44561</v>
      </c>
      <c r="BB5" s="94">
        <f t="shared" si="0"/>
        <v>44592</v>
      </c>
      <c r="BC5" s="94">
        <f t="shared" si="0"/>
        <v>44620</v>
      </c>
      <c r="BD5" s="94">
        <f t="shared" si="0"/>
        <v>44651</v>
      </c>
      <c r="BE5" s="94">
        <f t="shared" si="0"/>
        <v>44681</v>
      </c>
      <c r="BF5" s="94">
        <f t="shared" si="0"/>
        <v>44712</v>
      </c>
      <c r="BG5" s="94">
        <f t="shared" si="0"/>
        <v>44742</v>
      </c>
      <c r="BH5" s="94">
        <f t="shared" si="0"/>
        <v>44773</v>
      </c>
      <c r="BI5" s="94">
        <f t="shared" si="0"/>
        <v>44804</v>
      </c>
      <c r="BJ5" s="94">
        <f t="shared" si="0"/>
        <v>44834</v>
      </c>
      <c r="BK5" s="94">
        <f t="shared" si="0"/>
        <v>44865</v>
      </c>
      <c r="BL5" s="94">
        <f t="shared" si="0"/>
        <v>44895</v>
      </c>
      <c r="BM5" s="94">
        <f t="shared" si="0"/>
        <v>44926</v>
      </c>
      <c r="BN5" s="94">
        <f t="shared" si="0"/>
        <v>44957</v>
      </c>
      <c r="BO5" s="94">
        <f t="shared" si="0"/>
        <v>44985</v>
      </c>
      <c r="BP5" s="94">
        <f t="shared" si="0"/>
        <v>45016</v>
      </c>
      <c r="BQ5" s="94">
        <f t="shared" si="0"/>
        <v>45046</v>
      </c>
      <c r="BR5" s="94">
        <f t="shared" si="0"/>
        <v>45077</v>
      </c>
      <c r="BS5" s="94">
        <f t="shared" si="0"/>
        <v>45107</v>
      </c>
      <c r="BT5" s="94">
        <f t="shared" ref="BT5:BY5" si="1">EOMONTH(BS5,1)</f>
        <v>45138</v>
      </c>
      <c r="BU5" s="94">
        <f t="shared" si="1"/>
        <v>45169</v>
      </c>
      <c r="BV5" s="94">
        <f t="shared" si="1"/>
        <v>45199</v>
      </c>
      <c r="BW5" s="94">
        <f t="shared" si="1"/>
        <v>45230</v>
      </c>
      <c r="BX5" s="94">
        <f t="shared" si="1"/>
        <v>45260</v>
      </c>
      <c r="BY5" s="94">
        <f t="shared" si="1"/>
        <v>45291</v>
      </c>
    </row>
    <row r="6" spans="2:77" outlineLevel="1" x14ac:dyDescent="0.25">
      <c r="E6" s="101"/>
    </row>
    <row r="7" spans="2:77" outlineLevel="1" x14ac:dyDescent="0.25">
      <c r="B7" s="8"/>
      <c r="C7" s="66" t="s">
        <v>257</v>
      </c>
      <c r="D7" s="115" t="s">
        <v>19</v>
      </c>
      <c r="E7" s="8"/>
      <c r="F7" s="28">
        <v>1</v>
      </c>
      <c r="G7" s="113">
        <f>+F7+1</f>
        <v>2</v>
      </c>
      <c r="H7" s="113">
        <f t="shared" ref="H7:BS7" si="2">+G7+1</f>
        <v>3</v>
      </c>
      <c r="I7" s="113">
        <f t="shared" si="2"/>
        <v>4</v>
      </c>
      <c r="J7" s="113">
        <f t="shared" si="2"/>
        <v>5</v>
      </c>
      <c r="K7" s="113">
        <f t="shared" si="2"/>
        <v>6</v>
      </c>
      <c r="L7" s="113">
        <f t="shared" si="2"/>
        <v>7</v>
      </c>
      <c r="M7" s="113">
        <f t="shared" si="2"/>
        <v>8</v>
      </c>
      <c r="N7" s="113">
        <f t="shared" si="2"/>
        <v>9</v>
      </c>
      <c r="O7" s="113">
        <f t="shared" si="2"/>
        <v>10</v>
      </c>
      <c r="P7" s="113">
        <f t="shared" si="2"/>
        <v>11</v>
      </c>
      <c r="Q7" s="113">
        <f t="shared" si="2"/>
        <v>12</v>
      </c>
      <c r="R7" s="113">
        <f t="shared" si="2"/>
        <v>13</v>
      </c>
      <c r="S7" s="113">
        <f t="shared" si="2"/>
        <v>14</v>
      </c>
      <c r="T7" s="113">
        <f t="shared" si="2"/>
        <v>15</v>
      </c>
      <c r="U7" s="113">
        <f t="shared" si="2"/>
        <v>16</v>
      </c>
      <c r="V7" s="113">
        <f t="shared" si="2"/>
        <v>17</v>
      </c>
      <c r="W7" s="113">
        <f t="shared" si="2"/>
        <v>18</v>
      </c>
      <c r="X7" s="113">
        <f t="shared" si="2"/>
        <v>19</v>
      </c>
      <c r="Y7" s="113">
        <f t="shared" si="2"/>
        <v>20</v>
      </c>
      <c r="Z7" s="113">
        <f t="shared" si="2"/>
        <v>21</v>
      </c>
      <c r="AA7" s="113">
        <f t="shared" si="2"/>
        <v>22</v>
      </c>
      <c r="AB7" s="113">
        <f t="shared" si="2"/>
        <v>23</v>
      </c>
      <c r="AC7" s="113">
        <f t="shared" si="2"/>
        <v>24</v>
      </c>
      <c r="AD7" s="113">
        <f t="shared" si="2"/>
        <v>25</v>
      </c>
      <c r="AE7" s="113">
        <f t="shared" si="2"/>
        <v>26</v>
      </c>
      <c r="AF7" s="113">
        <f t="shared" si="2"/>
        <v>27</v>
      </c>
      <c r="AG7" s="113">
        <f t="shared" si="2"/>
        <v>28</v>
      </c>
      <c r="AH7" s="113">
        <f t="shared" si="2"/>
        <v>29</v>
      </c>
      <c r="AI7" s="113">
        <f t="shared" si="2"/>
        <v>30</v>
      </c>
      <c r="AJ7" s="113">
        <f t="shared" si="2"/>
        <v>31</v>
      </c>
      <c r="AK7" s="113">
        <f t="shared" si="2"/>
        <v>32</v>
      </c>
      <c r="AL7" s="113">
        <f t="shared" si="2"/>
        <v>33</v>
      </c>
      <c r="AM7" s="113">
        <f t="shared" si="2"/>
        <v>34</v>
      </c>
      <c r="AN7" s="113">
        <f t="shared" si="2"/>
        <v>35</v>
      </c>
      <c r="AO7" s="113">
        <f t="shared" si="2"/>
        <v>36</v>
      </c>
      <c r="AP7" s="113">
        <f t="shared" si="2"/>
        <v>37</v>
      </c>
      <c r="AQ7" s="113">
        <f t="shared" si="2"/>
        <v>38</v>
      </c>
      <c r="AR7" s="113">
        <f t="shared" si="2"/>
        <v>39</v>
      </c>
      <c r="AS7" s="113">
        <f t="shared" si="2"/>
        <v>40</v>
      </c>
      <c r="AT7" s="113">
        <f t="shared" si="2"/>
        <v>41</v>
      </c>
      <c r="AU7" s="113">
        <f t="shared" si="2"/>
        <v>42</v>
      </c>
      <c r="AV7" s="113">
        <f t="shared" si="2"/>
        <v>43</v>
      </c>
      <c r="AW7" s="113">
        <f t="shared" si="2"/>
        <v>44</v>
      </c>
      <c r="AX7" s="113">
        <f t="shared" si="2"/>
        <v>45</v>
      </c>
      <c r="AY7" s="113">
        <f t="shared" si="2"/>
        <v>46</v>
      </c>
      <c r="AZ7" s="113">
        <f t="shared" si="2"/>
        <v>47</v>
      </c>
      <c r="BA7" s="113">
        <f t="shared" si="2"/>
        <v>48</v>
      </c>
      <c r="BB7" s="113">
        <f t="shared" si="2"/>
        <v>49</v>
      </c>
      <c r="BC7" s="113">
        <f t="shared" si="2"/>
        <v>50</v>
      </c>
      <c r="BD7" s="113">
        <f t="shared" si="2"/>
        <v>51</v>
      </c>
      <c r="BE7" s="113">
        <f t="shared" si="2"/>
        <v>52</v>
      </c>
      <c r="BF7" s="113">
        <f t="shared" si="2"/>
        <v>53</v>
      </c>
      <c r="BG7" s="113">
        <f t="shared" si="2"/>
        <v>54</v>
      </c>
      <c r="BH7" s="113">
        <f t="shared" si="2"/>
        <v>55</v>
      </c>
      <c r="BI7" s="113">
        <f t="shared" si="2"/>
        <v>56</v>
      </c>
      <c r="BJ7" s="113">
        <f t="shared" si="2"/>
        <v>57</v>
      </c>
      <c r="BK7" s="113">
        <f t="shared" si="2"/>
        <v>58</v>
      </c>
      <c r="BL7" s="113">
        <f t="shared" si="2"/>
        <v>59</v>
      </c>
      <c r="BM7" s="113">
        <f t="shared" si="2"/>
        <v>60</v>
      </c>
      <c r="BN7" s="113">
        <f t="shared" si="2"/>
        <v>61</v>
      </c>
      <c r="BO7" s="113">
        <f t="shared" si="2"/>
        <v>62</v>
      </c>
      <c r="BP7" s="113">
        <f t="shared" si="2"/>
        <v>63</v>
      </c>
      <c r="BQ7" s="113">
        <f t="shared" si="2"/>
        <v>64</v>
      </c>
      <c r="BR7" s="113">
        <f t="shared" si="2"/>
        <v>65</v>
      </c>
      <c r="BS7" s="113">
        <f t="shared" si="2"/>
        <v>66</v>
      </c>
      <c r="BT7" s="113">
        <f t="shared" ref="BT7:BY7" si="3">+BS7+1</f>
        <v>67</v>
      </c>
      <c r="BU7" s="113">
        <f t="shared" si="3"/>
        <v>68</v>
      </c>
      <c r="BV7" s="113">
        <f t="shared" si="3"/>
        <v>69</v>
      </c>
      <c r="BW7" s="113">
        <f t="shared" si="3"/>
        <v>70</v>
      </c>
      <c r="BX7" s="113">
        <f t="shared" si="3"/>
        <v>71</v>
      </c>
      <c r="BY7" s="113">
        <f t="shared" si="3"/>
        <v>72</v>
      </c>
    </row>
    <row r="8" spans="2:77" outlineLevel="1" x14ac:dyDescent="0.25">
      <c r="B8" s="8"/>
      <c r="C8" s="114" t="s">
        <v>30</v>
      </c>
      <c r="D8" s="115" t="s">
        <v>31</v>
      </c>
      <c r="E8" s="8"/>
      <c r="F8" s="112">
        <f>YEAR(F5)</f>
        <v>2018</v>
      </c>
      <c r="G8" s="112">
        <f>YEAR(G5)</f>
        <v>2018</v>
      </c>
      <c r="H8" s="112">
        <f t="shared" ref="H8:BS8" si="4">YEAR(H5)</f>
        <v>2018</v>
      </c>
      <c r="I8" s="112">
        <f t="shared" si="4"/>
        <v>2018</v>
      </c>
      <c r="J8" s="112">
        <f t="shared" si="4"/>
        <v>2018</v>
      </c>
      <c r="K8" s="112">
        <f t="shared" si="4"/>
        <v>2018</v>
      </c>
      <c r="L8" s="112">
        <f t="shared" si="4"/>
        <v>2018</v>
      </c>
      <c r="M8" s="112">
        <f t="shared" si="4"/>
        <v>2018</v>
      </c>
      <c r="N8" s="112">
        <f t="shared" si="4"/>
        <v>2018</v>
      </c>
      <c r="O8" s="112">
        <f t="shared" si="4"/>
        <v>2018</v>
      </c>
      <c r="P8" s="112">
        <f t="shared" si="4"/>
        <v>2018</v>
      </c>
      <c r="Q8" s="112">
        <f t="shared" si="4"/>
        <v>2018</v>
      </c>
      <c r="R8" s="112">
        <f t="shared" si="4"/>
        <v>2019</v>
      </c>
      <c r="S8" s="112">
        <f t="shared" si="4"/>
        <v>2019</v>
      </c>
      <c r="T8" s="112">
        <f t="shared" si="4"/>
        <v>2019</v>
      </c>
      <c r="U8" s="112">
        <f t="shared" si="4"/>
        <v>2019</v>
      </c>
      <c r="V8" s="112">
        <f t="shared" si="4"/>
        <v>2019</v>
      </c>
      <c r="W8" s="112">
        <f t="shared" si="4"/>
        <v>2019</v>
      </c>
      <c r="X8" s="112">
        <f t="shared" si="4"/>
        <v>2019</v>
      </c>
      <c r="Y8" s="112">
        <f t="shared" si="4"/>
        <v>2019</v>
      </c>
      <c r="Z8" s="112">
        <f t="shared" si="4"/>
        <v>2019</v>
      </c>
      <c r="AA8" s="112">
        <f t="shared" si="4"/>
        <v>2019</v>
      </c>
      <c r="AB8" s="112">
        <f t="shared" si="4"/>
        <v>2019</v>
      </c>
      <c r="AC8" s="112">
        <f t="shared" si="4"/>
        <v>2019</v>
      </c>
      <c r="AD8" s="112">
        <f t="shared" si="4"/>
        <v>2020</v>
      </c>
      <c r="AE8" s="112">
        <f t="shared" si="4"/>
        <v>2020</v>
      </c>
      <c r="AF8" s="112">
        <f t="shared" si="4"/>
        <v>2020</v>
      </c>
      <c r="AG8" s="112">
        <f t="shared" si="4"/>
        <v>2020</v>
      </c>
      <c r="AH8" s="112">
        <f t="shared" si="4"/>
        <v>2020</v>
      </c>
      <c r="AI8" s="112">
        <f t="shared" si="4"/>
        <v>2020</v>
      </c>
      <c r="AJ8" s="112">
        <f t="shared" si="4"/>
        <v>2020</v>
      </c>
      <c r="AK8" s="112">
        <f t="shared" si="4"/>
        <v>2020</v>
      </c>
      <c r="AL8" s="112">
        <f t="shared" si="4"/>
        <v>2020</v>
      </c>
      <c r="AM8" s="112">
        <f t="shared" si="4"/>
        <v>2020</v>
      </c>
      <c r="AN8" s="112">
        <f t="shared" si="4"/>
        <v>2020</v>
      </c>
      <c r="AO8" s="112">
        <f t="shared" si="4"/>
        <v>2020</v>
      </c>
      <c r="AP8" s="112">
        <f t="shared" si="4"/>
        <v>2021</v>
      </c>
      <c r="AQ8" s="112">
        <f t="shared" si="4"/>
        <v>2021</v>
      </c>
      <c r="AR8" s="112">
        <f t="shared" si="4"/>
        <v>2021</v>
      </c>
      <c r="AS8" s="112">
        <f t="shared" si="4"/>
        <v>2021</v>
      </c>
      <c r="AT8" s="112">
        <f t="shared" si="4"/>
        <v>2021</v>
      </c>
      <c r="AU8" s="112">
        <f t="shared" si="4"/>
        <v>2021</v>
      </c>
      <c r="AV8" s="112">
        <f t="shared" si="4"/>
        <v>2021</v>
      </c>
      <c r="AW8" s="112">
        <f t="shared" si="4"/>
        <v>2021</v>
      </c>
      <c r="AX8" s="112">
        <f t="shared" si="4"/>
        <v>2021</v>
      </c>
      <c r="AY8" s="112">
        <f t="shared" si="4"/>
        <v>2021</v>
      </c>
      <c r="AZ8" s="112">
        <f t="shared" si="4"/>
        <v>2021</v>
      </c>
      <c r="BA8" s="112">
        <f t="shared" si="4"/>
        <v>2021</v>
      </c>
      <c r="BB8" s="112">
        <f t="shared" si="4"/>
        <v>2022</v>
      </c>
      <c r="BC8" s="112">
        <f t="shared" si="4"/>
        <v>2022</v>
      </c>
      <c r="BD8" s="112">
        <f t="shared" si="4"/>
        <v>2022</v>
      </c>
      <c r="BE8" s="112">
        <f t="shared" si="4"/>
        <v>2022</v>
      </c>
      <c r="BF8" s="112">
        <f t="shared" si="4"/>
        <v>2022</v>
      </c>
      <c r="BG8" s="112">
        <f t="shared" si="4"/>
        <v>2022</v>
      </c>
      <c r="BH8" s="112">
        <f t="shared" si="4"/>
        <v>2022</v>
      </c>
      <c r="BI8" s="112">
        <f t="shared" si="4"/>
        <v>2022</v>
      </c>
      <c r="BJ8" s="112">
        <f t="shared" si="4"/>
        <v>2022</v>
      </c>
      <c r="BK8" s="112">
        <f t="shared" si="4"/>
        <v>2022</v>
      </c>
      <c r="BL8" s="112">
        <f t="shared" si="4"/>
        <v>2022</v>
      </c>
      <c r="BM8" s="112">
        <f t="shared" si="4"/>
        <v>2022</v>
      </c>
      <c r="BN8" s="112">
        <f t="shared" si="4"/>
        <v>2023</v>
      </c>
      <c r="BO8" s="112">
        <f t="shared" si="4"/>
        <v>2023</v>
      </c>
      <c r="BP8" s="112">
        <f t="shared" si="4"/>
        <v>2023</v>
      </c>
      <c r="BQ8" s="112">
        <f t="shared" si="4"/>
        <v>2023</v>
      </c>
      <c r="BR8" s="112">
        <f t="shared" si="4"/>
        <v>2023</v>
      </c>
      <c r="BS8" s="112">
        <f t="shared" si="4"/>
        <v>2023</v>
      </c>
      <c r="BT8" s="112">
        <f t="shared" ref="BT8:BY8" si="5">YEAR(BT5)</f>
        <v>2023</v>
      </c>
      <c r="BU8" s="112">
        <f t="shared" si="5"/>
        <v>2023</v>
      </c>
      <c r="BV8" s="112">
        <f t="shared" si="5"/>
        <v>2023</v>
      </c>
      <c r="BW8" s="112">
        <f t="shared" si="5"/>
        <v>2023</v>
      </c>
      <c r="BX8" s="112">
        <f t="shared" si="5"/>
        <v>2023</v>
      </c>
      <c r="BY8" s="112">
        <f t="shared" si="5"/>
        <v>2023</v>
      </c>
    </row>
    <row r="9" spans="2:77" outlineLevel="1" x14ac:dyDescent="0.25">
      <c r="B9" s="8"/>
      <c r="C9" s="66" t="s">
        <v>61</v>
      </c>
      <c r="D9" s="115" t="s">
        <v>19</v>
      </c>
      <c r="E9" s="8"/>
      <c r="F9" s="113">
        <f t="shared" ref="F9:AK9" si="6">ROUNDUP(F7/Months,0)</f>
        <v>1</v>
      </c>
      <c r="G9" s="113">
        <f t="shared" si="6"/>
        <v>1</v>
      </c>
      <c r="H9" s="113">
        <f t="shared" si="6"/>
        <v>1</v>
      </c>
      <c r="I9" s="113">
        <f t="shared" si="6"/>
        <v>1</v>
      </c>
      <c r="J9" s="113">
        <f t="shared" si="6"/>
        <v>1</v>
      </c>
      <c r="K9" s="113">
        <f t="shared" si="6"/>
        <v>1</v>
      </c>
      <c r="L9" s="113">
        <f t="shared" si="6"/>
        <v>1</v>
      </c>
      <c r="M9" s="113">
        <f t="shared" si="6"/>
        <v>1</v>
      </c>
      <c r="N9" s="113">
        <f t="shared" si="6"/>
        <v>1</v>
      </c>
      <c r="O9" s="113">
        <f t="shared" si="6"/>
        <v>1</v>
      </c>
      <c r="P9" s="113">
        <f t="shared" si="6"/>
        <v>1</v>
      </c>
      <c r="Q9" s="113">
        <f t="shared" si="6"/>
        <v>1</v>
      </c>
      <c r="R9" s="113">
        <f t="shared" si="6"/>
        <v>2</v>
      </c>
      <c r="S9" s="113">
        <f t="shared" si="6"/>
        <v>2</v>
      </c>
      <c r="T9" s="113">
        <f t="shared" si="6"/>
        <v>2</v>
      </c>
      <c r="U9" s="113">
        <f t="shared" si="6"/>
        <v>2</v>
      </c>
      <c r="V9" s="113">
        <f t="shared" si="6"/>
        <v>2</v>
      </c>
      <c r="W9" s="113">
        <f t="shared" si="6"/>
        <v>2</v>
      </c>
      <c r="X9" s="113">
        <f t="shared" si="6"/>
        <v>2</v>
      </c>
      <c r="Y9" s="113">
        <f t="shared" si="6"/>
        <v>2</v>
      </c>
      <c r="Z9" s="113">
        <f t="shared" si="6"/>
        <v>2</v>
      </c>
      <c r="AA9" s="113">
        <f t="shared" si="6"/>
        <v>2</v>
      </c>
      <c r="AB9" s="113">
        <f t="shared" si="6"/>
        <v>2</v>
      </c>
      <c r="AC9" s="113">
        <f t="shared" si="6"/>
        <v>2</v>
      </c>
      <c r="AD9" s="113">
        <f t="shared" si="6"/>
        <v>3</v>
      </c>
      <c r="AE9" s="113">
        <f t="shared" si="6"/>
        <v>3</v>
      </c>
      <c r="AF9" s="113">
        <f t="shared" si="6"/>
        <v>3</v>
      </c>
      <c r="AG9" s="113">
        <f t="shared" si="6"/>
        <v>3</v>
      </c>
      <c r="AH9" s="113">
        <f t="shared" si="6"/>
        <v>3</v>
      </c>
      <c r="AI9" s="113">
        <f t="shared" si="6"/>
        <v>3</v>
      </c>
      <c r="AJ9" s="113">
        <f t="shared" si="6"/>
        <v>3</v>
      </c>
      <c r="AK9" s="113">
        <f t="shared" si="6"/>
        <v>3</v>
      </c>
      <c r="AL9" s="113">
        <f t="shared" ref="AL9:BQ9" si="7">ROUNDUP(AL7/Months,0)</f>
        <v>3</v>
      </c>
      <c r="AM9" s="113">
        <f t="shared" si="7"/>
        <v>3</v>
      </c>
      <c r="AN9" s="113">
        <f t="shared" si="7"/>
        <v>3</v>
      </c>
      <c r="AO9" s="113">
        <f t="shared" si="7"/>
        <v>3</v>
      </c>
      <c r="AP9" s="113">
        <f t="shared" si="7"/>
        <v>4</v>
      </c>
      <c r="AQ9" s="113">
        <f t="shared" si="7"/>
        <v>4</v>
      </c>
      <c r="AR9" s="113">
        <f t="shared" si="7"/>
        <v>4</v>
      </c>
      <c r="AS9" s="113">
        <f t="shared" si="7"/>
        <v>4</v>
      </c>
      <c r="AT9" s="113">
        <f t="shared" si="7"/>
        <v>4</v>
      </c>
      <c r="AU9" s="113">
        <f t="shared" si="7"/>
        <v>4</v>
      </c>
      <c r="AV9" s="113">
        <f t="shared" si="7"/>
        <v>4</v>
      </c>
      <c r="AW9" s="113">
        <f t="shared" si="7"/>
        <v>4</v>
      </c>
      <c r="AX9" s="113">
        <f t="shared" si="7"/>
        <v>4</v>
      </c>
      <c r="AY9" s="113">
        <f t="shared" si="7"/>
        <v>4</v>
      </c>
      <c r="AZ9" s="113">
        <f t="shared" si="7"/>
        <v>4</v>
      </c>
      <c r="BA9" s="113">
        <f t="shared" si="7"/>
        <v>4</v>
      </c>
      <c r="BB9" s="113">
        <f t="shared" si="7"/>
        <v>5</v>
      </c>
      <c r="BC9" s="113">
        <f t="shared" si="7"/>
        <v>5</v>
      </c>
      <c r="BD9" s="113">
        <f t="shared" si="7"/>
        <v>5</v>
      </c>
      <c r="BE9" s="113">
        <f t="shared" si="7"/>
        <v>5</v>
      </c>
      <c r="BF9" s="113">
        <f t="shared" si="7"/>
        <v>5</v>
      </c>
      <c r="BG9" s="113">
        <f t="shared" si="7"/>
        <v>5</v>
      </c>
      <c r="BH9" s="113">
        <f t="shared" si="7"/>
        <v>5</v>
      </c>
      <c r="BI9" s="113">
        <f t="shared" si="7"/>
        <v>5</v>
      </c>
      <c r="BJ9" s="113">
        <f t="shared" si="7"/>
        <v>5</v>
      </c>
      <c r="BK9" s="113">
        <f t="shared" si="7"/>
        <v>5</v>
      </c>
      <c r="BL9" s="113">
        <f t="shared" si="7"/>
        <v>5</v>
      </c>
      <c r="BM9" s="113">
        <f t="shared" si="7"/>
        <v>5</v>
      </c>
      <c r="BN9" s="113">
        <f t="shared" si="7"/>
        <v>6</v>
      </c>
      <c r="BO9" s="113">
        <f t="shared" si="7"/>
        <v>6</v>
      </c>
      <c r="BP9" s="113">
        <f t="shared" si="7"/>
        <v>6</v>
      </c>
      <c r="BQ9" s="113">
        <f t="shared" si="7"/>
        <v>6</v>
      </c>
      <c r="BR9" s="113">
        <f t="shared" ref="BR9:BY9" si="8">ROUNDUP(BR7/Months,0)</f>
        <v>6</v>
      </c>
      <c r="BS9" s="113">
        <f t="shared" si="8"/>
        <v>6</v>
      </c>
      <c r="BT9" s="113">
        <f t="shared" si="8"/>
        <v>6</v>
      </c>
      <c r="BU9" s="113">
        <f t="shared" si="8"/>
        <v>6</v>
      </c>
      <c r="BV9" s="113">
        <f t="shared" si="8"/>
        <v>6</v>
      </c>
      <c r="BW9" s="113">
        <f t="shared" si="8"/>
        <v>6</v>
      </c>
      <c r="BX9" s="113">
        <f t="shared" si="8"/>
        <v>6</v>
      </c>
      <c r="BY9" s="113">
        <f t="shared" si="8"/>
        <v>6</v>
      </c>
    </row>
    <row r="10" spans="2:77" outlineLevel="1" x14ac:dyDescent="0.25">
      <c r="E10" s="101"/>
    </row>
    <row r="11" spans="2:77" outlineLevel="1" x14ac:dyDescent="0.25">
      <c r="C11" s="3" t="s">
        <v>262</v>
      </c>
      <c r="D11" s="38" t="s">
        <v>16</v>
      </c>
      <c r="E11" s="101"/>
      <c r="F11" s="105">
        <f>(1+INDEX(Annual!$F$68:$K$74,7,MATCH(Monthly!F$9,Annual!$F$68:$K$68)))^(1/Months)-1</f>
        <v>4.8675505653430484E-3</v>
      </c>
      <c r="G11" s="105">
        <f>(1+INDEX(Annual!$F$68:$K$74,7,MATCH(Monthly!G$9,Annual!$F$68:$K$68)))^(1/Months)-1</f>
        <v>4.8675505653430484E-3</v>
      </c>
      <c r="H11" s="105">
        <f>(1+INDEX(Annual!$F$68:$K$74,7,MATCH(Monthly!H$9,Annual!$F$68:$K$68)))^(1/Months)-1</f>
        <v>4.8675505653430484E-3</v>
      </c>
      <c r="I11" s="105">
        <f>(1+INDEX(Annual!$F$68:$K$74,7,MATCH(Monthly!I$9,Annual!$F$68:$K$68)))^(1/Months)-1</f>
        <v>4.8675505653430484E-3</v>
      </c>
      <c r="J11" s="105">
        <f>(1+INDEX(Annual!$F$68:$K$74,7,MATCH(Monthly!J$9,Annual!$F$68:$K$68)))^(1/Months)-1</f>
        <v>4.8675505653430484E-3</v>
      </c>
      <c r="K11" s="105">
        <f>(1+INDEX(Annual!$F$68:$K$74,7,MATCH(Monthly!K$9,Annual!$F$68:$K$68)))^(1/Months)-1</f>
        <v>4.8675505653430484E-3</v>
      </c>
      <c r="L11" s="105">
        <f>(1+INDEX(Annual!$F$68:$K$74,7,MATCH(Monthly!L$9,Annual!$F$68:$K$68)))^(1/Months)-1</f>
        <v>4.8675505653430484E-3</v>
      </c>
      <c r="M11" s="105">
        <f>(1+INDEX(Annual!$F$68:$K$74,7,MATCH(Monthly!M$9,Annual!$F$68:$K$68)))^(1/Months)-1</f>
        <v>4.8675505653430484E-3</v>
      </c>
      <c r="N11" s="105">
        <f>(1+INDEX(Annual!$F$68:$K$74,7,MATCH(Monthly!N$9,Annual!$F$68:$K$68)))^(1/Months)-1</f>
        <v>4.8675505653430484E-3</v>
      </c>
      <c r="O11" s="105">
        <f>(1+INDEX(Annual!$F$68:$K$74,7,MATCH(Monthly!O$9,Annual!$F$68:$K$68)))^(1/Months)-1</f>
        <v>4.8675505653430484E-3</v>
      </c>
      <c r="P11" s="105">
        <f>(1+INDEX(Annual!$F$68:$K$74,7,MATCH(Monthly!P$9,Annual!$F$68:$K$68)))^(1/Months)-1</f>
        <v>4.8675505653430484E-3</v>
      </c>
      <c r="Q11" s="105">
        <f>(1+INDEX(Annual!$F$68:$K$74,7,MATCH(Monthly!Q$9,Annual!$F$68:$K$68)))^(1/Months)-1</f>
        <v>4.8675505653430484E-3</v>
      </c>
      <c r="R11" s="105">
        <f>(1+INDEX(Annual!$F$68:$K$74,7,MATCH(Monthly!R$9,Annual!$F$68:$K$68)))^(1/Months)-1</f>
        <v>3.2737397821989145E-3</v>
      </c>
      <c r="S11" s="105">
        <f>(1+INDEX(Annual!$F$68:$K$74,7,MATCH(Monthly!S$9,Annual!$F$68:$K$68)))^(1/Months)-1</f>
        <v>3.2737397821989145E-3</v>
      </c>
      <c r="T11" s="105">
        <f>(1+INDEX(Annual!$F$68:$K$74,7,MATCH(Monthly!T$9,Annual!$F$68:$K$68)))^(1/Months)-1</f>
        <v>3.2737397821989145E-3</v>
      </c>
      <c r="U11" s="105">
        <f>(1+INDEX(Annual!$F$68:$K$74,7,MATCH(Monthly!U$9,Annual!$F$68:$K$68)))^(1/Months)-1</f>
        <v>3.2737397821989145E-3</v>
      </c>
      <c r="V11" s="105">
        <f>(1+INDEX(Annual!$F$68:$K$74,7,MATCH(Monthly!V$9,Annual!$F$68:$K$68)))^(1/Months)-1</f>
        <v>3.2737397821989145E-3</v>
      </c>
      <c r="W11" s="105">
        <f>(1+INDEX(Annual!$F$68:$K$74,7,MATCH(Monthly!W$9,Annual!$F$68:$K$68)))^(1/Months)-1</f>
        <v>3.2737397821989145E-3</v>
      </c>
      <c r="X11" s="105">
        <f>(1+INDEX(Annual!$F$68:$K$74,7,MATCH(Monthly!X$9,Annual!$F$68:$K$68)))^(1/Months)-1</f>
        <v>3.2737397821989145E-3</v>
      </c>
      <c r="Y11" s="105">
        <f>(1+INDEX(Annual!$F$68:$K$74,7,MATCH(Monthly!Y$9,Annual!$F$68:$K$68)))^(1/Months)-1</f>
        <v>3.2737397821989145E-3</v>
      </c>
      <c r="Z11" s="105">
        <f>(1+INDEX(Annual!$F$68:$K$74,7,MATCH(Monthly!Z$9,Annual!$F$68:$K$68)))^(1/Months)-1</f>
        <v>3.2737397821989145E-3</v>
      </c>
      <c r="AA11" s="105">
        <f>(1+INDEX(Annual!$F$68:$K$74,7,MATCH(Monthly!AA$9,Annual!$F$68:$K$68)))^(1/Months)-1</f>
        <v>3.2737397821989145E-3</v>
      </c>
      <c r="AB11" s="105">
        <f>(1+INDEX(Annual!$F$68:$K$74,7,MATCH(Monthly!AB$9,Annual!$F$68:$K$68)))^(1/Months)-1</f>
        <v>3.2737397821989145E-3</v>
      </c>
      <c r="AC11" s="105">
        <f>(1+INDEX(Annual!$F$68:$K$74,7,MATCH(Monthly!AC$9,Annual!$F$68:$K$68)))^(1/Months)-1</f>
        <v>3.2737397821989145E-3</v>
      </c>
      <c r="AD11" s="105">
        <f>(1+INDEX(Annual!$F$68:$K$74,7,MATCH(Monthly!AD$9,Annual!$F$68:$K$68)))^(1/Months)-1</f>
        <v>2.4662697723036864E-3</v>
      </c>
      <c r="AE11" s="105">
        <f>(1+INDEX(Annual!$F$68:$K$74,7,MATCH(Monthly!AE$9,Annual!$F$68:$K$68)))^(1/Months)-1</f>
        <v>2.4662697723036864E-3</v>
      </c>
      <c r="AF11" s="105">
        <f>(1+INDEX(Annual!$F$68:$K$74,7,MATCH(Monthly!AF$9,Annual!$F$68:$K$68)))^(1/Months)-1</f>
        <v>2.4662697723036864E-3</v>
      </c>
      <c r="AG11" s="105">
        <f>(1+INDEX(Annual!$F$68:$K$74,7,MATCH(Monthly!AG$9,Annual!$F$68:$K$68)))^(1/Months)-1</f>
        <v>2.4662697723036864E-3</v>
      </c>
      <c r="AH11" s="105">
        <f>(1+INDEX(Annual!$F$68:$K$74,7,MATCH(Monthly!AH$9,Annual!$F$68:$K$68)))^(1/Months)-1</f>
        <v>2.4662697723036864E-3</v>
      </c>
      <c r="AI11" s="105">
        <f>(1+INDEX(Annual!$F$68:$K$74,7,MATCH(Monthly!AI$9,Annual!$F$68:$K$68)))^(1/Months)-1</f>
        <v>2.4662697723036864E-3</v>
      </c>
      <c r="AJ11" s="105">
        <f>(1+INDEX(Annual!$F$68:$K$74,7,MATCH(Monthly!AJ$9,Annual!$F$68:$K$68)))^(1/Months)-1</f>
        <v>2.4662697723036864E-3</v>
      </c>
      <c r="AK11" s="105">
        <f>(1+INDEX(Annual!$F$68:$K$74,7,MATCH(Monthly!AK$9,Annual!$F$68:$K$68)))^(1/Months)-1</f>
        <v>2.4662697723036864E-3</v>
      </c>
      <c r="AL11" s="105">
        <f>(1+INDEX(Annual!$F$68:$K$74,7,MATCH(Monthly!AL$9,Annual!$F$68:$K$68)))^(1/Months)-1</f>
        <v>2.4662697723036864E-3</v>
      </c>
      <c r="AM11" s="105">
        <f>(1+INDEX(Annual!$F$68:$K$74,7,MATCH(Monthly!AM$9,Annual!$F$68:$K$68)))^(1/Months)-1</f>
        <v>2.4662697723036864E-3</v>
      </c>
      <c r="AN11" s="105">
        <f>(1+INDEX(Annual!$F$68:$K$74,7,MATCH(Monthly!AN$9,Annual!$F$68:$K$68)))^(1/Months)-1</f>
        <v>2.4662697723036864E-3</v>
      </c>
      <c r="AO11" s="105">
        <f>(1+INDEX(Annual!$F$68:$K$74,7,MATCH(Monthly!AO$9,Annual!$F$68:$K$68)))^(1/Months)-1</f>
        <v>2.4662697723036864E-3</v>
      </c>
      <c r="AP11" s="105">
        <f>(1+INDEX(Annual!$F$68:$K$74,7,MATCH(Monthly!AP$9,Annual!$F$68:$K$68)))^(1/Months)-1</f>
        <v>2.4662697723036864E-3</v>
      </c>
      <c r="AQ11" s="105">
        <f>(1+INDEX(Annual!$F$68:$K$74,7,MATCH(Monthly!AQ$9,Annual!$F$68:$K$68)))^(1/Months)-1</f>
        <v>2.4662697723036864E-3</v>
      </c>
      <c r="AR11" s="105">
        <f>(1+INDEX(Annual!$F$68:$K$74,7,MATCH(Monthly!AR$9,Annual!$F$68:$K$68)))^(1/Months)-1</f>
        <v>2.4662697723036864E-3</v>
      </c>
      <c r="AS11" s="105">
        <f>(1+INDEX(Annual!$F$68:$K$74,7,MATCH(Monthly!AS$9,Annual!$F$68:$K$68)))^(1/Months)-1</f>
        <v>2.4662697723036864E-3</v>
      </c>
      <c r="AT11" s="105">
        <f>(1+INDEX(Annual!$F$68:$K$74,7,MATCH(Monthly!AT$9,Annual!$F$68:$K$68)))^(1/Months)-1</f>
        <v>2.4662697723036864E-3</v>
      </c>
      <c r="AU11" s="105">
        <f>(1+INDEX(Annual!$F$68:$K$74,7,MATCH(Monthly!AU$9,Annual!$F$68:$K$68)))^(1/Months)-1</f>
        <v>2.4662697723036864E-3</v>
      </c>
      <c r="AV11" s="105">
        <f>(1+INDEX(Annual!$F$68:$K$74,7,MATCH(Monthly!AV$9,Annual!$F$68:$K$68)))^(1/Months)-1</f>
        <v>2.4662697723036864E-3</v>
      </c>
      <c r="AW11" s="105">
        <f>(1+INDEX(Annual!$F$68:$K$74,7,MATCH(Monthly!AW$9,Annual!$F$68:$K$68)))^(1/Months)-1</f>
        <v>2.4662697723036864E-3</v>
      </c>
      <c r="AX11" s="105">
        <f>(1+INDEX(Annual!$F$68:$K$74,7,MATCH(Monthly!AX$9,Annual!$F$68:$K$68)))^(1/Months)-1</f>
        <v>2.4662697723036864E-3</v>
      </c>
      <c r="AY11" s="105">
        <f>(1+INDEX(Annual!$F$68:$K$74,7,MATCH(Monthly!AY$9,Annual!$F$68:$K$68)))^(1/Months)-1</f>
        <v>2.4662697723036864E-3</v>
      </c>
      <c r="AZ11" s="105">
        <f>(1+INDEX(Annual!$F$68:$K$74,7,MATCH(Monthly!AZ$9,Annual!$F$68:$K$68)))^(1/Months)-1</f>
        <v>2.4662697723036864E-3</v>
      </c>
      <c r="BA11" s="105">
        <f>(1+INDEX(Annual!$F$68:$K$74,7,MATCH(Monthly!BA$9,Annual!$F$68:$K$68)))^(1/Months)-1</f>
        <v>2.4662697723036864E-3</v>
      </c>
      <c r="BB11" s="105">
        <f>(1+INDEX(Annual!$F$68:$K$74,7,MATCH(Monthly!BB$9,Annual!$F$68:$K$68)))^(1/Months)-1</f>
        <v>2.0598362698427408E-3</v>
      </c>
      <c r="BC11" s="105">
        <f>(1+INDEX(Annual!$F$68:$K$74,7,MATCH(Monthly!BC$9,Annual!$F$68:$K$68)))^(1/Months)-1</f>
        <v>2.0598362698427408E-3</v>
      </c>
      <c r="BD11" s="105">
        <f>(1+INDEX(Annual!$F$68:$K$74,7,MATCH(Monthly!BD$9,Annual!$F$68:$K$68)))^(1/Months)-1</f>
        <v>2.0598362698427408E-3</v>
      </c>
      <c r="BE11" s="105">
        <f>(1+INDEX(Annual!$F$68:$K$74,7,MATCH(Monthly!BE$9,Annual!$F$68:$K$68)))^(1/Months)-1</f>
        <v>2.0598362698427408E-3</v>
      </c>
      <c r="BF11" s="105">
        <f>(1+INDEX(Annual!$F$68:$K$74,7,MATCH(Monthly!BF$9,Annual!$F$68:$K$68)))^(1/Months)-1</f>
        <v>2.0598362698427408E-3</v>
      </c>
      <c r="BG11" s="105">
        <f>(1+INDEX(Annual!$F$68:$K$74,7,MATCH(Monthly!BG$9,Annual!$F$68:$K$68)))^(1/Months)-1</f>
        <v>2.0598362698427408E-3</v>
      </c>
      <c r="BH11" s="105">
        <f>(1+INDEX(Annual!$F$68:$K$74,7,MATCH(Monthly!BH$9,Annual!$F$68:$K$68)))^(1/Months)-1</f>
        <v>2.0598362698427408E-3</v>
      </c>
      <c r="BI11" s="105">
        <f>(1+INDEX(Annual!$F$68:$K$74,7,MATCH(Monthly!BI$9,Annual!$F$68:$K$68)))^(1/Months)-1</f>
        <v>2.0598362698427408E-3</v>
      </c>
      <c r="BJ11" s="105">
        <f>(1+INDEX(Annual!$F$68:$K$74,7,MATCH(Monthly!BJ$9,Annual!$F$68:$K$68)))^(1/Months)-1</f>
        <v>2.0598362698427408E-3</v>
      </c>
      <c r="BK11" s="105">
        <f>(1+INDEX(Annual!$F$68:$K$74,7,MATCH(Monthly!BK$9,Annual!$F$68:$K$68)))^(1/Months)-1</f>
        <v>2.0598362698427408E-3</v>
      </c>
      <c r="BL11" s="105">
        <f>(1+INDEX(Annual!$F$68:$K$74,7,MATCH(Monthly!BL$9,Annual!$F$68:$K$68)))^(1/Months)-1</f>
        <v>2.0598362698427408E-3</v>
      </c>
      <c r="BM11" s="105">
        <f>(1+INDEX(Annual!$F$68:$K$74,7,MATCH(Monthly!BM$9,Annual!$F$68:$K$68)))^(1/Months)-1</f>
        <v>2.0598362698427408E-3</v>
      </c>
      <c r="BN11" s="105">
        <f>(1+INDEX(Annual!$F$68:$K$74,7,MATCH(Monthly!BN$9,Annual!$F$68:$K$68)))^(1/Months)-1</f>
        <v>2.0598362698427408E-3</v>
      </c>
      <c r="BO11" s="105">
        <f>(1+INDEX(Annual!$F$68:$K$74,7,MATCH(Monthly!BO$9,Annual!$F$68:$K$68)))^(1/Months)-1</f>
        <v>2.0598362698427408E-3</v>
      </c>
      <c r="BP11" s="105">
        <f>(1+INDEX(Annual!$F$68:$K$74,7,MATCH(Monthly!BP$9,Annual!$F$68:$K$68)))^(1/Months)-1</f>
        <v>2.0598362698427408E-3</v>
      </c>
      <c r="BQ11" s="105">
        <f>(1+INDEX(Annual!$F$68:$K$74,7,MATCH(Monthly!BQ$9,Annual!$F$68:$K$68)))^(1/Months)-1</f>
        <v>2.0598362698427408E-3</v>
      </c>
      <c r="BR11" s="105">
        <f>(1+INDEX(Annual!$F$68:$K$74,7,MATCH(Monthly!BR$9,Annual!$F$68:$K$68)))^(1/Months)-1</f>
        <v>2.0598362698427408E-3</v>
      </c>
      <c r="BS11" s="105">
        <f>(1+INDEX(Annual!$F$68:$K$74,7,MATCH(Monthly!BS$9,Annual!$F$68:$K$68)))^(1/Months)-1</f>
        <v>2.0598362698427408E-3</v>
      </c>
      <c r="BT11" s="105">
        <f>(1+INDEX(Annual!$F$68:$K$74,7,MATCH(Monthly!BT$9,Annual!$F$68:$K$68)))^(1/Months)-1</f>
        <v>2.0598362698427408E-3</v>
      </c>
      <c r="BU11" s="105">
        <f>(1+INDEX(Annual!$F$68:$K$74,7,MATCH(Monthly!BU$9,Annual!$F$68:$K$68)))^(1/Months)-1</f>
        <v>2.0598362698427408E-3</v>
      </c>
      <c r="BV11" s="105">
        <f>(1+INDEX(Annual!$F$68:$K$74,7,MATCH(Monthly!BV$9,Annual!$F$68:$K$68)))^(1/Months)-1</f>
        <v>2.0598362698427408E-3</v>
      </c>
      <c r="BW11" s="105">
        <f>(1+INDEX(Annual!$F$68:$K$74,7,MATCH(Monthly!BW$9,Annual!$F$68:$K$68)))^(1/Months)-1</f>
        <v>2.0598362698427408E-3</v>
      </c>
      <c r="BX11" s="105">
        <f>(1+INDEX(Annual!$F$68:$K$74,7,MATCH(Monthly!BX$9,Annual!$F$68:$K$68)))^(1/Months)-1</f>
        <v>2.0598362698427408E-3</v>
      </c>
      <c r="BY11" s="105">
        <f>(1+INDEX(Annual!$F$68:$K$74,7,MATCH(Monthly!BY$9,Annual!$F$68:$K$68)))^(1/Months)-1</f>
        <v>2.0598362698427408E-3</v>
      </c>
    </row>
    <row r="12" spans="2:77" outlineLevel="1" x14ac:dyDescent="0.25">
      <c r="C12" s="3" t="s">
        <v>282</v>
      </c>
      <c r="D12" s="38" t="s">
        <v>19</v>
      </c>
      <c r="E12" s="107">
        <v>1</v>
      </c>
      <c r="F12" s="108">
        <f>+E12*(1+F11)</f>
        <v>1.004867550565343</v>
      </c>
      <c r="G12" s="108">
        <f t="shared" ref="G12" si="9">+F12*(1+G11)</f>
        <v>1.0097587941791923</v>
      </c>
      <c r="H12" s="108">
        <f t="shared" ref="H12" si="10">+G12*(1+H11)</f>
        <v>1.0146738461686593</v>
      </c>
      <c r="I12" s="108">
        <f t="shared" ref="I12" si="11">+H12*(1+I11)</f>
        <v>1.0196128224222163</v>
      </c>
      <c r="J12" s="108">
        <f t="shared" ref="J12" si="12">+I12*(1+J11)</f>
        <v>1.0245758393924285</v>
      </c>
      <c r="K12" s="108">
        <f t="shared" ref="K12" si="13">+J12*(1+K11)</f>
        <v>1.0295630140987</v>
      </c>
      <c r="L12" s="108">
        <f t="shared" ref="L12" si="14">+K12*(1+L11)</f>
        <v>1.0345744641300325</v>
      </c>
      <c r="M12" s="108">
        <f t="shared" ref="M12" si="15">+L12*(1+M11)</f>
        <v>1.039610307647798</v>
      </c>
      <c r="N12" s="108">
        <f t="shared" ref="N12" si="16">+M12*(1+N11)</f>
        <v>1.0446706633885257</v>
      </c>
      <c r="O12" s="108">
        <f t="shared" ref="O12" si="17">+N12*(1+O11)</f>
        <v>1.0497556506666998</v>
      </c>
      <c r="P12" s="108">
        <f t="shared" ref="P12" si="18">+O12*(1+P11)</f>
        <v>1.0548653893775746</v>
      </c>
      <c r="Q12" s="108">
        <f t="shared" ref="Q12" si="19">+P12*(1+Q11)</f>
        <v>1.0600000000000003</v>
      </c>
      <c r="R12" s="108">
        <f t="shared" ref="R12" si="20">+Q12*(1+R11)</f>
        <v>1.0634701641691311</v>
      </c>
      <c r="S12" s="108">
        <f t="shared" ref="S12" si="21">+R12*(1+S11)</f>
        <v>1.0669516887527533</v>
      </c>
      <c r="T12" s="108">
        <f t="shared" ref="T12" si="22">+S12*(1+T11)</f>
        <v>1.0704446109419075</v>
      </c>
      <c r="U12" s="108">
        <f t="shared" ref="U12" si="23">+T12*(1+U11)</f>
        <v>1.0739489680493883</v>
      </c>
      <c r="V12" s="108">
        <f t="shared" ref="V12" si="24">+U12*(1+V11)</f>
        <v>1.077464797510143</v>
      </c>
      <c r="W12" s="108">
        <f t="shared" ref="W12" si="25">+V12*(1+W11)</f>
        <v>1.0809921368816708</v>
      </c>
      <c r="X12" s="108">
        <f t="shared" ref="X12" si="26">+W12*(1+X11)</f>
        <v>1.0845310238444246</v>
      </c>
      <c r="Y12" s="108">
        <f t="shared" ref="Y12" si="27">+X12*(1+Y11)</f>
        <v>1.0880814962022129</v>
      </c>
      <c r="Z12" s="108">
        <f t="shared" ref="Z12" si="28">+Y12*(1+Z11)</f>
        <v>1.0916435918826046</v>
      </c>
      <c r="AA12" s="108">
        <f t="shared" ref="AA12" si="29">+Z12*(1+AA11)</f>
        <v>1.0952173489373331</v>
      </c>
      <c r="AB12" s="108">
        <f t="shared" ref="AB12" si="30">+AA12*(1+AB11)</f>
        <v>1.0988028055427037</v>
      </c>
      <c r="AC12" s="108">
        <f t="shared" ref="AC12" si="31">+AB12*(1+AC11)</f>
        <v>1.1024000000000007</v>
      </c>
      <c r="AD12" s="108">
        <f t="shared" ref="AD12" si="32">+AC12*(1+AD11)</f>
        <v>1.1051188157969882</v>
      </c>
      <c r="AE12" s="108">
        <f t="shared" ref="AE12" si="33">+AD12*(1+AE11)</f>
        <v>1.1078443369271924</v>
      </c>
      <c r="AF12" s="108">
        <f t="shared" ref="AF12" si="34">+AE12*(1+AF11)</f>
        <v>1.1105765799277738</v>
      </c>
      <c r="AG12" s="108">
        <f t="shared" ref="AG12" si="35">+AF12*(1+AG11)</f>
        <v>1.1133155613766781</v>
      </c>
      <c r="AH12" s="108">
        <f t="shared" ref="AH12" si="36">+AG12*(1+AH11)</f>
        <v>1.1160612978927367</v>
      </c>
      <c r="AI12" s="108">
        <f t="shared" ref="AI12" si="37">+AH12*(1+AI11)</f>
        <v>1.1188138061357675</v>
      </c>
      <c r="AJ12" s="108">
        <f t="shared" ref="AJ12" si="38">+AI12*(1+AJ11)</f>
        <v>1.1215731028066762</v>
      </c>
      <c r="AK12" s="108">
        <f t="shared" ref="AK12" si="39">+AJ12*(1+AK11)</f>
        <v>1.1243392046475571</v>
      </c>
      <c r="AL12" s="108">
        <f t="shared" ref="AL12" si="40">+AK12*(1+AL11)</f>
        <v>1.1271121284417953</v>
      </c>
      <c r="AM12" s="108">
        <f t="shared" ref="AM12" si="41">+AL12*(1+AM11)</f>
        <v>1.1298918910141682</v>
      </c>
      <c r="AN12" s="108">
        <f t="shared" ref="AN12" si="42">+AM12*(1+AN11)</f>
        <v>1.1326785092309475</v>
      </c>
      <c r="AO12" s="108">
        <f t="shared" ref="AO12" si="43">+AN12*(1+AO11)</f>
        <v>1.1354720000000018</v>
      </c>
      <c r="AP12" s="108">
        <f t="shared" ref="AP12" si="44">+AO12*(1+AP11)</f>
        <v>1.1382723802708989</v>
      </c>
      <c r="AQ12" s="108">
        <f t="shared" ref="AQ12" si="45">+AP12*(1+AQ11)</f>
        <v>1.1410796670350092</v>
      </c>
      <c r="AR12" s="108">
        <f t="shared" ref="AR12" si="46">+AQ12*(1+AR11)</f>
        <v>1.143893877325608</v>
      </c>
      <c r="AS12" s="108">
        <f t="shared" ref="AS12" si="47">+AR12*(1+AS11)</f>
        <v>1.1467150282179794</v>
      </c>
      <c r="AT12" s="108">
        <f t="shared" ref="AT12" si="48">+AS12*(1+AT11)</f>
        <v>1.1495431368295199</v>
      </c>
      <c r="AU12" s="108">
        <f t="shared" ref="AU12" si="49">+AT12*(1+AU11)</f>
        <v>1.1523782203198418</v>
      </c>
      <c r="AV12" s="108">
        <f t="shared" ref="AV12" si="50">+AU12*(1+AV11)</f>
        <v>1.1552202958908777</v>
      </c>
      <c r="AW12" s="108">
        <f t="shared" ref="AW12" si="51">+AV12*(1+AW11)</f>
        <v>1.1580693807869851</v>
      </c>
      <c r="AX12" s="108">
        <f t="shared" ref="AX12" si="52">+AW12*(1+AX11)</f>
        <v>1.1609254922950505</v>
      </c>
      <c r="AY12" s="108">
        <f t="shared" ref="AY12" si="53">+AX12*(1+AY11)</f>
        <v>1.1637886477445945</v>
      </c>
      <c r="AZ12" s="108">
        <f t="shared" ref="AZ12" si="54">+AY12*(1+AZ11)</f>
        <v>1.166658864507877</v>
      </c>
      <c r="BA12" s="108">
        <f t="shared" ref="BA12" si="55">+AZ12*(1+BA11)</f>
        <v>1.1695361600000029</v>
      </c>
      <c r="BB12" s="108">
        <f t="shared" ref="BB12" si="56">+BA12*(1+BB11)</f>
        <v>1.1719452130012635</v>
      </c>
      <c r="BC12" s="108">
        <f t="shared" ref="BC12" si="57">+BB12*(1+BC11)</f>
        <v>1.1743592282572721</v>
      </c>
      <c r="BD12" s="108">
        <f t="shared" ref="BD12" si="58">+BC12*(1+BD11)</f>
        <v>1.1767782159894611</v>
      </c>
      <c r="BE12" s="108">
        <f t="shared" ref="BE12" si="59">+BD12*(1+BE11)</f>
        <v>1.179202186440317</v>
      </c>
      <c r="BF12" s="108">
        <f t="shared" ref="BF12" si="60">+BE12*(1+BF11)</f>
        <v>1.1816311498734247</v>
      </c>
      <c r="BG12" s="108">
        <f t="shared" ref="BG12" si="61">+BF12*(1+BG11)</f>
        <v>1.1840651165735099</v>
      </c>
      <c r="BH12" s="108">
        <f t="shared" ref="BH12" si="62">+BG12*(1+BH11)</f>
        <v>1.1865040968464835</v>
      </c>
      <c r="BI12" s="108">
        <f t="shared" ref="BI12" si="63">+BH12*(1+BI11)</f>
        <v>1.1889481010194849</v>
      </c>
      <c r="BJ12" s="108">
        <f t="shared" ref="BJ12" si="64">+BI12*(1+BJ11)</f>
        <v>1.1913971394409255</v>
      </c>
      <c r="BK12" s="108">
        <f t="shared" ref="BK12" si="65">+BJ12*(1+BK11)</f>
        <v>1.1938512224805329</v>
      </c>
      <c r="BL12" s="108">
        <f t="shared" ref="BL12" si="66">+BK12*(1+BL11)</f>
        <v>1.1963103605293943</v>
      </c>
      <c r="BM12" s="108">
        <f t="shared" ref="BM12" si="67">+BL12*(1+BM11)</f>
        <v>1.1987745640000014</v>
      </c>
      <c r="BN12" s="108">
        <f t="shared" ref="BN12" si="68">+BM12*(1+BN11)</f>
        <v>1.2012438433262935</v>
      </c>
      <c r="BO12" s="108">
        <f t="shared" ref="BO12" si="69">+BN12*(1+BO11)</f>
        <v>1.2037182089637024</v>
      </c>
      <c r="BP12" s="108">
        <f t="shared" ref="BP12" si="70">+BO12*(1+BP11)</f>
        <v>1.206197671389196</v>
      </c>
      <c r="BQ12" s="108">
        <f t="shared" ref="BQ12" si="71">+BP12*(1+BQ11)</f>
        <v>1.2086822411013234</v>
      </c>
      <c r="BR12" s="108">
        <f t="shared" ref="BR12" si="72">+BQ12*(1+BR11)</f>
        <v>1.2111719286202587</v>
      </c>
      <c r="BS12" s="108">
        <f t="shared" ref="BS12" si="73">+BR12*(1+BS11)</f>
        <v>1.2136667444878462</v>
      </c>
      <c r="BT12" s="108">
        <f t="shared" ref="BT12" si="74">+BS12*(1+BT11)</f>
        <v>1.2161666992676441</v>
      </c>
      <c r="BU12" s="108">
        <f t="shared" ref="BU12" si="75">+BT12*(1+BU11)</f>
        <v>1.2186718035449706</v>
      </c>
      <c r="BV12" s="108">
        <f t="shared" ref="BV12" si="76">+BU12*(1+BV11)</f>
        <v>1.2211820679269472</v>
      </c>
      <c r="BW12" s="108">
        <f t="shared" ref="BW12" si="77">+BV12*(1+BW11)</f>
        <v>1.2236975030425448</v>
      </c>
      <c r="BX12" s="108">
        <f t="shared" ref="BX12" si="78">+BW12*(1+BX11)</f>
        <v>1.2262181195426278</v>
      </c>
      <c r="BY12" s="108">
        <f t="shared" ref="BY12" si="79">+BX12*(1+BY11)</f>
        <v>1.2287439281000001</v>
      </c>
    </row>
    <row r="13" spans="2:77" outlineLevel="1" x14ac:dyDescent="0.25">
      <c r="C13" s="67"/>
      <c r="D13" s="67"/>
      <c r="F13" s="67"/>
    </row>
    <row r="14" spans="2:77" outlineLevel="1" x14ac:dyDescent="0.25">
      <c r="C14" s="3" t="s">
        <v>56</v>
      </c>
      <c r="D14" s="38" t="s">
        <v>16</v>
      </c>
      <c r="F14" s="105">
        <f>(1+INDEX(Annual!$F$68:$K$86,19,MATCH(Monthly!F$9,Annual!$F$68:$K$68)))^(1/Months)-1</f>
        <v>3.2737397821989145E-3</v>
      </c>
      <c r="G14" s="105">
        <f>(1+INDEX(Annual!$F$68:$K$86,19,MATCH(Monthly!G$9,Annual!$F$68:$K$68)))^(1/Months)-1</f>
        <v>3.2737397821989145E-3</v>
      </c>
      <c r="H14" s="105">
        <f>(1+INDEX(Annual!$F$68:$K$86,19,MATCH(Monthly!H$9,Annual!$F$68:$K$68)))^(1/Months)-1</f>
        <v>3.2737397821989145E-3</v>
      </c>
      <c r="I14" s="105">
        <f>(1+INDEX(Annual!$F$68:$K$86,19,MATCH(Monthly!I$9,Annual!$F$68:$K$68)))^(1/Months)-1</f>
        <v>3.2737397821989145E-3</v>
      </c>
      <c r="J14" s="105">
        <f>(1+INDEX(Annual!$F$68:$K$86,19,MATCH(Monthly!J$9,Annual!$F$68:$K$68)))^(1/Months)-1</f>
        <v>3.2737397821989145E-3</v>
      </c>
      <c r="K14" s="105">
        <f>(1+INDEX(Annual!$F$68:$K$86,19,MATCH(Monthly!K$9,Annual!$F$68:$K$68)))^(1/Months)-1</f>
        <v>3.2737397821989145E-3</v>
      </c>
      <c r="L14" s="105">
        <f>(1+INDEX(Annual!$F$68:$K$86,19,MATCH(Monthly!L$9,Annual!$F$68:$K$68)))^(1/Months)-1</f>
        <v>3.2737397821989145E-3</v>
      </c>
      <c r="M14" s="105">
        <f>(1+INDEX(Annual!$F$68:$K$86,19,MATCH(Monthly!M$9,Annual!$F$68:$K$68)))^(1/Months)-1</f>
        <v>3.2737397821989145E-3</v>
      </c>
      <c r="N14" s="105">
        <f>(1+INDEX(Annual!$F$68:$K$86,19,MATCH(Monthly!N$9,Annual!$F$68:$K$68)))^(1/Months)-1</f>
        <v>3.2737397821989145E-3</v>
      </c>
      <c r="O14" s="105">
        <f>(1+INDEX(Annual!$F$68:$K$86,19,MATCH(Monthly!O$9,Annual!$F$68:$K$68)))^(1/Months)-1</f>
        <v>3.2737397821989145E-3</v>
      </c>
      <c r="P14" s="105">
        <f>(1+INDEX(Annual!$F$68:$K$86,19,MATCH(Monthly!P$9,Annual!$F$68:$K$68)))^(1/Months)-1</f>
        <v>3.2737397821989145E-3</v>
      </c>
      <c r="Q14" s="105">
        <f>(1+INDEX(Annual!$F$68:$K$86,19,MATCH(Monthly!Q$9,Annual!$F$68:$K$68)))^(1/Months)-1</f>
        <v>3.2737397821989145E-3</v>
      </c>
      <c r="R14" s="105">
        <f>(1+INDEX(Annual!$F$68:$K$86,19,MATCH(Monthly!R$9,Annual!$F$68:$K$68)))^(1/Months)-1</f>
        <v>2.4662697723036864E-3</v>
      </c>
      <c r="S14" s="105">
        <f>(1+INDEX(Annual!$F$68:$K$86,19,MATCH(Monthly!S$9,Annual!$F$68:$K$68)))^(1/Months)-1</f>
        <v>2.4662697723036864E-3</v>
      </c>
      <c r="T14" s="105">
        <f>(1+INDEX(Annual!$F$68:$K$86,19,MATCH(Monthly!T$9,Annual!$F$68:$K$68)))^(1/Months)-1</f>
        <v>2.4662697723036864E-3</v>
      </c>
      <c r="U14" s="105">
        <f>(1+INDEX(Annual!$F$68:$K$86,19,MATCH(Monthly!U$9,Annual!$F$68:$K$68)))^(1/Months)-1</f>
        <v>2.4662697723036864E-3</v>
      </c>
      <c r="V14" s="105">
        <f>(1+INDEX(Annual!$F$68:$K$86,19,MATCH(Monthly!V$9,Annual!$F$68:$K$68)))^(1/Months)-1</f>
        <v>2.4662697723036864E-3</v>
      </c>
      <c r="W14" s="105">
        <f>(1+INDEX(Annual!$F$68:$K$86,19,MATCH(Monthly!W$9,Annual!$F$68:$K$68)))^(1/Months)-1</f>
        <v>2.4662697723036864E-3</v>
      </c>
      <c r="X14" s="105">
        <f>(1+INDEX(Annual!$F$68:$K$86,19,MATCH(Monthly!X$9,Annual!$F$68:$K$68)))^(1/Months)-1</f>
        <v>2.4662697723036864E-3</v>
      </c>
      <c r="Y14" s="105">
        <f>(1+INDEX(Annual!$F$68:$K$86,19,MATCH(Monthly!Y$9,Annual!$F$68:$K$68)))^(1/Months)-1</f>
        <v>2.4662697723036864E-3</v>
      </c>
      <c r="Z14" s="105">
        <f>(1+INDEX(Annual!$F$68:$K$86,19,MATCH(Monthly!Z$9,Annual!$F$68:$K$68)))^(1/Months)-1</f>
        <v>2.4662697723036864E-3</v>
      </c>
      <c r="AA14" s="105">
        <f>(1+INDEX(Annual!$F$68:$K$86,19,MATCH(Monthly!AA$9,Annual!$F$68:$K$68)))^(1/Months)-1</f>
        <v>2.4662697723036864E-3</v>
      </c>
      <c r="AB14" s="105">
        <f>(1+INDEX(Annual!$F$68:$K$86,19,MATCH(Monthly!AB$9,Annual!$F$68:$K$68)))^(1/Months)-1</f>
        <v>2.4662697723036864E-3</v>
      </c>
      <c r="AC14" s="105">
        <f>(1+INDEX(Annual!$F$68:$K$86,19,MATCH(Monthly!AC$9,Annual!$F$68:$K$68)))^(1/Months)-1</f>
        <v>2.4662697723036864E-3</v>
      </c>
      <c r="AD14" s="105">
        <f>(1+INDEX(Annual!$F$68:$K$86,19,MATCH(Monthly!AD$9,Annual!$F$68:$K$68)))^(1/Months)-1</f>
        <v>1.6515813019202241E-3</v>
      </c>
      <c r="AE14" s="105">
        <f>(1+INDEX(Annual!$F$68:$K$86,19,MATCH(Monthly!AE$9,Annual!$F$68:$K$68)))^(1/Months)-1</f>
        <v>1.6515813019202241E-3</v>
      </c>
      <c r="AF14" s="105">
        <f>(1+INDEX(Annual!$F$68:$K$86,19,MATCH(Monthly!AF$9,Annual!$F$68:$K$68)))^(1/Months)-1</f>
        <v>1.6515813019202241E-3</v>
      </c>
      <c r="AG14" s="105">
        <f>(1+INDEX(Annual!$F$68:$K$86,19,MATCH(Monthly!AG$9,Annual!$F$68:$K$68)))^(1/Months)-1</f>
        <v>1.6515813019202241E-3</v>
      </c>
      <c r="AH14" s="105">
        <f>(1+INDEX(Annual!$F$68:$K$86,19,MATCH(Monthly!AH$9,Annual!$F$68:$K$68)))^(1/Months)-1</f>
        <v>1.6515813019202241E-3</v>
      </c>
      <c r="AI14" s="105">
        <f>(1+INDEX(Annual!$F$68:$K$86,19,MATCH(Monthly!AI$9,Annual!$F$68:$K$68)))^(1/Months)-1</f>
        <v>1.6515813019202241E-3</v>
      </c>
      <c r="AJ14" s="105">
        <f>(1+INDEX(Annual!$F$68:$K$86,19,MATCH(Monthly!AJ$9,Annual!$F$68:$K$68)))^(1/Months)-1</f>
        <v>1.6515813019202241E-3</v>
      </c>
      <c r="AK14" s="105">
        <f>(1+INDEX(Annual!$F$68:$K$86,19,MATCH(Monthly!AK$9,Annual!$F$68:$K$68)))^(1/Months)-1</f>
        <v>1.6515813019202241E-3</v>
      </c>
      <c r="AL14" s="105">
        <f>(1+INDEX(Annual!$F$68:$K$86,19,MATCH(Monthly!AL$9,Annual!$F$68:$K$68)))^(1/Months)-1</f>
        <v>1.6515813019202241E-3</v>
      </c>
      <c r="AM14" s="105">
        <f>(1+INDEX(Annual!$F$68:$K$86,19,MATCH(Monthly!AM$9,Annual!$F$68:$K$68)))^(1/Months)-1</f>
        <v>1.6515813019202241E-3</v>
      </c>
      <c r="AN14" s="105">
        <f>(1+INDEX(Annual!$F$68:$K$86,19,MATCH(Monthly!AN$9,Annual!$F$68:$K$68)))^(1/Months)-1</f>
        <v>1.6515813019202241E-3</v>
      </c>
      <c r="AO14" s="105">
        <f>(1+INDEX(Annual!$F$68:$K$86,19,MATCH(Monthly!AO$9,Annual!$F$68:$K$68)))^(1/Months)-1</f>
        <v>1.6515813019202241E-3</v>
      </c>
      <c r="AP14" s="105">
        <f>(1+INDEX(Annual!$F$68:$K$86,19,MATCH(Monthly!AP$9,Annual!$F$68:$K$68)))^(1/Months)-1</f>
        <v>1.6515813019202241E-3</v>
      </c>
      <c r="AQ14" s="105">
        <f>(1+INDEX(Annual!$F$68:$K$86,19,MATCH(Monthly!AQ$9,Annual!$F$68:$K$68)))^(1/Months)-1</f>
        <v>1.6515813019202241E-3</v>
      </c>
      <c r="AR14" s="105">
        <f>(1+INDEX(Annual!$F$68:$K$86,19,MATCH(Monthly!AR$9,Annual!$F$68:$K$68)))^(1/Months)-1</f>
        <v>1.6515813019202241E-3</v>
      </c>
      <c r="AS14" s="105">
        <f>(1+INDEX(Annual!$F$68:$K$86,19,MATCH(Monthly!AS$9,Annual!$F$68:$K$68)))^(1/Months)-1</f>
        <v>1.6515813019202241E-3</v>
      </c>
      <c r="AT14" s="105">
        <f>(1+INDEX(Annual!$F$68:$K$86,19,MATCH(Monthly!AT$9,Annual!$F$68:$K$68)))^(1/Months)-1</f>
        <v>1.6515813019202241E-3</v>
      </c>
      <c r="AU14" s="105">
        <f>(1+INDEX(Annual!$F$68:$K$86,19,MATCH(Monthly!AU$9,Annual!$F$68:$K$68)))^(1/Months)-1</f>
        <v>1.6515813019202241E-3</v>
      </c>
      <c r="AV14" s="105">
        <f>(1+INDEX(Annual!$F$68:$K$86,19,MATCH(Monthly!AV$9,Annual!$F$68:$K$68)))^(1/Months)-1</f>
        <v>1.6515813019202241E-3</v>
      </c>
      <c r="AW14" s="105">
        <f>(1+INDEX(Annual!$F$68:$K$86,19,MATCH(Monthly!AW$9,Annual!$F$68:$K$68)))^(1/Months)-1</f>
        <v>1.6515813019202241E-3</v>
      </c>
      <c r="AX14" s="105">
        <f>(1+INDEX(Annual!$F$68:$K$86,19,MATCH(Monthly!AX$9,Annual!$F$68:$K$68)))^(1/Months)-1</f>
        <v>1.6515813019202241E-3</v>
      </c>
      <c r="AY14" s="105">
        <f>(1+INDEX(Annual!$F$68:$K$86,19,MATCH(Monthly!AY$9,Annual!$F$68:$K$68)))^(1/Months)-1</f>
        <v>1.6515813019202241E-3</v>
      </c>
      <c r="AZ14" s="105">
        <f>(1+INDEX(Annual!$F$68:$K$86,19,MATCH(Monthly!AZ$9,Annual!$F$68:$K$68)))^(1/Months)-1</f>
        <v>1.6515813019202241E-3</v>
      </c>
      <c r="BA14" s="105">
        <f>(1+INDEX(Annual!$F$68:$K$86,19,MATCH(Monthly!BA$9,Annual!$F$68:$K$68)))^(1/Months)-1</f>
        <v>1.6515813019202241E-3</v>
      </c>
      <c r="BB14" s="105">
        <f>(1+INDEX(Annual!$F$68:$K$86,19,MATCH(Monthly!BB$9,Annual!$F$68:$K$68)))^(1/Months)-1</f>
        <v>1.2414877164492744E-3</v>
      </c>
      <c r="BC14" s="105">
        <f>(1+INDEX(Annual!$F$68:$K$86,19,MATCH(Monthly!BC$9,Annual!$F$68:$K$68)))^(1/Months)-1</f>
        <v>1.2414877164492744E-3</v>
      </c>
      <c r="BD14" s="105">
        <f>(1+INDEX(Annual!$F$68:$K$86,19,MATCH(Monthly!BD$9,Annual!$F$68:$K$68)))^(1/Months)-1</f>
        <v>1.2414877164492744E-3</v>
      </c>
      <c r="BE14" s="105">
        <f>(1+INDEX(Annual!$F$68:$K$86,19,MATCH(Monthly!BE$9,Annual!$F$68:$K$68)))^(1/Months)-1</f>
        <v>1.2414877164492744E-3</v>
      </c>
      <c r="BF14" s="105">
        <f>(1+INDEX(Annual!$F$68:$K$86,19,MATCH(Monthly!BF$9,Annual!$F$68:$K$68)))^(1/Months)-1</f>
        <v>1.2414877164492744E-3</v>
      </c>
      <c r="BG14" s="105">
        <f>(1+INDEX(Annual!$F$68:$K$86,19,MATCH(Monthly!BG$9,Annual!$F$68:$K$68)))^(1/Months)-1</f>
        <v>1.2414877164492744E-3</v>
      </c>
      <c r="BH14" s="105">
        <f>(1+INDEX(Annual!$F$68:$K$86,19,MATCH(Monthly!BH$9,Annual!$F$68:$K$68)))^(1/Months)-1</f>
        <v>1.2414877164492744E-3</v>
      </c>
      <c r="BI14" s="105">
        <f>(1+INDEX(Annual!$F$68:$K$86,19,MATCH(Monthly!BI$9,Annual!$F$68:$K$68)))^(1/Months)-1</f>
        <v>1.2414877164492744E-3</v>
      </c>
      <c r="BJ14" s="105">
        <f>(1+INDEX(Annual!$F$68:$K$86,19,MATCH(Monthly!BJ$9,Annual!$F$68:$K$68)))^(1/Months)-1</f>
        <v>1.2414877164492744E-3</v>
      </c>
      <c r="BK14" s="105">
        <f>(1+INDEX(Annual!$F$68:$K$86,19,MATCH(Monthly!BK$9,Annual!$F$68:$K$68)))^(1/Months)-1</f>
        <v>1.2414877164492744E-3</v>
      </c>
      <c r="BL14" s="105">
        <f>(1+INDEX(Annual!$F$68:$K$86,19,MATCH(Monthly!BL$9,Annual!$F$68:$K$68)))^(1/Months)-1</f>
        <v>1.2414877164492744E-3</v>
      </c>
      <c r="BM14" s="105">
        <f>(1+INDEX(Annual!$F$68:$K$86,19,MATCH(Monthly!BM$9,Annual!$F$68:$K$68)))^(1/Months)-1</f>
        <v>1.2414877164492744E-3</v>
      </c>
      <c r="BN14" s="105">
        <f>(1+INDEX(Annual!$F$68:$K$86,19,MATCH(Monthly!BN$9,Annual!$F$68:$K$68)))^(1/Months)-1</f>
        <v>1.2414877164492744E-3</v>
      </c>
      <c r="BO14" s="105">
        <f>(1+INDEX(Annual!$F$68:$K$86,19,MATCH(Monthly!BO$9,Annual!$F$68:$K$68)))^(1/Months)-1</f>
        <v>1.2414877164492744E-3</v>
      </c>
      <c r="BP14" s="105">
        <f>(1+INDEX(Annual!$F$68:$K$86,19,MATCH(Monthly!BP$9,Annual!$F$68:$K$68)))^(1/Months)-1</f>
        <v>1.2414877164492744E-3</v>
      </c>
      <c r="BQ14" s="105">
        <f>(1+INDEX(Annual!$F$68:$K$86,19,MATCH(Monthly!BQ$9,Annual!$F$68:$K$68)))^(1/Months)-1</f>
        <v>1.2414877164492744E-3</v>
      </c>
      <c r="BR14" s="105">
        <f>(1+INDEX(Annual!$F$68:$K$86,19,MATCH(Monthly!BR$9,Annual!$F$68:$K$68)))^(1/Months)-1</f>
        <v>1.2414877164492744E-3</v>
      </c>
      <c r="BS14" s="105">
        <f>(1+INDEX(Annual!$F$68:$K$86,19,MATCH(Monthly!BS$9,Annual!$F$68:$K$68)))^(1/Months)-1</f>
        <v>1.2414877164492744E-3</v>
      </c>
      <c r="BT14" s="105">
        <f>(1+INDEX(Annual!$F$68:$K$86,19,MATCH(Monthly!BT$9,Annual!$F$68:$K$68)))^(1/Months)-1</f>
        <v>1.2414877164492744E-3</v>
      </c>
      <c r="BU14" s="105">
        <f>(1+INDEX(Annual!$F$68:$K$86,19,MATCH(Monthly!BU$9,Annual!$F$68:$K$68)))^(1/Months)-1</f>
        <v>1.2414877164492744E-3</v>
      </c>
      <c r="BV14" s="105">
        <f>(1+INDEX(Annual!$F$68:$K$86,19,MATCH(Monthly!BV$9,Annual!$F$68:$K$68)))^(1/Months)-1</f>
        <v>1.2414877164492744E-3</v>
      </c>
      <c r="BW14" s="105">
        <f>(1+INDEX(Annual!$F$68:$K$86,19,MATCH(Monthly!BW$9,Annual!$F$68:$K$68)))^(1/Months)-1</f>
        <v>1.2414877164492744E-3</v>
      </c>
      <c r="BX14" s="105">
        <f>(1+INDEX(Annual!$F$68:$K$86,19,MATCH(Monthly!BX$9,Annual!$F$68:$K$68)))^(1/Months)-1</f>
        <v>1.2414877164492744E-3</v>
      </c>
      <c r="BY14" s="105">
        <f>(1+INDEX(Annual!$F$68:$K$86,19,MATCH(Monthly!BY$9,Annual!$F$68:$K$68)))^(1/Months)-1</f>
        <v>1.2414877164492744E-3</v>
      </c>
    </row>
    <row r="15" spans="2:77" outlineLevel="1" x14ac:dyDescent="0.25">
      <c r="C15" s="67" t="s">
        <v>57</v>
      </c>
      <c r="D15" s="38" t="s">
        <v>19</v>
      </c>
      <c r="E15" s="107">
        <v>1</v>
      </c>
      <c r="F15" s="108">
        <f>+E15*(1+F14)</f>
        <v>1.0032737397821989</v>
      </c>
      <c r="G15" s="108">
        <f t="shared" ref="G15" si="80">+F15*(1+G14)</f>
        <v>1.0065581969365593</v>
      </c>
      <c r="H15" s="108">
        <f t="shared" ref="H15" si="81">+G15*(1+H14)</f>
        <v>1.009853406548969</v>
      </c>
      <c r="I15" s="108">
        <f t="shared" ref="I15" si="82">+H15*(1+I14)</f>
        <v>1.0131594038201774</v>
      </c>
      <c r="J15" s="108">
        <f t="shared" ref="J15" si="83">+I15*(1+J14)</f>
        <v>1.0164762240661724</v>
      </c>
      <c r="K15" s="108">
        <f t="shared" ref="K15" si="84">+J15*(1+K14)</f>
        <v>1.0198039027185573</v>
      </c>
      <c r="L15" s="108">
        <f t="shared" ref="L15" si="85">+K15*(1+L14)</f>
        <v>1.0231424753249287</v>
      </c>
      <c r="M15" s="108">
        <f t="shared" ref="M15" si="86">+L15*(1+M14)</f>
        <v>1.0264919775492574</v>
      </c>
      <c r="N15" s="108">
        <f t="shared" ref="N15" si="87">+M15*(1+N14)</f>
        <v>1.0298524451722684</v>
      </c>
      <c r="O15" s="108">
        <f t="shared" ref="O15" si="88">+N15*(1+O14)</f>
        <v>1.0332239140918236</v>
      </c>
      <c r="P15" s="108">
        <f t="shared" ref="P15" si="89">+O15*(1+P14)</f>
        <v>1.0366064203233052</v>
      </c>
      <c r="Q15" s="108">
        <f t="shared" ref="Q15" si="90">+P15*(1+Q14)</f>
        <v>1.0400000000000005</v>
      </c>
      <c r="R15" s="108">
        <f t="shared" ref="R15" si="91">+Q15*(1+R14)</f>
        <v>1.0425649205631964</v>
      </c>
      <c r="S15" s="108">
        <f t="shared" ref="S15" si="92">+R15*(1+S14)</f>
        <v>1.0451361669124455</v>
      </c>
      <c r="T15" s="108">
        <f t="shared" ref="T15" si="93">+S15*(1+T14)</f>
        <v>1.0477137546488431</v>
      </c>
      <c r="U15" s="108">
        <f t="shared" ref="U15" si="94">+T15*(1+U14)</f>
        <v>1.0502976994119604</v>
      </c>
      <c r="V15" s="108">
        <f t="shared" ref="V15" si="95">+U15*(1+V14)</f>
        <v>1.0528880168799402</v>
      </c>
      <c r="W15" s="108">
        <f t="shared" ref="W15" si="96">+V15*(1+W14)</f>
        <v>1.0554847227695918</v>
      </c>
      <c r="X15" s="108">
        <f t="shared" ref="X15" si="97">+W15*(1+X14)</f>
        <v>1.0580878328364869</v>
      </c>
      <c r="Y15" s="108">
        <f t="shared" ref="Y15" si="98">+X15*(1+Y14)</f>
        <v>1.0606973628750538</v>
      </c>
      <c r="Z15" s="108">
        <f t="shared" ref="Z15" si="99">+Y15*(1+Z14)</f>
        <v>1.0633133287186747</v>
      </c>
      <c r="AA15" s="108">
        <f t="shared" ref="AA15" si="100">+Z15*(1+AA14)</f>
        <v>1.0659357462397812</v>
      </c>
      <c r="AB15" s="108">
        <f t="shared" ref="AB15" si="101">+AA15*(1+AB14)</f>
        <v>1.0685646313499504</v>
      </c>
      <c r="AC15" s="108">
        <f t="shared" ref="AC15" si="102">+AB15*(1+AC14)</f>
        <v>1.0712000000000017</v>
      </c>
      <c r="AD15" s="108">
        <f t="shared" ref="AD15" si="103">+AC15*(1+AD14)</f>
        <v>1.0729691738906186</v>
      </c>
      <c r="AE15" s="108">
        <f t="shared" ref="AE15" si="104">+AD15*(1+AE14)</f>
        <v>1.0747412697157532</v>
      </c>
      <c r="AF15" s="108">
        <f t="shared" ref="AF15" si="105">+AE15*(1+AF14)</f>
        <v>1.0765162923012177</v>
      </c>
      <c r="AG15" s="108">
        <f t="shared" ref="AG15" si="106">+AF15*(1+AG14)</f>
        <v>1.078294246480795</v>
      </c>
      <c r="AH15" s="108">
        <f t="shared" ref="AH15" si="107">+AG15*(1+AH14)</f>
        <v>1.0800751370962509</v>
      </c>
      <c r="AI15" s="108">
        <f t="shared" ref="AI15" si="108">+AH15*(1+AI14)</f>
        <v>1.0818589689973479</v>
      </c>
      <c r="AJ15" s="108">
        <f t="shared" ref="AJ15" si="109">+AI15*(1+AJ14)</f>
        <v>1.0836457470418586</v>
      </c>
      <c r="AK15" s="108">
        <f t="shared" ref="AK15" si="110">+AJ15*(1+AK14)</f>
        <v>1.0854354760955782</v>
      </c>
      <c r="AL15" s="108">
        <f t="shared" ref="AL15" si="111">+AK15*(1+AL14)</f>
        <v>1.0872281610323387</v>
      </c>
      <c r="AM15" s="108">
        <f t="shared" ref="AM15" si="112">+AL15*(1+AM14)</f>
        <v>1.0890238067340208</v>
      </c>
      <c r="AN15" s="108">
        <f t="shared" ref="AN15" si="113">+AM15*(1+AN14)</f>
        <v>1.0908224180905686</v>
      </c>
      <c r="AO15" s="108">
        <f t="shared" ref="AO15" si="114">+AN15*(1+AO14)</f>
        <v>1.0926240000000023</v>
      </c>
      <c r="AP15" s="108">
        <f t="shared" ref="AP15" si="115">+AO15*(1+AP14)</f>
        <v>1.0944285573684316</v>
      </c>
      <c r="AQ15" s="108">
        <f t="shared" ref="AQ15" si="116">+AP15*(1+AQ14)</f>
        <v>1.0962360951100689</v>
      </c>
      <c r="AR15" s="108">
        <f t="shared" ref="AR15" si="117">+AQ15*(1+AR14)</f>
        <v>1.0980466181472428</v>
      </c>
      <c r="AS15" s="108">
        <f t="shared" ref="AS15" si="118">+AR15*(1+AS14)</f>
        <v>1.0998601314104115</v>
      </c>
      <c r="AT15" s="108">
        <f t="shared" ref="AT15" si="119">+AS15*(1+AT14)</f>
        <v>1.1016766398381765</v>
      </c>
      <c r="AU15" s="108">
        <f t="shared" ref="AU15" si="120">+AT15*(1+AU14)</f>
        <v>1.1034961483772956</v>
      </c>
      <c r="AV15" s="108">
        <f t="shared" ref="AV15" si="121">+AU15*(1+AV14)</f>
        <v>1.1053186619826965</v>
      </c>
      <c r="AW15" s="108">
        <f t="shared" ref="AW15" si="122">+AV15*(1+AW14)</f>
        <v>1.1071441856174906</v>
      </c>
      <c r="AX15" s="108">
        <f t="shared" ref="AX15" si="123">+AW15*(1+AX14)</f>
        <v>1.1089727242529861</v>
      </c>
      <c r="AY15" s="108">
        <f t="shared" ref="AY15" si="124">+AX15*(1+AY14)</f>
        <v>1.1108042828687019</v>
      </c>
      <c r="AZ15" s="108">
        <f t="shared" ref="AZ15" si="125">+AY15*(1+AZ14)</f>
        <v>1.1126388664523807</v>
      </c>
      <c r="BA15" s="108">
        <f t="shared" ref="BA15" si="126">+AZ15*(1+BA14)</f>
        <v>1.1144764800000033</v>
      </c>
      <c r="BB15" s="108">
        <f t="shared" ref="BB15" si="127">+BA15*(1+BB14)</f>
        <v>1.1158600888601951</v>
      </c>
      <c r="BC15" s="108">
        <f t="shared" ref="BC15" si="128">+BB15*(1+BC14)</f>
        <v>1.117245415453791</v>
      </c>
      <c r="BD15" s="108">
        <f t="shared" ref="BD15" si="129">+BC15*(1+BD14)</f>
        <v>1.1186324619133361</v>
      </c>
      <c r="BE15" s="108">
        <f t="shared" ref="BE15" si="130">+BD15*(1+BE14)</f>
        <v>1.1200212303740229</v>
      </c>
      <c r="BF15" s="108">
        <f t="shared" ref="BF15" si="131">+BE15*(1+BF14)</f>
        <v>1.1214117229736946</v>
      </c>
      <c r="BG15" s="108">
        <f t="shared" ref="BG15" si="132">+BF15*(1+BG14)</f>
        <v>1.1228039418528486</v>
      </c>
      <c r="BH15" s="108">
        <f t="shared" ref="BH15" si="133">+BG15*(1+BH14)</f>
        <v>1.1241978891546398</v>
      </c>
      <c r="BI15" s="108">
        <f t="shared" ref="BI15" si="134">+BH15*(1+BI14)</f>
        <v>1.1255935670248836</v>
      </c>
      <c r="BJ15" s="108">
        <f t="shared" ref="BJ15" si="135">+BI15*(1+BJ14)</f>
        <v>1.1269909776120592</v>
      </c>
      <c r="BK15" s="108">
        <f t="shared" ref="BK15" si="136">+BJ15*(1+BK14)</f>
        <v>1.1283901230673137</v>
      </c>
      <c r="BL15" s="108">
        <f t="shared" ref="BL15" si="137">+BK15*(1+BL14)</f>
        <v>1.1297910055444644</v>
      </c>
      <c r="BM15" s="108">
        <f t="shared" ref="BM15" si="138">+BL15*(1+BM14)</f>
        <v>1.1311936272000027</v>
      </c>
      <c r="BN15" s="108">
        <f t="shared" ref="BN15" si="139">+BM15*(1+BN14)</f>
        <v>1.1325979901930971</v>
      </c>
      <c r="BO15" s="108">
        <f t="shared" ref="BO15" si="140">+BN15*(1+BO14)</f>
        <v>1.1340040966855971</v>
      </c>
      <c r="BP15" s="108">
        <f t="shared" ref="BP15" si="141">+BO15*(1+BP14)</f>
        <v>1.1354119488420353</v>
      </c>
      <c r="BQ15" s="108">
        <f t="shared" ref="BQ15" si="142">+BP15*(1+BQ14)</f>
        <v>1.1368215488296325</v>
      </c>
      <c r="BR15" s="108">
        <f t="shared" ref="BR15" si="143">+BQ15*(1+BR14)</f>
        <v>1.1382328988182993</v>
      </c>
      <c r="BS15" s="108">
        <f t="shared" ref="BS15" si="144">+BR15*(1+BS14)</f>
        <v>1.1396460009806406</v>
      </c>
      <c r="BT15" s="108">
        <f t="shared" ref="BT15" si="145">+BS15*(1+BT14)</f>
        <v>1.1410608574919585</v>
      </c>
      <c r="BU15" s="108">
        <f t="shared" ref="BU15" si="146">+BT15*(1+BU14)</f>
        <v>1.1424774705302558</v>
      </c>
      <c r="BV15" s="108">
        <f t="shared" ref="BV15" si="147">+BU15*(1+BV14)</f>
        <v>1.1438958422762391</v>
      </c>
      <c r="BW15" s="108">
        <f t="shared" ref="BW15" si="148">+BV15*(1+BW14)</f>
        <v>1.1453159749133224</v>
      </c>
      <c r="BX15" s="108">
        <f t="shared" ref="BX15" si="149">+BW15*(1+BX14)</f>
        <v>1.1467378706276303</v>
      </c>
      <c r="BY15" s="108">
        <f t="shared" ref="BY15" si="150">+BX15*(1+BY14)</f>
        <v>1.1481615316080018</v>
      </c>
    </row>
    <row r="16" spans="2:77" outlineLevel="1" x14ac:dyDescent="0.25">
      <c r="E16" s="101"/>
    </row>
    <row r="17" spans="2:77" outlineLevel="1" x14ac:dyDescent="0.25">
      <c r="C17" s="3" t="s">
        <v>138</v>
      </c>
      <c r="D17" s="38" t="s">
        <v>16</v>
      </c>
      <c r="E17" s="101"/>
      <c r="F17" s="105">
        <f>INDEX(Annual!$F$68:$K$92,25,MATCH(Monthly!F$9,Annual!$F$68:$K$68))</f>
        <v>0.02</v>
      </c>
      <c r="G17" s="105">
        <f>INDEX(Annual!$F$68:$K$92,25,MATCH(Monthly!G$9,Annual!$F$68:$K$68))</f>
        <v>0.02</v>
      </c>
      <c r="H17" s="105">
        <f>INDEX(Annual!$F$68:$K$92,25,MATCH(Monthly!H$9,Annual!$F$68:$K$68))</f>
        <v>0.02</v>
      </c>
      <c r="I17" s="105">
        <f>INDEX(Annual!$F$68:$K$92,25,MATCH(Monthly!I$9,Annual!$F$68:$K$68))</f>
        <v>0.02</v>
      </c>
      <c r="J17" s="105">
        <f>INDEX(Annual!$F$68:$K$92,25,MATCH(Monthly!J$9,Annual!$F$68:$K$68))</f>
        <v>0.02</v>
      </c>
      <c r="K17" s="105">
        <f>INDEX(Annual!$F$68:$K$92,25,MATCH(Monthly!K$9,Annual!$F$68:$K$68))</f>
        <v>0.02</v>
      </c>
      <c r="L17" s="105">
        <f>INDEX(Annual!$F$68:$K$92,25,MATCH(Monthly!L$9,Annual!$F$68:$K$68))</f>
        <v>0.02</v>
      </c>
      <c r="M17" s="105">
        <f>INDEX(Annual!$F$68:$K$92,25,MATCH(Monthly!M$9,Annual!$F$68:$K$68))</f>
        <v>0.02</v>
      </c>
      <c r="N17" s="105">
        <f>INDEX(Annual!$F$68:$K$92,25,MATCH(Monthly!N$9,Annual!$F$68:$K$68))</f>
        <v>0.02</v>
      </c>
      <c r="O17" s="105">
        <f>INDEX(Annual!$F$68:$K$92,25,MATCH(Monthly!O$9,Annual!$F$68:$K$68))</f>
        <v>0.02</v>
      </c>
      <c r="P17" s="105">
        <f>INDEX(Annual!$F$68:$K$92,25,MATCH(Monthly!P$9,Annual!$F$68:$K$68))</f>
        <v>0.02</v>
      </c>
      <c r="Q17" s="105">
        <f>INDEX(Annual!$F$68:$K$92,25,MATCH(Monthly!Q$9,Annual!$F$68:$K$68))</f>
        <v>0.02</v>
      </c>
      <c r="R17" s="105">
        <f>INDEX(Annual!$F$68:$K$92,25,MATCH(Monthly!R$9,Annual!$F$68:$K$68))</f>
        <v>0.03</v>
      </c>
      <c r="S17" s="105">
        <f>INDEX(Annual!$F$68:$K$92,25,MATCH(Monthly!S$9,Annual!$F$68:$K$68))</f>
        <v>0.03</v>
      </c>
      <c r="T17" s="105">
        <f>INDEX(Annual!$F$68:$K$92,25,MATCH(Monthly!T$9,Annual!$F$68:$K$68))</f>
        <v>0.03</v>
      </c>
      <c r="U17" s="105">
        <f>INDEX(Annual!$F$68:$K$92,25,MATCH(Monthly!U$9,Annual!$F$68:$K$68))</f>
        <v>0.03</v>
      </c>
      <c r="V17" s="105">
        <f>INDEX(Annual!$F$68:$K$92,25,MATCH(Monthly!V$9,Annual!$F$68:$K$68))</f>
        <v>0.03</v>
      </c>
      <c r="W17" s="105">
        <f>INDEX(Annual!$F$68:$K$92,25,MATCH(Monthly!W$9,Annual!$F$68:$K$68))</f>
        <v>0.03</v>
      </c>
      <c r="X17" s="105">
        <f>INDEX(Annual!$F$68:$K$92,25,MATCH(Monthly!X$9,Annual!$F$68:$K$68))</f>
        <v>0.03</v>
      </c>
      <c r="Y17" s="105">
        <f>INDEX(Annual!$F$68:$K$92,25,MATCH(Monthly!Y$9,Annual!$F$68:$K$68))</f>
        <v>0.03</v>
      </c>
      <c r="Z17" s="105">
        <f>INDEX(Annual!$F$68:$K$92,25,MATCH(Monthly!Z$9,Annual!$F$68:$K$68))</f>
        <v>0.03</v>
      </c>
      <c r="AA17" s="105">
        <f>INDEX(Annual!$F$68:$K$92,25,MATCH(Monthly!AA$9,Annual!$F$68:$K$68))</f>
        <v>0.03</v>
      </c>
      <c r="AB17" s="105">
        <f>INDEX(Annual!$F$68:$K$92,25,MATCH(Monthly!AB$9,Annual!$F$68:$K$68))</f>
        <v>0.03</v>
      </c>
      <c r="AC17" s="105">
        <f>INDEX(Annual!$F$68:$K$92,25,MATCH(Monthly!AC$9,Annual!$F$68:$K$68))</f>
        <v>0.03</v>
      </c>
      <c r="AD17" s="105">
        <f>INDEX(Annual!$F$68:$K$92,25,MATCH(Monthly!AD$9,Annual!$F$68:$K$68))</f>
        <v>0.03</v>
      </c>
      <c r="AE17" s="105">
        <f>INDEX(Annual!$F$68:$K$92,25,MATCH(Monthly!AE$9,Annual!$F$68:$K$68))</f>
        <v>0.03</v>
      </c>
      <c r="AF17" s="105">
        <f>INDEX(Annual!$F$68:$K$92,25,MATCH(Monthly!AF$9,Annual!$F$68:$K$68))</f>
        <v>0.03</v>
      </c>
      <c r="AG17" s="105">
        <f>INDEX(Annual!$F$68:$K$92,25,MATCH(Monthly!AG$9,Annual!$F$68:$K$68))</f>
        <v>0.03</v>
      </c>
      <c r="AH17" s="105">
        <f>INDEX(Annual!$F$68:$K$92,25,MATCH(Monthly!AH$9,Annual!$F$68:$K$68))</f>
        <v>0.03</v>
      </c>
      <c r="AI17" s="105">
        <f>INDEX(Annual!$F$68:$K$92,25,MATCH(Monthly!AI$9,Annual!$F$68:$K$68))</f>
        <v>0.03</v>
      </c>
      <c r="AJ17" s="105">
        <f>INDEX(Annual!$F$68:$K$92,25,MATCH(Monthly!AJ$9,Annual!$F$68:$K$68))</f>
        <v>0.03</v>
      </c>
      <c r="AK17" s="105">
        <f>INDEX(Annual!$F$68:$K$92,25,MATCH(Monthly!AK$9,Annual!$F$68:$K$68))</f>
        <v>0.03</v>
      </c>
      <c r="AL17" s="105">
        <f>INDEX(Annual!$F$68:$K$92,25,MATCH(Monthly!AL$9,Annual!$F$68:$K$68))</f>
        <v>0.03</v>
      </c>
      <c r="AM17" s="105">
        <f>INDEX(Annual!$F$68:$K$92,25,MATCH(Monthly!AM$9,Annual!$F$68:$K$68))</f>
        <v>0.03</v>
      </c>
      <c r="AN17" s="105">
        <f>INDEX(Annual!$F$68:$K$92,25,MATCH(Monthly!AN$9,Annual!$F$68:$K$68))</f>
        <v>0.03</v>
      </c>
      <c r="AO17" s="105">
        <f>INDEX(Annual!$F$68:$K$92,25,MATCH(Monthly!AO$9,Annual!$F$68:$K$68))</f>
        <v>0.03</v>
      </c>
      <c r="AP17" s="105">
        <f>INDEX(Annual!$F$68:$K$92,25,MATCH(Monthly!AP$9,Annual!$F$68:$K$68))</f>
        <v>2.5000000000000001E-2</v>
      </c>
      <c r="AQ17" s="105">
        <f>INDEX(Annual!$F$68:$K$92,25,MATCH(Monthly!AQ$9,Annual!$F$68:$K$68))</f>
        <v>2.5000000000000001E-2</v>
      </c>
      <c r="AR17" s="105">
        <f>INDEX(Annual!$F$68:$K$92,25,MATCH(Monthly!AR$9,Annual!$F$68:$K$68))</f>
        <v>2.5000000000000001E-2</v>
      </c>
      <c r="AS17" s="105">
        <f>INDEX(Annual!$F$68:$K$92,25,MATCH(Monthly!AS$9,Annual!$F$68:$K$68))</f>
        <v>2.5000000000000001E-2</v>
      </c>
      <c r="AT17" s="105">
        <f>INDEX(Annual!$F$68:$K$92,25,MATCH(Monthly!AT$9,Annual!$F$68:$K$68))</f>
        <v>2.5000000000000001E-2</v>
      </c>
      <c r="AU17" s="105">
        <f>INDEX(Annual!$F$68:$K$92,25,MATCH(Monthly!AU$9,Annual!$F$68:$K$68))</f>
        <v>2.5000000000000001E-2</v>
      </c>
      <c r="AV17" s="105">
        <f>INDEX(Annual!$F$68:$K$92,25,MATCH(Monthly!AV$9,Annual!$F$68:$K$68))</f>
        <v>2.5000000000000001E-2</v>
      </c>
      <c r="AW17" s="105">
        <f>INDEX(Annual!$F$68:$K$92,25,MATCH(Monthly!AW$9,Annual!$F$68:$K$68))</f>
        <v>2.5000000000000001E-2</v>
      </c>
      <c r="AX17" s="105">
        <f>INDEX(Annual!$F$68:$K$92,25,MATCH(Monthly!AX$9,Annual!$F$68:$K$68))</f>
        <v>2.5000000000000001E-2</v>
      </c>
      <c r="AY17" s="105">
        <f>INDEX(Annual!$F$68:$K$92,25,MATCH(Monthly!AY$9,Annual!$F$68:$K$68))</f>
        <v>2.5000000000000001E-2</v>
      </c>
      <c r="AZ17" s="105">
        <f>INDEX(Annual!$F$68:$K$92,25,MATCH(Monthly!AZ$9,Annual!$F$68:$K$68))</f>
        <v>2.5000000000000001E-2</v>
      </c>
      <c r="BA17" s="105">
        <f>INDEX(Annual!$F$68:$K$92,25,MATCH(Monthly!BA$9,Annual!$F$68:$K$68))</f>
        <v>2.5000000000000001E-2</v>
      </c>
      <c r="BB17" s="105">
        <f>INDEX(Annual!$F$68:$K$92,25,MATCH(Monthly!BB$9,Annual!$F$68:$K$68))</f>
        <v>2.5000000000000001E-2</v>
      </c>
      <c r="BC17" s="105">
        <f>INDEX(Annual!$F$68:$K$92,25,MATCH(Monthly!BC$9,Annual!$F$68:$K$68))</f>
        <v>2.5000000000000001E-2</v>
      </c>
      <c r="BD17" s="105">
        <f>INDEX(Annual!$F$68:$K$92,25,MATCH(Monthly!BD$9,Annual!$F$68:$K$68))</f>
        <v>2.5000000000000001E-2</v>
      </c>
      <c r="BE17" s="105">
        <f>INDEX(Annual!$F$68:$K$92,25,MATCH(Monthly!BE$9,Annual!$F$68:$K$68))</f>
        <v>2.5000000000000001E-2</v>
      </c>
      <c r="BF17" s="105">
        <f>INDEX(Annual!$F$68:$K$92,25,MATCH(Monthly!BF$9,Annual!$F$68:$K$68))</f>
        <v>2.5000000000000001E-2</v>
      </c>
      <c r="BG17" s="105">
        <f>INDEX(Annual!$F$68:$K$92,25,MATCH(Monthly!BG$9,Annual!$F$68:$K$68))</f>
        <v>2.5000000000000001E-2</v>
      </c>
      <c r="BH17" s="105">
        <f>INDEX(Annual!$F$68:$K$92,25,MATCH(Monthly!BH$9,Annual!$F$68:$K$68))</f>
        <v>2.5000000000000001E-2</v>
      </c>
      <c r="BI17" s="105">
        <f>INDEX(Annual!$F$68:$K$92,25,MATCH(Monthly!BI$9,Annual!$F$68:$K$68))</f>
        <v>2.5000000000000001E-2</v>
      </c>
      <c r="BJ17" s="105">
        <f>INDEX(Annual!$F$68:$K$92,25,MATCH(Monthly!BJ$9,Annual!$F$68:$K$68))</f>
        <v>2.5000000000000001E-2</v>
      </c>
      <c r="BK17" s="105">
        <f>INDEX(Annual!$F$68:$K$92,25,MATCH(Monthly!BK$9,Annual!$F$68:$K$68))</f>
        <v>2.5000000000000001E-2</v>
      </c>
      <c r="BL17" s="105">
        <f>INDEX(Annual!$F$68:$K$92,25,MATCH(Monthly!BL$9,Annual!$F$68:$K$68))</f>
        <v>2.5000000000000001E-2</v>
      </c>
      <c r="BM17" s="105">
        <f>INDEX(Annual!$F$68:$K$92,25,MATCH(Monthly!BM$9,Annual!$F$68:$K$68))</f>
        <v>2.5000000000000001E-2</v>
      </c>
      <c r="BN17" s="105">
        <f>INDEX(Annual!$F$68:$K$92,25,MATCH(Monthly!BN$9,Annual!$F$68:$K$68))</f>
        <v>0.02</v>
      </c>
      <c r="BO17" s="105">
        <f>INDEX(Annual!$F$68:$K$92,25,MATCH(Monthly!BO$9,Annual!$F$68:$K$68))</f>
        <v>0.02</v>
      </c>
      <c r="BP17" s="105">
        <f>INDEX(Annual!$F$68:$K$92,25,MATCH(Monthly!BP$9,Annual!$F$68:$K$68))</f>
        <v>0.02</v>
      </c>
      <c r="BQ17" s="105">
        <f>INDEX(Annual!$F$68:$K$92,25,MATCH(Monthly!BQ$9,Annual!$F$68:$K$68))</f>
        <v>0.02</v>
      </c>
      <c r="BR17" s="105">
        <f>INDEX(Annual!$F$68:$K$92,25,MATCH(Monthly!BR$9,Annual!$F$68:$K$68))</f>
        <v>0.02</v>
      </c>
      <c r="BS17" s="105">
        <f>INDEX(Annual!$F$68:$K$92,25,MATCH(Monthly!BS$9,Annual!$F$68:$K$68))</f>
        <v>0.02</v>
      </c>
      <c r="BT17" s="105">
        <f>INDEX(Annual!$F$68:$K$92,25,MATCH(Monthly!BT$9,Annual!$F$68:$K$68))</f>
        <v>0.02</v>
      </c>
      <c r="BU17" s="105">
        <f>INDEX(Annual!$F$68:$K$92,25,MATCH(Monthly!BU$9,Annual!$F$68:$K$68))</f>
        <v>0.02</v>
      </c>
      <c r="BV17" s="105">
        <f>INDEX(Annual!$F$68:$K$92,25,MATCH(Monthly!BV$9,Annual!$F$68:$K$68))</f>
        <v>0.02</v>
      </c>
      <c r="BW17" s="105">
        <f>INDEX(Annual!$F$68:$K$92,25,MATCH(Monthly!BW$9,Annual!$F$68:$K$68))</f>
        <v>0.02</v>
      </c>
      <c r="BX17" s="105">
        <f>INDEX(Annual!$F$68:$K$92,25,MATCH(Monthly!BX$9,Annual!$F$68:$K$68))</f>
        <v>0.02</v>
      </c>
      <c r="BY17" s="105">
        <f>INDEX(Annual!$F$68:$K$92,25,MATCH(Monthly!BY$9,Annual!$F$68:$K$68))</f>
        <v>0.02</v>
      </c>
    </row>
    <row r="18" spans="2:77" outlineLevel="1" x14ac:dyDescent="0.25">
      <c r="C18" s="3" t="s">
        <v>141</v>
      </c>
      <c r="D18" s="38" t="s">
        <v>19</v>
      </c>
      <c r="E18" s="107">
        <v>1</v>
      </c>
      <c r="F18" s="108">
        <f>IF(AND(E9&lt;&gt;"",F9&lt;&gt;E9),+E18*(1+F17),E18)</f>
        <v>1</v>
      </c>
      <c r="G18" s="108">
        <f t="shared" ref="G18" si="151">IF(AND(F9&lt;&gt;"",G9&lt;&gt;F9),+F18*(1+G17),F18)</f>
        <v>1</v>
      </c>
      <c r="H18" s="108">
        <f t="shared" ref="H18" si="152">IF(AND(G9&lt;&gt;"",H9&lt;&gt;G9),+G18*(1+H17),G18)</f>
        <v>1</v>
      </c>
      <c r="I18" s="108">
        <f t="shared" ref="I18" si="153">IF(AND(H9&lt;&gt;"",I9&lt;&gt;H9),+H18*(1+I17),H18)</f>
        <v>1</v>
      </c>
      <c r="J18" s="108">
        <f t="shared" ref="J18" si="154">IF(AND(I9&lt;&gt;"",J9&lt;&gt;I9),+I18*(1+J17),I18)</f>
        <v>1</v>
      </c>
      <c r="K18" s="108">
        <f t="shared" ref="K18" si="155">IF(AND(J9&lt;&gt;"",K9&lt;&gt;J9),+J18*(1+K17),J18)</f>
        <v>1</v>
      </c>
      <c r="L18" s="108">
        <f t="shared" ref="L18" si="156">IF(AND(K9&lt;&gt;"",L9&lt;&gt;K9),+K18*(1+L17),K18)</f>
        <v>1</v>
      </c>
      <c r="M18" s="108">
        <f t="shared" ref="M18" si="157">IF(AND(L9&lt;&gt;"",M9&lt;&gt;L9),+L18*(1+M17),L18)</f>
        <v>1</v>
      </c>
      <c r="N18" s="108">
        <f t="shared" ref="N18" si="158">IF(AND(M9&lt;&gt;"",N9&lt;&gt;M9),+M18*(1+N17),M18)</f>
        <v>1</v>
      </c>
      <c r="O18" s="108">
        <f t="shared" ref="O18" si="159">IF(AND(N9&lt;&gt;"",O9&lt;&gt;N9),+N18*(1+O17),N18)</f>
        <v>1</v>
      </c>
      <c r="P18" s="108">
        <f t="shared" ref="P18" si="160">IF(AND(O9&lt;&gt;"",P9&lt;&gt;O9),+O18*(1+P17),O18)</f>
        <v>1</v>
      </c>
      <c r="Q18" s="108">
        <f t="shared" ref="Q18" si="161">IF(AND(P9&lt;&gt;"",Q9&lt;&gt;P9),+P18*(1+Q17),P18)</f>
        <v>1</v>
      </c>
      <c r="R18" s="108">
        <f t="shared" ref="R18" si="162">IF(AND(Q9&lt;&gt;"",R9&lt;&gt;Q9),+Q18*(1+R17),Q18)</f>
        <v>1.03</v>
      </c>
      <c r="S18" s="108">
        <f t="shared" ref="S18" si="163">IF(AND(R9&lt;&gt;"",S9&lt;&gt;R9),+R18*(1+S17),R18)</f>
        <v>1.03</v>
      </c>
      <c r="T18" s="108">
        <f t="shared" ref="T18" si="164">IF(AND(S9&lt;&gt;"",T9&lt;&gt;S9),+S18*(1+T17),S18)</f>
        <v>1.03</v>
      </c>
      <c r="U18" s="108">
        <f t="shared" ref="U18" si="165">IF(AND(T9&lt;&gt;"",U9&lt;&gt;T9),+T18*(1+U17),T18)</f>
        <v>1.03</v>
      </c>
      <c r="V18" s="108">
        <f t="shared" ref="V18" si="166">IF(AND(U9&lt;&gt;"",V9&lt;&gt;U9),+U18*(1+V17),U18)</f>
        <v>1.03</v>
      </c>
      <c r="W18" s="108">
        <f t="shared" ref="W18" si="167">IF(AND(V9&lt;&gt;"",W9&lt;&gt;V9),+V18*(1+W17),V18)</f>
        <v>1.03</v>
      </c>
      <c r="X18" s="108">
        <f t="shared" ref="X18" si="168">IF(AND(W9&lt;&gt;"",X9&lt;&gt;W9),+W18*(1+X17),W18)</f>
        <v>1.03</v>
      </c>
      <c r="Y18" s="108">
        <f t="shared" ref="Y18" si="169">IF(AND(X9&lt;&gt;"",Y9&lt;&gt;X9),+X18*(1+Y17),X18)</f>
        <v>1.03</v>
      </c>
      <c r="Z18" s="108">
        <f t="shared" ref="Z18" si="170">IF(AND(Y9&lt;&gt;"",Z9&lt;&gt;Y9),+Y18*(1+Z17),Y18)</f>
        <v>1.03</v>
      </c>
      <c r="AA18" s="108">
        <f t="shared" ref="AA18" si="171">IF(AND(Z9&lt;&gt;"",AA9&lt;&gt;Z9),+Z18*(1+AA17),Z18)</f>
        <v>1.03</v>
      </c>
      <c r="AB18" s="108">
        <f t="shared" ref="AB18" si="172">IF(AND(AA9&lt;&gt;"",AB9&lt;&gt;AA9),+AA18*(1+AB17),AA18)</f>
        <v>1.03</v>
      </c>
      <c r="AC18" s="108">
        <f t="shared" ref="AC18" si="173">IF(AND(AB9&lt;&gt;"",AC9&lt;&gt;AB9),+AB18*(1+AC17),AB18)</f>
        <v>1.03</v>
      </c>
      <c r="AD18" s="108">
        <f t="shared" ref="AD18" si="174">IF(AND(AC9&lt;&gt;"",AD9&lt;&gt;AC9),+AC18*(1+AD17),AC18)</f>
        <v>1.0609</v>
      </c>
      <c r="AE18" s="108">
        <f t="shared" ref="AE18" si="175">IF(AND(AD9&lt;&gt;"",AE9&lt;&gt;AD9),+AD18*(1+AE17),AD18)</f>
        <v>1.0609</v>
      </c>
      <c r="AF18" s="108">
        <f t="shared" ref="AF18" si="176">IF(AND(AE9&lt;&gt;"",AF9&lt;&gt;AE9),+AE18*(1+AF17),AE18)</f>
        <v>1.0609</v>
      </c>
      <c r="AG18" s="108">
        <f t="shared" ref="AG18" si="177">IF(AND(AF9&lt;&gt;"",AG9&lt;&gt;AF9),+AF18*(1+AG17),AF18)</f>
        <v>1.0609</v>
      </c>
      <c r="AH18" s="108">
        <f t="shared" ref="AH18" si="178">IF(AND(AG9&lt;&gt;"",AH9&lt;&gt;AG9),+AG18*(1+AH17),AG18)</f>
        <v>1.0609</v>
      </c>
      <c r="AI18" s="108">
        <f t="shared" ref="AI18" si="179">IF(AND(AH9&lt;&gt;"",AI9&lt;&gt;AH9),+AH18*(1+AI17),AH18)</f>
        <v>1.0609</v>
      </c>
      <c r="AJ18" s="108">
        <f t="shared" ref="AJ18" si="180">IF(AND(AI9&lt;&gt;"",AJ9&lt;&gt;AI9),+AI18*(1+AJ17),AI18)</f>
        <v>1.0609</v>
      </c>
      <c r="AK18" s="108">
        <f t="shared" ref="AK18" si="181">IF(AND(AJ9&lt;&gt;"",AK9&lt;&gt;AJ9),+AJ18*(1+AK17),AJ18)</f>
        <v>1.0609</v>
      </c>
      <c r="AL18" s="108">
        <f t="shared" ref="AL18" si="182">IF(AND(AK9&lt;&gt;"",AL9&lt;&gt;AK9),+AK18*(1+AL17),AK18)</f>
        <v>1.0609</v>
      </c>
      <c r="AM18" s="108">
        <f t="shared" ref="AM18" si="183">IF(AND(AL9&lt;&gt;"",AM9&lt;&gt;AL9),+AL18*(1+AM17),AL18)</f>
        <v>1.0609</v>
      </c>
      <c r="AN18" s="108">
        <f t="shared" ref="AN18" si="184">IF(AND(AM9&lt;&gt;"",AN9&lt;&gt;AM9),+AM18*(1+AN17),AM18)</f>
        <v>1.0609</v>
      </c>
      <c r="AO18" s="108">
        <f t="shared" ref="AO18" si="185">IF(AND(AN9&lt;&gt;"",AO9&lt;&gt;AN9),+AN18*(1+AO17),AN18)</f>
        <v>1.0609</v>
      </c>
      <c r="AP18" s="108">
        <f t="shared" ref="AP18" si="186">IF(AND(AO9&lt;&gt;"",AP9&lt;&gt;AO9),+AO18*(1+AP17),AO18)</f>
        <v>1.0874225</v>
      </c>
      <c r="AQ18" s="108">
        <f t="shared" ref="AQ18" si="187">IF(AND(AP9&lt;&gt;"",AQ9&lt;&gt;AP9),+AP18*(1+AQ17),AP18)</f>
        <v>1.0874225</v>
      </c>
      <c r="AR18" s="108">
        <f t="shared" ref="AR18" si="188">IF(AND(AQ9&lt;&gt;"",AR9&lt;&gt;AQ9),+AQ18*(1+AR17),AQ18)</f>
        <v>1.0874225</v>
      </c>
      <c r="AS18" s="108">
        <f t="shared" ref="AS18" si="189">IF(AND(AR9&lt;&gt;"",AS9&lt;&gt;AR9),+AR18*(1+AS17),AR18)</f>
        <v>1.0874225</v>
      </c>
      <c r="AT18" s="108">
        <f t="shared" ref="AT18" si="190">IF(AND(AS9&lt;&gt;"",AT9&lt;&gt;AS9),+AS18*(1+AT17),AS18)</f>
        <v>1.0874225</v>
      </c>
      <c r="AU18" s="108">
        <f t="shared" ref="AU18" si="191">IF(AND(AT9&lt;&gt;"",AU9&lt;&gt;AT9),+AT18*(1+AU17),AT18)</f>
        <v>1.0874225</v>
      </c>
      <c r="AV18" s="108">
        <f t="shared" ref="AV18" si="192">IF(AND(AU9&lt;&gt;"",AV9&lt;&gt;AU9),+AU18*(1+AV17),AU18)</f>
        <v>1.0874225</v>
      </c>
      <c r="AW18" s="108">
        <f t="shared" ref="AW18" si="193">IF(AND(AV9&lt;&gt;"",AW9&lt;&gt;AV9),+AV18*(1+AW17),AV18)</f>
        <v>1.0874225</v>
      </c>
      <c r="AX18" s="108">
        <f t="shared" ref="AX18" si="194">IF(AND(AW9&lt;&gt;"",AX9&lt;&gt;AW9),+AW18*(1+AX17),AW18)</f>
        <v>1.0874225</v>
      </c>
      <c r="AY18" s="108">
        <f t="shared" ref="AY18" si="195">IF(AND(AX9&lt;&gt;"",AY9&lt;&gt;AX9),+AX18*(1+AY17),AX18)</f>
        <v>1.0874225</v>
      </c>
      <c r="AZ18" s="108">
        <f t="shared" ref="AZ18" si="196">IF(AND(AY9&lt;&gt;"",AZ9&lt;&gt;AY9),+AY18*(1+AZ17),AY18)</f>
        <v>1.0874225</v>
      </c>
      <c r="BA18" s="108">
        <f t="shared" ref="BA18" si="197">IF(AND(AZ9&lt;&gt;"",BA9&lt;&gt;AZ9),+AZ18*(1+BA17),AZ18)</f>
        <v>1.0874225</v>
      </c>
      <c r="BB18" s="108">
        <f t="shared" ref="BB18" si="198">IF(AND(BA9&lt;&gt;"",BB9&lt;&gt;BA9),+BA18*(1+BB17),BA18)</f>
        <v>1.1146080624999999</v>
      </c>
      <c r="BC18" s="108">
        <f t="shared" ref="BC18" si="199">IF(AND(BB9&lt;&gt;"",BC9&lt;&gt;BB9),+BB18*(1+BC17),BB18)</f>
        <v>1.1146080624999999</v>
      </c>
      <c r="BD18" s="108">
        <f t="shared" ref="BD18" si="200">IF(AND(BC9&lt;&gt;"",BD9&lt;&gt;BC9),+BC18*(1+BD17),BC18)</f>
        <v>1.1146080624999999</v>
      </c>
      <c r="BE18" s="108">
        <f t="shared" ref="BE18" si="201">IF(AND(BD9&lt;&gt;"",BE9&lt;&gt;BD9),+BD18*(1+BE17),BD18)</f>
        <v>1.1146080624999999</v>
      </c>
      <c r="BF18" s="108">
        <f t="shared" ref="BF18" si="202">IF(AND(BE9&lt;&gt;"",BF9&lt;&gt;BE9),+BE18*(1+BF17),BE18)</f>
        <v>1.1146080624999999</v>
      </c>
      <c r="BG18" s="108">
        <f t="shared" ref="BG18" si="203">IF(AND(BF9&lt;&gt;"",BG9&lt;&gt;BF9),+BF18*(1+BG17),BF18)</f>
        <v>1.1146080624999999</v>
      </c>
      <c r="BH18" s="108">
        <f t="shared" ref="BH18" si="204">IF(AND(BG9&lt;&gt;"",BH9&lt;&gt;BG9),+BG18*(1+BH17),BG18)</f>
        <v>1.1146080624999999</v>
      </c>
      <c r="BI18" s="108">
        <f t="shared" ref="BI18" si="205">IF(AND(BH9&lt;&gt;"",BI9&lt;&gt;BH9),+BH18*(1+BI17),BH18)</f>
        <v>1.1146080624999999</v>
      </c>
      <c r="BJ18" s="108">
        <f t="shared" ref="BJ18" si="206">IF(AND(BI9&lt;&gt;"",BJ9&lt;&gt;BI9),+BI18*(1+BJ17),BI18)</f>
        <v>1.1146080624999999</v>
      </c>
      <c r="BK18" s="108">
        <f t="shared" ref="BK18" si="207">IF(AND(BJ9&lt;&gt;"",BK9&lt;&gt;BJ9),+BJ18*(1+BK17),BJ18)</f>
        <v>1.1146080624999999</v>
      </c>
      <c r="BL18" s="108">
        <f t="shared" ref="BL18" si="208">IF(AND(BK9&lt;&gt;"",BL9&lt;&gt;BK9),+BK18*(1+BL17),BK18)</f>
        <v>1.1146080624999999</v>
      </c>
      <c r="BM18" s="108">
        <f t="shared" ref="BM18" si="209">IF(AND(BL9&lt;&gt;"",BM9&lt;&gt;BL9),+BL18*(1+BM17),BL18)</f>
        <v>1.1146080624999999</v>
      </c>
      <c r="BN18" s="108">
        <f t="shared" ref="BN18" si="210">IF(AND(BM9&lt;&gt;"",BN9&lt;&gt;BM9),+BM18*(1+BN17),BM18)</f>
        <v>1.1369002237499999</v>
      </c>
      <c r="BO18" s="108">
        <f t="shared" ref="BO18" si="211">IF(AND(BN9&lt;&gt;"",BO9&lt;&gt;BN9),+BN18*(1+BO17),BN18)</f>
        <v>1.1369002237499999</v>
      </c>
      <c r="BP18" s="108">
        <f t="shared" ref="BP18" si="212">IF(AND(BO9&lt;&gt;"",BP9&lt;&gt;BO9),+BO18*(1+BP17),BO18)</f>
        <v>1.1369002237499999</v>
      </c>
      <c r="BQ18" s="108">
        <f t="shared" ref="BQ18" si="213">IF(AND(BP9&lt;&gt;"",BQ9&lt;&gt;BP9),+BP18*(1+BQ17),BP18)</f>
        <v>1.1369002237499999</v>
      </c>
      <c r="BR18" s="108">
        <f t="shared" ref="BR18" si="214">IF(AND(BQ9&lt;&gt;"",BR9&lt;&gt;BQ9),+BQ18*(1+BR17),BQ18)</f>
        <v>1.1369002237499999</v>
      </c>
      <c r="BS18" s="108">
        <f t="shared" ref="BS18" si="215">IF(AND(BR9&lt;&gt;"",BS9&lt;&gt;BR9),+BR18*(1+BS17),BR18)</f>
        <v>1.1369002237499999</v>
      </c>
      <c r="BT18" s="108">
        <f t="shared" ref="BT18" si="216">IF(AND(BS9&lt;&gt;"",BT9&lt;&gt;BS9),+BS18*(1+BT17),BS18)</f>
        <v>1.1369002237499999</v>
      </c>
      <c r="BU18" s="108">
        <f t="shared" ref="BU18" si="217">IF(AND(BT9&lt;&gt;"",BU9&lt;&gt;BT9),+BT18*(1+BU17),BT18)</f>
        <v>1.1369002237499999</v>
      </c>
      <c r="BV18" s="108">
        <f t="shared" ref="BV18" si="218">IF(AND(BU9&lt;&gt;"",BV9&lt;&gt;BU9),+BU18*(1+BV17),BU18)</f>
        <v>1.1369002237499999</v>
      </c>
      <c r="BW18" s="108">
        <f t="shared" ref="BW18" si="219">IF(AND(BV9&lt;&gt;"",BW9&lt;&gt;BV9),+BV18*(1+BW17),BV18)</f>
        <v>1.1369002237499999</v>
      </c>
      <c r="BX18" s="108">
        <f t="shared" ref="BX18" si="220">IF(AND(BW9&lt;&gt;"",BX9&lt;&gt;BW9),+BW18*(1+BX17),BW18)</f>
        <v>1.1369002237499999</v>
      </c>
      <c r="BY18" s="108">
        <f t="shared" ref="BY18" si="221">IF(AND(BX9&lt;&gt;"",BY9&lt;&gt;BX9),+BX18*(1+BY17),BX18)</f>
        <v>1.1369002237499999</v>
      </c>
    </row>
    <row r="19" spans="2:77" outlineLevel="1" x14ac:dyDescent="0.25">
      <c r="E19" s="299"/>
    </row>
    <row r="20" spans="2:77" customFormat="1" outlineLevel="1" x14ac:dyDescent="0.25">
      <c r="B20" s="1"/>
      <c r="C20" s="46" t="s">
        <v>32</v>
      </c>
      <c r="D20" s="47"/>
      <c r="E20" s="48"/>
      <c r="F20" s="48"/>
      <c r="G20" s="48"/>
      <c r="H20" s="48"/>
      <c r="I20" s="48"/>
      <c r="J20" s="48"/>
      <c r="K20" s="48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</row>
    <row r="21" spans="2:77" customFormat="1" outlineLevel="1" x14ac:dyDescent="0.25">
      <c r="B21" s="1"/>
      <c r="C21" s="74" t="s">
        <v>289</v>
      </c>
      <c r="D21" s="53" t="s">
        <v>12</v>
      </c>
      <c r="E21" s="15" t="s">
        <v>294</v>
      </c>
      <c r="F21" s="1"/>
      <c r="G21" s="1"/>
      <c r="H21" s="1"/>
      <c r="I21" s="1"/>
      <c r="J21" s="1"/>
      <c r="P21" s="92"/>
      <c r="Q21" s="92"/>
      <c r="R21" s="92"/>
      <c r="S21" s="92"/>
      <c r="T21" s="92"/>
      <c r="U21" s="92"/>
      <c r="V21" s="92"/>
      <c r="W21" s="92"/>
      <c r="X21" s="92"/>
      <c r="Y21" s="92"/>
    </row>
    <row r="22" spans="2:77" customFormat="1" outlineLevel="1" x14ac:dyDescent="0.25">
      <c r="B22" s="1"/>
      <c r="C22" s="74" t="s">
        <v>114</v>
      </c>
      <c r="D22" s="53" t="s">
        <v>16</v>
      </c>
      <c r="E22" s="11">
        <v>0.25</v>
      </c>
      <c r="F22" s="1"/>
      <c r="G22" s="1"/>
      <c r="H22" s="1"/>
      <c r="I22" s="1"/>
      <c r="J22" s="1"/>
      <c r="P22" s="92"/>
      <c r="Q22" s="92"/>
      <c r="R22" s="92"/>
      <c r="S22" s="92"/>
      <c r="T22" s="92"/>
      <c r="U22" s="92"/>
      <c r="V22" s="92"/>
      <c r="W22" s="92"/>
      <c r="X22" s="92"/>
      <c r="Y22" s="92"/>
    </row>
    <row r="23" spans="2:77" customFormat="1" outlineLevel="1" x14ac:dyDescent="0.25">
      <c r="B23" s="1"/>
      <c r="C23" s="50" t="s">
        <v>115</v>
      </c>
      <c r="D23" s="55" t="s">
        <v>22</v>
      </c>
      <c r="E23" s="146">
        <f>+E22*Rentable_Sq_Ft</f>
        <v>13725</v>
      </c>
      <c r="F23" s="1"/>
      <c r="G23" s="1"/>
      <c r="H23" s="1"/>
      <c r="I23" s="1"/>
      <c r="J23" s="1"/>
    </row>
    <row r="24" spans="2:77" customFormat="1" outlineLevel="1" x14ac:dyDescent="0.25">
      <c r="B24" s="1"/>
      <c r="C24" s="50" t="s">
        <v>39</v>
      </c>
      <c r="D24" s="36" t="s">
        <v>13</v>
      </c>
      <c r="E24" s="14">
        <v>42308</v>
      </c>
      <c r="F24" s="1"/>
      <c r="G24" s="1"/>
      <c r="H24" s="1"/>
      <c r="I24" s="1"/>
      <c r="J24" s="1"/>
    </row>
    <row r="25" spans="2:77" customFormat="1" outlineLevel="1" x14ac:dyDescent="0.25">
      <c r="B25" s="1"/>
      <c r="C25" s="50" t="s">
        <v>55</v>
      </c>
      <c r="D25" s="36" t="s">
        <v>17</v>
      </c>
      <c r="E25" s="51">
        <v>5</v>
      </c>
      <c r="F25" s="1"/>
      <c r="G25" s="1"/>
      <c r="H25" s="1"/>
      <c r="I25" s="1"/>
      <c r="J25" s="1"/>
    </row>
    <row r="26" spans="2:77" customFormat="1" outlineLevel="1" x14ac:dyDescent="0.25">
      <c r="B26" s="1"/>
      <c r="C26" s="50" t="s">
        <v>23</v>
      </c>
      <c r="D26" s="36" t="s">
        <v>13</v>
      </c>
      <c r="E26" s="102">
        <f>EOMONTH(E24,E25*Months)</f>
        <v>44135</v>
      </c>
      <c r="F26" s="1"/>
      <c r="G26" s="1"/>
      <c r="H26" s="1"/>
      <c r="I26" s="1"/>
      <c r="J26" s="1"/>
    </row>
    <row r="27" spans="2:77" customFormat="1" outlineLevel="1" x14ac:dyDescent="0.25">
      <c r="B27" s="1"/>
      <c r="C27" s="74" t="s">
        <v>263</v>
      </c>
      <c r="D27" s="38" t="s">
        <v>16</v>
      </c>
      <c r="E27" s="128">
        <v>2.5000000000000001E-2</v>
      </c>
      <c r="F27" s="105">
        <f>IF(AND(E$5&gt;$E24,F$5&lt;$E26,MONTH(E$5)=MONTH($E24)),$E27,0)</f>
        <v>0</v>
      </c>
      <c r="G27" s="105">
        <f t="shared" ref="G27:BR27" si="222">IF(AND(F$5&gt;$E24,G$5&lt;$E26,MONTH(F$5)=MONTH($E24)),$E27,0)</f>
        <v>0</v>
      </c>
      <c r="H27" s="105">
        <f t="shared" si="222"/>
        <v>0</v>
      </c>
      <c r="I27" s="105">
        <f t="shared" si="222"/>
        <v>0</v>
      </c>
      <c r="J27" s="105">
        <f t="shared" si="222"/>
        <v>0</v>
      </c>
      <c r="K27" s="105">
        <f t="shared" si="222"/>
        <v>0</v>
      </c>
      <c r="L27" s="105">
        <f t="shared" si="222"/>
        <v>0</v>
      </c>
      <c r="M27" s="105">
        <f t="shared" si="222"/>
        <v>0</v>
      </c>
      <c r="N27" s="105">
        <f t="shared" si="222"/>
        <v>0</v>
      </c>
      <c r="O27" s="105">
        <f t="shared" si="222"/>
        <v>0</v>
      </c>
      <c r="P27" s="105">
        <f t="shared" si="222"/>
        <v>2.5000000000000001E-2</v>
      </c>
      <c r="Q27" s="105">
        <f t="shared" si="222"/>
        <v>0</v>
      </c>
      <c r="R27" s="105">
        <f t="shared" si="222"/>
        <v>0</v>
      </c>
      <c r="S27" s="105">
        <f t="shared" si="222"/>
        <v>0</v>
      </c>
      <c r="T27" s="105">
        <f t="shared" si="222"/>
        <v>0</v>
      </c>
      <c r="U27" s="105">
        <f t="shared" si="222"/>
        <v>0</v>
      </c>
      <c r="V27" s="105">
        <f t="shared" si="222"/>
        <v>0</v>
      </c>
      <c r="W27" s="105">
        <f t="shared" si="222"/>
        <v>0</v>
      </c>
      <c r="X27" s="105">
        <f t="shared" si="222"/>
        <v>0</v>
      </c>
      <c r="Y27" s="105">
        <f t="shared" si="222"/>
        <v>0</v>
      </c>
      <c r="Z27" s="105">
        <f t="shared" si="222"/>
        <v>0</v>
      </c>
      <c r="AA27" s="105">
        <f t="shared" si="222"/>
        <v>0</v>
      </c>
      <c r="AB27" s="105">
        <f t="shared" si="222"/>
        <v>2.5000000000000001E-2</v>
      </c>
      <c r="AC27" s="105">
        <f t="shared" si="222"/>
        <v>0</v>
      </c>
      <c r="AD27" s="105">
        <f t="shared" si="222"/>
        <v>0</v>
      </c>
      <c r="AE27" s="105">
        <f t="shared" si="222"/>
        <v>0</v>
      </c>
      <c r="AF27" s="105">
        <f t="shared" si="222"/>
        <v>0</v>
      </c>
      <c r="AG27" s="105">
        <f t="shared" si="222"/>
        <v>0</v>
      </c>
      <c r="AH27" s="105">
        <f t="shared" si="222"/>
        <v>0</v>
      </c>
      <c r="AI27" s="105">
        <f t="shared" si="222"/>
        <v>0</v>
      </c>
      <c r="AJ27" s="105">
        <f t="shared" si="222"/>
        <v>0</v>
      </c>
      <c r="AK27" s="105">
        <f t="shared" si="222"/>
        <v>0</v>
      </c>
      <c r="AL27" s="105">
        <f t="shared" si="222"/>
        <v>0</v>
      </c>
      <c r="AM27" s="105">
        <f t="shared" si="222"/>
        <v>0</v>
      </c>
      <c r="AN27" s="105">
        <f t="shared" si="222"/>
        <v>0</v>
      </c>
      <c r="AO27" s="105">
        <f t="shared" si="222"/>
        <v>0</v>
      </c>
      <c r="AP27" s="105">
        <f t="shared" si="222"/>
        <v>0</v>
      </c>
      <c r="AQ27" s="105">
        <f t="shared" si="222"/>
        <v>0</v>
      </c>
      <c r="AR27" s="105">
        <f t="shared" si="222"/>
        <v>0</v>
      </c>
      <c r="AS27" s="105">
        <f t="shared" si="222"/>
        <v>0</v>
      </c>
      <c r="AT27" s="105">
        <f t="shared" si="222"/>
        <v>0</v>
      </c>
      <c r="AU27" s="105">
        <f t="shared" si="222"/>
        <v>0</v>
      </c>
      <c r="AV27" s="105">
        <f t="shared" si="222"/>
        <v>0</v>
      </c>
      <c r="AW27" s="105">
        <f t="shared" si="222"/>
        <v>0</v>
      </c>
      <c r="AX27" s="105">
        <f t="shared" si="222"/>
        <v>0</v>
      </c>
      <c r="AY27" s="105">
        <f t="shared" si="222"/>
        <v>0</v>
      </c>
      <c r="AZ27" s="105">
        <f t="shared" si="222"/>
        <v>0</v>
      </c>
      <c r="BA27" s="105">
        <f t="shared" si="222"/>
        <v>0</v>
      </c>
      <c r="BB27" s="105">
        <f t="shared" si="222"/>
        <v>0</v>
      </c>
      <c r="BC27" s="105">
        <f t="shared" si="222"/>
        <v>0</v>
      </c>
      <c r="BD27" s="105">
        <f t="shared" si="222"/>
        <v>0</v>
      </c>
      <c r="BE27" s="105">
        <f t="shared" si="222"/>
        <v>0</v>
      </c>
      <c r="BF27" s="105">
        <f t="shared" si="222"/>
        <v>0</v>
      </c>
      <c r="BG27" s="105">
        <f t="shared" si="222"/>
        <v>0</v>
      </c>
      <c r="BH27" s="105">
        <f t="shared" si="222"/>
        <v>0</v>
      </c>
      <c r="BI27" s="105">
        <f t="shared" si="222"/>
        <v>0</v>
      </c>
      <c r="BJ27" s="105">
        <f t="shared" si="222"/>
        <v>0</v>
      </c>
      <c r="BK27" s="105">
        <f t="shared" si="222"/>
        <v>0</v>
      </c>
      <c r="BL27" s="105">
        <f t="shared" si="222"/>
        <v>0</v>
      </c>
      <c r="BM27" s="105">
        <f t="shared" si="222"/>
        <v>0</v>
      </c>
      <c r="BN27" s="105">
        <f t="shared" si="222"/>
        <v>0</v>
      </c>
      <c r="BO27" s="105">
        <f t="shared" si="222"/>
        <v>0</v>
      </c>
      <c r="BP27" s="105">
        <f t="shared" si="222"/>
        <v>0</v>
      </c>
      <c r="BQ27" s="105">
        <f t="shared" si="222"/>
        <v>0</v>
      </c>
      <c r="BR27" s="105">
        <f t="shared" si="222"/>
        <v>0</v>
      </c>
      <c r="BS27" s="105">
        <f t="shared" ref="BS27:BY27" si="223">IF(AND(BR$5&gt;$E24,BS$5&lt;$E26,MONTH(BR$5)=MONTH($E24)),$E27,0)</f>
        <v>0</v>
      </c>
      <c r="BT27" s="105">
        <f t="shared" si="223"/>
        <v>0</v>
      </c>
      <c r="BU27" s="105">
        <f t="shared" si="223"/>
        <v>0</v>
      </c>
      <c r="BV27" s="105">
        <f t="shared" si="223"/>
        <v>0</v>
      </c>
      <c r="BW27" s="105">
        <f t="shared" si="223"/>
        <v>0</v>
      </c>
      <c r="BX27" s="105">
        <f t="shared" si="223"/>
        <v>0</v>
      </c>
      <c r="BY27" s="105">
        <f t="shared" si="223"/>
        <v>0</v>
      </c>
    </row>
    <row r="28" spans="2:77" customFormat="1" outlineLevel="1" x14ac:dyDescent="0.25">
      <c r="B28" s="1"/>
      <c r="C28" s="74" t="s">
        <v>264</v>
      </c>
      <c r="D28" s="36" t="s">
        <v>19</v>
      </c>
      <c r="E28" s="51">
        <v>6</v>
      </c>
      <c r="F28" s="1"/>
      <c r="G28" s="1"/>
      <c r="H28" s="1"/>
      <c r="I28" s="1"/>
      <c r="J28" s="1"/>
      <c r="AP28" s="62"/>
    </row>
    <row r="29" spans="2:77" customFormat="1" outlineLevel="1" x14ac:dyDescent="0.25">
      <c r="B29" s="1"/>
      <c r="C29" s="44"/>
      <c r="D29" s="56"/>
      <c r="E29" s="285"/>
      <c r="F29" s="1"/>
      <c r="G29" s="1"/>
      <c r="H29" s="1"/>
      <c r="I29" s="1"/>
      <c r="J29" s="1"/>
      <c r="AP29" s="62"/>
    </row>
    <row r="30" spans="2:77" customFormat="1" outlineLevel="1" x14ac:dyDescent="0.25">
      <c r="B30" s="1"/>
      <c r="C30" s="74" t="s">
        <v>265</v>
      </c>
      <c r="D30" s="36" t="s">
        <v>13</v>
      </c>
      <c r="E30" s="145">
        <f>E26</f>
        <v>44135</v>
      </c>
      <c r="F30" s="1"/>
      <c r="G30" s="1"/>
      <c r="H30" s="1"/>
      <c r="I30" s="1"/>
      <c r="J30" s="1"/>
      <c r="AP30" s="62"/>
    </row>
    <row r="31" spans="2:77" customFormat="1" outlineLevel="1" x14ac:dyDescent="0.25">
      <c r="B31" s="1"/>
      <c r="C31" s="74" t="s">
        <v>266</v>
      </c>
      <c r="D31" s="36" t="s">
        <v>17</v>
      </c>
      <c r="E31" s="295">
        <f>New_Lease_Years</f>
        <v>5</v>
      </c>
      <c r="F31" s="1"/>
      <c r="G31" s="1"/>
      <c r="H31" s="1"/>
      <c r="I31" s="1"/>
      <c r="J31" s="1"/>
      <c r="AP31" s="62"/>
    </row>
    <row r="32" spans="2:77" customFormat="1" outlineLevel="1" x14ac:dyDescent="0.25">
      <c r="B32" s="1"/>
      <c r="C32" s="50" t="s">
        <v>267</v>
      </c>
      <c r="D32" s="36" t="s">
        <v>13</v>
      </c>
      <c r="E32" s="145">
        <f>EOMONTH(E30,E31*Months)</f>
        <v>45961</v>
      </c>
      <c r="F32" s="1"/>
      <c r="G32" s="1"/>
      <c r="H32" s="1"/>
      <c r="I32" s="1"/>
      <c r="J32" s="1"/>
      <c r="AP32" s="62"/>
    </row>
    <row r="33" spans="2:77" customFormat="1" outlineLevel="1" x14ac:dyDescent="0.25">
      <c r="B33" s="1"/>
      <c r="C33" s="74" t="s">
        <v>268</v>
      </c>
      <c r="D33" s="38" t="s">
        <v>16</v>
      </c>
      <c r="E33" s="105">
        <f>INDEX(Annual!$F$65:$K$92,16,INDEX(Monthly!$F$5:$BY$9,5,MATCH(E30,$F$5:$BY$5,0)))</f>
        <v>2.5000000000000001E-2</v>
      </c>
      <c r="F33" s="105">
        <f>IF(AND(E$5&gt;$E30,F$5&lt;$E32,MONTH(E$5)=MONTH($E30)),$E33,0)</f>
        <v>0</v>
      </c>
      <c r="G33" s="105">
        <f t="shared" ref="G33:BR33" si="224">IF(AND(F$5&gt;$E30,G$5&lt;$E32,MONTH(F$5)=MONTH($E30)),$E33,0)</f>
        <v>0</v>
      </c>
      <c r="H33" s="105">
        <f t="shared" si="224"/>
        <v>0</v>
      </c>
      <c r="I33" s="105">
        <f t="shared" si="224"/>
        <v>0</v>
      </c>
      <c r="J33" s="105">
        <f t="shared" si="224"/>
        <v>0</v>
      </c>
      <c r="K33" s="105">
        <f t="shared" si="224"/>
        <v>0</v>
      </c>
      <c r="L33" s="105">
        <f t="shared" si="224"/>
        <v>0</v>
      </c>
      <c r="M33" s="105">
        <f t="shared" si="224"/>
        <v>0</v>
      </c>
      <c r="N33" s="105">
        <f t="shared" si="224"/>
        <v>0</v>
      </c>
      <c r="O33" s="105">
        <f t="shared" si="224"/>
        <v>0</v>
      </c>
      <c r="P33" s="105">
        <f t="shared" si="224"/>
        <v>0</v>
      </c>
      <c r="Q33" s="105">
        <f t="shared" si="224"/>
        <v>0</v>
      </c>
      <c r="R33" s="105">
        <f t="shared" si="224"/>
        <v>0</v>
      </c>
      <c r="S33" s="105">
        <f t="shared" si="224"/>
        <v>0</v>
      </c>
      <c r="T33" s="105">
        <f t="shared" si="224"/>
        <v>0</v>
      </c>
      <c r="U33" s="105">
        <f t="shared" si="224"/>
        <v>0</v>
      </c>
      <c r="V33" s="105">
        <f t="shared" si="224"/>
        <v>0</v>
      </c>
      <c r="W33" s="105">
        <f t="shared" si="224"/>
        <v>0</v>
      </c>
      <c r="X33" s="105">
        <f t="shared" si="224"/>
        <v>0</v>
      </c>
      <c r="Y33" s="105">
        <f t="shared" si="224"/>
        <v>0</v>
      </c>
      <c r="Z33" s="105">
        <f t="shared" si="224"/>
        <v>0</v>
      </c>
      <c r="AA33" s="105">
        <f t="shared" si="224"/>
        <v>0</v>
      </c>
      <c r="AB33" s="105">
        <f t="shared" si="224"/>
        <v>0</v>
      </c>
      <c r="AC33" s="105">
        <f t="shared" si="224"/>
        <v>0</v>
      </c>
      <c r="AD33" s="105">
        <f t="shared" si="224"/>
        <v>0</v>
      </c>
      <c r="AE33" s="105">
        <f t="shared" si="224"/>
        <v>0</v>
      </c>
      <c r="AF33" s="105">
        <f t="shared" si="224"/>
        <v>0</v>
      </c>
      <c r="AG33" s="105">
        <f t="shared" si="224"/>
        <v>0</v>
      </c>
      <c r="AH33" s="105">
        <f t="shared" si="224"/>
        <v>0</v>
      </c>
      <c r="AI33" s="105">
        <f t="shared" si="224"/>
        <v>0</v>
      </c>
      <c r="AJ33" s="105">
        <f t="shared" si="224"/>
        <v>0</v>
      </c>
      <c r="AK33" s="105">
        <f t="shared" si="224"/>
        <v>0</v>
      </c>
      <c r="AL33" s="105">
        <f t="shared" si="224"/>
        <v>0</v>
      </c>
      <c r="AM33" s="105">
        <f t="shared" si="224"/>
        <v>0</v>
      </c>
      <c r="AN33" s="105">
        <f t="shared" si="224"/>
        <v>0</v>
      </c>
      <c r="AO33" s="105">
        <f t="shared" si="224"/>
        <v>0</v>
      </c>
      <c r="AP33" s="105">
        <f t="shared" si="224"/>
        <v>0</v>
      </c>
      <c r="AQ33" s="105">
        <f t="shared" si="224"/>
        <v>0</v>
      </c>
      <c r="AR33" s="105">
        <f t="shared" si="224"/>
        <v>0</v>
      </c>
      <c r="AS33" s="105">
        <f t="shared" si="224"/>
        <v>0</v>
      </c>
      <c r="AT33" s="105">
        <f t="shared" si="224"/>
        <v>0</v>
      </c>
      <c r="AU33" s="105">
        <f t="shared" si="224"/>
        <v>0</v>
      </c>
      <c r="AV33" s="105">
        <f t="shared" si="224"/>
        <v>0</v>
      </c>
      <c r="AW33" s="105">
        <f t="shared" si="224"/>
        <v>0</v>
      </c>
      <c r="AX33" s="105">
        <f t="shared" si="224"/>
        <v>0</v>
      </c>
      <c r="AY33" s="105">
        <f t="shared" si="224"/>
        <v>0</v>
      </c>
      <c r="AZ33" s="105">
        <f t="shared" si="224"/>
        <v>2.5000000000000001E-2</v>
      </c>
      <c r="BA33" s="105">
        <f t="shared" si="224"/>
        <v>0</v>
      </c>
      <c r="BB33" s="105">
        <f t="shared" si="224"/>
        <v>0</v>
      </c>
      <c r="BC33" s="105">
        <f t="shared" si="224"/>
        <v>0</v>
      </c>
      <c r="BD33" s="105">
        <f t="shared" si="224"/>
        <v>0</v>
      </c>
      <c r="BE33" s="105">
        <f t="shared" si="224"/>
        <v>0</v>
      </c>
      <c r="BF33" s="105">
        <f t="shared" si="224"/>
        <v>0</v>
      </c>
      <c r="BG33" s="105">
        <f t="shared" si="224"/>
        <v>0</v>
      </c>
      <c r="BH33" s="105">
        <f t="shared" si="224"/>
        <v>0</v>
      </c>
      <c r="BI33" s="105">
        <f t="shared" si="224"/>
        <v>0</v>
      </c>
      <c r="BJ33" s="105">
        <f t="shared" si="224"/>
        <v>0</v>
      </c>
      <c r="BK33" s="105">
        <f t="shared" si="224"/>
        <v>0</v>
      </c>
      <c r="BL33" s="105">
        <f t="shared" si="224"/>
        <v>2.5000000000000001E-2</v>
      </c>
      <c r="BM33" s="105">
        <f t="shared" si="224"/>
        <v>0</v>
      </c>
      <c r="BN33" s="105">
        <f t="shared" si="224"/>
        <v>0</v>
      </c>
      <c r="BO33" s="105">
        <f t="shared" si="224"/>
        <v>0</v>
      </c>
      <c r="BP33" s="105">
        <f t="shared" si="224"/>
        <v>0</v>
      </c>
      <c r="BQ33" s="105">
        <f t="shared" si="224"/>
        <v>0</v>
      </c>
      <c r="BR33" s="105">
        <f t="shared" si="224"/>
        <v>0</v>
      </c>
      <c r="BS33" s="105">
        <f t="shared" ref="BS33:BY33" si="225">IF(AND(BR$5&gt;$E30,BS$5&lt;$E32,MONTH(BR$5)=MONTH($E30)),$E33,0)</f>
        <v>0</v>
      </c>
      <c r="BT33" s="105">
        <f t="shared" si="225"/>
        <v>0</v>
      </c>
      <c r="BU33" s="105">
        <f t="shared" si="225"/>
        <v>0</v>
      </c>
      <c r="BV33" s="105">
        <f t="shared" si="225"/>
        <v>0</v>
      </c>
      <c r="BW33" s="105">
        <f t="shared" si="225"/>
        <v>0</v>
      </c>
      <c r="BX33" s="105">
        <f t="shared" si="225"/>
        <v>2.5000000000000001E-2</v>
      </c>
      <c r="BY33" s="105">
        <f t="shared" si="225"/>
        <v>0</v>
      </c>
    </row>
    <row r="34" spans="2:77" customFormat="1" outlineLevel="1" x14ac:dyDescent="0.25">
      <c r="B34" s="1"/>
      <c r="C34" s="44"/>
      <c r="D34" s="56"/>
      <c r="E34" s="1"/>
      <c r="F34" s="1"/>
      <c r="G34" s="1"/>
      <c r="H34" s="1"/>
      <c r="I34" s="1"/>
      <c r="J34" s="1"/>
      <c r="AP34" s="62"/>
    </row>
    <row r="35" spans="2:77" customFormat="1" outlineLevel="1" x14ac:dyDescent="0.25">
      <c r="B35" s="1"/>
      <c r="C35" s="74" t="s">
        <v>269</v>
      </c>
      <c r="D35" s="36" t="s">
        <v>13</v>
      </c>
      <c r="E35" s="145">
        <f>EOMONTH(E26,Down_Months)</f>
        <v>44316</v>
      </c>
      <c r="F35" s="1"/>
      <c r="G35" s="1"/>
      <c r="H35" s="1"/>
      <c r="I35" s="1"/>
      <c r="J35" s="1"/>
      <c r="AP35" s="62"/>
    </row>
    <row r="36" spans="2:77" customFormat="1" outlineLevel="1" x14ac:dyDescent="0.25">
      <c r="B36" s="1"/>
      <c r="C36" s="74" t="s">
        <v>270</v>
      </c>
      <c r="D36" s="36" t="s">
        <v>17</v>
      </c>
      <c r="E36" s="295">
        <f>New_Lease_Years</f>
        <v>5</v>
      </c>
      <c r="F36" s="1"/>
      <c r="G36" s="1"/>
      <c r="H36" s="1"/>
      <c r="I36" s="1"/>
      <c r="J36" s="1"/>
      <c r="AP36" s="62"/>
    </row>
    <row r="37" spans="2:77" customFormat="1" outlineLevel="1" x14ac:dyDescent="0.25">
      <c r="B37" s="1"/>
      <c r="C37" s="50" t="s">
        <v>271</v>
      </c>
      <c r="D37" s="36" t="s">
        <v>13</v>
      </c>
      <c r="E37" s="145">
        <f>EOMONTH(E35,E36*Months)</f>
        <v>46142</v>
      </c>
      <c r="F37" s="1"/>
      <c r="G37" s="1"/>
      <c r="H37" s="1"/>
      <c r="I37" s="1"/>
      <c r="J37" s="1"/>
      <c r="AP37" s="62"/>
    </row>
    <row r="38" spans="2:77" customFormat="1" outlineLevel="1" x14ac:dyDescent="0.25">
      <c r="B38" s="1"/>
      <c r="C38" s="74" t="s">
        <v>272</v>
      </c>
      <c r="D38" s="38" t="s">
        <v>16</v>
      </c>
      <c r="E38" s="105">
        <f>INDEX(Annual!$F$65:$K$92,16,INDEX(Monthly!$F$5:$BY$9,5,MATCH(E35,$F$5:$BY$5,0)))</f>
        <v>2.5000000000000001E-2</v>
      </c>
      <c r="F38" s="105">
        <f>IF(AND(E$5&gt;$E35,F$5&lt;$E37,MONTH(E$5)=MONTH($E35)),$E38,0)</f>
        <v>0</v>
      </c>
      <c r="G38" s="105">
        <f t="shared" ref="G38:BR38" si="226">IF(AND(F$5&gt;$E35,G$5&lt;$E37,MONTH(F$5)=MONTH($E35)),$E38,0)</f>
        <v>0</v>
      </c>
      <c r="H38" s="105">
        <f t="shared" si="226"/>
        <v>0</v>
      </c>
      <c r="I38" s="105">
        <f t="shared" si="226"/>
        <v>0</v>
      </c>
      <c r="J38" s="105">
        <f t="shared" si="226"/>
        <v>0</v>
      </c>
      <c r="K38" s="105">
        <f t="shared" si="226"/>
        <v>0</v>
      </c>
      <c r="L38" s="105">
        <f t="shared" si="226"/>
        <v>0</v>
      </c>
      <c r="M38" s="105">
        <f t="shared" si="226"/>
        <v>0</v>
      </c>
      <c r="N38" s="105">
        <f t="shared" si="226"/>
        <v>0</v>
      </c>
      <c r="O38" s="105">
        <f t="shared" si="226"/>
        <v>0</v>
      </c>
      <c r="P38" s="105">
        <f t="shared" si="226"/>
        <v>0</v>
      </c>
      <c r="Q38" s="105">
        <f t="shared" si="226"/>
        <v>0</v>
      </c>
      <c r="R38" s="105">
        <f t="shared" si="226"/>
        <v>0</v>
      </c>
      <c r="S38" s="105">
        <f t="shared" si="226"/>
        <v>0</v>
      </c>
      <c r="T38" s="105">
        <f t="shared" si="226"/>
        <v>0</v>
      </c>
      <c r="U38" s="105">
        <f t="shared" si="226"/>
        <v>0</v>
      </c>
      <c r="V38" s="105">
        <f t="shared" si="226"/>
        <v>0</v>
      </c>
      <c r="W38" s="105">
        <f t="shared" si="226"/>
        <v>0</v>
      </c>
      <c r="X38" s="105">
        <f t="shared" si="226"/>
        <v>0</v>
      </c>
      <c r="Y38" s="105">
        <f t="shared" si="226"/>
        <v>0</v>
      </c>
      <c r="Z38" s="105">
        <f t="shared" si="226"/>
        <v>0</v>
      </c>
      <c r="AA38" s="105">
        <f t="shared" si="226"/>
        <v>0</v>
      </c>
      <c r="AB38" s="105">
        <f t="shared" si="226"/>
        <v>0</v>
      </c>
      <c r="AC38" s="105">
        <f t="shared" si="226"/>
        <v>0</v>
      </c>
      <c r="AD38" s="105">
        <f t="shared" si="226"/>
        <v>0</v>
      </c>
      <c r="AE38" s="105">
        <f t="shared" si="226"/>
        <v>0</v>
      </c>
      <c r="AF38" s="105">
        <f t="shared" si="226"/>
        <v>0</v>
      </c>
      <c r="AG38" s="105">
        <f t="shared" si="226"/>
        <v>0</v>
      </c>
      <c r="AH38" s="105">
        <f t="shared" si="226"/>
        <v>0</v>
      </c>
      <c r="AI38" s="105">
        <f t="shared" si="226"/>
        <v>0</v>
      </c>
      <c r="AJ38" s="105">
        <f t="shared" si="226"/>
        <v>0</v>
      </c>
      <c r="AK38" s="105">
        <f t="shared" si="226"/>
        <v>0</v>
      </c>
      <c r="AL38" s="105">
        <f t="shared" si="226"/>
        <v>0</v>
      </c>
      <c r="AM38" s="105">
        <f t="shared" si="226"/>
        <v>0</v>
      </c>
      <c r="AN38" s="105">
        <f t="shared" si="226"/>
        <v>0</v>
      </c>
      <c r="AO38" s="105">
        <f t="shared" si="226"/>
        <v>0</v>
      </c>
      <c r="AP38" s="105">
        <f t="shared" si="226"/>
        <v>0</v>
      </c>
      <c r="AQ38" s="105">
        <f t="shared" si="226"/>
        <v>0</v>
      </c>
      <c r="AR38" s="105">
        <f t="shared" si="226"/>
        <v>0</v>
      </c>
      <c r="AS38" s="105">
        <f t="shared" si="226"/>
        <v>0</v>
      </c>
      <c r="AT38" s="105">
        <f t="shared" si="226"/>
        <v>0</v>
      </c>
      <c r="AU38" s="105">
        <f t="shared" si="226"/>
        <v>0</v>
      </c>
      <c r="AV38" s="105">
        <f t="shared" si="226"/>
        <v>0</v>
      </c>
      <c r="AW38" s="105">
        <f t="shared" si="226"/>
        <v>0</v>
      </c>
      <c r="AX38" s="105">
        <f t="shared" si="226"/>
        <v>0</v>
      </c>
      <c r="AY38" s="105">
        <f t="shared" si="226"/>
        <v>0</v>
      </c>
      <c r="AZ38" s="105">
        <f t="shared" si="226"/>
        <v>0</v>
      </c>
      <c r="BA38" s="105">
        <f t="shared" si="226"/>
        <v>0</v>
      </c>
      <c r="BB38" s="105">
        <f t="shared" si="226"/>
        <v>0</v>
      </c>
      <c r="BC38" s="105">
        <f t="shared" si="226"/>
        <v>0</v>
      </c>
      <c r="BD38" s="105">
        <f t="shared" si="226"/>
        <v>0</v>
      </c>
      <c r="BE38" s="105">
        <f t="shared" si="226"/>
        <v>0</v>
      </c>
      <c r="BF38" s="105">
        <f t="shared" si="226"/>
        <v>2.5000000000000001E-2</v>
      </c>
      <c r="BG38" s="105">
        <f t="shared" si="226"/>
        <v>0</v>
      </c>
      <c r="BH38" s="105">
        <f t="shared" si="226"/>
        <v>0</v>
      </c>
      <c r="BI38" s="105">
        <f t="shared" si="226"/>
        <v>0</v>
      </c>
      <c r="BJ38" s="105">
        <f t="shared" si="226"/>
        <v>0</v>
      </c>
      <c r="BK38" s="105">
        <f t="shared" si="226"/>
        <v>0</v>
      </c>
      <c r="BL38" s="105">
        <f t="shared" si="226"/>
        <v>0</v>
      </c>
      <c r="BM38" s="105">
        <f t="shared" si="226"/>
        <v>0</v>
      </c>
      <c r="BN38" s="105">
        <f t="shared" si="226"/>
        <v>0</v>
      </c>
      <c r="BO38" s="105">
        <f t="shared" si="226"/>
        <v>0</v>
      </c>
      <c r="BP38" s="105">
        <f t="shared" si="226"/>
        <v>0</v>
      </c>
      <c r="BQ38" s="105">
        <f t="shared" si="226"/>
        <v>0</v>
      </c>
      <c r="BR38" s="105">
        <f t="shared" si="226"/>
        <v>2.5000000000000001E-2</v>
      </c>
      <c r="BS38" s="105">
        <f t="shared" ref="BS38:BY38" si="227">IF(AND(BR$5&gt;$E35,BS$5&lt;$E37,MONTH(BR$5)=MONTH($E35)),$E38,0)</f>
        <v>0</v>
      </c>
      <c r="BT38" s="105">
        <f t="shared" si="227"/>
        <v>0</v>
      </c>
      <c r="BU38" s="105">
        <f t="shared" si="227"/>
        <v>0</v>
      </c>
      <c r="BV38" s="105">
        <f t="shared" si="227"/>
        <v>0</v>
      </c>
      <c r="BW38" s="105">
        <f t="shared" si="227"/>
        <v>0</v>
      </c>
      <c r="BX38" s="105">
        <f t="shared" si="227"/>
        <v>0</v>
      </c>
      <c r="BY38" s="105">
        <f t="shared" si="227"/>
        <v>0</v>
      </c>
    </row>
    <row r="39" spans="2:77" customFormat="1" outlineLevel="1" x14ac:dyDescent="0.25">
      <c r="B39" s="1"/>
      <c r="C39" s="44"/>
      <c r="D39" s="56"/>
      <c r="E39" s="285"/>
      <c r="F39" s="1"/>
      <c r="G39" s="1"/>
      <c r="H39" s="1"/>
      <c r="I39" s="1"/>
      <c r="J39" s="1"/>
      <c r="AP39" s="62"/>
    </row>
    <row r="40" spans="2:77" customFormat="1" outlineLevel="1" x14ac:dyDescent="0.25">
      <c r="B40" s="1"/>
      <c r="C40" s="74" t="s">
        <v>113</v>
      </c>
      <c r="D40" s="36" t="s">
        <v>116</v>
      </c>
      <c r="E40" s="153">
        <v>47</v>
      </c>
      <c r="F40" s="151">
        <f>+$E40*F$12</f>
        <v>47.228774876571123</v>
      </c>
      <c r="G40" s="151">
        <f t="shared" ref="G40:BR40" si="228">+$E40*G$12</f>
        <v>47.458663326422041</v>
      </c>
      <c r="H40" s="151">
        <f t="shared" si="228"/>
        <v>47.689670769926984</v>
      </c>
      <c r="I40" s="151">
        <f t="shared" si="228"/>
        <v>47.921802653844168</v>
      </c>
      <c r="J40" s="151">
        <f t="shared" si="228"/>
        <v>48.15506445144414</v>
      </c>
      <c r="K40" s="151">
        <f t="shared" si="228"/>
        <v>48.389461662638901</v>
      </c>
      <c r="L40" s="151">
        <f t="shared" si="228"/>
        <v>48.624999814111526</v>
      </c>
      <c r="M40" s="151">
        <f t="shared" si="228"/>
        <v>48.861684459446508</v>
      </c>
      <c r="N40" s="151">
        <f t="shared" si="228"/>
        <v>49.099521179260705</v>
      </c>
      <c r="O40" s="151">
        <f t="shared" si="228"/>
        <v>49.338515581334896</v>
      </c>
      <c r="P40" s="151">
        <f t="shared" si="228"/>
        <v>49.578673300746004</v>
      </c>
      <c r="Q40" s="151">
        <f t="shared" si="228"/>
        <v>49.820000000000014</v>
      </c>
      <c r="R40" s="151">
        <f t="shared" si="228"/>
        <v>49.983097715949164</v>
      </c>
      <c r="S40" s="151">
        <f t="shared" si="228"/>
        <v>50.146729371379401</v>
      </c>
      <c r="T40" s="151">
        <f t="shared" si="228"/>
        <v>50.310896714269653</v>
      </c>
      <c r="U40" s="151">
        <f t="shared" si="228"/>
        <v>50.475601498321254</v>
      </c>
      <c r="V40" s="151">
        <f t="shared" si="228"/>
        <v>50.640845482976722</v>
      </c>
      <c r="W40" s="151">
        <f t="shared" si="228"/>
        <v>50.806630433438528</v>
      </c>
      <c r="X40" s="151">
        <f t="shared" si="228"/>
        <v>50.972958120687956</v>
      </c>
      <c r="Y40" s="151">
        <f t="shared" si="228"/>
        <v>51.139830321504007</v>
      </c>
      <c r="Z40" s="151">
        <f t="shared" si="228"/>
        <v>51.307248818482421</v>
      </c>
      <c r="AA40" s="151">
        <f t="shared" si="228"/>
        <v>51.475215400054658</v>
      </c>
      <c r="AB40" s="151">
        <f t="shared" si="228"/>
        <v>51.643731860507074</v>
      </c>
      <c r="AC40" s="151">
        <f t="shared" si="228"/>
        <v>51.812800000000031</v>
      </c>
      <c r="AD40" s="151">
        <f t="shared" si="228"/>
        <v>51.94058434245845</v>
      </c>
      <c r="AE40" s="151">
        <f t="shared" si="228"/>
        <v>52.068683835578042</v>
      </c>
      <c r="AF40" s="151">
        <f t="shared" si="228"/>
        <v>52.19709925660537</v>
      </c>
      <c r="AG40" s="151">
        <f t="shared" si="228"/>
        <v>52.325831384703868</v>
      </c>
      <c r="AH40" s="151">
        <f t="shared" si="228"/>
        <v>52.454881000958622</v>
      </c>
      <c r="AI40" s="151">
        <f t="shared" si="228"/>
        <v>52.584248888381076</v>
      </c>
      <c r="AJ40" s="151">
        <f t="shared" si="228"/>
        <v>52.71393583191378</v>
      </c>
      <c r="AK40" s="151">
        <f t="shared" si="228"/>
        <v>52.843942618435186</v>
      </c>
      <c r="AL40" s="151">
        <f t="shared" si="228"/>
        <v>52.974270036764381</v>
      </c>
      <c r="AM40" s="151">
        <f t="shared" si="228"/>
        <v>53.104918877665902</v>
      </c>
      <c r="AN40" s="151">
        <f t="shared" si="228"/>
        <v>53.23588993385453</v>
      </c>
      <c r="AO40" s="151">
        <f t="shared" si="228"/>
        <v>53.367184000000087</v>
      </c>
      <c r="AP40" s="151">
        <f t="shared" si="228"/>
        <v>53.498801872732251</v>
      </c>
      <c r="AQ40" s="151">
        <f t="shared" si="228"/>
        <v>53.630744350645429</v>
      </c>
      <c r="AR40" s="151">
        <f t="shared" si="228"/>
        <v>53.763012234303574</v>
      </c>
      <c r="AS40" s="151">
        <f t="shared" si="228"/>
        <v>53.89560632624503</v>
      </c>
      <c r="AT40" s="151">
        <f t="shared" si="228"/>
        <v>54.028527430987438</v>
      </c>
      <c r="AU40" s="151">
        <f t="shared" si="228"/>
        <v>54.161776355032565</v>
      </c>
      <c r="AV40" s="151">
        <f t="shared" si="228"/>
        <v>54.295353906871256</v>
      </c>
      <c r="AW40" s="151">
        <f t="shared" si="228"/>
        <v>54.429260896988296</v>
      </c>
      <c r="AX40" s="151">
        <f t="shared" si="228"/>
        <v>54.56349813786737</v>
      </c>
      <c r="AY40" s="151">
        <f t="shared" si="228"/>
        <v>54.698066443995941</v>
      </c>
      <c r="AZ40" s="151">
        <f t="shared" si="228"/>
        <v>54.832966631870221</v>
      </c>
      <c r="BA40" s="151">
        <f t="shared" si="228"/>
        <v>54.968199520000141</v>
      </c>
      <c r="BB40" s="151">
        <f t="shared" si="228"/>
        <v>55.081425011059387</v>
      </c>
      <c r="BC40" s="151">
        <f t="shared" si="228"/>
        <v>55.194883728091789</v>
      </c>
      <c r="BD40" s="151">
        <f t="shared" si="228"/>
        <v>55.308576151504674</v>
      </c>
      <c r="BE40" s="151">
        <f t="shared" si="228"/>
        <v>55.422502762694904</v>
      </c>
      <c r="BF40" s="151">
        <f t="shared" si="228"/>
        <v>55.536664044050958</v>
      </c>
      <c r="BG40" s="151">
        <f t="shared" si="228"/>
        <v>55.651060478954967</v>
      </c>
      <c r="BH40" s="151">
        <f t="shared" si="228"/>
        <v>55.765692551784724</v>
      </c>
      <c r="BI40" s="151">
        <f t="shared" si="228"/>
        <v>55.880560747915787</v>
      </c>
      <c r="BJ40" s="151">
        <f t="shared" si="228"/>
        <v>55.995665553723498</v>
      </c>
      <c r="BK40" s="151">
        <f t="shared" si="228"/>
        <v>56.111007456585043</v>
      </c>
      <c r="BL40" s="151">
        <f t="shared" si="228"/>
        <v>56.226586944881532</v>
      </c>
      <c r="BM40" s="151">
        <f t="shared" si="228"/>
        <v>56.342404508000065</v>
      </c>
      <c r="BN40" s="151">
        <f t="shared" si="228"/>
        <v>56.458460636335793</v>
      </c>
      <c r="BO40" s="151">
        <f t="shared" si="228"/>
        <v>56.574755821294012</v>
      </c>
      <c r="BP40" s="151">
        <f t="shared" si="228"/>
        <v>56.691290555292213</v>
      </c>
      <c r="BQ40" s="151">
        <f t="shared" si="228"/>
        <v>56.808065331762201</v>
      </c>
      <c r="BR40" s="151">
        <f t="shared" si="228"/>
        <v>56.925080645152157</v>
      </c>
      <c r="BS40" s="151">
        <f t="shared" ref="BS40:BY40" si="229">+$E40*BS$12</f>
        <v>57.042336990928767</v>
      </c>
      <c r="BT40" s="151">
        <f t="shared" si="229"/>
        <v>57.159834865579271</v>
      </c>
      <c r="BU40" s="151">
        <f t="shared" si="229"/>
        <v>57.277574766613618</v>
      </c>
      <c r="BV40" s="151">
        <f t="shared" si="229"/>
        <v>57.395557192566514</v>
      </c>
      <c r="BW40" s="151">
        <f t="shared" si="229"/>
        <v>57.513782642999601</v>
      </c>
      <c r="BX40" s="151">
        <f t="shared" si="229"/>
        <v>57.63225161850351</v>
      </c>
      <c r="BY40" s="151">
        <f t="shared" si="229"/>
        <v>57.750964620700003</v>
      </c>
    </row>
    <row r="41" spans="2:77" customFormat="1" outlineLevel="1" x14ac:dyDescent="0.25">
      <c r="B41" s="1"/>
      <c r="C41" s="50" t="s">
        <v>273</v>
      </c>
      <c r="D41" s="36" t="s">
        <v>116</v>
      </c>
      <c r="E41" s="296">
        <v>43</v>
      </c>
      <c r="F41" s="155">
        <f>IF(F$5=EOMONTH($E24,1),F40,IF(AND(F$5&gt;EOMONTH($E24,1),F$5&lt;=$E26),E41*(1+F27),0))</f>
        <v>43</v>
      </c>
      <c r="G41" s="155">
        <f t="shared" ref="G41:Q41" si="230">IF(G$5=EOMONTH($E24,1),G40,IF(AND(G$5&gt;EOMONTH($E24,1),G$5&lt;=$E26),F41*(1+G27),0))</f>
        <v>43</v>
      </c>
      <c r="H41" s="155">
        <f t="shared" si="230"/>
        <v>43</v>
      </c>
      <c r="I41" s="155">
        <f t="shared" si="230"/>
        <v>43</v>
      </c>
      <c r="J41" s="155">
        <f t="shared" si="230"/>
        <v>43</v>
      </c>
      <c r="K41" s="155">
        <f t="shared" si="230"/>
        <v>43</v>
      </c>
      <c r="L41" s="155">
        <f t="shared" si="230"/>
        <v>43</v>
      </c>
      <c r="M41" s="155">
        <f t="shared" si="230"/>
        <v>43</v>
      </c>
      <c r="N41" s="155">
        <f t="shared" si="230"/>
        <v>43</v>
      </c>
      <c r="O41" s="155">
        <f t="shared" si="230"/>
        <v>43</v>
      </c>
      <c r="P41" s="155">
        <f t="shared" si="230"/>
        <v>44.074999999999996</v>
      </c>
      <c r="Q41" s="155">
        <f t="shared" si="230"/>
        <v>44.074999999999996</v>
      </c>
      <c r="R41" s="155">
        <f t="shared" ref="R41" si="231">IF(R$5=EOMONTH($E24,1),R40,IF(AND(R$5&gt;EOMONTH($E24,1),R$5&lt;=$E26),Q41*(1+R27),0))</f>
        <v>44.074999999999996</v>
      </c>
      <c r="S41" s="155">
        <f t="shared" ref="S41" si="232">IF(S$5=EOMONTH($E24,1),S40,IF(AND(S$5&gt;EOMONTH($E24,1),S$5&lt;=$E26),R41*(1+S27),0))</f>
        <v>44.074999999999996</v>
      </c>
      <c r="T41" s="155">
        <f t="shared" ref="T41" si="233">IF(T$5=EOMONTH($E24,1),T40,IF(AND(T$5&gt;EOMONTH($E24,1),T$5&lt;=$E26),S41*(1+T27),0))</f>
        <v>44.074999999999996</v>
      </c>
      <c r="U41" s="155">
        <f t="shared" ref="U41" si="234">IF(U$5=EOMONTH($E24,1),U40,IF(AND(U$5&gt;EOMONTH($E24,1),U$5&lt;=$E26),T41*(1+U27),0))</f>
        <v>44.074999999999996</v>
      </c>
      <c r="V41" s="155">
        <f t="shared" ref="V41" si="235">IF(V$5=EOMONTH($E24,1),V40,IF(AND(V$5&gt;EOMONTH($E24,1),V$5&lt;=$E26),U41*(1+V27),0))</f>
        <v>44.074999999999996</v>
      </c>
      <c r="W41" s="155">
        <f t="shared" ref="W41" si="236">IF(W$5=EOMONTH($E24,1),W40,IF(AND(W$5&gt;EOMONTH($E24,1),W$5&lt;=$E26),V41*(1+W27),0))</f>
        <v>44.074999999999996</v>
      </c>
      <c r="X41" s="155">
        <f t="shared" ref="X41" si="237">IF(X$5=EOMONTH($E24,1),X40,IF(AND(X$5&gt;EOMONTH($E24,1),X$5&lt;=$E26),W41*(1+X27),0))</f>
        <v>44.074999999999996</v>
      </c>
      <c r="Y41" s="155">
        <f t="shared" ref="Y41" si="238">IF(Y$5=EOMONTH($E24,1),Y40,IF(AND(Y$5&gt;EOMONTH($E24,1),Y$5&lt;=$E26),X41*(1+Y27),0))</f>
        <v>44.074999999999996</v>
      </c>
      <c r="Z41" s="155">
        <f t="shared" ref="Z41" si="239">IF(Z$5=EOMONTH($E24,1),Z40,IF(AND(Z$5&gt;EOMONTH($E24,1),Z$5&lt;=$E26),Y41*(1+Z27),0))</f>
        <v>44.074999999999996</v>
      </c>
      <c r="AA41" s="155">
        <f t="shared" ref="AA41" si="240">IF(AA$5=EOMONTH($E24,1),AA40,IF(AND(AA$5&gt;EOMONTH($E24,1),AA$5&lt;=$E26),Z41*(1+AA27),0))</f>
        <v>44.074999999999996</v>
      </c>
      <c r="AB41" s="155">
        <f t="shared" ref="AB41" si="241">IF(AB$5=EOMONTH($E24,1),AB40,IF(AND(AB$5&gt;EOMONTH($E24,1),AB$5&lt;=$E26),AA41*(1+AB27),0))</f>
        <v>45.176874999999988</v>
      </c>
      <c r="AC41" s="155">
        <f t="shared" ref="AC41" si="242">IF(AC$5=EOMONTH($E24,1),AC40,IF(AND(AC$5&gt;EOMONTH($E24,1),AC$5&lt;=$E26),AB41*(1+AC27),0))</f>
        <v>45.176874999999988</v>
      </c>
      <c r="AD41" s="155">
        <f t="shared" ref="AD41" si="243">IF(AD$5=EOMONTH($E24,1),AD40,IF(AND(AD$5&gt;EOMONTH($E24,1),AD$5&lt;=$E26),AC41*(1+AD27),0))</f>
        <v>45.176874999999988</v>
      </c>
      <c r="AE41" s="155">
        <f t="shared" ref="AE41" si="244">IF(AE$5=EOMONTH($E24,1),AE40,IF(AND(AE$5&gt;EOMONTH($E24,1),AE$5&lt;=$E26),AD41*(1+AE27),0))</f>
        <v>45.176874999999988</v>
      </c>
      <c r="AF41" s="155">
        <f t="shared" ref="AF41" si="245">IF(AF$5=EOMONTH($E24,1),AF40,IF(AND(AF$5&gt;EOMONTH($E24,1),AF$5&lt;=$E26),AE41*(1+AF27),0))</f>
        <v>45.176874999999988</v>
      </c>
      <c r="AG41" s="155">
        <f t="shared" ref="AG41" si="246">IF(AG$5=EOMONTH($E24,1),AG40,IF(AND(AG$5&gt;EOMONTH($E24,1),AG$5&lt;=$E26),AF41*(1+AG27),0))</f>
        <v>45.176874999999988</v>
      </c>
      <c r="AH41" s="155">
        <f t="shared" ref="AH41" si="247">IF(AH$5=EOMONTH($E24,1),AH40,IF(AND(AH$5&gt;EOMONTH($E24,1),AH$5&lt;=$E26),AG41*(1+AH27),0))</f>
        <v>45.176874999999988</v>
      </c>
      <c r="AI41" s="155">
        <f t="shared" ref="AI41" si="248">IF(AI$5=EOMONTH($E24,1),AI40,IF(AND(AI$5&gt;EOMONTH($E24,1),AI$5&lt;=$E26),AH41*(1+AI27),0))</f>
        <v>45.176874999999988</v>
      </c>
      <c r="AJ41" s="155">
        <f t="shared" ref="AJ41" si="249">IF(AJ$5=EOMONTH($E24,1),AJ40,IF(AND(AJ$5&gt;EOMONTH($E24,1),AJ$5&lt;=$E26),AI41*(1+AJ27),0))</f>
        <v>45.176874999999988</v>
      </c>
      <c r="AK41" s="155">
        <f t="shared" ref="AK41" si="250">IF(AK$5=EOMONTH($E24,1),AK40,IF(AND(AK$5&gt;EOMONTH($E24,1),AK$5&lt;=$E26),AJ41*(1+AK27),0))</f>
        <v>45.176874999999988</v>
      </c>
      <c r="AL41" s="155">
        <f t="shared" ref="AL41" si="251">IF(AL$5=EOMONTH($E24,1),AL40,IF(AND(AL$5&gt;EOMONTH($E24,1),AL$5&lt;=$E26),AK41*(1+AL27),0))</f>
        <v>45.176874999999988</v>
      </c>
      <c r="AM41" s="155">
        <f t="shared" ref="AM41" si="252">IF(AM$5=EOMONTH($E24,1),AM40,IF(AND(AM$5&gt;EOMONTH($E24,1),AM$5&lt;=$E26),AL41*(1+AM27),0))</f>
        <v>45.176874999999988</v>
      </c>
      <c r="AN41" s="155">
        <f t="shared" ref="AN41" si="253">IF(AN$5=EOMONTH($E24,1),AN40,IF(AND(AN$5&gt;EOMONTH($E24,1),AN$5&lt;=$E26),AM41*(1+AN27),0))</f>
        <v>0</v>
      </c>
      <c r="AO41" s="155">
        <f t="shared" ref="AO41" si="254">IF(AO$5=EOMONTH($E24,1),AO40,IF(AND(AO$5&gt;EOMONTH($E24,1),AO$5&lt;=$E26),AN41*(1+AO27),0))</f>
        <v>0</v>
      </c>
      <c r="AP41" s="155">
        <f t="shared" ref="AP41" si="255">IF(AP$5=EOMONTH($E24,1),AP40,IF(AND(AP$5&gt;EOMONTH($E24,1),AP$5&lt;=$E26),AO41*(1+AP27),0))</f>
        <v>0</v>
      </c>
      <c r="AQ41" s="155">
        <f t="shared" ref="AQ41" si="256">IF(AQ$5=EOMONTH($E24,1),AQ40,IF(AND(AQ$5&gt;EOMONTH($E24,1),AQ$5&lt;=$E26),AP41*(1+AQ27),0))</f>
        <v>0</v>
      </c>
      <c r="AR41" s="155">
        <f t="shared" ref="AR41" si="257">IF(AR$5=EOMONTH($E24,1),AR40,IF(AND(AR$5&gt;EOMONTH($E24,1),AR$5&lt;=$E26),AQ41*(1+AR27),0))</f>
        <v>0</v>
      </c>
      <c r="AS41" s="155">
        <f t="shared" ref="AS41" si="258">IF(AS$5=EOMONTH($E24,1),AS40,IF(AND(AS$5&gt;EOMONTH($E24,1),AS$5&lt;=$E26),AR41*(1+AS27),0))</f>
        <v>0</v>
      </c>
      <c r="AT41" s="155">
        <f t="shared" ref="AT41" si="259">IF(AT$5=EOMONTH($E24,1),AT40,IF(AND(AT$5&gt;EOMONTH($E24,1),AT$5&lt;=$E26),AS41*(1+AT27),0))</f>
        <v>0</v>
      </c>
      <c r="AU41" s="155">
        <f t="shared" ref="AU41" si="260">IF(AU$5=EOMONTH($E24,1),AU40,IF(AND(AU$5&gt;EOMONTH($E24,1),AU$5&lt;=$E26),AT41*(1+AU27),0))</f>
        <v>0</v>
      </c>
      <c r="AV41" s="155">
        <f t="shared" ref="AV41" si="261">IF(AV$5=EOMONTH($E24,1),AV40,IF(AND(AV$5&gt;EOMONTH($E24,1),AV$5&lt;=$E26),AU41*(1+AV27),0))</f>
        <v>0</v>
      </c>
      <c r="AW41" s="155">
        <f t="shared" ref="AW41" si="262">IF(AW$5=EOMONTH($E24,1),AW40,IF(AND(AW$5&gt;EOMONTH($E24,1),AW$5&lt;=$E26),AV41*(1+AW27),0))</f>
        <v>0</v>
      </c>
      <c r="AX41" s="155">
        <f t="shared" ref="AX41" si="263">IF(AX$5=EOMONTH($E24,1),AX40,IF(AND(AX$5&gt;EOMONTH($E24,1),AX$5&lt;=$E26),AW41*(1+AX27),0))</f>
        <v>0</v>
      </c>
      <c r="AY41" s="155">
        <f t="shared" ref="AY41" si="264">IF(AY$5=EOMONTH($E24,1),AY40,IF(AND(AY$5&gt;EOMONTH($E24,1),AY$5&lt;=$E26),AX41*(1+AY27),0))</f>
        <v>0</v>
      </c>
      <c r="AZ41" s="155">
        <f t="shared" ref="AZ41" si="265">IF(AZ$5=EOMONTH($E24,1),AZ40,IF(AND(AZ$5&gt;EOMONTH($E24,1),AZ$5&lt;=$E26),AY41*(1+AZ27),0))</f>
        <v>0</v>
      </c>
      <c r="BA41" s="155">
        <f t="shared" ref="BA41" si="266">IF(BA$5=EOMONTH($E24,1),BA40,IF(AND(BA$5&gt;EOMONTH($E24,1),BA$5&lt;=$E26),AZ41*(1+BA27),0))</f>
        <v>0</v>
      </c>
      <c r="BB41" s="155">
        <f t="shared" ref="BB41" si="267">IF(BB$5=EOMONTH($E24,1),BB40,IF(AND(BB$5&gt;EOMONTH($E24,1),BB$5&lt;=$E26),BA41*(1+BB27),0))</f>
        <v>0</v>
      </c>
      <c r="BC41" s="155">
        <f t="shared" ref="BC41" si="268">IF(BC$5=EOMONTH($E24,1),BC40,IF(AND(BC$5&gt;EOMONTH($E24,1),BC$5&lt;=$E26),BB41*(1+BC27),0))</f>
        <v>0</v>
      </c>
      <c r="BD41" s="155">
        <f t="shared" ref="BD41" si="269">IF(BD$5=EOMONTH($E24,1),BD40,IF(AND(BD$5&gt;EOMONTH($E24,1),BD$5&lt;=$E26),BC41*(1+BD27),0))</f>
        <v>0</v>
      </c>
      <c r="BE41" s="155">
        <f t="shared" ref="BE41" si="270">IF(BE$5=EOMONTH($E24,1),BE40,IF(AND(BE$5&gt;EOMONTH($E24,1),BE$5&lt;=$E26),BD41*(1+BE27),0))</f>
        <v>0</v>
      </c>
      <c r="BF41" s="155">
        <f t="shared" ref="BF41" si="271">IF(BF$5=EOMONTH($E24,1),BF40,IF(AND(BF$5&gt;EOMONTH($E24,1),BF$5&lt;=$E26),BE41*(1+BF27),0))</f>
        <v>0</v>
      </c>
      <c r="BG41" s="155">
        <f t="shared" ref="BG41" si="272">IF(BG$5=EOMONTH($E24,1),BG40,IF(AND(BG$5&gt;EOMONTH($E24,1),BG$5&lt;=$E26),BF41*(1+BG27),0))</f>
        <v>0</v>
      </c>
      <c r="BH41" s="155">
        <f t="shared" ref="BH41" si="273">IF(BH$5=EOMONTH($E24,1),BH40,IF(AND(BH$5&gt;EOMONTH($E24,1),BH$5&lt;=$E26),BG41*(1+BH27),0))</f>
        <v>0</v>
      </c>
      <c r="BI41" s="155">
        <f t="shared" ref="BI41" si="274">IF(BI$5=EOMONTH($E24,1),BI40,IF(AND(BI$5&gt;EOMONTH($E24,1),BI$5&lt;=$E26),BH41*(1+BI27),0))</f>
        <v>0</v>
      </c>
      <c r="BJ41" s="155">
        <f t="shared" ref="BJ41" si="275">IF(BJ$5=EOMONTH($E24,1),BJ40,IF(AND(BJ$5&gt;EOMONTH($E24,1),BJ$5&lt;=$E26),BI41*(1+BJ27),0))</f>
        <v>0</v>
      </c>
      <c r="BK41" s="155">
        <f t="shared" ref="BK41" si="276">IF(BK$5=EOMONTH($E24,1),BK40,IF(AND(BK$5&gt;EOMONTH($E24,1),BK$5&lt;=$E26),BJ41*(1+BK27),0))</f>
        <v>0</v>
      </c>
      <c r="BL41" s="155">
        <f t="shared" ref="BL41" si="277">IF(BL$5=EOMONTH($E24,1),BL40,IF(AND(BL$5&gt;EOMONTH($E24,1),BL$5&lt;=$E26),BK41*(1+BL27),0))</f>
        <v>0</v>
      </c>
      <c r="BM41" s="155">
        <f t="shared" ref="BM41" si="278">IF(BM$5=EOMONTH($E24,1),BM40,IF(AND(BM$5&gt;EOMONTH($E24,1),BM$5&lt;=$E26),BL41*(1+BM27),0))</f>
        <v>0</v>
      </c>
      <c r="BN41" s="155">
        <f t="shared" ref="BN41" si="279">IF(BN$5=EOMONTH($E24,1),BN40,IF(AND(BN$5&gt;EOMONTH($E24,1),BN$5&lt;=$E26),BM41*(1+BN27),0))</f>
        <v>0</v>
      </c>
      <c r="BO41" s="155">
        <f t="shared" ref="BO41" si="280">IF(BO$5=EOMONTH($E24,1),BO40,IF(AND(BO$5&gt;EOMONTH($E24,1),BO$5&lt;=$E26),BN41*(1+BO27),0))</f>
        <v>0</v>
      </c>
      <c r="BP41" s="155">
        <f t="shared" ref="BP41" si="281">IF(BP$5=EOMONTH($E24,1),BP40,IF(AND(BP$5&gt;EOMONTH($E24,1),BP$5&lt;=$E26),BO41*(1+BP27),0))</f>
        <v>0</v>
      </c>
      <c r="BQ41" s="155">
        <f t="shared" ref="BQ41" si="282">IF(BQ$5=EOMONTH($E24,1),BQ40,IF(AND(BQ$5&gt;EOMONTH($E24,1),BQ$5&lt;=$E26),BP41*(1+BQ27),0))</f>
        <v>0</v>
      </c>
      <c r="BR41" s="155">
        <f t="shared" ref="BR41" si="283">IF(BR$5=EOMONTH($E24,1),BR40,IF(AND(BR$5&gt;EOMONTH($E24,1),BR$5&lt;=$E26),BQ41*(1+BR27),0))</f>
        <v>0</v>
      </c>
      <c r="BS41" s="155">
        <f t="shared" ref="BS41" si="284">IF(BS$5=EOMONTH($E24,1),BS40,IF(AND(BS$5&gt;EOMONTH($E24,1),BS$5&lt;=$E26),BR41*(1+BS27),0))</f>
        <v>0</v>
      </c>
      <c r="BT41" s="155">
        <f t="shared" ref="BT41" si="285">IF(BT$5=EOMONTH($E24,1),BT40,IF(AND(BT$5&gt;EOMONTH($E24,1),BT$5&lt;=$E26),BS41*(1+BT27),0))</f>
        <v>0</v>
      </c>
      <c r="BU41" s="155">
        <f t="shared" ref="BU41" si="286">IF(BU$5=EOMONTH($E24,1),BU40,IF(AND(BU$5&gt;EOMONTH($E24,1),BU$5&lt;=$E26),BT41*(1+BU27),0))</f>
        <v>0</v>
      </c>
      <c r="BV41" s="155">
        <f t="shared" ref="BV41" si="287">IF(BV$5=EOMONTH($E24,1),BV40,IF(AND(BV$5&gt;EOMONTH($E24,1),BV$5&lt;=$E26),BU41*(1+BV27),0))</f>
        <v>0</v>
      </c>
      <c r="BW41" s="155">
        <f t="shared" ref="BW41" si="288">IF(BW$5=EOMONTH($E24,1),BW40,IF(AND(BW$5&gt;EOMONTH($E24,1),BW$5&lt;=$E26),BV41*(1+BW27),0))</f>
        <v>0</v>
      </c>
      <c r="BX41" s="155">
        <f t="shared" ref="BX41" si="289">IF(BX$5=EOMONTH($E24,1),BX40,IF(AND(BX$5&gt;EOMONTH($E24,1),BX$5&lt;=$E26),BW41*(1+BX27),0))</f>
        <v>0</v>
      </c>
      <c r="BY41" s="155">
        <f t="shared" ref="BY41" si="290">IF(BY$5=EOMONTH($E24,1),BY40,IF(AND(BY$5&gt;EOMONTH($E24,1),BY$5&lt;=$E26),BX41*(1+BY27),0))</f>
        <v>0</v>
      </c>
    </row>
    <row r="42" spans="2:77" customFormat="1" outlineLevel="1" x14ac:dyDescent="0.25">
      <c r="B42" s="1"/>
      <c r="C42" s="50" t="s">
        <v>274</v>
      </c>
      <c r="D42" s="36" t="s">
        <v>116</v>
      </c>
      <c r="E42" s="285"/>
      <c r="F42" s="155">
        <f>IF(F$5=EOMONTH($E30,1),F40,IF(AND(F$5&gt;EOMONTH($E30,1),F$5&lt;=$E32),E42*(1+F33),0))</f>
        <v>0</v>
      </c>
      <c r="G42" s="155">
        <f t="shared" ref="G42:BR42" si="291">IF(G$5=EOMONTH($E30,1),G40,IF(AND(G$5&gt;EOMONTH($E30,1),G$5&lt;=$E32),F42*(1+G33),0))</f>
        <v>0</v>
      </c>
      <c r="H42" s="155">
        <f t="shared" si="291"/>
        <v>0</v>
      </c>
      <c r="I42" s="155">
        <f t="shared" si="291"/>
        <v>0</v>
      </c>
      <c r="J42" s="155">
        <f t="shared" si="291"/>
        <v>0</v>
      </c>
      <c r="K42" s="155">
        <f t="shared" si="291"/>
        <v>0</v>
      </c>
      <c r="L42" s="155">
        <f t="shared" si="291"/>
        <v>0</v>
      </c>
      <c r="M42" s="155">
        <f t="shared" si="291"/>
        <v>0</v>
      </c>
      <c r="N42" s="155">
        <f t="shared" si="291"/>
        <v>0</v>
      </c>
      <c r="O42" s="155">
        <f t="shared" si="291"/>
        <v>0</v>
      </c>
      <c r="P42" s="155">
        <f t="shared" si="291"/>
        <v>0</v>
      </c>
      <c r="Q42" s="155">
        <f t="shared" si="291"/>
        <v>0</v>
      </c>
      <c r="R42" s="155">
        <f t="shared" si="291"/>
        <v>0</v>
      </c>
      <c r="S42" s="155">
        <f t="shared" si="291"/>
        <v>0</v>
      </c>
      <c r="T42" s="155">
        <f t="shared" si="291"/>
        <v>0</v>
      </c>
      <c r="U42" s="155">
        <f t="shared" si="291"/>
        <v>0</v>
      </c>
      <c r="V42" s="155">
        <f t="shared" si="291"/>
        <v>0</v>
      </c>
      <c r="W42" s="155">
        <f t="shared" si="291"/>
        <v>0</v>
      </c>
      <c r="X42" s="155">
        <f t="shared" si="291"/>
        <v>0</v>
      </c>
      <c r="Y42" s="155">
        <f t="shared" si="291"/>
        <v>0</v>
      </c>
      <c r="Z42" s="155">
        <f t="shared" si="291"/>
        <v>0</v>
      </c>
      <c r="AA42" s="155">
        <f t="shared" si="291"/>
        <v>0</v>
      </c>
      <c r="AB42" s="155">
        <f t="shared" si="291"/>
        <v>0</v>
      </c>
      <c r="AC42" s="155">
        <f t="shared" si="291"/>
        <v>0</v>
      </c>
      <c r="AD42" s="155">
        <f t="shared" si="291"/>
        <v>0</v>
      </c>
      <c r="AE42" s="155">
        <f t="shared" si="291"/>
        <v>0</v>
      </c>
      <c r="AF42" s="155">
        <f t="shared" si="291"/>
        <v>0</v>
      </c>
      <c r="AG42" s="155">
        <f t="shared" si="291"/>
        <v>0</v>
      </c>
      <c r="AH42" s="155">
        <f t="shared" si="291"/>
        <v>0</v>
      </c>
      <c r="AI42" s="155">
        <f t="shared" si="291"/>
        <v>0</v>
      </c>
      <c r="AJ42" s="155">
        <f t="shared" si="291"/>
        <v>0</v>
      </c>
      <c r="AK42" s="155">
        <f t="shared" si="291"/>
        <v>0</v>
      </c>
      <c r="AL42" s="155">
        <f t="shared" si="291"/>
        <v>0</v>
      </c>
      <c r="AM42" s="155">
        <f t="shared" si="291"/>
        <v>0</v>
      </c>
      <c r="AN42" s="155">
        <f t="shared" si="291"/>
        <v>53.23588993385453</v>
      </c>
      <c r="AO42" s="155">
        <f t="shared" si="291"/>
        <v>53.23588993385453</v>
      </c>
      <c r="AP42" s="155">
        <f t="shared" si="291"/>
        <v>53.23588993385453</v>
      </c>
      <c r="AQ42" s="155">
        <f t="shared" si="291"/>
        <v>53.23588993385453</v>
      </c>
      <c r="AR42" s="155">
        <f t="shared" si="291"/>
        <v>53.23588993385453</v>
      </c>
      <c r="AS42" s="155">
        <f t="shared" si="291"/>
        <v>53.23588993385453</v>
      </c>
      <c r="AT42" s="155">
        <f t="shared" si="291"/>
        <v>53.23588993385453</v>
      </c>
      <c r="AU42" s="155">
        <f t="shared" si="291"/>
        <v>53.23588993385453</v>
      </c>
      <c r="AV42" s="155">
        <f t="shared" si="291"/>
        <v>53.23588993385453</v>
      </c>
      <c r="AW42" s="155">
        <f t="shared" si="291"/>
        <v>53.23588993385453</v>
      </c>
      <c r="AX42" s="155">
        <f t="shared" si="291"/>
        <v>53.23588993385453</v>
      </c>
      <c r="AY42" s="155">
        <f t="shared" si="291"/>
        <v>53.23588993385453</v>
      </c>
      <c r="AZ42" s="155">
        <f t="shared" si="291"/>
        <v>54.566787182200891</v>
      </c>
      <c r="BA42" s="155">
        <f t="shared" si="291"/>
        <v>54.566787182200891</v>
      </c>
      <c r="BB42" s="155">
        <f t="shared" si="291"/>
        <v>54.566787182200891</v>
      </c>
      <c r="BC42" s="155">
        <f t="shared" si="291"/>
        <v>54.566787182200891</v>
      </c>
      <c r="BD42" s="155">
        <f t="shared" si="291"/>
        <v>54.566787182200891</v>
      </c>
      <c r="BE42" s="155">
        <f t="shared" si="291"/>
        <v>54.566787182200891</v>
      </c>
      <c r="BF42" s="155">
        <f t="shared" si="291"/>
        <v>54.566787182200891</v>
      </c>
      <c r="BG42" s="155">
        <f t="shared" si="291"/>
        <v>54.566787182200891</v>
      </c>
      <c r="BH42" s="155">
        <f t="shared" si="291"/>
        <v>54.566787182200891</v>
      </c>
      <c r="BI42" s="155">
        <f t="shared" si="291"/>
        <v>54.566787182200891</v>
      </c>
      <c r="BJ42" s="155">
        <f t="shared" si="291"/>
        <v>54.566787182200891</v>
      </c>
      <c r="BK42" s="155">
        <f t="shared" si="291"/>
        <v>54.566787182200891</v>
      </c>
      <c r="BL42" s="155">
        <f t="shared" si="291"/>
        <v>55.930956861755909</v>
      </c>
      <c r="BM42" s="155">
        <f t="shared" si="291"/>
        <v>55.930956861755909</v>
      </c>
      <c r="BN42" s="155">
        <f t="shared" si="291"/>
        <v>55.930956861755909</v>
      </c>
      <c r="BO42" s="155">
        <f t="shared" si="291"/>
        <v>55.930956861755909</v>
      </c>
      <c r="BP42" s="155">
        <f t="shared" si="291"/>
        <v>55.930956861755909</v>
      </c>
      <c r="BQ42" s="155">
        <f t="shared" si="291"/>
        <v>55.930956861755909</v>
      </c>
      <c r="BR42" s="155">
        <f t="shared" si="291"/>
        <v>55.930956861755909</v>
      </c>
      <c r="BS42" s="155">
        <f t="shared" ref="BS42:BY42" si="292">IF(BS$5=EOMONTH($E30,1),BS40,IF(AND(BS$5&gt;EOMONTH($E30,1),BS$5&lt;=$E32),BR42*(1+BS33),0))</f>
        <v>55.930956861755909</v>
      </c>
      <c r="BT42" s="155">
        <f t="shared" si="292"/>
        <v>55.930956861755909</v>
      </c>
      <c r="BU42" s="155">
        <f t="shared" si="292"/>
        <v>55.930956861755909</v>
      </c>
      <c r="BV42" s="155">
        <f t="shared" si="292"/>
        <v>55.930956861755909</v>
      </c>
      <c r="BW42" s="155">
        <f t="shared" si="292"/>
        <v>55.930956861755909</v>
      </c>
      <c r="BX42" s="155">
        <f t="shared" si="292"/>
        <v>57.329230783299799</v>
      </c>
      <c r="BY42" s="155">
        <f t="shared" si="292"/>
        <v>57.329230783299799</v>
      </c>
    </row>
    <row r="43" spans="2:77" customFormat="1" outlineLevel="1" x14ac:dyDescent="0.25">
      <c r="B43" s="1"/>
      <c r="C43" s="50" t="s">
        <v>275</v>
      </c>
      <c r="D43" s="36" t="s">
        <v>116</v>
      </c>
      <c r="E43" s="1"/>
      <c r="F43" s="155">
        <f>IF(F$5=EOMONTH($E35,1),F40,IF(F$5&gt;EOMONTH($E35,1),E43*(1+F38),IF(AND(F$5&gt;$E26,F$5&lt;=$E35),F40,0)))</f>
        <v>0</v>
      </c>
      <c r="G43" s="155">
        <f t="shared" ref="G43:BR43" si="293">IF(G$5=EOMONTH($E35,1),G40,IF(G$5&gt;EOMONTH($E35,1),F43*(1+G38),IF(AND(G$5&gt;$E26,G$5&lt;=$E35),G40,0)))</f>
        <v>0</v>
      </c>
      <c r="H43" s="155">
        <f t="shared" si="293"/>
        <v>0</v>
      </c>
      <c r="I43" s="155">
        <f t="shared" si="293"/>
        <v>0</v>
      </c>
      <c r="J43" s="155">
        <f t="shared" si="293"/>
        <v>0</v>
      </c>
      <c r="K43" s="155">
        <f t="shared" si="293"/>
        <v>0</v>
      </c>
      <c r="L43" s="155">
        <f t="shared" si="293"/>
        <v>0</v>
      </c>
      <c r="M43" s="155">
        <f t="shared" si="293"/>
        <v>0</v>
      </c>
      <c r="N43" s="155">
        <f t="shared" si="293"/>
        <v>0</v>
      </c>
      <c r="O43" s="155">
        <f t="shared" si="293"/>
        <v>0</v>
      </c>
      <c r="P43" s="155">
        <f t="shared" si="293"/>
        <v>0</v>
      </c>
      <c r="Q43" s="155">
        <f t="shared" si="293"/>
        <v>0</v>
      </c>
      <c r="R43" s="155">
        <f t="shared" si="293"/>
        <v>0</v>
      </c>
      <c r="S43" s="155">
        <f t="shared" si="293"/>
        <v>0</v>
      </c>
      <c r="T43" s="155">
        <f t="shared" si="293"/>
        <v>0</v>
      </c>
      <c r="U43" s="155">
        <f t="shared" si="293"/>
        <v>0</v>
      </c>
      <c r="V43" s="155">
        <f t="shared" si="293"/>
        <v>0</v>
      </c>
      <c r="W43" s="155">
        <f t="shared" si="293"/>
        <v>0</v>
      </c>
      <c r="X43" s="155">
        <f t="shared" si="293"/>
        <v>0</v>
      </c>
      <c r="Y43" s="155">
        <f t="shared" si="293"/>
        <v>0</v>
      </c>
      <c r="Z43" s="155">
        <f t="shared" si="293"/>
        <v>0</v>
      </c>
      <c r="AA43" s="155">
        <f t="shared" si="293"/>
        <v>0</v>
      </c>
      <c r="AB43" s="155">
        <f t="shared" si="293"/>
        <v>0</v>
      </c>
      <c r="AC43" s="155">
        <f t="shared" si="293"/>
        <v>0</v>
      </c>
      <c r="AD43" s="155">
        <f t="shared" si="293"/>
        <v>0</v>
      </c>
      <c r="AE43" s="155">
        <f t="shared" si="293"/>
        <v>0</v>
      </c>
      <c r="AF43" s="155">
        <f t="shared" si="293"/>
        <v>0</v>
      </c>
      <c r="AG43" s="155">
        <f t="shared" si="293"/>
        <v>0</v>
      </c>
      <c r="AH43" s="155">
        <f t="shared" si="293"/>
        <v>0</v>
      </c>
      <c r="AI43" s="155">
        <f t="shared" si="293"/>
        <v>0</v>
      </c>
      <c r="AJ43" s="155">
        <f t="shared" si="293"/>
        <v>0</v>
      </c>
      <c r="AK43" s="155">
        <f t="shared" si="293"/>
        <v>0</v>
      </c>
      <c r="AL43" s="155">
        <f t="shared" si="293"/>
        <v>0</v>
      </c>
      <c r="AM43" s="155">
        <f t="shared" si="293"/>
        <v>0</v>
      </c>
      <c r="AN43" s="155">
        <f t="shared" si="293"/>
        <v>53.23588993385453</v>
      </c>
      <c r="AO43" s="155">
        <f t="shared" si="293"/>
        <v>53.367184000000087</v>
      </c>
      <c r="AP43" s="155">
        <f t="shared" si="293"/>
        <v>53.498801872732251</v>
      </c>
      <c r="AQ43" s="155">
        <f t="shared" si="293"/>
        <v>53.630744350645429</v>
      </c>
      <c r="AR43" s="155">
        <f t="shared" si="293"/>
        <v>53.763012234303574</v>
      </c>
      <c r="AS43" s="155">
        <f t="shared" si="293"/>
        <v>53.89560632624503</v>
      </c>
      <c r="AT43" s="155">
        <f t="shared" si="293"/>
        <v>54.028527430987438</v>
      </c>
      <c r="AU43" s="155">
        <f t="shared" si="293"/>
        <v>54.028527430987438</v>
      </c>
      <c r="AV43" s="155">
        <f t="shared" si="293"/>
        <v>54.028527430987438</v>
      </c>
      <c r="AW43" s="155">
        <f t="shared" si="293"/>
        <v>54.028527430987438</v>
      </c>
      <c r="AX43" s="155">
        <f t="shared" si="293"/>
        <v>54.028527430987438</v>
      </c>
      <c r="AY43" s="155">
        <f t="shared" si="293"/>
        <v>54.028527430987438</v>
      </c>
      <c r="AZ43" s="155">
        <f t="shared" si="293"/>
        <v>54.028527430987438</v>
      </c>
      <c r="BA43" s="155">
        <f t="shared" si="293"/>
        <v>54.028527430987438</v>
      </c>
      <c r="BB43" s="155">
        <f t="shared" si="293"/>
        <v>54.028527430987438</v>
      </c>
      <c r="BC43" s="155">
        <f t="shared" si="293"/>
        <v>54.028527430987438</v>
      </c>
      <c r="BD43" s="155">
        <f t="shared" si="293"/>
        <v>54.028527430987438</v>
      </c>
      <c r="BE43" s="155">
        <f t="shared" si="293"/>
        <v>54.028527430987438</v>
      </c>
      <c r="BF43" s="155">
        <f t="shared" si="293"/>
        <v>55.379240616762118</v>
      </c>
      <c r="BG43" s="155">
        <f t="shared" si="293"/>
        <v>55.379240616762118</v>
      </c>
      <c r="BH43" s="155">
        <f t="shared" si="293"/>
        <v>55.379240616762118</v>
      </c>
      <c r="BI43" s="155">
        <f t="shared" si="293"/>
        <v>55.379240616762118</v>
      </c>
      <c r="BJ43" s="155">
        <f t="shared" si="293"/>
        <v>55.379240616762118</v>
      </c>
      <c r="BK43" s="155">
        <f t="shared" si="293"/>
        <v>55.379240616762118</v>
      </c>
      <c r="BL43" s="155">
        <f t="shared" si="293"/>
        <v>55.379240616762118</v>
      </c>
      <c r="BM43" s="155">
        <f t="shared" si="293"/>
        <v>55.379240616762118</v>
      </c>
      <c r="BN43" s="155">
        <f t="shared" si="293"/>
        <v>55.379240616762118</v>
      </c>
      <c r="BO43" s="155">
        <f t="shared" si="293"/>
        <v>55.379240616762118</v>
      </c>
      <c r="BP43" s="155">
        <f t="shared" si="293"/>
        <v>55.379240616762118</v>
      </c>
      <c r="BQ43" s="155">
        <f t="shared" si="293"/>
        <v>55.379240616762118</v>
      </c>
      <c r="BR43" s="155">
        <f t="shared" si="293"/>
        <v>56.763721632181166</v>
      </c>
      <c r="BS43" s="155">
        <f t="shared" ref="BS43:BY43" si="294">IF(BS$5=EOMONTH($E35,1),BS40,IF(BS$5&gt;EOMONTH($E35,1),BR43*(1+BS38),IF(AND(BS$5&gt;$E26,BS$5&lt;=$E35),BS40,0)))</f>
        <v>56.763721632181166</v>
      </c>
      <c r="BT43" s="155">
        <f t="shared" si="294"/>
        <v>56.763721632181166</v>
      </c>
      <c r="BU43" s="155">
        <f t="shared" si="294"/>
        <v>56.763721632181166</v>
      </c>
      <c r="BV43" s="155">
        <f t="shared" si="294"/>
        <v>56.763721632181166</v>
      </c>
      <c r="BW43" s="155">
        <f t="shared" si="294"/>
        <v>56.763721632181166</v>
      </c>
      <c r="BX43" s="155">
        <f t="shared" si="294"/>
        <v>56.763721632181166</v>
      </c>
      <c r="BY43" s="155">
        <f t="shared" si="294"/>
        <v>56.763721632181166</v>
      </c>
    </row>
    <row r="44" spans="2:77" customFormat="1" outlineLevel="1" x14ac:dyDescent="0.25">
      <c r="B44" s="1"/>
      <c r="C44" s="44"/>
      <c r="D44" s="56"/>
      <c r="E44" s="1"/>
      <c r="F44" s="1"/>
      <c r="G44" s="1"/>
      <c r="H44" s="1"/>
      <c r="I44" s="1"/>
      <c r="J44" s="1"/>
      <c r="AP44" s="110"/>
      <c r="AQ44" s="110"/>
      <c r="AR44" s="110"/>
      <c r="AS44" s="110"/>
      <c r="AT44" s="110"/>
      <c r="AZ44" s="110"/>
      <c r="BA44" s="110"/>
      <c r="BB44" s="110"/>
    </row>
    <row r="45" spans="2:77" customFormat="1" outlineLevel="1" x14ac:dyDescent="0.25">
      <c r="B45" s="1"/>
      <c r="C45" s="50" t="s">
        <v>276</v>
      </c>
      <c r="D45" s="37" t="s">
        <v>101</v>
      </c>
      <c r="E45" s="1"/>
      <c r="F45" s="156">
        <f t="shared" ref="F45:AK45" si="295">+F40*$E23/Months</f>
        <v>54017.911265078226</v>
      </c>
      <c r="G45" s="156">
        <f t="shared" si="295"/>
        <v>54280.84617959521</v>
      </c>
      <c r="H45" s="156">
        <f t="shared" si="295"/>
        <v>54545.060943103985</v>
      </c>
      <c r="I45" s="156">
        <f t="shared" si="295"/>
        <v>54810.561785334263</v>
      </c>
      <c r="J45" s="156">
        <f t="shared" si="295"/>
        <v>55077.35496633924</v>
      </c>
      <c r="K45" s="156">
        <f t="shared" si="295"/>
        <v>55345.446776643243</v>
      </c>
      <c r="L45" s="156">
        <f t="shared" si="295"/>
        <v>55614.843537390057</v>
      </c>
      <c r="M45" s="156">
        <f t="shared" si="295"/>
        <v>55885.551600491948</v>
      </c>
      <c r="N45" s="156">
        <f t="shared" si="295"/>
        <v>56157.577348779429</v>
      </c>
      <c r="O45" s="156">
        <f t="shared" si="295"/>
        <v>56430.927196151788</v>
      </c>
      <c r="P45" s="156">
        <f t="shared" si="295"/>
        <v>56705.607587728242</v>
      </c>
      <c r="Q45" s="156">
        <f t="shared" si="295"/>
        <v>56981.625000000022</v>
      </c>
      <c r="R45" s="156">
        <f t="shared" si="295"/>
        <v>57168.168012616858</v>
      </c>
      <c r="S45" s="156">
        <f t="shared" si="295"/>
        <v>57355.321718515188</v>
      </c>
      <c r="T45" s="156">
        <f t="shared" si="295"/>
        <v>57543.08811694591</v>
      </c>
      <c r="U45" s="156">
        <f t="shared" si="295"/>
        <v>57731.469213704935</v>
      </c>
      <c r="V45" s="156">
        <f t="shared" si="295"/>
        <v>57920.467021154625</v>
      </c>
      <c r="W45" s="156">
        <f t="shared" si="295"/>
        <v>58110.083558245322</v>
      </c>
      <c r="X45" s="156">
        <f t="shared" si="295"/>
        <v>58300.320850536846</v>
      </c>
      <c r="Y45" s="156">
        <f t="shared" si="295"/>
        <v>58491.180930220209</v>
      </c>
      <c r="Z45" s="156">
        <f t="shared" si="295"/>
        <v>58682.665836139269</v>
      </c>
      <c r="AA45" s="156">
        <f t="shared" si="295"/>
        <v>58874.777613812512</v>
      </c>
      <c r="AB45" s="156">
        <f t="shared" si="295"/>
        <v>59067.518315454967</v>
      </c>
      <c r="AC45" s="156">
        <f t="shared" si="295"/>
        <v>59260.890000000036</v>
      </c>
      <c r="AD45" s="156">
        <f t="shared" si="295"/>
        <v>59407.043341686855</v>
      </c>
      <c r="AE45" s="156">
        <f t="shared" si="295"/>
        <v>59553.557136942392</v>
      </c>
      <c r="AF45" s="156">
        <f t="shared" si="295"/>
        <v>59700.432274742394</v>
      </c>
      <c r="AG45" s="156">
        <f t="shared" si="295"/>
        <v>59847.669646255054</v>
      </c>
      <c r="AH45" s="156">
        <f t="shared" si="295"/>
        <v>59995.270144846429</v>
      </c>
      <c r="AI45" s="156">
        <f t="shared" si="295"/>
        <v>60143.23466608586</v>
      </c>
      <c r="AJ45" s="156">
        <f t="shared" si="295"/>
        <v>60291.564107751386</v>
      </c>
      <c r="AK45" s="156">
        <f t="shared" si="295"/>
        <v>60440.25936983525</v>
      </c>
      <c r="AL45" s="156">
        <f t="shared" ref="AL45:BQ45" si="296">+AL40*$E23/Months</f>
        <v>60589.321354549262</v>
      </c>
      <c r="AM45" s="156">
        <f t="shared" si="296"/>
        <v>60738.750966330379</v>
      </c>
      <c r="AN45" s="156">
        <f t="shared" si="296"/>
        <v>60888.549111846114</v>
      </c>
      <c r="AO45" s="156">
        <f t="shared" si="296"/>
        <v>61038.716700000099</v>
      </c>
      <c r="AP45" s="156">
        <f t="shared" si="296"/>
        <v>61189.254641937507</v>
      </c>
      <c r="AQ45" s="156">
        <f t="shared" si="296"/>
        <v>61340.163851050711</v>
      </c>
      <c r="AR45" s="156">
        <f t="shared" si="296"/>
        <v>61491.445242984715</v>
      </c>
      <c r="AS45" s="156">
        <f t="shared" si="296"/>
        <v>61643.099735642754</v>
      </c>
      <c r="AT45" s="156">
        <f t="shared" si="296"/>
        <v>61795.128249191883</v>
      </c>
      <c r="AU45" s="156">
        <f t="shared" si="296"/>
        <v>61947.531706068497</v>
      </c>
      <c r="AV45" s="156">
        <f t="shared" si="296"/>
        <v>62100.311030984005</v>
      </c>
      <c r="AW45" s="156">
        <f t="shared" si="296"/>
        <v>62253.467150930366</v>
      </c>
      <c r="AX45" s="156">
        <f t="shared" si="296"/>
        <v>62407.000995185808</v>
      </c>
      <c r="AY45" s="156">
        <f t="shared" si="296"/>
        <v>62560.913495320361</v>
      </c>
      <c r="AZ45" s="156">
        <f t="shared" si="296"/>
        <v>62715.205585201562</v>
      </c>
      <c r="BA45" s="156">
        <f t="shared" si="296"/>
        <v>62869.87820100016</v>
      </c>
      <c r="BB45" s="156">
        <f t="shared" si="296"/>
        <v>62999.379856399173</v>
      </c>
      <c r="BC45" s="156">
        <f t="shared" si="296"/>
        <v>63129.148264004987</v>
      </c>
      <c r="BD45" s="156">
        <f t="shared" si="296"/>
        <v>63259.183973283471</v>
      </c>
      <c r="BE45" s="156">
        <f t="shared" si="296"/>
        <v>63389.487534832297</v>
      </c>
      <c r="BF45" s="156">
        <f t="shared" si="296"/>
        <v>63520.059500383279</v>
      </c>
      <c r="BG45" s="156">
        <f t="shared" si="296"/>
        <v>63650.900422804749</v>
      </c>
      <c r="BH45" s="156">
        <f t="shared" si="296"/>
        <v>63782.010856103785</v>
      </c>
      <c r="BI45" s="156">
        <f t="shared" si="296"/>
        <v>63913.391355428677</v>
      </c>
      <c r="BJ45" s="156">
        <f t="shared" si="296"/>
        <v>64045.042477071249</v>
      </c>
      <c r="BK45" s="156">
        <f t="shared" si="296"/>
        <v>64176.964778469141</v>
      </c>
      <c r="BL45" s="156">
        <f t="shared" si="296"/>
        <v>64309.158818208256</v>
      </c>
      <c r="BM45" s="156">
        <f t="shared" si="296"/>
        <v>64441.625156025075</v>
      </c>
      <c r="BN45" s="156">
        <f t="shared" si="296"/>
        <v>64574.364352809062</v>
      </c>
      <c r="BO45" s="156">
        <f t="shared" si="296"/>
        <v>64707.376970605023</v>
      </c>
      <c r="BP45" s="156">
        <f t="shared" si="296"/>
        <v>64840.663572615471</v>
      </c>
      <c r="BQ45" s="156">
        <f t="shared" si="296"/>
        <v>64974.22472320302</v>
      </c>
      <c r="BR45" s="156">
        <f t="shared" ref="BR45:BY45" si="297">+BR40*$E23/Months</f>
        <v>65108.060987892786</v>
      </c>
      <c r="BS45" s="156">
        <f t="shared" si="297"/>
        <v>65242.172933374772</v>
      </c>
      <c r="BT45" s="156">
        <f t="shared" si="297"/>
        <v>65376.561127506291</v>
      </c>
      <c r="BU45" s="156">
        <f t="shared" si="297"/>
        <v>65511.226139314327</v>
      </c>
      <c r="BV45" s="156">
        <f t="shared" si="297"/>
        <v>65646.168538997954</v>
      </c>
      <c r="BW45" s="156">
        <f t="shared" si="297"/>
        <v>65781.388897930796</v>
      </c>
      <c r="BX45" s="156">
        <f t="shared" si="297"/>
        <v>65916.887788663385</v>
      </c>
      <c r="BY45" s="156">
        <f t="shared" si="297"/>
        <v>66052.66578492563</v>
      </c>
    </row>
    <row r="46" spans="2:77" customFormat="1" outlineLevel="1" x14ac:dyDescent="0.25">
      <c r="B46" s="1"/>
      <c r="C46" s="50" t="s">
        <v>277</v>
      </c>
      <c r="D46" s="37" t="s">
        <v>101</v>
      </c>
      <c r="E46" s="1"/>
      <c r="F46" s="13">
        <f t="shared" ref="F46:AK46" si="298">+F41*$E23/Months</f>
        <v>49181.25</v>
      </c>
      <c r="G46" s="13">
        <f t="shared" si="298"/>
        <v>49181.25</v>
      </c>
      <c r="H46" s="13">
        <f t="shared" si="298"/>
        <v>49181.25</v>
      </c>
      <c r="I46" s="13">
        <f t="shared" si="298"/>
        <v>49181.25</v>
      </c>
      <c r="J46" s="13">
        <f t="shared" si="298"/>
        <v>49181.25</v>
      </c>
      <c r="K46" s="13">
        <f t="shared" si="298"/>
        <v>49181.25</v>
      </c>
      <c r="L46" s="13">
        <f t="shared" si="298"/>
        <v>49181.25</v>
      </c>
      <c r="M46" s="13">
        <f t="shared" si="298"/>
        <v>49181.25</v>
      </c>
      <c r="N46" s="13">
        <f t="shared" si="298"/>
        <v>49181.25</v>
      </c>
      <c r="O46" s="13">
        <f t="shared" si="298"/>
        <v>49181.25</v>
      </c>
      <c r="P46" s="13">
        <f t="shared" si="298"/>
        <v>50410.781249999993</v>
      </c>
      <c r="Q46" s="13">
        <f t="shared" si="298"/>
        <v>50410.781249999993</v>
      </c>
      <c r="R46" s="13">
        <f t="shared" si="298"/>
        <v>50410.781249999993</v>
      </c>
      <c r="S46" s="13">
        <f t="shared" si="298"/>
        <v>50410.781249999993</v>
      </c>
      <c r="T46" s="13">
        <f t="shared" si="298"/>
        <v>50410.781249999993</v>
      </c>
      <c r="U46" s="13">
        <f t="shared" si="298"/>
        <v>50410.781249999993</v>
      </c>
      <c r="V46" s="13">
        <f t="shared" si="298"/>
        <v>50410.781249999993</v>
      </c>
      <c r="W46" s="13">
        <f t="shared" si="298"/>
        <v>50410.781249999993</v>
      </c>
      <c r="X46" s="13">
        <f t="shared" si="298"/>
        <v>50410.781249999993</v>
      </c>
      <c r="Y46" s="13">
        <f t="shared" si="298"/>
        <v>50410.781249999993</v>
      </c>
      <c r="Z46" s="13">
        <f t="shared" si="298"/>
        <v>50410.781249999993</v>
      </c>
      <c r="AA46" s="13">
        <f t="shared" si="298"/>
        <v>50410.781249999993</v>
      </c>
      <c r="AB46" s="13">
        <f t="shared" si="298"/>
        <v>51671.050781249993</v>
      </c>
      <c r="AC46" s="13">
        <f t="shared" si="298"/>
        <v>51671.050781249993</v>
      </c>
      <c r="AD46" s="13">
        <f t="shared" si="298"/>
        <v>51671.050781249993</v>
      </c>
      <c r="AE46" s="13">
        <f t="shared" si="298"/>
        <v>51671.050781249993</v>
      </c>
      <c r="AF46" s="13">
        <f t="shared" si="298"/>
        <v>51671.050781249993</v>
      </c>
      <c r="AG46" s="13">
        <f t="shared" si="298"/>
        <v>51671.050781249993</v>
      </c>
      <c r="AH46" s="13">
        <f t="shared" si="298"/>
        <v>51671.050781249993</v>
      </c>
      <c r="AI46" s="13">
        <f t="shared" si="298"/>
        <v>51671.050781249993</v>
      </c>
      <c r="AJ46" s="13">
        <f t="shared" si="298"/>
        <v>51671.050781249993</v>
      </c>
      <c r="AK46" s="13">
        <f t="shared" si="298"/>
        <v>51671.050781249993</v>
      </c>
      <c r="AL46" s="13">
        <f t="shared" ref="AL46:BQ46" si="299">+AL41*$E23/Months</f>
        <v>51671.050781249993</v>
      </c>
      <c r="AM46" s="13">
        <f t="shared" si="299"/>
        <v>51671.050781249993</v>
      </c>
      <c r="AN46" s="13">
        <f t="shared" si="299"/>
        <v>0</v>
      </c>
      <c r="AO46" s="13">
        <f t="shared" si="299"/>
        <v>0</v>
      </c>
      <c r="AP46" s="13">
        <f t="shared" si="299"/>
        <v>0</v>
      </c>
      <c r="AQ46" s="13">
        <f t="shared" si="299"/>
        <v>0</v>
      </c>
      <c r="AR46" s="13">
        <f t="shared" si="299"/>
        <v>0</v>
      </c>
      <c r="AS46" s="13">
        <f t="shared" si="299"/>
        <v>0</v>
      </c>
      <c r="AT46" s="13">
        <f t="shared" si="299"/>
        <v>0</v>
      </c>
      <c r="AU46" s="13">
        <f t="shared" si="299"/>
        <v>0</v>
      </c>
      <c r="AV46" s="13">
        <f t="shared" si="299"/>
        <v>0</v>
      </c>
      <c r="AW46" s="13">
        <f t="shared" si="299"/>
        <v>0</v>
      </c>
      <c r="AX46" s="13">
        <f t="shared" si="299"/>
        <v>0</v>
      </c>
      <c r="AY46" s="13">
        <f t="shared" si="299"/>
        <v>0</v>
      </c>
      <c r="AZ46" s="13">
        <f t="shared" si="299"/>
        <v>0</v>
      </c>
      <c r="BA46" s="13">
        <f t="shared" si="299"/>
        <v>0</v>
      </c>
      <c r="BB46" s="13">
        <f t="shared" si="299"/>
        <v>0</v>
      </c>
      <c r="BC46" s="13">
        <f t="shared" si="299"/>
        <v>0</v>
      </c>
      <c r="BD46" s="13">
        <f t="shared" si="299"/>
        <v>0</v>
      </c>
      <c r="BE46" s="13">
        <f t="shared" si="299"/>
        <v>0</v>
      </c>
      <c r="BF46" s="13">
        <f t="shared" si="299"/>
        <v>0</v>
      </c>
      <c r="BG46" s="13">
        <f t="shared" si="299"/>
        <v>0</v>
      </c>
      <c r="BH46" s="13">
        <f t="shared" si="299"/>
        <v>0</v>
      </c>
      <c r="BI46" s="13">
        <f t="shared" si="299"/>
        <v>0</v>
      </c>
      <c r="BJ46" s="13">
        <f t="shared" si="299"/>
        <v>0</v>
      </c>
      <c r="BK46" s="13">
        <f t="shared" si="299"/>
        <v>0</v>
      </c>
      <c r="BL46" s="13">
        <f t="shared" si="299"/>
        <v>0</v>
      </c>
      <c r="BM46" s="13">
        <f t="shared" si="299"/>
        <v>0</v>
      </c>
      <c r="BN46" s="13">
        <f t="shared" si="299"/>
        <v>0</v>
      </c>
      <c r="BO46" s="13">
        <f t="shared" si="299"/>
        <v>0</v>
      </c>
      <c r="BP46" s="13">
        <f t="shared" si="299"/>
        <v>0</v>
      </c>
      <c r="BQ46" s="13">
        <f t="shared" si="299"/>
        <v>0</v>
      </c>
      <c r="BR46" s="13">
        <f t="shared" ref="BR46:BY46" si="300">+BR41*$E23/Months</f>
        <v>0</v>
      </c>
      <c r="BS46" s="13">
        <f t="shared" si="300"/>
        <v>0</v>
      </c>
      <c r="BT46" s="13">
        <f t="shared" si="300"/>
        <v>0</v>
      </c>
      <c r="BU46" s="13">
        <f t="shared" si="300"/>
        <v>0</v>
      </c>
      <c r="BV46" s="13">
        <f t="shared" si="300"/>
        <v>0</v>
      </c>
      <c r="BW46" s="13">
        <f t="shared" si="300"/>
        <v>0</v>
      </c>
      <c r="BX46" s="13">
        <f t="shared" si="300"/>
        <v>0</v>
      </c>
      <c r="BY46" s="13">
        <f t="shared" si="300"/>
        <v>0</v>
      </c>
    </row>
    <row r="47" spans="2:77" customFormat="1" outlineLevel="1" x14ac:dyDescent="0.25">
      <c r="B47" s="1"/>
      <c r="C47" s="50" t="s">
        <v>278</v>
      </c>
      <c r="D47" s="37" t="s">
        <v>101</v>
      </c>
      <c r="E47" s="1"/>
      <c r="F47" s="13">
        <f t="shared" ref="F47:AK47" si="301">+F42*$E23/Months*Renewal_Probability</f>
        <v>0</v>
      </c>
      <c r="G47" s="13">
        <f t="shared" si="301"/>
        <v>0</v>
      </c>
      <c r="H47" s="13">
        <f t="shared" si="301"/>
        <v>0</v>
      </c>
      <c r="I47" s="13">
        <f t="shared" si="301"/>
        <v>0</v>
      </c>
      <c r="J47" s="13">
        <f t="shared" si="301"/>
        <v>0</v>
      </c>
      <c r="K47" s="13">
        <f t="shared" si="301"/>
        <v>0</v>
      </c>
      <c r="L47" s="13">
        <f t="shared" si="301"/>
        <v>0</v>
      </c>
      <c r="M47" s="13">
        <f t="shared" si="301"/>
        <v>0</v>
      </c>
      <c r="N47" s="13">
        <f t="shared" si="301"/>
        <v>0</v>
      </c>
      <c r="O47" s="13">
        <f t="shared" si="301"/>
        <v>0</v>
      </c>
      <c r="P47" s="13">
        <f t="shared" si="301"/>
        <v>0</v>
      </c>
      <c r="Q47" s="13">
        <f t="shared" si="301"/>
        <v>0</v>
      </c>
      <c r="R47" s="13">
        <f t="shared" si="301"/>
        <v>0</v>
      </c>
      <c r="S47" s="13">
        <f t="shared" si="301"/>
        <v>0</v>
      </c>
      <c r="T47" s="13">
        <f t="shared" si="301"/>
        <v>0</v>
      </c>
      <c r="U47" s="13">
        <f t="shared" si="301"/>
        <v>0</v>
      </c>
      <c r="V47" s="13">
        <f t="shared" si="301"/>
        <v>0</v>
      </c>
      <c r="W47" s="13">
        <f t="shared" si="301"/>
        <v>0</v>
      </c>
      <c r="X47" s="13">
        <f t="shared" si="301"/>
        <v>0</v>
      </c>
      <c r="Y47" s="13">
        <f t="shared" si="301"/>
        <v>0</v>
      </c>
      <c r="Z47" s="13">
        <f t="shared" si="301"/>
        <v>0</v>
      </c>
      <c r="AA47" s="13">
        <f t="shared" si="301"/>
        <v>0</v>
      </c>
      <c r="AB47" s="13">
        <f t="shared" si="301"/>
        <v>0</v>
      </c>
      <c r="AC47" s="13">
        <f t="shared" si="301"/>
        <v>0</v>
      </c>
      <c r="AD47" s="13">
        <f t="shared" si="301"/>
        <v>0</v>
      </c>
      <c r="AE47" s="13">
        <f t="shared" si="301"/>
        <v>0</v>
      </c>
      <c r="AF47" s="13">
        <f t="shared" si="301"/>
        <v>0</v>
      </c>
      <c r="AG47" s="13">
        <f t="shared" si="301"/>
        <v>0</v>
      </c>
      <c r="AH47" s="13">
        <f t="shared" si="301"/>
        <v>0</v>
      </c>
      <c r="AI47" s="13">
        <f t="shared" si="301"/>
        <v>0</v>
      </c>
      <c r="AJ47" s="13">
        <f t="shared" si="301"/>
        <v>0</v>
      </c>
      <c r="AK47" s="13">
        <f t="shared" si="301"/>
        <v>0</v>
      </c>
      <c r="AL47" s="13">
        <f t="shared" ref="AL47:BQ47" si="302">+AL42*$E23/Months*Renewal_Probability</f>
        <v>0</v>
      </c>
      <c r="AM47" s="13">
        <f t="shared" si="302"/>
        <v>0</v>
      </c>
      <c r="AN47" s="13">
        <f t="shared" si="302"/>
        <v>36533.129467107668</v>
      </c>
      <c r="AO47" s="13">
        <f t="shared" si="302"/>
        <v>36533.129467107668</v>
      </c>
      <c r="AP47" s="13">
        <f t="shared" si="302"/>
        <v>36533.129467107668</v>
      </c>
      <c r="AQ47" s="13">
        <f t="shared" si="302"/>
        <v>36533.129467107668</v>
      </c>
      <c r="AR47" s="13">
        <f t="shared" si="302"/>
        <v>36533.129467107668</v>
      </c>
      <c r="AS47" s="13">
        <f t="shared" si="302"/>
        <v>36533.129467107668</v>
      </c>
      <c r="AT47" s="13">
        <f t="shared" si="302"/>
        <v>36533.129467107668</v>
      </c>
      <c r="AU47" s="13">
        <f t="shared" si="302"/>
        <v>36533.129467107668</v>
      </c>
      <c r="AV47" s="13">
        <f t="shared" si="302"/>
        <v>36533.129467107668</v>
      </c>
      <c r="AW47" s="13">
        <f t="shared" si="302"/>
        <v>36533.129467107668</v>
      </c>
      <c r="AX47" s="13">
        <f t="shared" si="302"/>
        <v>36533.129467107668</v>
      </c>
      <c r="AY47" s="13">
        <f t="shared" si="302"/>
        <v>36533.129467107668</v>
      </c>
      <c r="AZ47" s="13">
        <f t="shared" si="302"/>
        <v>37446.45770378536</v>
      </c>
      <c r="BA47" s="13">
        <f t="shared" si="302"/>
        <v>37446.45770378536</v>
      </c>
      <c r="BB47" s="13">
        <f t="shared" si="302"/>
        <v>37446.45770378536</v>
      </c>
      <c r="BC47" s="13">
        <f t="shared" si="302"/>
        <v>37446.45770378536</v>
      </c>
      <c r="BD47" s="13">
        <f t="shared" si="302"/>
        <v>37446.45770378536</v>
      </c>
      <c r="BE47" s="13">
        <f t="shared" si="302"/>
        <v>37446.45770378536</v>
      </c>
      <c r="BF47" s="13">
        <f t="shared" si="302"/>
        <v>37446.45770378536</v>
      </c>
      <c r="BG47" s="13">
        <f t="shared" si="302"/>
        <v>37446.45770378536</v>
      </c>
      <c r="BH47" s="13">
        <f t="shared" si="302"/>
        <v>37446.45770378536</v>
      </c>
      <c r="BI47" s="13">
        <f t="shared" si="302"/>
        <v>37446.45770378536</v>
      </c>
      <c r="BJ47" s="13">
        <f t="shared" si="302"/>
        <v>37446.45770378536</v>
      </c>
      <c r="BK47" s="13">
        <f t="shared" si="302"/>
        <v>37446.45770378536</v>
      </c>
      <c r="BL47" s="13">
        <f t="shared" si="302"/>
        <v>38382.619146379991</v>
      </c>
      <c r="BM47" s="13">
        <f t="shared" si="302"/>
        <v>38382.619146379991</v>
      </c>
      <c r="BN47" s="13">
        <f t="shared" si="302"/>
        <v>38382.619146379991</v>
      </c>
      <c r="BO47" s="13">
        <f t="shared" si="302"/>
        <v>38382.619146379991</v>
      </c>
      <c r="BP47" s="13">
        <f t="shared" si="302"/>
        <v>38382.619146379991</v>
      </c>
      <c r="BQ47" s="13">
        <f t="shared" si="302"/>
        <v>38382.619146379991</v>
      </c>
      <c r="BR47" s="13">
        <f t="shared" ref="BR47:BY47" si="303">+BR42*$E23/Months*Renewal_Probability</f>
        <v>38382.619146379991</v>
      </c>
      <c r="BS47" s="13">
        <f t="shared" si="303"/>
        <v>38382.619146379991</v>
      </c>
      <c r="BT47" s="13">
        <f t="shared" si="303"/>
        <v>38382.619146379991</v>
      </c>
      <c r="BU47" s="13">
        <f t="shared" si="303"/>
        <v>38382.619146379991</v>
      </c>
      <c r="BV47" s="13">
        <f t="shared" si="303"/>
        <v>38382.619146379991</v>
      </c>
      <c r="BW47" s="13">
        <f t="shared" si="303"/>
        <v>38382.619146379991</v>
      </c>
      <c r="BX47" s="13">
        <f t="shared" si="303"/>
        <v>39342.184625039488</v>
      </c>
      <c r="BY47" s="13">
        <f t="shared" si="303"/>
        <v>39342.184625039488</v>
      </c>
    </row>
    <row r="48" spans="2:77" customFormat="1" outlineLevel="1" x14ac:dyDescent="0.25">
      <c r="B48" s="1"/>
      <c r="C48" s="50" t="s">
        <v>279</v>
      </c>
      <c r="D48" s="37" t="s">
        <v>101</v>
      </c>
      <c r="E48" s="1"/>
      <c r="F48" s="13">
        <f t="shared" ref="F48:AK48" si="304">+F43*$E23/Months*(1-Renewal_Probability)</f>
        <v>0</v>
      </c>
      <c r="G48" s="13">
        <f t="shared" si="304"/>
        <v>0</v>
      </c>
      <c r="H48" s="13">
        <f t="shared" si="304"/>
        <v>0</v>
      </c>
      <c r="I48" s="13">
        <f t="shared" si="304"/>
        <v>0</v>
      </c>
      <c r="J48" s="13">
        <f t="shared" si="304"/>
        <v>0</v>
      </c>
      <c r="K48" s="13">
        <f t="shared" si="304"/>
        <v>0</v>
      </c>
      <c r="L48" s="13">
        <f t="shared" si="304"/>
        <v>0</v>
      </c>
      <c r="M48" s="13">
        <f t="shared" si="304"/>
        <v>0</v>
      </c>
      <c r="N48" s="13">
        <f t="shared" si="304"/>
        <v>0</v>
      </c>
      <c r="O48" s="13">
        <f t="shared" si="304"/>
        <v>0</v>
      </c>
      <c r="P48" s="13">
        <f t="shared" si="304"/>
        <v>0</v>
      </c>
      <c r="Q48" s="13">
        <f t="shared" si="304"/>
        <v>0</v>
      </c>
      <c r="R48" s="13">
        <f t="shared" si="304"/>
        <v>0</v>
      </c>
      <c r="S48" s="13">
        <f t="shared" si="304"/>
        <v>0</v>
      </c>
      <c r="T48" s="13">
        <f t="shared" si="304"/>
        <v>0</v>
      </c>
      <c r="U48" s="13">
        <f t="shared" si="304"/>
        <v>0</v>
      </c>
      <c r="V48" s="13">
        <f t="shared" si="304"/>
        <v>0</v>
      </c>
      <c r="W48" s="13">
        <f t="shared" si="304"/>
        <v>0</v>
      </c>
      <c r="X48" s="13">
        <f t="shared" si="304"/>
        <v>0</v>
      </c>
      <c r="Y48" s="13">
        <f t="shared" si="304"/>
        <v>0</v>
      </c>
      <c r="Z48" s="13">
        <f t="shared" si="304"/>
        <v>0</v>
      </c>
      <c r="AA48" s="13">
        <f t="shared" si="304"/>
        <v>0</v>
      </c>
      <c r="AB48" s="13">
        <f t="shared" si="304"/>
        <v>0</v>
      </c>
      <c r="AC48" s="13">
        <f t="shared" si="304"/>
        <v>0</v>
      </c>
      <c r="AD48" s="13">
        <f t="shared" si="304"/>
        <v>0</v>
      </c>
      <c r="AE48" s="13">
        <f t="shared" si="304"/>
        <v>0</v>
      </c>
      <c r="AF48" s="13">
        <f t="shared" si="304"/>
        <v>0</v>
      </c>
      <c r="AG48" s="13">
        <f t="shared" si="304"/>
        <v>0</v>
      </c>
      <c r="AH48" s="13">
        <f t="shared" si="304"/>
        <v>0</v>
      </c>
      <c r="AI48" s="13">
        <f t="shared" si="304"/>
        <v>0</v>
      </c>
      <c r="AJ48" s="13">
        <f t="shared" si="304"/>
        <v>0</v>
      </c>
      <c r="AK48" s="13">
        <f t="shared" si="304"/>
        <v>0</v>
      </c>
      <c r="AL48" s="13">
        <f t="shared" ref="AL48:BQ48" si="305">+AL43*$E23/Months*(1-Renewal_Probability)</f>
        <v>0</v>
      </c>
      <c r="AM48" s="13">
        <f t="shared" si="305"/>
        <v>0</v>
      </c>
      <c r="AN48" s="13">
        <f t="shared" si="305"/>
        <v>24355.419644738446</v>
      </c>
      <c r="AO48" s="13">
        <f t="shared" si="305"/>
        <v>24415.486680000042</v>
      </c>
      <c r="AP48" s="13">
        <f t="shared" si="305"/>
        <v>24475.701856775006</v>
      </c>
      <c r="AQ48" s="13">
        <f t="shared" si="305"/>
        <v>24536.065540420284</v>
      </c>
      <c r="AR48" s="13">
        <f t="shared" si="305"/>
        <v>24596.578097193888</v>
      </c>
      <c r="AS48" s="13">
        <f t="shared" si="305"/>
        <v>24657.239894257102</v>
      </c>
      <c r="AT48" s="13">
        <f t="shared" si="305"/>
        <v>24718.051299676754</v>
      </c>
      <c r="AU48" s="13">
        <f t="shared" si="305"/>
        <v>24718.051299676754</v>
      </c>
      <c r="AV48" s="13">
        <f t="shared" si="305"/>
        <v>24718.051299676754</v>
      </c>
      <c r="AW48" s="13">
        <f t="shared" si="305"/>
        <v>24718.051299676754</v>
      </c>
      <c r="AX48" s="13">
        <f t="shared" si="305"/>
        <v>24718.051299676754</v>
      </c>
      <c r="AY48" s="13">
        <f t="shared" si="305"/>
        <v>24718.051299676754</v>
      </c>
      <c r="AZ48" s="13">
        <f t="shared" si="305"/>
        <v>24718.051299676754</v>
      </c>
      <c r="BA48" s="13">
        <f t="shared" si="305"/>
        <v>24718.051299676754</v>
      </c>
      <c r="BB48" s="13">
        <f t="shared" si="305"/>
        <v>24718.051299676754</v>
      </c>
      <c r="BC48" s="13">
        <f t="shared" si="305"/>
        <v>24718.051299676754</v>
      </c>
      <c r="BD48" s="13">
        <f t="shared" si="305"/>
        <v>24718.051299676754</v>
      </c>
      <c r="BE48" s="13">
        <f t="shared" si="305"/>
        <v>24718.051299676754</v>
      </c>
      <c r="BF48" s="13">
        <f t="shared" si="305"/>
        <v>25336.002582168672</v>
      </c>
      <c r="BG48" s="13">
        <f t="shared" si="305"/>
        <v>25336.002582168672</v>
      </c>
      <c r="BH48" s="13">
        <f t="shared" si="305"/>
        <v>25336.002582168672</v>
      </c>
      <c r="BI48" s="13">
        <f t="shared" si="305"/>
        <v>25336.002582168672</v>
      </c>
      <c r="BJ48" s="13">
        <f t="shared" si="305"/>
        <v>25336.002582168672</v>
      </c>
      <c r="BK48" s="13">
        <f t="shared" si="305"/>
        <v>25336.002582168672</v>
      </c>
      <c r="BL48" s="13">
        <f t="shared" si="305"/>
        <v>25336.002582168672</v>
      </c>
      <c r="BM48" s="13">
        <f t="shared" si="305"/>
        <v>25336.002582168672</v>
      </c>
      <c r="BN48" s="13">
        <f t="shared" si="305"/>
        <v>25336.002582168672</v>
      </c>
      <c r="BO48" s="13">
        <f t="shared" si="305"/>
        <v>25336.002582168672</v>
      </c>
      <c r="BP48" s="13">
        <f t="shared" si="305"/>
        <v>25336.002582168672</v>
      </c>
      <c r="BQ48" s="13">
        <f t="shared" si="305"/>
        <v>25336.002582168672</v>
      </c>
      <c r="BR48" s="13">
        <f t="shared" ref="BR48:BY48" si="306">+BR43*$E23/Months*(1-Renewal_Probability)</f>
        <v>25969.402646722887</v>
      </c>
      <c r="BS48" s="13">
        <f t="shared" si="306"/>
        <v>25969.402646722887</v>
      </c>
      <c r="BT48" s="13">
        <f t="shared" si="306"/>
        <v>25969.402646722887</v>
      </c>
      <c r="BU48" s="13">
        <f t="shared" si="306"/>
        <v>25969.402646722887</v>
      </c>
      <c r="BV48" s="13">
        <f t="shared" si="306"/>
        <v>25969.402646722887</v>
      </c>
      <c r="BW48" s="13">
        <f t="shared" si="306"/>
        <v>25969.402646722887</v>
      </c>
      <c r="BX48" s="13">
        <f t="shared" si="306"/>
        <v>25969.402646722887</v>
      </c>
      <c r="BY48" s="13">
        <f t="shared" si="306"/>
        <v>25969.402646722887</v>
      </c>
    </row>
    <row r="49" spans="2:77" customFormat="1" outlineLevel="1" x14ac:dyDescent="0.25">
      <c r="B49" s="1"/>
      <c r="C49" s="50"/>
      <c r="D49" s="37"/>
      <c r="E49" s="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</row>
    <row r="50" spans="2:77" customFormat="1" outlineLevel="1" x14ac:dyDescent="0.25">
      <c r="B50" s="1"/>
      <c r="C50" s="50" t="s">
        <v>117</v>
      </c>
      <c r="D50" s="37" t="s">
        <v>101</v>
      </c>
      <c r="E50" s="1"/>
      <c r="F50" s="13">
        <f>IF(F$5&gt;$E24,SUM(F46:F48)-F45,0)</f>
        <v>-4836.6612650782263</v>
      </c>
      <c r="G50" s="13">
        <f t="shared" ref="G50:BR50" si="307">IF(G$5&gt;$E24,SUM(G46:G48)-G45,0)</f>
        <v>-5099.5961795952098</v>
      </c>
      <c r="H50" s="13">
        <f t="shared" si="307"/>
        <v>-5363.8109431039848</v>
      </c>
      <c r="I50" s="13">
        <f t="shared" si="307"/>
        <v>-5629.3117853342628</v>
      </c>
      <c r="J50" s="13">
        <f t="shared" si="307"/>
        <v>-5896.1049663392405</v>
      </c>
      <c r="K50" s="13">
        <f t="shared" si="307"/>
        <v>-6164.1967766432426</v>
      </c>
      <c r="L50" s="13">
        <f t="shared" si="307"/>
        <v>-6433.5935373900575</v>
      </c>
      <c r="M50" s="13">
        <f t="shared" si="307"/>
        <v>-6704.3016004919482</v>
      </c>
      <c r="N50" s="13">
        <f t="shared" si="307"/>
        <v>-6976.3273487794286</v>
      </c>
      <c r="O50" s="13">
        <f t="shared" si="307"/>
        <v>-7249.6771961517879</v>
      </c>
      <c r="P50" s="13">
        <f t="shared" si="307"/>
        <v>-6294.8263377282492</v>
      </c>
      <c r="Q50" s="13">
        <f t="shared" si="307"/>
        <v>-6570.8437500000291</v>
      </c>
      <c r="R50" s="13">
        <f t="shared" si="307"/>
        <v>-6757.3867626168649</v>
      </c>
      <c r="S50" s="13">
        <f t="shared" si="307"/>
        <v>-6944.5404685151952</v>
      </c>
      <c r="T50" s="13">
        <f t="shared" si="307"/>
        <v>-7132.3068669459171</v>
      </c>
      <c r="U50" s="13">
        <f t="shared" si="307"/>
        <v>-7320.6879637049424</v>
      </c>
      <c r="V50" s="13">
        <f t="shared" si="307"/>
        <v>-7509.6857711546327</v>
      </c>
      <c r="W50" s="13">
        <f t="shared" si="307"/>
        <v>-7699.3023082453292</v>
      </c>
      <c r="X50" s="13">
        <f t="shared" si="307"/>
        <v>-7889.539600536853</v>
      </c>
      <c r="Y50" s="13">
        <f t="shared" si="307"/>
        <v>-8080.3996802202164</v>
      </c>
      <c r="Z50" s="13">
        <f t="shared" si="307"/>
        <v>-8271.8845861392765</v>
      </c>
      <c r="AA50" s="13">
        <f t="shared" si="307"/>
        <v>-8463.9963638125191</v>
      </c>
      <c r="AB50" s="13">
        <f t="shared" si="307"/>
        <v>-7396.4675342049741</v>
      </c>
      <c r="AC50" s="13">
        <f t="shared" si="307"/>
        <v>-7589.8392187500431</v>
      </c>
      <c r="AD50" s="13">
        <f t="shared" si="307"/>
        <v>-7735.9925604368618</v>
      </c>
      <c r="AE50" s="13">
        <f t="shared" si="307"/>
        <v>-7882.5063556923997</v>
      </c>
      <c r="AF50" s="13">
        <f t="shared" si="307"/>
        <v>-8029.3814934924012</v>
      </c>
      <c r="AG50" s="13">
        <f t="shared" si="307"/>
        <v>-8176.6188650050608</v>
      </c>
      <c r="AH50" s="13">
        <f t="shared" si="307"/>
        <v>-8324.2193635964359</v>
      </c>
      <c r="AI50" s="13">
        <f t="shared" si="307"/>
        <v>-8472.1838848358675</v>
      </c>
      <c r="AJ50" s="13">
        <f t="shared" si="307"/>
        <v>-8620.5133265013937</v>
      </c>
      <c r="AK50" s="13">
        <f t="shared" si="307"/>
        <v>-8769.2085885852575</v>
      </c>
      <c r="AL50" s="13">
        <f t="shared" si="307"/>
        <v>-8918.270573299269</v>
      </c>
      <c r="AM50" s="13">
        <f t="shared" si="307"/>
        <v>-9067.7001850803863</v>
      </c>
      <c r="AN50" s="13">
        <f t="shared" si="307"/>
        <v>0</v>
      </c>
      <c r="AO50" s="13">
        <f t="shared" si="307"/>
        <v>-90.100552892392443</v>
      </c>
      <c r="AP50" s="13">
        <f t="shared" si="307"/>
        <v>-180.42331805483263</v>
      </c>
      <c r="AQ50" s="13">
        <f t="shared" si="307"/>
        <v>-270.96884352275811</v>
      </c>
      <c r="AR50" s="13">
        <f t="shared" si="307"/>
        <v>-361.73767868315917</v>
      </c>
      <c r="AS50" s="13">
        <f t="shared" si="307"/>
        <v>-452.73037427798408</v>
      </c>
      <c r="AT50" s="13">
        <f t="shared" si="307"/>
        <v>-543.94748240745685</v>
      </c>
      <c r="AU50" s="13">
        <f t="shared" si="307"/>
        <v>-696.3509392840715</v>
      </c>
      <c r="AV50" s="13">
        <f t="shared" si="307"/>
        <v>-849.13026419957896</v>
      </c>
      <c r="AW50" s="13">
        <f t="shared" si="307"/>
        <v>-1002.2863841459402</v>
      </c>
      <c r="AX50" s="13">
        <f t="shared" si="307"/>
        <v>-1155.8202284013823</v>
      </c>
      <c r="AY50" s="13">
        <f t="shared" si="307"/>
        <v>-1309.7327285359352</v>
      </c>
      <c r="AZ50" s="13">
        <f t="shared" si="307"/>
        <v>-550.69658173945209</v>
      </c>
      <c r="BA50" s="13">
        <f t="shared" si="307"/>
        <v>-705.36919753804978</v>
      </c>
      <c r="BB50" s="13">
        <f t="shared" si="307"/>
        <v>-834.87085293706332</v>
      </c>
      <c r="BC50" s="13">
        <f t="shared" si="307"/>
        <v>-964.63926054287731</v>
      </c>
      <c r="BD50" s="13">
        <f t="shared" si="307"/>
        <v>-1094.6749698213607</v>
      </c>
      <c r="BE50" s="13">
        <f t="shared" si="307"/>
        <v>-1224.9785313701868</v>
      </c>
      <c r="BF50" s="13">
        <f t="shared" si="307"/>
        <v>-737.59921442924679</v>
      </c>
      <c r="BG50" s="13">
        <f t="shared" si="307"/>
        <v>-868.44013685071695</v>
      </c>
      <c r="BH50" s="13">
        <f t="shared" si="307"/>
        <v>-999.55057014975318</v>
      </c>
      <c r="BI50" s="13">
        <f t="shared" si="307"/>
        <v>-1130.9310694746455</v>
      </c>
      <c r="BJ50" s="13">
        <f t="shared" si="307"/>
        <v>-1262.582191117217</v>
      </c>
      <c r="BK50" s="13">
        <f t="shared" si="307"/>
        <v>-1394.5044925151087</v>
      </c>
      <c r="BL50" s="13">
        <f t="shared" si="307"/>
        <v>-590.53708965959231</v>
      </c>
      <c r="BM50" s="13">
        <f t="shared" si="307"/>
        <v>-723.00342747641116</v>
      </c>
      <c r="BN50" s="13">
        <f t="shared" si="307"/>
        <v>-855.74262426039786</v>
      </c>
      <c r="BO50" s="13">
        <f t="shared" si="307"/>
        <v>-988.75524205635884</v>
      </c>
      <c r="BP50" s="13">
        <f t="shared" si="307"/>
        <v>-1122.0418440668072</v>
      </c>
      <c r="BQ50" s="13">
        <f t="shared" si="307"/>
        <v>-1255.6029946543567</v>
      </c>
      <c r="BR50" s="13">
        <f t="shared" si="307"/>
        <v>-756.03919478991156</v>
      </c>
      <c r="BS50" s="13">
        <f t="shared" ref="BS50:BY50" si="308">IF(BS$5&gt;$E24,SUM(BS46:BS48)-BS45,0)</f>
        <v>-890.15114027189702</v>
      </c>
      <c r="BT50" s="13">
        <f t="shared" si="308"/>
        <v>-1024.5393344034164</v>
      </c>
      <c r="BU50" s="13">
        <f t="shared" si="308"/>
        <v>-1159.2043462114525</v>
      </c>
      <c r="BV50" s="13">
        <f t="shared" si="308"/>
        <v>-1294.1467458950792</v>
      </c>
      <c r="BW50" s="13">
        <f t="shared" si="308"/>
        <v>-1429.3671048279211</v>
      </c>
      <c r="BX50" s="13">
        <f t="shared" si="308"/>
        <v>-605.30051690101391</v>
      </c>
      <c r="BY50" s="13">
        <f t="shared" si="308"/>
        <v>-741.07851316325832</v>
      </c>
    </row>
    <row r="51" spans="2:77" customFormat="1" outlineLevel="1" x14ac:dyDescent="0.25">
      <c r="B51" s="1"/>
      <c r="C51" s="50" t="s">
        <v>25</v>
      </c>
      <c r="D51" s="37" t="s">
        <v>101</v>
      </c>
      <c r="E51" s="1"/>
      <c r="F51" s="62">
        <f>IF(AND(F$5&gt;$E26,F$5&lt;=$E35),-F48,0)</f>
        <v>0</v>
      </c>
      <c r="G51" s="62">
        <f t="shared" ref="G51:BR51" si="309">IF(AND(G$5&gt;$E26,G$5&lt;=$E35),-G48,0)</f>
        <v>0</v>
      </c>
      <c r="H51" s="62">
        <f t="shared" si="309"/>
        <v>0</v>
      </c>
      <c r="I51" s="62">
        <f t="shared" si="309"/>
        <v>0</v>
      </c>
      <c r="J51" s="62">
        <f t="shared" si="309"/>
        <v>0</v>
      </c>
      <c r="K51" s="62">
        <f t="shared" si="309"/>
        <v>0</v>
      </c>
      <c r="L51" s="62">
        <f t="shared" si="309"/>
        <v>0</v>
      </c>
      <c r="M51" s="62">
        <f t="shared" si="309"/>
        <v>0</v>
      </c>
      <c r="N51" s="62">
        <f t="shared" si="309"/>
        <v>0</v>
      </c>
      <c r="O51" s="62">
        <f t="shared" si="309"/>
        <v>0</v>
      </c>
      <c r="P51" s="62">
        <f t="shared" si="309"/>
        <v>0</v>
      </c>
      <c r="Q51" s="62">
        <f t="shared" si="309"/>
        <v>0</v>
      </c>
      <c r="R51" s="62">
        <f t="shared" si="309"/>
        <v>0</v>
      </c>
      <c r="S51" s="62">
        <f t="shared" si="309"/>
        <v>0</v>
      </c>
      <c r="T51" s="62">
        <f t="shared" si="309"/>
        <v>0</v>
      </c>
      <c r="U51" s="62">
        <f t="shared" si="309"/>
        <v>0</v>
      </c>
      <c r="V51" s="62">
        <f t="shared" si="309"/>
        <v>0</v>
      </c>
      <c r="W51" s="62">
        <f t="shared" si="309"/>
        <v>0</v>
      </c>
      <c r="X51" s="62">
        <f t="shared" si="309"/>
        <v>0</v>
      </c>
      <c r="Y51" s="62">
        <f t="shared" si="309"/>
        <v>0</v>
      </c>
      <c r="Z51" s="62">
        <f t="shared" si="309"/>
        <v>0</v>
      </c>
      <c r="AA51" s="62">
        <f t="shared" si="309"/>
        <v>0</v>
      </c>
      <c r="AB51" s="62">
        <f t="shared" si="309"/>
        <v>0</v>
      </c>
      <c r="AC51" s="62">
        <f t="shared" si="309"/>
        <v>0</v>
      </c>
      <c r="AD51" s="62">
        <f t="shared" si="309"/>
        <v>0</v>
      </c>
      <c r="AE51" s="62">
        <f t="shared" si="309"/>
        <v>0</v>
      </c>
      <c r="AF51" s="62">
        <f t="shared" si="309"/>
        <v>0</v>
      </c>
      <c r="AG51" s="62">
        <f t="shared" si="309"/>
        <v>0</v>
      </c>
      <c r="AH51" s="62">
        <f t="shared" si="309"/>
        <v>0</v>
      </c>
      <c r="AI51" s="62">
        <f t="shared" si="309"/>
        <v>0</v>
      </c>
      <c r="AJ51" s="62">
        <f t="shared" si="309"/>
        <v>0</v>
      </c>
      <c r="AK51" s="62">
        <f t="shared" si="309"/>
        <v>0</v>
      </c>
      <c r="AL51" s="62">
        <f t="shared" si="309"/>
        <v>0</v>
      </c>
      <c r="AM51" s="62">
        <f t="shared" si="309"/>
        <v>0</v>
      </c>
      <c r="AN51" s="62">
        <f t="shared" si="309"/>
        <v>-24355.419644738446</v>
      </c>
      <c r="AO51" s="62">
        <f t="shared" si="309"/>
        <v>-24415.486680000042</v>
      </c>
      <c r="AP51" s="62">
        <f t="shared" si="309"/>
        <v>-24475.701856775006</v>
      </c>
      <c r="AQ51" s="62">
        <f t="shared" si="309"/>
        <v>-24536.065540420284</v>
      </c>
      <c r="AR51" s="62">
        <f t="shared" si="309"/>
        <v>-24596.578097193888</v>
      </c>
      <c r="AS51" s="62">
        <f t="shared" si="309"/>
        <v>-24657.239894257102</v>
      </c>
      <c r="AT51" s="62">
        <f t="shared" si="309"/>
        <v>0</v>
      </c>
      <c r="AU51" s="62">
        <f t="shared" si="309"/>
        <v>0</v>
      </c>
      <c r="AV51" s="62">
        <f t="shared" si="309"/>
        <v>0</v>
      </c>
      <c r="AW51" s="62">
        <f t="shared" si="309"/>
        <v>0</v>
      </c>
      <c r="AX51" s="62">
        <f t="shared" si="309"/>
        <v>0</v>
      </c>
      <c r="AY51" s="62">
        <f t="shared" si="309"/>
        <v>0</v>
      </c>
      <c r="AZ51" s="62">
        <f t="shared" si="309"/>
        <v>0</v>
      </c>
      <c r="BA51" s="62">
        <f t="shared" si="309"/>
        <v>0</v>
      </c>
      <c r="BB51" s="62">
        <f t="shared" si="309"/>
        <v>0</v>
      </c>
      <c r="BC51" s="62">
        <f t="shared" si="309"/>
        <v>0</v>
      </c>
      <c r="BD51" s="62">
        <f t="shared" si="309"/>
        <v>0</v>
      </c>
      <c r="BE51" s="62">
        <f t="shared" si="309"/>
        <v>0</v>
      </c>
      <c r="BF51" s="62">
        <f t="shared" si="309"/>
        <v>0</v>
      </c>
      <c r="BG51" s="62">
        <f t="shared" si="309"/>
        <v>0</v>
      </c>
      <c r="BH51" s="62">
        <f t="shared" si="309"/>
        <v>0</v>
      </c>
      <c r="BI51" s="62">
        <f t="shared" si="309"/>
        <v>0</v>
      </c>
      <c r="BJ51" s="62">
        <f t="shared" si="309"/>
        <v>0</v>
      </c>
      <c r="BK51" s="62">
        <f t="shared" si="309"/>
        <v>0</v>
      </c>
      <c r="BL51" s="62">
        <f t="shared" si="309"/>
        <v>0</v>
      </c>
      <c r="BM51" s="62">
        <f t="shared" si="309"/>
        <v>0</v>
      </c>
      <c r="BN51" s="62">
        <f t="shared" si="309"/>
        <v>0</v>
      </c>
      <c r="BO51" s="62">
        <f t="shared" si="309"/>
        <v>0</v>
      </c>
      <c r="BP51" s="62">
        <f t="shared" si="309"/>
        <v>0</v>
      </c>
      <c r="BQ51" s="62">
        <f t="shared" si="309"/>
        <v>0</v>
      </c>
      <c r="BR51" s="62">
        <f t="shared" si="309"/>
        <v>0</v>
      </c>
      <c r="BS51" s="62">
        <f t="shared" ref="BS51:BY51" si="310">IF(AND(BS$5&gt;$E26,BS$5&lt;=$E35),-BS48,0)</f>
        <v>0</v>
      </c>
      <c r="BT51" s="62">
        <f t="shared" si="310"/>
        <v>0</v>
      </c>
      <c r="BU51" s="62">
        <f t="shared" si="310"/>
        <v>0</v>
      </c>
      <c r="BV51" s="62">
        <f t="shared" si="310"/>
        <v>0</v>
      </c>
      <c r="BW51" s="62">
        <f t="shared" si="310"/>
        <v>0</v>
      </c>
      <c r="BX51" s="62">
        <f t="shared" si="310"/>
        <v>0</v>
      </c>
      <c r="BY51" s="62">
        <f t="shared" si="310"/>
        <v>0</v>
      </c>
    </row>
    <row r="52" spans="2:77" customFormat="1" outlineLevel="1" x14ac:dyDescent="0.25">
      <c r="B52" s="1"/>
      <c r="C52" s="50" t="s">
        <v>26</v>
      </c>
      <c r="D52" s="37" t="s">
        <v>101</v>
      </c>
      <c r="E52" s="1"/>
      <c r="F52" s="62">
        <f t="shared" ref="F52:AK52" si="311">IF(AND(F$5&gt;$E24,F$5&lt;=EOMONTH($E24,$E28)),-F46,0)+IF(AND(F$5&gt;$E26,F$5&lt;=EOMONTH($E26,Renewal_Free_Rent_Months)),-F47,0)+IF(AND(F$5&gt;$E35,F$5&lt;=EOMONTH($E35,New_Free_Rent_Months)),-F48,0)</f>
        <v>0</v>
      </c>
      <c r="G52" s="62">
        <f t="shared" si="311"/>
        <v>0</v>
      </c>
      <c r="H52" s="62">
        <f t="shared" si="311"/>
        <v>0</v>
      </c>
      <c r="I52" s="62">
        <f t="shared" si="311"/>
        <v>0</v>
      </c>
      <c r="J52" s="62">
        <f t="shared" si="311"/>
        <v>0</v>
      </c>
      <c r="K52" s="62">
        <f t="shared" si="311"/>
        <v>0</v>
      </c>
      <c r="L52" s="62">
        <f t="shared" si="311"/>
        <v>0</v>
      </c>
      <c r="M52" s="62">
        <f t="shared" si="311"/>
        <v>0</v>
      </c>
      <c r="N52" s="62">
        <f t="shared" si="311"/>
        <v>0</v>
      </c>
      <c r="O52" s="62">
        <f t="shared" si="311"/>
        <v>0</v>
      </c>
      <c r="P52" s="62">
        <f t="shared" si="311"/>
        <v>0</v>
      </c>
      <c r="Q52" s="62">
        <f t="shared" si="311"/>
        <v>0</v>
      </c>
      <c r="R52" s="62">
        <f t="shared" si="311"/>
        <v>0</v>
      </c>
      <c r="S52" s="62">
        <f t="shared" si="311"/>
        <v>0</v>
      </c>
      <c r="T52" s="62">
        <f t="shared" si="311"/>
        <v>0</v>
      </c>
      <c r="U52" s="62">
        <f t="shared" si="311"/>
        <v>0</v>
      </c>
      <c r="V52" s="62">
        <f t="shared" si="311"/>
        <v>0</v>
      </c>
      <c r="W52" s="62">
        <f t="shared" si="311"/>
        <v>0</v>
      </c>
      <c r="X52" s="62">
        <f t="shared" si="311"/>
        <v>0</v>
      </c>
      <c r="Y52" s="62">
        <f t="shared" si="311"/>
        <v>0</v>
      </c>
      <c r="Z52" s="62">
        <f t="shared" si="311"/>
        <v>0</v>
      </c>
      <c r="AA52" s="62">
        <f t="shared" si="311"/>
        <v>0</v>
      </c>
      <c r="AB52" s="62">
        <f t="shared" si="311"/>
        <v>0</v>
      </c>
      <c r="AC52" s="62">
        <f t="shared" si="311"/>
        <v>0</v>
      </c>
      <c r="AD52" s="62">
        <f t="shared" si="311"/>
        <v>0</v>
      </c>
      <c r="AE52" s="62">
        <f t="shared" si="311"/>
        <v>0</v>
      </c>
      <c r="AF52" s="62">
        <f t="shared" si="311"/>
        <v>0</v>
      </c>
      <c r="AG52" s="62">
        <f t="shared" si="311"/>
        <v>0</v>
      </c>
      <c r="AH52" s="62">
        <f t="shared" si="311"/>
        <v>0</v>
      </c>
      <c r="AI52" s="62">
        <f t="shared" si="311"/>
        <v>0</v>
      </c>
      <c r="AJ52" s="62">
        <f t="shared" si="311"/>
        <v>0</v>
      </c>
      <c r="AK52" s="62">
        <f t="shared" si="311"/>
        <v>0</v>
      </c>
      <c r="AL52" s="62">
        <f t="shared" ref="AL52:BQ52" si="312">IF(AND(AL$5&gt;$E24,AL$5&lt;=EOMONTH($E24,$E28)),-AL46,0)+IF(AND(AL$5&gt;$E26,AL$5&lt;=EOMONTH($E26,Renewal_Free_Rent_Months)),-AL47,0)+IF(AND(AL$5&gt;$E35,AL$5&lt;=EOMONTH($E35,New_Free_Rent_Months)),-AL48,0)</f>
        <v>0</v>
      </c>
      <c r="AM52" s="62">
        <f t="shared" si="312"/>
        <v>0</v>
      </c>
      <c r="AN52" s="62">
        <f t="shared" si="312"/>
        <v>-36533.129467107668</v>
      </c>
      <c r="AO52" s="62">
        <f t="shared" si="312"/>
        <v>-36533.129467107668</v>
      </c>
      <c r="AP52" s="62">
        <f t="shared" si="312"/>
        <v>0</v>
      </c>
      <c r="AQ52" s="62">
        <f t="shared" si="312"/>
        <v>0</v>
      </c>
      <c r="AR52" s="62">
        <f t="shared" si="312"/>
        <v>0</v>
      </c>
      <c r="AS52" s="62">
        <f t="shared" si="312"/>
        <v>0</v>
      </c>
      <c r="AT52" s="62">
        <f t="shared" si="312"/>
        <v>-24718.051299676754</v>
      </c>
      <c r="AU52" s="62">
        <f t="shared" si="312"/>
        <v>-24718.051299676754</v>
      </c>
      <c r="AV52" s="62">
        <f t="shared" si="312"/>
        <v>-24718.051299676754</v>
      </c>
      <c r="AW52" s="62">
        <f t="shared" si="312"/>
        <v>0</v>
      </c>
      <c r="AX52" s="62">
        <f t="shared" si="312"/>
        <v>0</v>
      </c>
      <c r="AY52" s="62">
        <f t="shared" si="312"/>
        <v>0</v>
      </c>
      <c r="AZ52" s="62">
        <f t="shared" si="312"/>
        <v>0</v>
      </c>
      <c r="BA52" s="62">
        <f t="shared" si="312"/>
        <v>0</v>
      </c>
      <c r="BB52" s="62">
        <f t="shared" si="312"/>
        <v>0</v>
      </c>
      <c r="BC52" s="62">
        <f t="shared" si="312"/>
        <v>0</v>
      </c>
      <c r="BD52" s="62">
        <f t="shared" si="312"/>
        <v>0</v>
      </c>
      <c r="BE52" s="62">
        <f t="shared" si="312"/>
        <v>0</v>
      </c>
      <c r="BF52" s="62">
        <f t="shared" si="312"/>
        <v>0</v>
      </c>
      <c r="BG52" s="62">
        <f t="shared" si="312"/>
        <v>0</v>
      </c>
      <c r="BH52" s="62">
        <f t="shared" si="312"/>
        <v>0</v>
      </c>
      <c r="BI52" s="62">
        <f t="shared" si="312"/>
        <v>0</v>
      </c>
      <c r="BJ52" s="62">
        <f t="shared" si="312"/>
        <v>0</v>
      </c>
      <c r="BK52" s="62">
        <f t="shared" si="312"/>
        <v>0</v>
      </c>
      <c r="BL52" s="62">
        <f t="shared" si="312"/>
        <v>0</v>
      </c>
      <c r="BM52" s="62">
        <f t="shared" si="312"/>
        <v>0</v>
      </c>
      <c r="BN52" s="62">
        <f t="shared" si="312"/>
        <v>0</v>
      </c>
      <c r="BO52" s="62">
        <f t="shared" si="312"/>
        <v>0</v>
      </c>
      <c r="BP52" s="62">
        <f t="shared" si="312"/>
        <v>0</v>
      </c>
      <c r="BQ52" s="62">
        <f t="shared" si="312"/>
        <v>0</v>
      </c>
      <c r="BR52" s="62">
        <f t="shared" ref="BR52:BY52" si="313">IF(AND(BR$5&gt;$E24,BR$5&lt;=EOMONTH($E24,$E28)),-BR46,0)+IF(AND(BR$5&gt;$E26,BR$5&lt;=EOMONTH($E26,Renewal_Free_Rent_Months)),-BR47,0)+IF(AND(BR$5&gt;$E35,BR$5&lt;=EOMONTH($E35,New_Free_Rent_Months)),-BR48,0)</f>
        <v>0</v>
      </c>
      <c r="BS52" s="62">
        <f t="shared" si="313"/>
        <v>0</v>
      </c>
      <c r="BT52" s="62">
        <f t="shared" si="313"/>
        <v>0</v>
      </c>
      <c r="BU52" s="62">
        <f t="shared" si="313"/>
        <v>0</v>
      </c>
      <c r="BV52" s="62">
        <f t="shared" si="313"/>
        <v>0</v>
      </c>
      <c r="BW52" s="62">
        <f t="shared" si="313"/>
        <v>0</v>
      </c>
      <c r="BX52" s="62">
        <f t="shared" si="313"/>
        <v>0</v>
      </c>
      <c r="BY52" s="62">
        <f t="shared" si="313"/>
        <v>0</v>
      </c>
    </row>
    <row r="53" spans="2:77" customFormat="1" outlineLevel="1" x14ac:dyDescent="0.25">
      <c r="B53" s="1"/>
      <c r="C53" s="50" t="s">
        <v>27</v>
      </c>
      <c r="D53" s="37" t="s">
        <v>101</v>
      </c>
      <c r="E53" s="1"/>
      <c r="F53" s="62">
        <f t="shared" ref="F53:AK53" si="314">IF(F$5=EOMONTH($E24,1),-New_TIs*$E23*F$15,0)+IF(F$5=EOMONTH($E30,1),-Renewal_TIs*$E23*F$15*Renewal_Probability,0)+IF(F$5=EOMONTH($E35,1),-New_TIs*$E23*F$15*(1-Renewal_Probability),0)</f>
        <v>0</v>
      </c>
      <c r="G53" s="62">
        <f t="shared" si="314"/>
        <v>0</v>
      </c>
      <c r="H53" s="62">
        <f t="shared" si="314"/>
        <v>0</v>
      </c>
      <c r="I53" s="62">
        <f t="shared" si="314"/>
        <v>0</v>
      </c>
      <c r="J53" s="62">
        <f t="shared" si="314"/>
        <v>0</v>
      </c>
      <c r="K53" s="62">
        <f t="shared" si="314"/>
        <v>0</v>
      </c>
      <c r="L53" s="62">
        <f t="shared" si="314"/>
        <v>0</v>
      </c>
      <c r="M53" s="62">
        <f t="shared" si="314"/>
        <v>0</v>
      </c>
      <c r="N53" s="62">
        <f t="shared" si="314"/>
        <v>0</v>
      </c>
      <c r="O53" s="62">
        <f t="shared" si="314"/>
        <v>0</v>
      </c>
      <c r="P53" s="62">
        <f t="shared" si="314"/>
        <v>0</v>
      </c>
      <c r="Q53" s="62">
        <f t="shared" si="314"/>
        <v>0</v>
      </c>
      <c r="R53" s="62">
        <f t="shared" si="314"/>
        <v>0</v>
      </c>
      <c r="S53" s="62">
        <f t="shared" si="314"/>
        <v>0</v>
      </c>
      <c r="T53" s="62">
        <f t="shared" si="314"/>
        <v>0</v>
      </c>
      <c r="U53" s="62">
        <f t="shared" si="314"/>
        <v>0</v>
      </c>
      <c r="V53" s="62">
        <f t="shared" si="314"/>
        <v>0</v>
      </c>
      <c r="W53" s="62">
        <f t="shared" si="314"/>
        <v>0</v>
      </c>
      <c r="X53" s="62">
        <f t="shared" si="314"/>
        <v>0</v>
      </c>
      <c r="Y53" s="62">
        <f t="shared" si="314"/>
        <v>0</v>
      </c>
      <c r="Z53" s="62">
        <f t="shared" si="314"/>
        <v>0</v>
      </c>
      <c r="AA53" s="62">
        <f t="shared" si="314"/>
        <v>0</v>
      </c>
      <c r="AB53" s="62">
        <f t="shared" si="314"/>
        <v>0</v>
      </c>
      <c r="AC53" s="62">
        <f t="shared" si="314"/>
        <v>0</v>
      </c>
      <c r="AD53" s="62">
        <f t="shared" si="314"/>
        <v>0</v>
      </c>
      <c r="AE53" s="62">
        <f t="shared" si="314"/>
        <v>0</v>
      </c>
      <c r="AF53" s="62">
        <f t="shared" si="314"/>
        <v>0</v>
      </c>
      <c r="AG53" s="62">
        <f t="shared" si="314"/>
        <v>0</v>
      </c>
      <c r="AH53" s="62">
        <f t="shared" si="314"/>
        <v>0</v>
      </c>
      <c r="AI53" s="62">
        <f t="shared" si="314"/>
        <v>0</v>
      </c>
      <c r="AJ53" s="62">
        <f t="shared" si="314"/>
        <v>0</v>
      </c>
      <c r="AK53" s="62">
        <f t="shared" si="314"/>
        <v>0</v>
      </c>
      <c r="AL53" s="62">
        <f t="shared" ref="AL53:BQ53" si="315">IF(AL$5=EOMONTH($E24,1),-New_TIs*$E23*AL$15,0)+IF(AL$5=EOMONTH($E30,1),-Renewal_TIs*$E23*AL$15*Renewal_Probability,0)+IF(AL$5=EOMONTH($E35,1),-New_TIs*$E23*AL$15*(1-Renewal_Probability),0)</f>
        <v>0</v>
      </c>
      <c r="AM53" s="62">
        <f t="shared" si="315"/>
        <v>0</v>
      </c>
      <c r="AN53" s="62">
        <f t="shared" si="315"/>
        <v>-179658.45225951666</v>
      </c>
      <c r="AO53" s="62">
        <f t="shared" si="315"/>
        <v>0</v>
      </c>
      <c r="AP53" s="62">
        <f t="shared" si="315"/>
        <v>0</v>
      </c>
      <c r="AQ53" s="62">
        <f t="shared" si="315"/>
        <v>0</v>
      </c>
      <c r="AR53" s="62">
        <f t="shared" si="315"/>
        <v>0</v>
      </c>
      <c r="AS53" s="62">
        <f t="shared" si="315"/>
        <v>0</v>
      </c>
      <c r="AT53" s="62">
        <f t="shared" si="315"/>
        <v>-272169.21387202153</v>
      </c>
      <c r="AU53" s="62">
        <f t="shared" si="315"/>
        <v>0</v>
      </c>
      <c r="AV53" s="62">
        <f t="shared" si="315"/>
        <v>0</v>
      </c>
      <c r="AW53" s="62">
        <f t="shared" si="315"/>
        <v>0</v>
      </c>
      <c r="AX53" s="62">
        <f t="shared" si="315"/>
        <v>0</v>
      </c>
      <c r="AY53" s="62">
        <f t="shared" si="315"/>
        <v>0</v>
      </c>
      <c r="AZ53" s="62">
        <f t="shared" si="315"/>
        <v>0</v>
      </c>
      <c r="BA53" s="62">
        <f t="shared" si="315"/>
        <v>0</v>
      </c>
      <c r="BB53" s="62">
        <f t="shared" si="315"/>
        <v>0</v>
      </c>
      <c r="BC53" s="62">
        <f t="shared" si="315"/>
        <v>0</v>
      </c>
      <c r="BD53" s="62">
        <f t="shared" si="315"/>
        <v>0</v>
      </c>
      <c r="BE53" s="62">
        <f t="shared" si="315"/>
        <v>0</v>
      </c>
      <c r="BF53" s="62">
        <f t="shared" si="315"/>
        <v>0</v>
      </c>
      <c r="BG53" s="62">
        <f t="shared" si="315"/>
        <v>0</v>
      </c>
      <c r="BH53" s="62">
        <f t="shared" si="315"/>
        <v>0</v>
      </c>
      <c r="BI53" s="62">
        <f t="shared" si="315"/>
        <v>0</v>
      </c>
      <c r="BJ53" s="62">
        <f t="shared" si="315"/>
        <v>0</v>
      </c>
      <c r="BK53" s="62">
        <f t="shared" si="315"/>
        <v>0</v>
      </c>
      <c r="BL53" s="62">
        <f t="shared" si="315"/>
        <v>0</v>
      </c>
      <c r="BM53" s="62">
        <f t="shared" si="315"/>
        <v>0</v>
      </c>
      <c r="BN53" s="62">
        <f t="shared" si="315"/>
        <v>0</v>
      </c>
      <c r="BO53" s="62">
        <f t="shared" si="315"/>
        <v>0</v>
      </c>
      <c r="BP53" s="62">
        <f t="shared" si="315"/>
        <v>0</v>
      </c>
      <c r="BQ53" s="62">
        <f t="shared" si="315"/>
        <v>0</v>
      </c>
      <c r="BR53" s="62">
        <f t="shared" ref="BR53:BY53" si="316">IF(BR$5=EOMONTH($E24,1),-New_TIs*$E23*BR$15,0)+IF(BR$5=EOMONTH($E30,1),-Renewal_TIs*$E23*BR$15*Renewal_Probability,0)+IF(BR$5=EOMONTH($E35,1),-New_TIs*$E23*BR$15*(1-Renewal_Probability),0)</f>
        <v>0</v>
      </c>
      <c r="BS53" s="62">
        <f t="shared" si="316"/>
        <v>0</v>
      </c>
      <c r="BT53" s="62">
        <f t="shared" si="316"/>
        <v>0</v>
      </c>
      <c r="BU53" s="62">
        <f t="shared" si="316"/>
        <v>0</v>
      </c>
      <c r="BV53" s="62">
        <f t="shared" si="316"/>
        <v>0</v>
      </c>
      <c r="BW53" s="62">
        <f t="shared" si="316"/>
        <v>0</v>
      </c>
      <c r="BX53" s="62">
        <f t="shared" si="316"/>
        <v>0</v>
      </c>
      <c r="BY53" s="62">
        <f t="shared" si="316"/>
        <v>0</v>
      </c>
    </row>
    <row r="54" spans="2:77" customFormat="1" outlineLevel="1" x14ac:dyDescent="0.25">
      <c r="B54" s="1"/>
      <c r="C54" s="50" t="s">
        <v>28</v>
      </c>
      <c r="D54" s="37" t="s">
        <v>101</v>
      </c>
      <c r="E54" s="1"/>
      <c r="F54" s="62">
        <f t="shared" ref="F54:AK54" si="317">IF(F$5=EOMONTH($E24,1),-New_LC_Pct*FV($E27,$E25,-F41*$E23),0)+IF(F$5=EOMONTH($E30,1),-Renewal_LC_Pct*FV($E33,$E31,-F42*$E23)*Renewal_Probability,0)+IF(F$5=EOMONTH($E35,1),-New_LC_Pct*FV($E38,$E36,-F43*$E23)*(1-Renewal_Probability),0)</f>
        <v>0</v>
      </c>
      <c r="G54" s="62">
        <f t="shared" si="317"/>
        <v>0</v>
      </c>
      <c r="H54" s="62">
        <f t="shared" si="317"/>
        <v>0</v>
      </c>
      <c r="I54" s="62">
        <f t="shared" si="317"/>
        <v>0</v>
      </c>
      <c r="J54" s="62">
        <f t="shared" si="317"/>
        <v>0</v>
      </c>
      <c r="K54" s="62">
        <f t="shared" si="317"/>
        <v>0</v>
      </c>
      <c r="L54" s="62">
        <f t="shared" si="317"/>
        <v>0</v>
      </c>
      <c r="M54" s="62">
        <f t="shared" si="317"/>
        <v>0</v>
      </c>
      <c r="N54" s="62">
        <f t="shared" si="317"/>
        <v>0</v>
      </c>
      <c r="O54" s="62">
        <f t="shared" si="317"/>
        <v>0</v>
      </c>
      <c r="P54" s="62">
        <f t="shared" si="317"/>
        <v>0</v>
      </c>
      <c r="Q54" s="62">
        <f t="shared" si="317"/>
        <v>0</v>
      </c>
      <c r="R54" s="62">
        <f t="shared" si="317"/>
        <v>0</v>
      </c>
      <c r="S54" s="62">
        <f t="shared" si="317"/>
        <v>0</v>
      </c>
      <c r="T54" s="62">
        <f t="shared" si="317"/>
        <v>0</v>
      </c>
      <c r="U54" s="62">
        <f t="shared" si="317"/>
        <v>0</v>
      </c>
      <c r="V54" s="62">
        <f t="shared" si="317"/>
        <v>0</v>
      </c>
      <c r="W54" s="62">
        <f t="shared" si="317"/>
        <v>0</v>
      </c>
      <c r="X54" s="62">
        <f t="shared" si="317"/>
        <v>0</v>
      </c>
      <c r="Y54" s="62">
        <f t="shared" si="317"/>
        <v>0</v>
      </c>
      <c r="Z54" s="62">
        <f t="shared" si="317"/>
        <v>0</v>
      </c>
      <c r="AA54" s="62">
        <f t="shared" si="317"/>
        <v>0</v>
      </c>
      <c r="AB54" s="62">
        <f t="shared" si="317"/>
        <v>0</v>
      </c>
      <c r="AC54" s="62">
        <f t="shared" si="317"/>
        <v>0</v>
      </c>
      <c r="AD54" s="62">
        <f t="shared" si="317"/>
        <v>0</v>
      </c>
      <c r="AE54" s="62">
        <f t="shared" si="317"/>
        <v>0</v>
      </c>
      <c r="AF54" s="62">
        <f t="shared" si="317"/>
        <v>0</v>
      </c>
      <c r="AG54" s="62">
        <f t="shared" si="317"/>
        <v>0</v>
      </c>
      <c r="AH54" s="62">
        <f t="shared" si="317"/>
        <v>0</v>
      </c>
      <c r="AI54" s="62">
        <f t="shared" si="317"/>
        <v>0</v>
      </c>
      <c r="AJ54" s="62">
        <f t="shared" si="317"/>
        <v>0</v>
      </c>
      <c r="AK54" s="62">
        <f t="shared" si="317"/>
        <v>0</v>
      </c>
      <c r="AL54" s="62">
        <f t="shared" ref="AL54:BQ54" si="318">IF(AL$5=EOMONTH($E24,1),-New_LC_Pct*FV($E27,$E25,-AL41*$E23),0)+IF(AL$5=EOMONTH($E30,1),-Renewal_LC_Pct*FV($E33,$E31,-AL42*$E23)*Renewal_Probability,0)+IF(AL$5=EOMONTH($E35,1),-New_LC_Pct*FV($E38,$E36,-AL43*$E23)*(1-Renewal_Probability),0)</f>
        <v>0</v>
      </c>
      <c r="AM54" s="62">
        <f t="shared" si="318"/>
        <v>0</v>
      </c>
      <c r="AN54" s="62">
        <f t="shared" si="318"/>
        <v>-69130.846865871892</v>
      </c>
      <c r="AO54" s="62">
        <f t="shared" si="318"/>
        <v>0</v>
      </c>
      <c r="AP54" s="62">
        <f t="shared" si="318"/>
        <v>0</v>
      </c>
      <c r="AQ54" s="62">
        <f t="shared" si="318"/>
        <v>0</v>
      </c>
      <c r="AR54" s="62">
        <f t="shared" si="318"/>
        <v>0</v>
      </c>
      <c r="AS54" s="62">
        <f t="shared" si="318"/>
        <v>0</v>
      </c>
      <c r="AT54" s="62">
        <f t="shared" si="318"/>
        <v>-93546.862485963968</v>
      </c>
      <c r="AU54" s="62">
        <f t="shared" si="318"/>
        <v>0</v>
      </c>
      <c r="AV54" s="62">
        <f t="shared" si="318"/>
        <v>0</v>
      </c>
      <c r="AW54" s="62">
        <f t="shared" si="318"/>
        <v>0</v>
      </c>
      <c r="AX54" s="62">
        <f t="shared" si="318"/>
        <v>0</v>
      </c>
      <c r="AY54" s="62">
        <f t="shared" si="318"/>
        <v>0</v>
      </c>
      <c r="AZ54" s="62">
        <f t="shared" si="318"/>
        <v>0</v>
      </c>
      <c r="BA54" s="62">
        <f t="shared" si="318"/>
        <v>0</v>
      </c>
      <c r="BB54" s="62">
        <f t="shared" si="318"/>
        <v>0</v>
      </c>
      <c r="BC54" s="62">
        <f t="shared" si="318"/>
        <v>0</v>
      </c>
      <c r="BD54" s="62">
        <f t="shared" si="318"/>
        <v>0</v>
      </c>
      <c r="BE54" s="62">
        <f t="shared" si="318"/>
        <v>0</v>
      </c>
      <c r="BF54" s="62">
        <f t="shared" si="318"/>
        <v>0</v>
      </c>
      <c r="BG54" s="62">
        <f t="shared" si="318"/>
        <v>0</v>
      </c>
      <c r="BH54" s="62">
        <f t="shared" si="318"/>
        <v>0</v>
      </c>
      <c r="BI54" s="62">
        <f t="shared" si="318"/>
        <v>0</v>
      </c>
      <c r="BJ54" s="62">
        <f t="shared" si="318"/>
        <v>0</v>
      </c>
      <c r="BK54" s="62">
        <f t="shared" si="318"/>
        <v>0</v>
      </c>
      <c r="BL54" s="62">
        <f t="shared" si="318"/>
        <v>0</v>
      </c>
      <c r="BM54" s="62">
        <f t="shared" si="318"/>
        <v>0</v>
      </c>
      <c r="BN54" s="62">
        <f t="shared" si="318"/>
        <v>0</v>
      </c>
      <c r="BO54" s="62">
        <f t="shared" si="318"/>
        <v>0</v>
      </c>
      <c r="BP54" s="62">
        <f t="shared" si="318"/>
        <v>0</v>
      </c>
      <c r="BQ54" s="62">
        <f t="shared" si="318"/>
        <v>0</v>
      </c>
      <c r="BR54" s="62">
        <f t="shared" ref="BR54:BY54" si="319">IF(BR$5=EOMONTH($E24,1),-New_LC_Pct*FV($E27,$E25,-BR41*$E23),0)+IF(BR$5=EOMONTH($E30,1),-Renewal_LC_Pct*FV($E33,$E31,-BR42*$E23)*Renewal_Probability,0)+IF(BR$5=EOMONTH($E35,1),-New_LC_Pct*FV($E38,$E36,-BR43*$E23)*(1-Renewal_Probability),0)</f>
        <v>0</v>
      </c>
      <c r="BS54" s="62">
        <f t="shared" si="319"/>
        <v>0</v>
      </c>
      <c r="BT54" s="62">
        <f t="shared" si="319"/>
        <v>0</v>
      </c>
      <c r="BU54" s="62">
        <f t="shared" si="319"/>
        <v>0</v>
      </c>
      <c r="BV54" s="62">
        <f t="shared" si="319"/>
        <v>0</v>
      </c>
      <c r="BW54" s="62">
        <f t="shared" si="319"/>
        <v>0</v>
      </c>
      <c r="BX54" s="62">
        <f t="shared" si="319"/>
        <v>0</v>
      </c>
      <c r="BY54" s="62">
        <f t="shared" si="319"/>
        <v>0</v>
      </c>
    </row>
    <row r="55" spans="2:77" customFormat="1" outlineLevel="1" x14ac:dyDescent="0.25">
      <c r="B55" s="1"/>
      <c r="C55" s="44"/>
      <c r="D55" s="56"/>
      <c r="E55" s="1"/>
      <c r="F55" s="93"/>
      <c r="G55" s="93"/>
      <c r="H55" s="1"/>
      <c r="I55" s="1"/>
      <c r="J55" s="1"/>
      <c r="K55" s="93"/>
      <c r="AP55" s="62"/>
    </row>
    <row r="56" spans="2:77" customFormat="1" outlineLevel="1" x14ac:dyDescent="0.25">
      <c r="B56" s="1"/>
      <c r="C56" s="50" t="s">
        <v>29</v>
      </c>
      <c r="D56" s="37" t="s">
        <v>101</v>
      </c>
      <c r="E56" s="1"/>
      <c r="F56" s="62">
        <f t="shared" ref="F56:AK56" si="320">-IF(F$5&gt;$E24,SUM(F$338:F$341)*($E23/Rentable_Sq_Ft)*IF(AND(F$5&gt;$E26,F$5&lt;=$E35),Renewal_Probability,1),0)</f>
        <v>17237.496941632904</v>
      </c>
      <c r="G56" s="62">
        <f t="shared" si="320"/>
        <v>17293.928021116259</v>
      </c>
      <c r="H56" s="62">
        <f t="shared" si="320"/>
        <v>17350.543841269471</v>
      </c>
      <c r="I56" s="62">
        <f t="shared" si="320"/>
        <v>17407.345006885422</v>
      </c>
      <c r="J56" s="62">
        <f t="shared" si="320"/>
        <v>17464.332124736924</v>
      </c>
      <c r="K56" s="62">
        <f t="shared" si="320"/>
        <v>17521.505803583208</v>
      </c>
      <c r="L56" s="62">
        <f t="shared" si="320"/>
        <v>17578.866654176432</v>
      </c>
      <c r="M56" s="62">
        <f t="shared" si="320"/>
        <v>17636.415289268178</v>
      </c>
      <c r="N56" s="62">
        <f t="shared" si="320"/>
        <v>17694.152323616036</v>
      </c>
      <c r="O56" s="62">
        <f t="shared" si="320"/>
        <v>17752.078373990142</v>
      </c>
      <c r="P56" s="62">
        <f t="shared" si="320"/>
        <v>17810.194059179783</v>
      </c>
      <c r="Q56" s="62">
        <f t="shared" si="320"/>
        <v>17868.500000000007</v>
      </c>
      <c r="R56" s="62">
        <f t="shared" si="320"/>
        <v>17912.568541426415</v>
      </c>
      <c r="S56" s="62">
        <f t="shared" si="320"/>
        <v>17956.745767764452</v>
      </c>
      <c r="T56" s="62">
        <f t="shared" si="320"/>
        <v>18001.031947060434</v>
      </c>
      <c r="U56" s="62">
        <f t="shared" si="320"/>
        <v>18045.427348021742</v>
      </c>
      <c r="V56" s="62">
        <f t="shared" si="320"/>
        <v>18089.932240018468</v>
      </c>
      <c r="W56" s="62">
        <f t="shared" si="320"/>
        <v>18134.546893085047</v>
      </c>
      <c r="X56" s="62">
        <f t="shared" si="320"/>
        <v>18179.271577921885</v>
      </c>
      <c r="Y56" s="62">
        <f t="shared" si="320"/>
        <v>18224.106565897015</v>
      </c>
      <c r="Z56" s="62">
        <f t="shared" si="320"/>
        <v>18269.052129047726</v>
      </c>
      <c r="AA56" s="62">
        <f t="shared" si="320"/>
        <v>18314.108540082238</v>
      </c>
      <c r="AB56" s="62">
        <f t="shared" si="320"/>
        <v>18359.276072381334</v>
      </c>
      <c r="AC56" s="62">
        <f t="shared" si="320"/>
        <v>18404.555000000029</v>
      </c>
      <c r="AD56" s="62">
        <f t="shared" si="320"/>
        <v>18434.951618908191</v>
      </c>
      <c r="AE56" s="62">
        <f t="shared" si="320"/>
        <v>18465.398440303783</v>
      </c>
      <c r="AF56" s="62">
        <f t="shared" si="320"/>
        <v>18495.895547100296</v>
      </c>
      <c r="AG56" s="62">
        <f t="shared" si="320"/>
        <v>18526.443022348158</v>
      </c>
      <c r="AH56" s="62">
        <f t="shared" si="320"/>
        <v>18557.040949234957</v>
      </c>
      <c r="AI56" s="62">
        <f t="shared" si="320"/>
        <v>18587.689411085681</v>
      </c>
      <c r="AJ56" s="62">
        <f t="shared" si="320"/>
        <v>18618.38849136293</v>
      </c>
      <c r="AK56" s="62">
        <f t="shared" si="320"/>
        <v>18649.138273667151</v>
      </c>
      <c r="AL56" s="62">
        <f t="shared" ref="AL56:BQ56" si="321">-IF(AL$5&gt;$E24,SUM(AL$338:AL$341)*($E23/Rentable_Sq_Ft)*IF(AND(AL$5&gt;$E26,AL$5&lt;=$E35),Renewal_Probability,1),0)</f>
        <v>18679.938841736868</v>
      </c>
      <c r="AM56" s="62">
        <f t="shared" si="321"/>
        <v>18710.790279448891</v>
      </c>
      <c r="AN56" s="62">
        <f t="shared" si="321"/>
        <v>11245.015602491147</v>
      </c>
      <c r="AO56" s="62">
        <f t="shared" si="321"/>
        <v>11263.587660000023</v>
      </c>
      <c r="AP56" s="62">
        <f t="shared" si="321"/>
        <v>11282.190390771817</v>
      </c>
      <c r="AQ56" s="62">
        <f t="shared" si="321"/>
        <v>11300.82384546592</v>
      </c>
      <c r="AR56" s="62">
        <f t="shared" si="321"/>
        <v>11319.488074825387</v>
      </c>
      <c r="AS56" s="62">
        <f t="shared" si="321"/>
        <v>11338.183129677078</v>
      </c>
      <c r="AT56" s="62">
        <f t="shared" si="321"/>
        <v>18928.181768219671</v>
      </c>
      <c r="AU56" s="62">
        <f t="shared" si="321"/>
        <v>18959.443199307407</v>
      </c>
      <c r="AV56" s="62">
        <f t="shared" si="321"/>
        <v>18990.756261190203</v>
      </c>
      <c r="AW56" s="62">
        <f t="shared" si="321"/>
        <v>19022.121039140507</v>
      </c>
      <c r="AX56" s="62">
        <f t="shared" si="321"/>
        <v>19053.537618571616</v>
      </c>
      <c r="AY56" s="62">
        <f t="shared" si="321"/>
        <v>19085.006085037883</v>
      </c>
      <c r="AZ56" s="62">
        <f t="shared" si="321"/>
        <v>19116.526524234963</v>
      </c>
      <c r="BA56" s="62">
        <f t="shared" si="321"/>
        <v>19148.099022000057</v>
      </c>
      <c r="BB56" s="62">
        <f t="shared" si="321"/>
        <v>19171.871151729225</v>
      </c>
      <c r="BC56" s="62">
        <f t="shared" si="321"/>
        <v>19195.672794265443</v>
      </c>
      <c r="BD56" s="62">
        <f t="shared" si="321"/>
        <v>19219.503986248503</v>
      </c>
      <c r="BE56" s="62">
        <f t="shared" si="321"/>
        <v>19243.36476436368</v>
      </c>
      <c r="BF56" s="62">
        <f t="shared" si="321"/>
        <v>19267.255165341787</v>
      </c>
      <c r="BG56" s="62">
        <f t="shared" si="321"/>
        <v>19291.175225959254</v>
      </c>
      <c r="BH56" s="62">
        <f t="shared" si="321"/>
        <v>19315.124983038153</v>
      </c>
      <c r="BI56" s="62">
        <f t="shared" si="321"/>
        <v>19339.104473446278</v>
      </c>
      <c r="BJ56" s="62">
        <f t="shared" si="321"/>
        <v>19363.113734097191</v>
      </c>
      <c r="BK56" s="62">
        <f t="shared" si="321"/>
        <v>19387.15280195028</v>
      </c>
      <c r="BL56" s="62">
        <f t="shared" si="321"/>
        <v>19411.221714010826</v>
      </c>
      <c r="BM56" s="62">
        <f t="shared" si="321"/>
        <v>19435.320507330045</v>
      </c>
      <c r="BN56" s="62">
        <f t="shared" si="321"/>
        <v>19459.449219005146</v>
      </c>
      <c r="BO56" s="62">
        <f t="shared" si="321"/>
        <v>19483.607886179412</v>
      </c>
      <c r="BP56" s="62">
        <f t="shared" si="321"/>
        <v>19507.796546042217</v>
      </c>
      <c r="BQ56" s="62">
        <f t="shared" si="321"/>
        <v>19532.015235829123</v>
      </c>
      <c r="BR56" s="62">
        <f t="shared" ref="BR56:BY56" si="322">-IF(BR$5&gt;$E24,SUM(BR$338:BR$341)*($E23/Rentable_Sq_Ft)*IF(AND(BR$5&gt;$E26,BR$5&lt;=$E35),Renewal_Probability,1),0)</f>
        <v>19556.263992821903</v>
      </c>
      <c r="BS56" s="62">
        <f t="shared" si="322"/>
        <v>19580.542854348627</v>
      </c>
      <c r="BT56" s="62">
        <f t="shared" si="322"/>
        <v>19604.851857783709</v>
      </c>
      <c r="BU56" s="62">
        <f t="shared" si="322"/>
        <v>19629.191040547958</v>
      </c>
      <c r="BV56" s="62">
        <f t="shared" si="322"/>
        <v>19653.560440108631</v>
      </c>
      <c r="BW56" s="62">
        <f t="shared" si="322"/>
        <v>19677.96009397952</v>
      </c>
      <c r="BX56" s="62">
        <f t="shared" si="322"/>
        <v>19702.390039720973</v>
      </c>
      <c r="BY56" s="62">
        <f t="shared" si="322"/>
        <v>19726.850314939977</v>
      </c>
    </row>
    <row r="57" spans="2:77" customFormat="1" outlineLevel="1" x14ac:dyDescent="0.25">
      <c r="B57" s="1"/>
      <c r="C57" s="50" t="s">
        <v>125</v>
      </c>
      <c r="D57" s="37" t="s">
        <v>101</v>
      </c>
      <c r="E57" s="1"/>
      <c r="F57" s="62">
        <f t="shared" ref="F57:AK57" si="323">IF(F$5&lt;=$E24,-F40*$E23/Months,0)</f>
        <v>0</v>
      </c>
      <c r="G57" s="62">
        <f t="shared" si="323"/>
        <v>0</v>
      </c>
      <c r="H57" s="62">
        <f t="shared" si="323"/>
        <v>0</v>
      </c>
      <c r="I57" s="62">
        <f t="shared" si="323"/>
        <v>0</v>
      </c>
      <c r="J57" s="62">
        <f t="shared" si="323"/>
        <v>0</v>
      </c>
      <c r="K57" s="62">
        <f t="shared" si="323"/>
        <v>0</v>
      </c>
      <c r="L57" s="62">
        <f t="shared" si="323"/>
        <v>0</v>
      </c>
      <c r="M57" s="62">
        <f t="shared" si="323"/>
        <v>0</v>
      </c>
      <c r="N57" s="62">
        <f t="shared" si="323"/>
        <v>0</v>
      </c>
      <c r="O57" s="62">
        <f t="shared" si="323"/>
        <v>0</v>
      </c>
      <c r="P57" s="62">
        <f t="shared" si="323"/>
        <v>0</v>
      </c>
      <c r="Q57" s="62">
        <f t="shared" si="323"/>
        <v>0</v>
      </c>
      <c r="R57" s="62">
        <f t="shared" si="323"/>
        <v>0</v>
      </c>
      <c r="S57" s="62">
        <f t="shared" si="323"/>
        <v>0</v>
      </c>
      <c r="T57" s="62">
        <f t="shared" si="323"/>
        <v>0</v>
      </c>
      <c r="U57" s="62">
        <f t="shared" si="323"/>
        <v>0</v>
      </c>
      <c r="V57" s="62">
        <f t="shared" si="323"/>
        <v>0</v>
      </c>
      <c r="W57" s="62">
        <f t="shared" si="323"/>
        <v>0</v>
      </c>
      <c r="X57" s="62">
        <f t="shared" si="323"/>
        <v>0</v>
      </c>
      <c r="Y57" s="62">
        <f t="shared" si="323"/>
        <v>0</v>
      </c>
      <c r="Z57" s="62">
        <f t="shared" si="323"/>
        <v>0</v>
      </c>
      <c r="AA57" s="62">
        <f t="shared" si="323"/>
        <v>0</v>
      </c>
      <c r="AB57" s="62">
        <f t="shared" si="323"/>
        <v>0</v>
      </c>
      <c r="AC57" s="62">
        <f t="shared" si="323"/>
        <v>0</v>
      </c>
      <c r="AD57" s="62">
        <f t="shared" si="323"/>
        <v>0</v>
      </c>
      <c r="AE57" s="62">
        <f t="shared" si="323"/>
        <v>0</v>
      </c>
      <c r="AF57" s="62">
        <f t="shared" si="323"/>
        <v>0</v>
      </c>
      <c r="AG57" s="62">
        <f t="shared" si="323"/>
        <v>0</v>
      </c>
      <c r="AH57" s="62">
        <f t="shared" si="323"/>
        <v>0</v>
      </c>
      <c r="AI57" s="62">
        <f t="shared" si="323"/>
        <v>0</v>
      </c>
      <c r="AJ57" s="62">
        <f t="shared" si="323"/>
        <v>0</v>
      </c>
      <c r="AK57" s="62">
        <f t="shared" si="323"/>
        <v>0</v>
      </c>
      <c r="AL57" s="62">
        <f t="shared" ref="AL57:BQ57" si="324">IF(AL$5&lt;=$E24,-AL40*$E23/Months,0)</f>
        <v>0</v>
      </c>
      <c r="AM57" s="62">
        <f t="shared" si="324"/>
        <v>0</v>
      </c>
      <c r="AN57" s="62">
        <f t="shared" si="324"/>
        <v>0</v>
      </c>
      <c r="AO57" s="62">
        <f t="shared" si="324"/>
        <v>0</v>
      </c>
      <c r="AP57" s="62">
        <f t="shared" si="324"/>
        <v>0</v>
      </c>
      <c r="AQ57" s="62">
        <f t="shared" si="324"/>
        <v>0</v>
      </c>
      <c r="AR57" s="62">
        <f t="shared" si="324"/>
        <v>0</v>
      </c>
      <c r="AS57" s="62">
        <f t="shared" si="324"/>
        <v>0</v>
      </c>
      <c r="AT57" s="62">
        <f t="shared" si="324"/>
        <v>0</v>
      </c>
      <c r="AU57" s="62">
        <f t="shared" si="324"/>
        <v>0</v>
      </c>
      <c r="AV57" s="62">
        <f t="shared" si="324"/>
        <v>0</v>
      </c>
      <c r="AW57" s="62">
        <f t="shared" si="324"/>
        <v>0</v>
      </c>
      <c r="AX57" s="62">
        <f t="shared" si="324"/>
        <v>0</v>
      </c>
      <c r="AY57" s="62">
        <f t="shared" si="324"/>
        <v>0</v>
      </c>
      <c r="AZ57" s="62">
        <f t="shared" si="324"/>
        <v>0</v>
      </c>
      <c r="BA57" s="62">
        <f t="shared" si="324"/>
        <v>0</v>
      </c>
      <c r="BB57" s="62">
        <f t="shared" si="324"/>
        <v>0</v>
      </c>
      <c r="BC57" s="62">
        <f t="shared" si="324"/>
        <v>0</v>
      </c>
      <c r="BD57" s="62">
        <f t="shared" si="324"/>
        <v>0</v>
      </c>
      <c r="BE57" s="62">
        <f t="shared" si="324"/>
        <v>0</v>
      </c>
      <c r="BF57" s="62">
        <f t="shared" si="324"/>
        <v>0</v>
      </c>
      <c r="BG57" s="62">
        <f t="shared" si="324"/>
        <v>0</v>
      </c>
      <c r="BH57" s="62">
        <f t="shared" si="324"/>
        <v>0</v>
      </c>
      <c r="BI57" s="62">
        <f t="shared" si="324"/>
        <v>0</v>
      </c>
      <c r="BJ57" s="62">
        <f t="shared" si="324"/>
        <v>0</v>
      </c>
      <c r="BK57" s="62">
        <f t="shared" si="324"/>
        <v>0</v>
      </c>
      <c r="BL57" s="62">
        <f t="shared" si="324"/>
        <v>0</v>
      </c>
      <c r="BM57" s="62">
        <f t="shared" si="324"/>
        <v>0</v>
      </c>
      <c r="BN57" s="62">
        <f t="shared" si="324"/>
        <v>0</v>
      </c>
      <c r="BO57" s="62">
        <f t="shared" si="324"/>
        <v>0</v>
      </c>
      <c r="BP57" s="62">
        <f t="shared" si="324"/>
        <v>0</v>
      </c>
      <c r="BQ57" s="62">
        <f t="shared" si="324"/>
        <v>0</v>
      </c>
      <c r="BR57" s="62">
        <f t="shared" ref="BR57:BY57" si="325">IF(BR$5&lt;=$E24,-BR40*$E23/Months,0)</f>
        <v>0</v>
      </c>
      <c r="BS57" s="62">
        <f t="shared" si="325"/>
        <v>0</v>
      </c>
      <c r="BT57" s="62">
        <f t="shared" si="325"/>
        <v>0</v>
      </c>
      <c r="BU57" s="62">
        <f t="shared" si="325"/>
        <v>0</v>
      </c>
      <c r="BV57" s="62">
        <f t="shared" si="325"/>
        <v>0</v>
      </c>
      <c r="BW57" s="62">
        <f t="shared" si="325"/>
        <v>0</v>
      </c>
      <c r="BX57" s="62">
        <f t="shared" si="325"/>
        <v>0</v>
      </c>
      <c r="BY57" s="62">
        <f t="shared" si="325"/>
        <v>0</v>
      </c>
    </row>
    <row r="58" spans="2:77" customFormat="1" outlineLevel="1" x14ac:dyDescent="0.25">
      <c r="B58" s="1"/>
      <c r="C58" s="1"/>
      <c r="D58" s="1"/>
      <c r="E58" s="284"/>
      <c r="F58" s="1"/>
      <c r="G58" s="1"/>
      <c r="H58" s="1"/>
      <c r="I58" s="1"/>
      <c r="J58" s="1"/>
    </row>
    <row r="59" spans="2:77" customFormat="1" outlineLevel="1" x14ac:dyDescent="0.25">
      <c r="B59" s="1"/>
      <c r="C59" s="46" t="s">
        <v>283</v>
      </c>
      <c r="D59" s="47"/>
      <c r="E59" s="48"/>
      <c r="F59" s="48"/>
      <c r="G59" s="48"/>
      <c r="H59" s="48"/>
      <c r="I59" s="48"/>
      <c r="J59" s="48"/>
      <c r="K59" s="48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</row>
    <row r="60" spans="2:77" customFormat="1" outlineLevel="1" x14ac:dyDescent="0.25">
      <c r="B60" s="1"/>
      <c r="C60" s="74" t="s">
        <v>289</v>
      </c>
      <c r="D60" s="53" t="s">
        <v>12</v>
      </c>
      <c r="E60" s="15" t="s">
        <v>293</v>
      </c>
      <c r="F60" s="1"/>
      <c r="G60" s="1"/>
      <c r="H60" s="1"/>
      <c r="I60" s="1"/>
      <c r="J60" s="1"/>
      <c r="P60" s="92"/>
      <c r="Q60" s="92"/>
      <c r="R60" s="92"/>
      <c r="S60" s="92"/>
      <c r="T60" s="92"/>
      <c r="U60" s="92"/>
      <c r="V60" s="92"/>
      <c r="W60" s="92"/>
      <c r="X60" s="92"/>
      <c r="Y60" s="92"/>
    </row>
    <row r="61" spans="2:77" customFormat="1" outlineLevel="1" x14ac:dyDescent="0.25">
      <c r="B61" s="1"/>
      <c r="C61" s="74" t="s">
        <v>114</v>
      </c>
      <c r="D61" s="53" t="s">
        <v>16</v>
      </c>
      <c r="E61" s="11">
        <v>0.15</v>
      </c>
      <c r="F61" s="1"/>
      <c r="G61" s="1"/>
      <c r="H61" s="1"/>
      <c r="I61" s="1"/>
      <c r="J61" s="1"/>
      <c r="P61" s="92"/>
      <c r="Q61" s="92"/>
      <c r="R61" s="92"/>
      <c r="S61" s="92"/>
      <c r="T61" s="92"/>
      <c r="U61" s="92"/>
      <c r="V61" s="92"/>
      <c r="W61" s="92"/>
      <c r="X61" s="92"/>
      <c r="Y61" s="92"/>
    </row>
    <row r="62" spans="2:77" customFormat="1" outlineLevel="1" x14ac:dyDescent="0.25">
      <c r="B62" s="1"/>
      <c r="C62" s="50" t="s">
        <v>115</v>
      </c>
      <c r="D62" s="55" t="s">
        <v>22</v>
      </c>
      <c r="E62" s="146">
        <f>+E61*Rentable_Sq_Ft</f>
        <v>8235</v>
      </c>
      <c r="F62" s="1"/>
      <c r="G62" s="1"/>
      <c r="H62" s="1"/>
      <c r="I62" s="1"/>
      <c r="J62" s="1"/>
    </row>
    <row r="63" spans="2:77" customFormat="1" outlineLevel="1" x14ac:dyDescent="0.25">
      <c r="B63" s="1"/>
      <c r="C63" s="50" t="s">
        <v>39</v>
      </c>
      <c r="D63" s="36" t="s">
        <v>13</v>
      </c>
      <c r="E63" s="14">
        <v>43039</v>
      </c>
      <c r="F63" s="1"/>
      <c r="G63" s="1"/>
      <c r="H63" s="1"/>
      <c r="I63" s="1"/>
      <c r="J63" s="1"/>
    </row>
    <row r="64" spans="2:77" customFormat="1" outlineLevel="1" x14ac:dyDescent="0.25">
      <c r="B64" s="1"/>
      <c r="C64" s="50" t="s">
        <v>55</v>
      </c>
      <c r="D64" s="36" t="s">
        <v>17</v>
      </c>
      <c r="E64" s="51">
        <v>4</v>
      </c>
      <c r="F64" s="1"/>
      <c r="G64" s="1"/>
      <c r="H64" s="1"/>
      <c r="I64" s="1"/>
      <c r="J64" s="1"/>
    </row>
    <row r="65" spans="2:77" customFormat="1" outlineLevel="1" x14ac:dyDescent="0.25">
      <c r="B65" s="1"/>
      <c r="C65" s="50" t="s">
        <v>23</v>
      </c>
      <c r="D65" s="36" t="s">
        <v>13</v>
      </c>
      <c r="E65" s="102">
        <f>EOMONTH(E63,E64*Months)</f>
        <v>44500</v>
      </c>
      <c r="F65" s="1"/>
      <c r="G65" s="1"/>
      <c r="H65" s="1"/>
      <c r="I65" s="1"/>
      <c r="J65" s="1"/>
    </row>
    <row r="66" spans="2:77" customFormat="1" outlineLevel="1" x14ac:dyDescent="0.25">
      <c r="B66" s="1"/>
      <c r="C66" s="74" t="s">
        <v>263</v>
      </c>
      <c r="D66" s="38" t="s">
        <v>16</v>
      </c>
      <c r="E66" s="128">
        <v>0.03</v>
      </c>
      <c r="F66" s="105">
        <f>IF(AND(E$5&gt;$E63,F$5&lt;$E65,MONTH(E$5)=MONTH($E63)),$E66,0)</f>
        <v>0</v>
      </c>
      <c r="G66" s="105">
        <f t="shared" ref="G66" si="326">IF(AND(F$5&gt;$E63,G$5&lt;$E65,MONTH(F$5)=MONTH($E63)),$E66,0)</f>
        <v>0</v>
      </c>
      <c r="H66" s="105">
        <f t="shared" ref="H66" si="327">IF(AND(G$5&gt;$E63,H$5&lt;$E65,MONTH(G$5)=MONTH($E63)),$E66,0)</f>
        <v>0</v>
      </c>
      <c r="I66" s="105">
        <f t="shared" ref="I66" si="328">IF(AND(H$5&gt;$E63,I$5&lt;$E65,MONTH(H$5)=MONTH($E63)),$E66,0)</f>
        <v>0</v>
      </c>
      <c r="J66" s="105">
        <f t="shared" ref="J66" si="329">IF(AND(I$5&gt;$E63,J$5&lt;$E65,MONTH(I$5)=MONTH($E63)),$E66,0)</f>
        <v>0</v>
      </c>
      <c r="K66" s="105">
        <f t="shared" ref="K66" si="330">IF(AND(J$5&gt;$E63,K$5&lt;$E65,MONTH(J$5)=MONTH($E63)),$E66,0)</f>
        <v>0</v>
      </c>
      <c r="L66" s="105">
        <f t="shared" ref="L66" si="331">IF(AND(K$5&gt;$E63,L$5&lt;$E65,MONTH(K$5)=MONTH($E63)),$E66,0)</f>
        <v>0</v>
      </c>
      <c r="M66" s="105">
        <f t="shared" ref="M66" si="332">IF(AND(L$5&gt;$E63,M$5&lt;$E65,MONTH(L$5)=MONTH($E63)),$E66,0)</f>
        <v>0</v>
      </c>
      <c r="N66" s="105">
        <f t="shared" ref="N66" si="333">IF(AND(M$5&gt;$E63,N$5&lt;$E65,MONTH(M$5)=MONTH($E63)),$E66,0)</f>
        <v>0</v>
      </c>
      <c r="O66" s="105">
        <f t="shared" ref="O66" si="334">IF(AND(N$5&gt;$E63,O$5&lt;$E65,MONTH(N$5)=MONTH($E63)),$E66,0)</f>
        <v>0</v>
      </c>
      <c r="P66" s="105">
        <f t="shared" ref="P66" si="335">IF(AND(O$5&gt;$E63,P$5&lt;$E65,MONTH(O$5)=MONTH($E63)),$E66,0)</f>
        <v>0.03</v>
      </c>
      <c r="Q66" s="105">
        <f t="shared" ref="Q66" si="336">IF(AND(P$5&gt;$E63,Q$5&lt;$E65,MONTH(P$5)=MONTH($E63)),$E66,0)</f>
        <v>0</v>
      </c>
      <c r="R66" s="105">
        <f t="shared" ref="R66" si="337">IF(AND(Q$5&gt;$E63,R$5&lt;$E65,MONTH(Q$5)=MONTH($E63)),$E66,0)</f>
        <v>0</v>
      </c>
      <c r="S66" s="105">
        <f t="shared" ref="S66" si="338">IF(AND(R$5&gt;$E63,S$5&lt;$E65,MONTH(R$5)=MONTH($E63)),$E66,0)</f>
        <v>0</v>
      </c>
      <c r="T66" s="105">
        <f t="shared" ref="T66" si="339">IF(AND(S$5&gt;$E63,T$5&lt;$E65,MONTH(S$5)=MONTH($E63)),$E66,0)</f>
        <v>0</v>
      </c>
      <c r="U66" s="105">
        <f t="shared" ref="U66" si="340">IF(AND(T$5&gt;$E63,U$5&lt;$E65,MONTH(T$5)=MONTH($E63)),$E66,0)</f>
        <v>0</v>
      </c>
      <c r="V66" s="105">
        <f t="shared" ref="V66" si="341">IF(AND(U$5&gt;$E63,V$5&lt;$E65,MONTH(U$5)=MONTH($E63)),$E66,0)</f>
        <v>0</v>
      </c>
      <c r="W66" s="105">
        <f t="shared" ref="W66" si="342">IF(AND(V$5&gt;$E63,W$5&lt;$E65,MONTH(V$5)=MONTH($E63)),$E66,0)</f>
        <v>0</v>
      </c>
      <c r="X66" s="105">
        <f t="shared" ref="X66" si="343">IF(AND(W$5&gt;$E63,X$5&lt;$E65,MONTH(W$5)=MONTH($E63)),$E66,0)</f>
        <v>0</v>
      </c>
      <c r="Y66" s="105">
        <f t="shared" ref="Y66" si="344">IF(AND(X$5&gt;$E63,Y$5&lt;$E65,MONTH(X$5)=MONTH($E63)),$E66,0)</f>
        <v>0</v>
      </c>
      <c r="Z66" s="105">
        <f t="shared" ref="Z66" si="345">IF(AND(Y$5&gt;$E63,Z$5&lt;$E65,MONTH(Y$5)=MONTH($E63)),$E66,0)</f>
        <v>0</v>
      </c>
      <c r="AA66" s="105">
        <f t="shared" ref="AA66" si="346">IF(AND(Z$5&gt;$E63,AA$5&lt;$E65,MONTH(Z$5)=MONTH($E63)),$E66,0)</f>
        <v>0</v>
      </c>
      <c r="AB66" s="105">
        <f t="shared" ref="AB66" si="347">IF(AND(AA$5&gt;$E63,AB$5&lt;$E65,MONTH(AA$5)=MONTH($E63)),$E66,0)</f>
        <v>0.03</v>
      </c>
      <c r="AC66" s="105">
        <f t="shared" ref="AC66" si="348">IF(AND(AB$5&gt;$E63,AC$5&lt;$E65,MONTH(AB$5)=MONTH($E63)),$E66,0)</f>
        <v>0</v>
      </c>
      <c r="AD66" s="105">
        <f t="shared" ref="AD66" si="349">IF(AND(AC$5&gt;$E63,AD$5&lt;$E65,MONTH(AC$5)=MONTH($E63)),$E66,0)</f>
        <v>0</v>
      </c>
      <c r="AE66" s="105">
        <f t="shared" ref="AE66" si="350">IF(AND(AD$5&gt;$E63,AE$5&lt;$E65,MONTH(AD$5)=MONTH($E63)),$E66,0)</f>
        <v>0</v>
      </c>
      <c r="AF66" s="105">
        <f t="shared" ref="AF66" si="351">IF(AND(AE$5&gt;$E63,AF$5&lt;$E65,MONTH(AE$5)=MONTH($E63)),$E66,0)</f>
        <v>0</v>
      </c>
      <c r="AG66" s="105">
        <f t="shared" ref="AG66" si="352">IF(AND(AF$5&gt;$E63,AG$5&lt;$E65,MONTH(AF$5)=MONTH($E63)),$E66,0)</f>
        <v>0</v>
      </c>
      <c r="AH66" s="105">
        <f t="shared" ref="AH66" si="353">IF(AND(AG$5&gt;$E63,AH$5&lt;$E65,MONTH(AG$5)=MONTH($E63)),$E66,0)</f>
        <v>0</v>
      </c>
      <c r="AI66" s="105">
        <f t="shared" ref="AI66" si="354">IF(AND(AH$5&gt;$E63,AI$5&lt;$E65,MONTH(AH$5)=MONTH($E63)),$E66,0)</f>
        <v>0</v>
      </c>
      <c r="AJ66" s="105">
        <f t="shared" ref="AJ66" si="355">IF(AND(AI$5&gt;$E63,AJ$5&lt;$E65,MONTH(AI$5)=MONTH($E63)),$E66,0)</f>
        <v>0</v>
      </c>
      <c r="AK66" s="105">
        <f t="shared" ref="AK66" si="356">IF(AND(AJ$5&gt;$E63,AK$5&lt;$E65,MONTH(AJ$5)=MONTH($E63)),$E66,0)</f>
        <v>0</v>
      </c>
      <c r="AL66" s="105">
        <f t="shared" ref="AL66" si="357">IF(AND(AK$5&gt;$E63,AL$5&lt;$E65,MONTH(AK$5)=MONTH($E63)),$E66,0)</f>
        <v>0</v>
      </c>
      <c r="AM66" s="105">
        <f t="shared" ref="AM66" si="358">IF(AND(AL$5&gt;$E63,AM$5&lt;$E65,MONTH(AL$5)=MONTH($E63)),$E66,0)</f>
        <v>0</v>
      </c>
      <c r="AN66" s="105">
        <f t="shared" ref="AN66" si="359">IF(AND(AM$5&gt;$E63,AN$5&lt;$E65,MONTH(AM$5)=MONTH($E63)),$E66,0)</f>
        <v>0.03</v>
      </c>
      <c r="AO66" s="105">
        <f t="shared" ref="AO66" si="360">IF(AND(AN$5&gt;$E63,AO$5&lt;$E65,MONTH(AN$5)=MONTH($E63)),$E66,0)</f>
        <v>0</v>
      </c>
      <c r="AP66" s="105">
        <f t="shared" ref="AP66" si="361">IF(AND(AO$5&gt;$E63,AP$5&lt;$E65,MONTH(AO$5)=MONTH($E63)),$E66,0)</f>
        <v>0</v>
      </c>
      <c r="AQ66" s="105">
        <f t="shared" ref="AQ66" si="362">IF(AND(AP$5&gt;$E63,AQ$5&lt;$E65,MONTH(AP$5)=MONTH($E63)),$E66,0)</f>
        <v>0</v>
      </c>
      <c r="AR66" s="105">
        <f t="shared" ref="AR66" si="363">IF(AND(AQ$5&gt;$E63,AR$5&lt;$E65,MONTH(AQ$5)=MONTH($E63)),$E66,0)</f>
        <v>0</v>
      </c>
      <c r="AS66" s="105">
        <f t="shared" ref="AS66" si="364">IF(AND(AR$5&gt;$E63,AS$5&lt;$E65,MONTH(AR$5)=MONTH($E63)),$E66,0)</f>
        <v>0</v>
      </c>
      <c r="AT66" s="105">
        <f t="shared" ref="AT66" si="365">IF(AND(AS$5&gt;$E63,AT$5&lt;$E65,MONTH(AS$5)=MONTH($E63)),$E66,0)</f>
        <v>0</v>
      </c>
      <c r="AU66" s="105">
        <f t="shared" ref="AU66" si="366">IF(AND(AT$5&gt;$E63,AU$5&lt;$E65,MONTH(AT$5)=MONTH($E63)),$E66,0)</f>
        <v>0</v>
      </c>
      <c r="AV66" s="105">
        <f t="shared" ref="AV66" si="367">IF(AND(AU$5&gt;$E63,AV$5&lt;$E65,MONTH(AU$5)=MONTH($E63)),$E66,0)</f>
        <v>0</v>
      </c>
      <c r="AW66" s="105">
        <f t="shared" ref="AW66" si="368">IF(AND(AV$5&gt;$E63,AW$5&lt;$E65,MONTH(AV$5)=MONTH($E63)),$E66,0)</f>
        <v>0</v>
      </c>
      <c r="AX66" s="105">
        <f t="shared" ref="AX66" si="369">IF(AND(AW$5&gt;$E63,AX$5&lt;$E65,MONTH(AW$5)=MONTH($E63)),$E66,0)</f>
        <v>0</v>
      </c>
      <c r="AY66" s="105">
        <f t="shared" ref="AY66" si="370">IF(AND(AX$5&gt;$E63,AY$5&lt;$E65,MONTH(AX$5)=MONTH($E63)),$E66,0)</f>
        <v>0</v>
      </c>
      <c r="AZ66" s="105">
        <f t="shared" ref="AZ66" si="371">IF(AND(AY$5&gt;$E63,AZ$5&lt;$E65,MONTH(AY$5)=MONTH($E63)),$E66,0)</f>
        <v>0</v>
      </c>
      <c r="BA66" s="105">
        <f t="shared" ref="BA66" si="372">IF(AND(AZ$5&gt;$E63,BA$5&lt;$E65,MONTH(AZ$5)=MONTH($E63)),$E66,0)</f>
        <v>0</v>
      </c>
      <c r="BB66" s="105">
        <f t="shared" ref="BB66" si="373">IF(AND(BA$5&gt;$E63,BB$5&lt;$E65,MONTH(BA$5)=MONTH($E63)),$E66,0)</f>
        <v>0</v>
      </c>
      <c r="BC66" s="105">
        <f t="shared" ref="BC66" si="374">IF(AND(BB$5&gt;$E63,BC$5&lt;$E65,MONTH(BB$5)=MONTH($E63)),$E66,0)</f>
        <v>0</v>
      </c>
      <c r="BD66" s="105">
        <f t="shared" ref="BD66" si="375">IF(AND(BC$5&gt;$E63,BD$5&lt;$E65,MONTH(BC$5)=MONTH($E63)),$E66,0)</f>
        <v>0</v>
      </c>
      <c r="BE66" s="105">
        <f t="shared" ref="BE66" si="376">IF(AND(BD$5&gt;$E63,BE$5&lt;$E65,MONTH(BD$5)=MONTH($E63)),$E66,0)</f>
        <v>0</v>
      </c>
      <c r="BF66" s="105">
        <f t="shared" ref="BF66" si="377">IF(AND(BE$5&gt;$E63,BF$5&lt;$E65,MONTH(BE$5)=MONTH($E63)),$E66,0)</f>
        <v>0</v>
      </c>
      <c r="BG66" s="105">
        <f t="shared" ref="BG66" si="378">IF(AND(BF$5&gt;$E63,BG$5&lt;$E65,MONTH(BF$5)=MONTH($E63)),$E66,0)</f>
        <v>0</v>
      </c>
      <c r="BH66" s="105">
        <f t="shared" ref="BH66" si="379">IF(AND(BG$5&gt;$E63,BH$5&lt;$E65,MONTH(BG$5)=MONTH($E63)),$E66,0)</f>
        <v>0</v>
      </c>
      <c r="BI66" s="105">
        <f t="shared" ref="BI66" si="380">IF(AND(BH$5&gt;$E63,BI$5&lt;$E65,MONTH(BH$5)=MONTH($E63)),$E66,0)</f>
        <v>0</v>
      </c>
      <c r="BJ66" s="105">
        <f t="shared" ref="BJ66" si="381">IF(AND(BI$5&gt;$E63,BJ$5&lt;$E65,MONTH(BI$5)=MONTH($E63)),$E66,0)</f>
        <v>0</v>
      </c>
      <c r="BK66" s="105">
        <f t="shared" ref="BK66" si="382">IF(AND(BJ$5&gt;$E63,BK$5&lt;$E65,MONTH(BJ$5)=MONTH($E63)),$E66,0)</f>
        <v>0</v>
      </c>
      <c r="BL66" s="105">
        <f t="shared" ref="BL66" si="383">IF(AND(BK$5&gt;$E63,BL$5&lt;$E65,MONTH(BK$5)=MONTH($E63)),$E66,0)</f>
        <v>0</v>
      </c>
      <c r="BM66" s="105">
        <f t="shared" ref="BM66" si="384">IF(AND(BL$5&gt;$E63,BM$5&lt;$E65,MONTH(BL$5)=MONTH($E63)),$E66,0)</f>
        <v>0</v>
      </c>
      <c r="BN66" s="105">
        <f t="shared" ref="BN66" si="385">IF(AND(BM$5&gt;$E63,BN$5&lt;$E65,MONTH(BM$5)=MONTH($E63)),$E66,0)</f>
        <v>0</v>
      </c>
      <c r="BO66" s="105">
        <f t="shared" ref="BO66" si="386">IF(AND(BN$5&gt;$E63,BO$5&lt;$E65,MONTH(BN$5)=MONTH($E63)),$E66,0)</f>
        <v>0</v>
      </c>
      <c r="BP66" s="105">
        <f t="shared" ref="BP66" si="387">IF(AND(BO$5&gt;$E63,BP$5&lt;$E65,MONTH(BO$5)=MONTH($E63)),$E66,0)</f>
        <v>0</v>
      </c>
      <c r="BQ66" s="105">
        <f t="shared" ref="BQ66" si="388">IF(AND(BP$5&gt;$E63,BQ$5&lt;$E65,MONTH(BP$5)=MONTH($E63)),$E66,0)</f>
        <v>0</v>
      </c>
      <c r="BR66" s="105">
        <f t="shared" ref="BR66" si="389">IF(AND(BQ$5&gt;$E63,BR$5&lt;$E65,MONTH(BQ$5)=MONTH($E63)),$E66,0)</f>
        <v>0</v>
      </c>
      <c r="BS66" s="105">
        <f t="shared" ref="BS66" si="390">IF(AND(BR$5&gt;$E63,BS$5&lt;$E65,MONTH(BR$5)=MONTH($E63)),$E66,0)</f>
        <v>0</v>
      </c>
      <c r="BT66" s="105">
        <f t="shared" ref="BT66" si="391">IF(AND(BS$5&gt;$E63,BT$5&lt;$E65,MONTH(BS$5)=MONTH($E63)),$E66,0)</f>
        <v>0</v>
      </c>
      <c r="BU66" s="105">
        <f t="shared" ref="BU66" si="392">IF(AND(BT$5&gt;$E63,BU$5&lt;$E65,MONTH(BT$5)=MONTH($E63)),$E66,0)</f>
        <v>0</v>
      </c>
      <c r="BV66" s="105">
        <f t="shared" ref="BV66" si="393">IF(AND(BU$5&gt;$E63,BV$5&lt;$E65,MONTH(BU$5)=MONTH($E63)),$E66,0)</f>
        <v>0</v>
      </c>
      <c r="BW66" s="105">
        <f t="shared" ref="BW66" si="394">IF(AND(BV$5&gt;$E63,BW$5&lt;$E65,MONTH(BV$5)=MONTH($E63)),$E66,0)</f>
        <v>0</v>
      </c>
      <c r="BX66" s="105">
        <f t="shared" ref="BX66" si="395">IF(AND(BW$5&gt;$E63,BX$5&lt;$E65,MONTH(BW$5)=MONTH($E63)),$E66,0)</f>
        <v>0</v>
      </c>
      <c r="BY66" s="105">
        <f t="shared" ref="BY66" si="396">IF(AND(BX$5&gt;$E63,BY$5&lt;$E65,MONTH(BX$5)=MONTH($E63)),$E66,0)</f>
        <v>0</v>
      </c>
    </row>
    <row r="67" spans="2:77" customFormat="1" outlineLevel="1" x14ac:dyDescent="0.25">
      <c r="B67" s="1"/>
      <c r="C67" s="74" t="s">
        <v>264</v>
      </c>
      <c r="D67" s="36" t="s">
        <v>19</v>
      </c>
      <c r="E67" s="51">
        <v>4</v>
      </c>
      <c r="F67" s="1"/>
      <c r="G67" s="1"/>
      <c r="H67" s="1"/>
      <c r="I67" s="1"/>
      <c r="J67" s="1"/>
      <c r="AP67" s="62"/>
    </row>
    <row r="68" spans="2:77" customFormat="1" outlineLevel="1" x14ac:dyDescent="0.25">
      <c r="B68" s="1"/>
      <c r="C68" s="44"/>
      <c r="D68" s="56"/>
      <c r="E68" s="285"/>
      <c r="F68" s="1"/>
      <c r="G68" s="1"/>
      <c r="H68" s="1"/>
      <c r="I68" s="1"/>
      <c r="J68" s="1"/>
      <c r="AP68" s="62"/>
    </row>
    <row r="69" spans="2:77" customFormat="1" outlineLevel="1" x14ac:dyDescent="0.25">
      <c r="B69" s="1"/>
      <c r="C69" s="74" t="s">
        <v>265</v>
      </c>
      <c r="D69" s="36" t="s">
        <v>13</v>
      </c>
      <c r="E69" s="145">
        <f>E65</f>
        <v>44500</v>
      </c>
      <c r="F69" s="1"/>
      <c r="G69" s="1"/>
      <c r="H69" s="1"/>
      <c r="I69" s="1"/>
      <c r="J69" s="1"/>
      <c r="AP69" s="62"/>
    </row>
    <row r="70" spans="2:77" customFormat="1" outlineLevel="1" x14ac:dyDescent="0.25">
      <c r="B70" s="1"/>
      <c r="C70" s="74" t="s">
        <v>266</v>
      </c>
      <c r="D70" s="36" t="s">
        <v>17</v>
      </c>
      <c r="E70" s="295">
        <f>New_Lease_Years</f>
        <v>5</v>
      </c>
      <c r="F70" s="1"/>
      <c r="G70" s="1"/>
      <c r="H70" s="1"/>
      <c r="I70" s="1"/>
      <c r="J70" s="1"/>
      <c r="AP70" s="62"/>
    </row>
    <row r="71" spans="2:77" customFormat="1" outlineLevel="1" x14ac:dyDescent="0.25">
      <c r="B71" s="1"/>
      <c r="C71" s="50" t="s">
        <v>267</v>
      </c>
      <c r="D71" s="36" t="s">
        <v>13</v>
      </c>
      <c r="E71" s="145">
        <f>EOMONTH(E69,E70*Months)</f>
        <v>46326</v>
      </c>
      <c r="F71" s="1"/>
      <c r="G71" s="1"/>
      <c r="H71" s="1"/>
      <c r="I71" s="1"/>
      <c r="J71" s="1"/>
      <c r="AP71" s="62"/>
    </row>
    <row r="72" spans="2:77" customFormat="1" outlineLevel="1" x14ac:dyDescent="0.25">
      <c r="B72" s="1"/>
      <c r="C72" s="74" t="s">
        <v>268</v>
      </c>
      <c r="D72" s="38" t="s">
        <v>16</v>
      </c>
      <c r="E72" s="105">
        <f>INDEX(Annual!$F$65:$K$92,16,INDEX(Monthly!$F$5:$BY$9,5,MATCH(E69,$F$5:$BY$5,0)))</f>
        <v>2.5000000000000001E-2</v>
      </c>
      <c r="F72" s="105">
        <f>IF(AND(E$5&gt;$E69,F$5&lt;$E71,MONTH(E$5)=MONTH($E69)),$E72,0)</f>
        <v>0</v>
      </c>
      <c r="G72" s="105">
        <f t="shared" ref="G72" si="397">IF(AND(F$5&gt;$E69,G$5&lt;$E71,MONTH(F$5)=MONTH($E69)),$E72,0)</f>
        <v>0</v>
      </c>
      <c r="H72" s="105">
        <f t="shared" ref="H72" si="398">IF(AND(G$5&gt;$E69,H$5&lt;$E71,MONTH(G$5)=MONTH($E69)),$E72,0)</f>
        <v>0</v>
      </c>
      <c r="I72" s="105">
        <f t="shared" ref="I72" si="399">IF(AND(H$5&gt;$E69,I$5&lt;$E71,MONTH(H$5)=MONTH($E69)),$E72,0)</f>
        <v>0</v>
      </c>
      <c r="J72" s="105">
        <f t="shared" ref="J72" si="400">IF(AND(I$5&gt;$E69,J$5&lt;$E71,MONTH(I$5)=MONTH($E69)),$E72,0)</f>
        <v>0</v>
      </c>
      <c r="K72" s="105">
        <f t="shared" ref="K72" si="401">IF(AND(J$5&gt;$E69,K$5&lt;$E71,MONTH(J$5)=MONTH($E69)),$E72,0)</f>
        <v>0</v>
      </c>
      <c r="L72" s="105">
        <f t="shared" ref="L72" si="402">IF(AND(K$5&gt;$E69,L$5&lt;$E71,MONTH(K$5)=MONTH($E69)),$E72,0)</f>
        <v>0</v>
      </c>
      <c r="M72" s="105">
        <f t="shared" ref="M72" si="403">IF(AND(L$5&gt;$E69,M$5&lt;$E71,MONTH(L$5)=MONTH($E69)),$E72,0)</f>
        <v>0</v>
      </c>
      <c r="N72" s="105">
        <f t="shared" ref="N72" si="404">IF(AND(M$5&gt;$E69,N$5&lt;$E71,MONTH(M$5)=MONTH($E69)),$E72,0)</f>
        <v>0</v>
      </c>
      <c r="O72" s="105">
        <f t="shared" ref="O72" si="405">IF(AND(N$5&gt;$E69,O$5&lt;$E71,MONTH(N$5)=MONTH($E69)),$E72,0)</f>
        <v>0</v>
      </c>
      <c r="P72" s="105">
        <f t="shared" ref="P72" si="406">IF(AND(O$5&gt;$E69,P$5&lt;$E71,MONTH(O$5)=MONTH($E69)),$E72,0)</f>
        <v>0</v>
      </c>
      <c r="Q72" s="105">
        <f t="shared" ref="Q72" si="407">IF(AND(P$5&gt;$E69,Q$5&lt;$E71,MONTH(P$5)=MONTH($E69)),$E72,0)</f>
        <v>0</v>
      </c>
      <c r="R72" s="105">
        <f t="shared" ref="R72" si="408">IF(AND(Q$5&gt;$E69,R$5&lt;$E71,MONTH(Q$5)=MONTH($E69)),$E72,0)</f>
        <v>0</v>
      </c>
      <c r="S72" s="105">
        <f t="shared" ref="S72" si="409">IF(AND(R$5&gt;$E69,S$5&lt;$E71,MONTH(R$5)=MONTH($E69)),$E72,0)</f>
        <v>0</v>
      </c>
      <c r="T72" s="105">
        <f t="shared" ref="T72" si="410">IF(AND(S$5&gt;$E69,T$5&lt;$E71,MONTH(S$5)=MONTH($E69)),$E72,0)</f>
        <v>0</v>
      </c>
      <c r="U72" s="105">
        <f t="shared" ref="U72" si="411">IF(AND(T$5&gt;$E69,U$5&lt;$E71,MONTH(T$5)=MONTH($E69)),$E72,0)</f>
        <v>0</v>
      </c>
      <c r="V72" s="105">
        <f t="shared" ref="V72" si="412">IF(AND(U$5&gt;$E69,V$5&lt;$E71,MONTH(U$5)=MONTH($E69)),$E72,0)</f>
        <v>0</v>
      </c>
      <c r="W72" s="105">
        <f t="shared" ref="W72" si="413">IF(AND(V$5&gt;$E69,W$5&lt;$E71,MONTH(V$5)=MONTH($E69)),$E72,0)</f>
        <v>0</v>
      </c>
      <c r="X72" s="105">
        <f t="shared" ref="X72" si="414">IF(AND(W$5&gt;$E69,X$5&lt;$E71,MONTH(W$5)=MONTH($E69)),$E72,0)</f>
        <v>0</v>
      </c>
      <c r="Y72" s="105">
        <f t="shared" ref="Y72" si="415">IF(AND(X$5&gt;$E69,Y$5&lt;$E71,MONTH(X$5)=MONTH($E69)),$E72,0)</f>
        <v>0</v>
      </c>
      <c r="Z72" s="105">
        <f t="shared" ref="Z72" si="416">IF(AND(Y$5&gt;$E69,Z$5&lt;$E71,MONTH(Y$5)=MONTH($E69)),$E72,0)</f>
        <v>0</v>
      </c>
      <c r="AA72" s="105">
        <f t="shared" ref="AA72" si="417">IF(AND(Z$5&gt;$E69,AA$5&lt;$E71,MONTH(Z$5)=MONTH($E69)),$E72,0)</f>
        <v>0</v>
      </c>
      <c r="AB72" s="105">
        <f t="shared" ref="AB72" si="418">IF(AND(AA$5&gt;$E69,AB$5&lt;$E71,MONTH(AA$5)=MONTH($E69)),$E72,0)</f>
        <v>0</v>
      </c>
      <c r="AC72" s="105">
        <f t="shared" ref="AC72" si="419">IF(AND(AB$5&gt;$E69,AC$5&lt;$E71,MONTH(AB$5)=MONTH($E69)),$E72,0)</f>
        <v>0</v>
      </c>
      <c r="AD72" s="105">
        <f t="shared" ref="AD72" si="420">IF(AND(AC$5&gt;$E69,AD$5&lt;$E71,MONTH(AC$5)=MONTH($E69)),$E72,0)</f>
        <v>0</v>
      </c>
      <c r="AE72" s="105">
        <f t="shared" ref="AE72" si="421">IF(AND(AD$5&gt;$E69,AE$5&lt;$E71,MONTH(AD$5)=MONTH($E69)),$E72,0)</f>
        <v>0</v>
      </c>
      <c r="AF72" s="105">
        <f t="shared" ref="AF72" si="422">IF(AND(AE$5&gt;$E69,AF$5&lt;$E71,MONTH(AE$5)=MONTH($E69)),$E72,0)</f>
        <v>0</v>
      </c>
      <c r="AG72" s="105">
        <f t="shared" ref="AG72" si="423">IF(AND(AF$5&gt;$E69,AG$5&lt;$E71,MONTH(AF$5)=MONTH($E69)),$E72,0)</f>
        <v>0</v>
      </c>
      <c r="AH72" s="105">
        <f t="shared" ref="AH72" si="424">IF(AND(AG$5&gt;$E69,AH$5&lt;$E71,MONTH(AG$5)=MONTH($E69)),$E72,0)</f>
        <v>0</v>
      </c>
      <c r="AI72" s="105">
        <f t="shared" ref="AI72" si="425">IF(AND(AH$5&gt;$E69,AI$5&lt;$E71,MONTH(AH$5)=MONTH($E69)),$E72,0)</f>
        <v>0</v>
      </c>
      <c r="AJ72" s="105">
        <f t="shared" ref="AJ72" si="426">IF(AND(AI$5&gt;$E69,AJ$5&lt;$E71,MONTH(AI$5)=MONTH($E69)),$E72,0)</f>
        <v>0</v>
      </c>
      <c r="AK72" s="105">
        <f t="shared" ref="AK72" si="427">IF(AND(AJ$5&gt;$E69,AK$5&lt;$E71,MONTH(AJ$5)=MONTH($E69)),$E72,0)</f>
        <v>0</v>
      </c>
      <c r="AL72" s="105">
        <f t="shared" ref="AL72" si="428">IF(AND(AK$5&gt;$E69,AL$5&lt;$E71,MONTH(AK$5)=MONTH($E69)),$E72,0)</f>
        <v>0</v>
      </c>
      <c r="AM72" s="105">
        <f t="shared" ref="AM72" si="429">IF(AND(AL$5&gt;$E69,AM$5&lt;$E71,MONTH(AL$5)=MONTH($E69)),$E72,0)</f>
        <v>0</v>
      </c>
      <c r="AN72" s="105">
        <f t="shared" ref="AN72" si="430">IF(AND(AM$5&gt;$E69,AN$5&lt;$E71,MONTH(AM$5)=MONTH($E69)),$E72,0)</f>
        <v>0</v>
      </c>
      <c r="AO72" s="105">
        <f t="shared" ref="AO72" si="431">IF(AND(AN$5&gt;$E69,AO$5&lt;$E71,MONTH(AN$5)=MONTH($E69)),$E72,0)</f>
        <v>0</v>
      </c>
      <c r="AP72" s="105">
        <f t="shared" ref="AP72" si="432">IF(AND(AO$5&gt;$E69,AP$5&lt;$E71,MONTH(AO$5)=MONTH($E69)),$E72,0)</f>
        <v>0</v>
      </c>
      <c r="AQ72" s="105">
        <f t="shared" ref="AQ72" si="433">IF(AND(AP$5&gt;$E69,AQ$5&lt;$E71,MONTH(AP$5)=MONTH($E69)),$E72,0)</f>
        <v>0</v>
      </c>
      <c r="AR72" s="105">
        <f t="shared" ref="AR72" si="434">IF(AND(AQ$5&gt;$E69,AR$5&lt;$E71,MONTH(AQ$5)=MONTH($E69)),$E72,0)</f>
        <v>0</v>
      </c>
      <c r="AS72" s="105">
        <f t="shared" ref="AS72" si="435">IF(AND(AR$5&gt;$E69,AS$5&lt;$E71,MONTH(AR$5)=MONTH($E69)),$E72,0)</f>
        <v>0</v>
      </c>
      <c r="AT72" s="105">
        <f t="shared" ref="AT72" si="436">IF(AND(AS$5&gt;$E69,AT$5&lt;$E71,MONTH(AS$5)=MONTH($E69)),$E72,0)</f>
        <v>0</v>
      </c>
      <c r="AU72" s="105">
        <f t="shared" ref="AU72" si="437">IF(AND(AT$5&gt;$E69,AU$5&lt;$E71,MONTH(AT$5)=MONTH($E69)),$E72,0)</f>
        <v>0</v>
      </c>
      <c r="AV72" s="105">
        <f t="shared" ref="AV72" si="438">IF(AND(AU$5&gt;$E69,AV$5&lt;$E71,MONTH(AU$5)=MONTH($E69)),$E72,0)</f>
        <v>0</v>
      </c>
      <c r="AW72" s="105">
        <f t="shared" ref="AW72" si="439">IF(AND(AV$5&gt;$E69,AW$5&lt;$E71,MONTH(AV$5)=MONTH($E69)),$E72,0)</f>
        <v>0</v>
      </c>
      <c r="AX72" s="105">
        <f t="shared" ref="AX72" si="440">IF(AND(AW$5&gt;$E69,AX$5&lt;$E71,MONTH(AW$5)=MONTH($E69)),$E72,0)</f>
        <v>0</v>
      </c>
      <c r="AY72" s="105">
        <f t="shared" ref="AY72" si="441">IF(AND(AX$5&gt;$E69,AY$5&lt;$E71,MONTH(AX$5)=MONTH($E69)),$E72,0)</f>
        <v>0</v>
      </c>
      <c r="AZ72" s="105">
        <f t="shared" ref="AZ72" si="442">IF(AND(AY$5&gt;$E69,AZ$5&lt;$E71,MONTH(AY$5)=MONTH($E69)),$E72,0)</f>
        <v>0</v>
      </c>
      <c r="BA72" s="105">
        <f t="shared" ref="BA72" si="443">IF(AND(AZ$5&gt;$E69,BA$5&lt;$E71,MONTH(AZ$5)=MONTH($E69)),$E72,0)</f>
        <v>0</v>
      </c>
      <c r="BB72" s="105">
        <f t="shared" ref="BB72" si="444">IF(AND(BA$5&gt;$E69,BB$5&lt;$E71,MONTH(BA$5)=MONTH($E69)),$E72,0)</f>
        <v>0</v>
      </c>
      <c r="BC72" s="105">
        <f t="shared" ref="BC72" si="445">IF(AND(BB$5&gt;$E69,BC$5&lt;$E71,MONTH(BB$5)=MONTH($E69)),$E72,0)</f>
        <v>0</v>
      </c>
      <c r="BD72" s="105">
        <f t="shared" ref="BD72" si="446">IF(AND(BC$5&gt;$E69,BD$5&lt;$E71,MONTH(BC$5)=MONTH($E69)),$E72,0)</f>
        <v>0</v>
      </c>
      <c r="BE72" s="105">
        <f t="shared" ref="BE72" si="447">IF(AND(BD$5&gt;$E69,BE$5&lt;$E71,MONTH(BD$5)=MONTH($E69)),$E72,0)</f>
        <v>0</v>
      </c>
      <c r="BF72" s="105">
        <f t="shared" ref="BF72" si="448">IF(AND(BE$5&gt;$E69,BF$5&lt;$E71,MONTH(BE$5)=MONTH($E69)),$E72,0)</f>
        <v>0</v>
      </c>
      <c r="BG72" s="105">
        <f t="shared" ref="BG72" si="449">IF(AND(BF$5&gt;$E69,BG$5&lt;$E71,MONTH(BF$5)=MONTH($E69)),$E72,0)</f>
        <v>0</v>
      </c>
      <c r="BH72" s="105">
        <f t="shared" ref="BH72" si="450">IF(AND(BG$5&gt;$E69,BH$5&lt;$E71,MONTH(BG$5)=MONTH($E69)),$E72,0)</f>
        <v>0</v>
      </c>
      <c r="BI72" s="105">
        <f t="shared" ref="BI72" si="451">IF(AND(BH$5&gt;$E69,BI$5&lt;$E71,MONTH(BH$5)=MONTH($E69)),$E72,0)</f>
        <v>0</v>
      </c>
      <c r="BJ72" s="105">
        <f t="shared" ref="BJ72" si="452">IF(AND(BI$5&gt;$E69,BJ$5&lt;$E71,MONTH(BI$5)=MONTH($E69)),$E72,0)</f>
        <v>0</v>
      </c>
      <c r="BK72" s="105">
        <f t="shared" ref="BK72" si="453">IF(AND(BJ$5&gt;$E69,BK$5&lt;$E71,MONTH(BJ$5)=MONTH($E69)),$E72,0)</f>
        <v>0</v>
      </c>
      <c r="BL72" s="105">
        <f t="shared" ref="BL72" si="454">IF(AND(BK$5&gt;$E69,BL$5&lt;$E71,MONTH(BK$5)=MONTH($E69)),$E72,0)</f>
        <v>2.5000000000000001E-2</v>
      </c>
      <c r="BM72" s="105">
        <f t="shared" ref="BM72" si="455">IF(AND(BL$5&gt;$E69,BM$5&lt;$E71,MONTH(BL$5)=MONTH($E69)),$E72,0)</f>
        <v>0</v>
      </c>
      <c r="BN72" s="105">
        <f t="shared" ref="BN72" si="456">IF(AND(BM$5&gt;$E69,BN$5&lt;$E71,MONTH(BM$5)=MONTH($E69)),$E72,0)</f>
        <v>0</v>
      </c>
      <c r="BO72" s="105">
        <f t="shared" ref="BO72" si="457">IF(AND(BN$5&gt;$E69,BO$5&lt;$E71,MONTH(BN$5)=MONTH($E69)),$E72,0)</f>
        <v>0</v>
      </c>
      <c r="BP72" s="105">
        <f t="shared" ref="BP72" si="458">IF(AND(BO$5&gt;$E69,BP$5&lt;$E71,MONTH(BO$5)=MONTH($E69)),$E72,0)</f>
        <v>0</v>
      </c>
      <c r="BQ72" s="105">
        <f t="shared" ref="BQ72" si="459">IF(AND(BP$5&gt;$E69,BQ$5&lt;$E71,MONTH(BP$5)=MONTH($E69)),$E72,0)</f>
        <v>0</v>
      </c>
      <c r="BR72" s="105">
        <f t="shared" ref="BR72" si="460">IF(AND(BQ$5&gt;$E69,BR$5&lt;$E71,MONTH(BQ$5)=MONTH($E69)),$E72,0)</f>
        <v>0</v>
      </c>
      <c r="BS72" s="105">
        <f t="shared" ref="BS72" si="461">IF(AND(BR$5&gt;$E69,BS$5&lt;$E71,MONTH(BR$5)=MONTH($E69)),$E72,0)</f>
        <v>0</v>
      </c>
      <c r="BT72" s="105">
        <f t="shared" ref="BT72" si="462">IF(AND(BS$5&gt;$E69,BT$5&lt;$E71,MONTH(BS$5)=MONTH($E69)),$E72,0)</f>
        <v>0</v>
      </c>
      <c r="BU72" s="105">
        <f t="shared" ref="BU72" si="463">IF(AND(BT$5&gt;$E69,BU$5&lt;$E71,MONTH(BT$5)=MONTH($E69)),$E72,0)</f>
        <v>0</v>
      </c>
      <c r="BV72" s="105">
        <f t="shared" ref="BV72" si="464">IF(AND(BU$5&gt;$E69,BV$5&lt;$E71,MONTH(BU$5)=MONTH($E69)),$E72,0)</f>
        <v>0</v>
      </c>
      <c r="BW72" s="105">
        <f t="shared" ref="BW72" si="465">IF(AND(BV$5&gt;$E69,BW$5&lt;$E71,MONTH(BV$5)=MONTH($E69)),$E72,0)</f>
        <v>0</v>
      </c>
      <c r="BX72" s="105">
        <f t="shared" ref="BX72" si="466">IF(AND(BW$5&gt;$E69,BX$5&lt;$E71,MONTH(BW$5)=MONTH($E69)),$E72,0)</f>
        <v>2.5000000000000001E-2</v>
      </c>
      <c r="BY72" s="105">
        <f t="shared" ref="BY72" si="467">IF(AND(BX$5&gt;$E69,BY$5&lt;$E71,MONTH(BX$5)=MONTH($E69)),$E72,0)</f>
        <v>0</v>
      </c>
    </row>
    <row r="73" spans="2:77" customFormat="1" outlineLevel="1" x14ac:dyDescent="0.25">
      <c r="B73" s="1"/>
      <c r="C73" s="44"/>
      <c r="D73" s="56"/>
      <c r="E73" s="1"/>
      <c r="F73" s="1"/>
      <c r="G73" s="1"/>
      <c r="H73" s="1"/>
      <c r="I73" s="1"/>
      <c r="J73" s="1"/>
      <c r="AP73" s="62"/>
    </row>
    <row r="74" spans="2:77" customFormat="1" outlineLevel="1" x14ac:dyDescent="0.25">
      <c r="B74" s="1"/>
      <c r="C74" s="74" t="s">
        <v>269</v>
      </c>
      <c r="D74" s="36" t="s">
        <v>13</v>
      </c>
      <c r="E74" s="145">
        <f>EOMONTH(E65,Down_Months)</f>
        <v>44681</v>
      </c>
      <c r="F74" s="1"/>
      <c r="G74" s="1"/>
      <c r="H74" s="1"/>
      <c r="I74" s="1"/>
      <c r="J74" s="1"/>
      <c r="AP74" s="62"/>
    </row>
    <row r="75" spans="2:77" customFormat="1" outlineLevel="1" x14ac:dyDescent="0.25">
      <c r="B75" s="1"/>
      <c r="C75" s="74" t="s">
        <v>270</v>
      </c>
      <c r="D75" s="36" t="s">
        <v>17</v>
      </c>
      <c r="E75" s="295">
        <f>New_Lease_Years</f>
        <v>5</v>
      </c>
      <c r="F75" s="1"/>
      <c r="G75" s="1"/>
      <c r="H75" s="1"/>
      <c r="I75" s="1"/>
      <c r="J75" s="1"/>
      <c r="AP75" s="62"/>
    </row>
    <row r="76" spans="2:77" customFormat="1" outlineLevel="1" x14ac:dyDescent="0.25">
      <c r="B76" s="1"/>
      <c r="C76" s="50" t="s">
        <v>271</v>
      </c>
      <c r="D76" s="36" t="s">
        <v>13</v>
      </c>
      <c r="E76" s="145">
        <f>EOMONTH(E74,E75*Months)</f>
        <v>46507</v>
      </c>
      <c r="F76" s="1"/>
      <c r="G76" s="1"/>
      <c r="H76" s="1"/>
      <c r="I76" s="1"/>
      <c r="J76" s="1"/>
      <c r="AP76" s="62"/>
    </row>
    <row r="77" spans="2:77" customFormat="1" outlineLevel="1" x14ac:dyDescent="0.25">
      <c r="B77" s="1"/>
      <c r="C77" s="74" t="s">
        <v>272</v>
      </c>
      <c r="D77" s="38" t="s">
        <v>16</v>
      </c>
      <c r="E77" s="105">
        <f>INDEX(Annual!$F$65:$K$92,16,INDEX(Monthly!$F$5:$BY$9,5,MATCH(E74,$F$5:$BY$5,0)))</f>
        <v>0.02</v>
      </c>
      <c r="F77" s="105">
        <f>IF(AND(E$5&gt;$E74,F$5&lt;$E76,MONTH(E$5)=MONTH($E74)),$E77,0)</f>
        <v>0</v>
      </c>
      <c r="G77" s="105">
        <f t="shared" ref="G77" si="468">IF(AND(F$5&gt;$E74,G$5&lt;$E76,MONTH(F$5)=MONTH($E74)),$E77,0)</f>
        <v>0</v>
      </c>
      <c r="H77" s="105">
        <f t="shared" ref="H77" si="469">IF(AND(G$5&gt;$E74,H$5&lt;$E76,MONTH(G$5)=MONTH($E74)),$E77,0)</f>
        <v>0</v>
      </c>
      <c r="I77" s="105">
        <f t="shared" ref="I77" si="470">IF(AND(H$5&gt;$E74,I$5&lt;$E76,MONTH(H$5)=MONTH($E74)),$E77,0)</f>
        <v>0</v>
      </c>
      <c r="J77" s="105">
        <f t="shared" ref="J77" si="471">IF(AND(I$5&gt;$E74,J$5&lt;$E76,MONTH(I$5)=MONTH($E74)),$E77,0)</f>
        <v>0</v>
      </c>
      <c r="K77" s="105">
        <f t="shared" ref="K77" si="472">IF(AND(J$5&gt;$E74,K$5&lt;$E76,MONTH(J$5)=MONTH($E74)),$E77,0)</f>
        <v>0</v>
      </c>
      <c r="L77" s="105">
        <f t="shared" ref="L77" si="473">IF(AND(K$5&gt;$E74,L$5&lt;$E76,MONTH(K$5)=MONTH($E74)),$E77,0)</f>
        <v>0</v>
      </c>
      <c r="M77" s="105">
        <f t="shared" ref="M77" si="474">IF(AND(L$5&gt;$E74,M$5&lt;$E76,MONTH(L$5)=MONTH($E74)),$E77,0)</f>
        <v>0</v>
      </c>
      <c r="N77" s="105">
        <f t="shared" ref="N77" si="475">IF(AND(M$5&gt;$E74,N$5&lt;$E76,MONTH(M$5)=MONTH($E74)),$E77,0)</f>
        <v>0</v>
      </c>
      <c r="O77" s="105">
        <f t="shared" ref="O77" si="476">IF(AND(N$5&gt;$E74,O$5&lt;$E76,MONTH(N$5)=MONTH($E74)),$E77,0)</f>
        <v>0</v>
      </c>
      <c r="P77" s="105">
        <f t="shared" ref="P77" si="477">IF(AND(O$5&gt;$E74,P$5&lt;$E76,MONTH(O$5)=MONTH($E74)),$E77,0)</f>
        <v>0</v>
      </c>
      <c r="Q77" s="105">
        <f t="shared" ref="Q77" si="478">IF(AND(P$5&gt;$E74,Q$5&lt;$E76,MONTH(P$5)=MONTH($E74)),$E77,0)</f>
        <v>0</v>
      </c>
      <c r="R77" s="105">
        <f t="shared" ref="R77" si="479">IF(AND(Q$5&gt;$E74,R$5&lt;$E76,MONTH(Q$5)=MONTH($E74)),$E77,0)</f>
        <v>0</v>
      </c>
      <c r="S77" s="105">
        <f t="shared" ref="S77" si="480">IF(AND(R$5&gt;$E74,S$5&lt;$E76,MONTH(R$5)=MONTH($E74)),$E77,0)</f>
        <v>0</v>
      </c>
      <c r="T77" s="105">
        <f t="shared" ref="T77" si="481">IF(AND(S$5&gt;$E74,T$5&lt;$E76,MONTH(S$5)=MONTH($E74)),$E77,0)</f>
        <v>0</v>
      </c>
      <c r="U77" s="105">
        <f t="shared" ref="U77" si="482">IF(AND(T$5&gt;$E74,U$5&lt;$E76,MONTH(T$5)=MONTH($E74)),$E77,0)</f>
        <v>0</v>
      </c>
      <c r="V77" s="105">
        <f t="shared" ref="V77" si="483">IF(AND(U$5&gt;$E74,V$5&lt;$E76,MONTH(U$5)=MONTH($E74)),$E77,0)</f>
        <v>0</v>
      </c>
      <c r="W77" s="105">
        <f t="shared" ref="W77" si="484">IF(AND(V$5&gt;$E74,W$5&lt;$E76,MONTH(V$5)=MONTH($E74)),$E77,0)</f>
        <v>0</v>
      </c>
      <c r="X77" s="105">
        <f t="shared" ref="X77" si="485">IF(AND(W$5&gt;$E74,X$5&lt;$E76,MONTH(W$5)=MONTH($E74)),$E77,0)</f>
        <v>0</v>
      </c>
      <c r="Y77" s="105">
        <f t="shared" ref="Y77" si="486">IF(AND(X$5&gt;$E74,Y$5&lt;$E76,MONTH(X$5)=MONTH($E74)),$E77,0)</f>
        <v>0</v>
      </c>
      <c r="Z77" s="105">
        <f t="shared" ref="Z77" si="487">IF(AND(Y$5&gt;$E74,Z$5&lt;$E76,MONTH(Y$5)=MONTH($E74)),$E77,0)</f>
        <v>0</v>
      </c>
      <c r="AA77" s="105">
        <f t="shared" ref="AA77" si="488">IF(AND(Z$5&gt;$E74,AA$5&lt;$E76,MONTH(Z$5)=MONTH($E74)),$E77,0)</f>
        <v>0</v>
      </c>
      <c r="AB77" s="105">
        <f t="shared" ref="AB77" si="489">IF(AND(AA$5&gt;$E74,AB$5&lt;$E76,MONTH(AA$5)=MONTH($E74)),$E77,0)</f>
        <v>0</v>
      </c>
      <c r="AC77" s="105">
        <f t="shared" ref="AC77" si="490">IF(AND(AB$5&gt;$E74,AC$5&lt;$E76,MONTH(AB$5)=MONTH($E74)),$E77,0)</f>
        <v>0</v>
      </c>
      <c r="AD77" s="105">
        <f t="shared" ref="AD77" si="491">IF(AND(AC$5&gt;$E74,AD$5&lt;$E76,MONTH(AC$5)=MONTH($E74)),$E77,0)</f>
        <v>0</v>
      </c>
      <c r="AE77" s="105">
        <f t="shared" ref="AE77" si="492">IF(AND(AD$5&gt;$E74,AE$5&lt;$E76,MONTH(AD$5)=MONTH($E74)),$E77,0)</f>
        <v>0</v>
      </c>
      <c r="AF77" s="105">
        <f t="shared" ref="AF77" si="493">IF(AND(AE$5&gt;$E74,AF$5&lt;$E76,MONTH(AE$5)=MONTH($E74)),$E77,0)</f>
        <v>0</v>
      </c>
      <c r="AG77" s="105">
        <f t="shared" ref="AG77" si="494">IF(AND(AF$5&gt;$E74,AG$5&lt;$E76,MONTH(AF$5)=MONTH($E74)),$E77,0)</f>
        <v>0</v>
      </c>
      <c r="AH77" s="105">
        <f t="shared" ref="AH77" si="495">IF(AND(AG$5&gt;$E74,AH$5&lt;$E76,MONTH(AG$5)=MONTH($E74)),$E77,0)</f>
        <v>0</v>
      </c>
      <c r="AI77" s="105">
        <f t="shared" ref="AI77" si="496">IF(AND(AH$5&gt;$E74,AI$5&lt;$E76,MONTH(AH$5)=MONTH($E74)),$E77,0)</f>
        <v>0</v>
      </c>
      <c r="AJ77" s="105">
        <f t="shared" ref="AJ77" si="497">IF(AND(AI$5&gt;$E74,AJ$5&lt;$E76,MONTH(AI$5)=MONTH($E74)),$E77,0)</f>
        <v>0</v>
      </c>
      <c r="AK77" s="105">
        <f t="shared" ref="AK77" si="498">IF(AND(AJ$5&gt;$E74,AK$5&lt;$E76,MONTH(AJ$5)=MONTH($E74)),$E77,0)</f>
        <v>0</v>
      </c>
      <c r="AL77" s="105">
        <f t="shared" ref="AL77" si="499">IF(AND(AK$5&gt;$E74,AL$5&lt;$E76,MONTH(AK$5)=MONTH($E74)),$E77,0)</f>
        <v>0</v>
      </c>
      <c r="AM77" s="105">
        <f t="shared" ref="AM77" si="500">IF(AND(AL$5&gt;$E74,AM$5&lt;$E76,MONTH(AL$5)=MONTH($E74)),$E77,0)</f>
        <v>0</v>
      </c>
      <c r="AN77" s="105">
        <f t="shared" ref="AN77" si="501">IF(AND(AM$5&gt;$E74,AN$5&lt;$E76,MONTH(AM$5)=MONTH($E74)),$E77,0)</f>
        <v>0</v>
      </c>
      <c r="AO77" s="105">
        <f t="shared" ref="AO77" si="502">IF(AND(AN$5&gt;$E74,AO$5&lt;$E76,MONTH(AN$5)=MONTH($E74)),$E77,0)</f>
        <v>0</v>
      </c>
      <c r="AP77" s="105">
        <f t="shared" ref="AP77" si="503">IF(AND(AO$5&gt;$E74,AP$5&lt;$E76,MONTH(AO$5)=MONTH($E74)),$E77,0)</f>
        <v>0</v>
      </c>
      <c r="AQ77" s="105">
        <f t="shared" ref="AQ77" si="504">IF(AND(AP$5&gt;$E74,AQ$5&lt;$E76,MONTH(AP$5)=MONTH($E74)),$E77,0)</f>
        <v>0</v>
      </c>
      <c r="AR77" s="105">
        <f t="shared" ref="AR77" si="505">IF(AND(AQ$5&gt;$E74,AR$5&lt;$E76,MONTH(AQ$5)=MONTH($E74)),$E77,0)</f>
        <v>0</v>
      </c>
      <c r="AS77" s="105">
        <f t="shared" ref="AS77" si="506">IF(AND(AR$5&gt;$E74,AS$5&lt;$E76,MONTH(AR$5)=MONTH($E74)),$E77,0)</f>
        <v>0</v>
      </c>
      <c r="AT77" s="105">
        <f t="shared" ref="AT77" si="507">IF(AND(AS$5&gt;$E74,AT$5&lt;$E76,MONTH(AS$5)=MONTH($E74)),$E77,0)</f>
        <v>0</v>
      </c>
      <c r="AU77" s="105">
        <f t="shared" ref="AU77" si="508">IF(AND(AT$5&gt;$E74,AU$5&lt;$E76,MONTH(AT$5)=MONTH($E74)),$E77,0)</f>
        <v>0</v>
      </c>
      <c r="AV77" s="105">
        <f t="shared" ref="AV77" si="509">IF(AND(AU$5&gt;$E74,AV$5&lt;$E76,MONTH(AU$5)=MONTH($E74)),$E77,0)</f>
        <v>0</v>
      </c>
      <c r="AW77" s="105">
        <f t="shared" ref="AW77" si="510">IF(AND(AV$5&gt;$E74,AW$5&lt;$E76,MONTH(AV$5)=MONTH($E74)),$E77,0)</f>
        <v>0</v>
      </c>
      <c r="AX77" s="105">
        <f t="shared" ref="AX77" si="511">IF(AND(AW$5&gt;$E74,AX$5&lt;$E76,MONTH(AW$5)=MONTH($E74)),$E77,0)</f>
        <v>0</v>
      </c>
      <c r="AY77" s="105">
        <f t="shared" ref="AY77" si="512">IF(AND(AX$5&gt;$E74,AY$5&lt;$E76,MONTH(AX$5)=MONTH($E74)),$E77,0)</f>
        <v>0</v>
      </c>
      <c r="AZ77" s="105">
        <f t="shared" ref="AZ77" si="513">IF(AND(AY$5&gt;$E74,AZ$5&lt;$E76,MONTH(AY$5)=MONTH($E74)),$E77,0)</f>
        <v>0</v>
      </c>
      <c r="BA77" s="105">
        <f t="shared" ref="BA77" si="514">IF(AND(AZ$5&gt;$E74,BA$5&lt;$E76,MONTH(AZ$5)=MONTH($E74)),$E77,0)</f>
        <v>0</v>
      </c>
      <c r="BB77" s="105">
        <f t="shared" ref="BB77" si="515">IF(AND(BA$5&gt;$E74,BB$5&lt;$E76,MONTH(BA$5)=MONTH($E74)),$E77,0)</f>
        <v>0</v>
      </c>
      <c r="BC77" s="105">
        <f t="shared" ref="BC77" si="516">IF(AND(BB$5&gt;$E74,BC$5&lt;$E76,MONTH(BB$5)=MONTH($E74)),$E77,0)</f>
        <v>0</v>
      </c>
      <c r="BD77" s="105">
        <f t="shared" ref="BD77" si="517">IF(AND(BC$5&gt;$E74,BD$5&lt;$E76,MONTH(BC$5)=MONTH($E74)),$E77,0)</f>
        <v>0</v>
      </c>
      <c r="BE77" s="105">
        <f t="shared" ref="BE77" si="518">IF(AND(BD$5&gt;$E74,BE$5&lt;$E76,MONTH(BD$5)=MONTH($E74)),$E77,0)</f>
        <v>0</v>
      </c>
      <c r="BF77" s="105">
        <f t="shared" ref="BF77" si="519">IF(AND(BE$5&gt;$E74,BF$5&lt;$E76,MONTH(BE$5)=MONTH($E74)),$E77,0)</f>
        <v>0</v>
      </c>
      <c r="BG77" s="105">
        <f t="shared" ref="BG77" si="520">IF(AND(BF$5&gt;$E74,BG$5&lt;$E76,MONTH(BF$5)=MONTH($E74)),$E77,0)</f>
        <v>0</v>
      </c>
      <c r="BH77" s="105">
        <f t="shared" ref="BH77" si="521">IF(AND(BG$5&gt;$E74,BH$5&lt;$E76,MONTH(BG$5)=MONTH($E74)),$E77,0)</f>
        <v>0</v>
      </c>
      <c r="BI77" s="105">
        <f t="shared" ref="BI77" si="522">IF(AND(BH$5&gt;$E74,BI$5&lt;$E76,MONTH(BH$5)=MONTH($E74)),$E77,0)</f>
        <v>0</v>
      </c>
      <c r="BJ77" s="105">
        <f t="shared" ref="BJ77" si="523">IF(AND(BI$5&gt;$E74,BJ$5&lt;$E76,MONTH(BI$5)=MONTH($E74)),$E77,0)</f>
        <v>0</v>
      </c>
      <c r="BK77" s="105">
        <f t="shared" ref="BK77" si="524">IF(AND(BJ$5&gt;$E74,BK$5&lt;$E76,MONTH(BJ$5)=MONTH($E74)),$E77,0)</f>
        <v>0</v>
      </c>
      <c r="BL77" s="105">
        <f t="shared" ref="BL77" si="525">IF(AND(BK$5&gt;$E74,BL$5&lt;$E76,MONTH(BK$5)=MONTH($E74)),$E77,0)</f>
        <v>0</v>
      </c>
      <c r="BM77" s="105">
        <f t="shared" ref="BM77" si="526">IF(AND(BL$5&gt;$E74,BM$5&lt;$E76,MONTH(BL$5)=MONTH($E74)),$E77,0)</f>
        <v>0</v>
      </c>
      <c r="BN77" s="105">
        <f t="shared" ref="BN77" si="527">IF(AND(BM$5&gt;$E74,BN$5&lt;$E76,MONTH(BM$5)=MONTH($E74)),$E77,0)</f>
        <v>0</v>
      </c>
      <c r="BO77" s="105">
        <f t="shared" ref="BO77" si="528">IF(AND(BN$5&gt;$E74,BO$5&lt;$E76,MONTH(BN$5)=MONTH($E74)),$E77,0)</f>
        <v>0</v>
      </c>
      <c r="BP77" s="105">
        <f t="shared" ref="BP77" si="529">IF(AND(BO$5&gt;$E74,BP$5&lt;$E76,MONTH(BO$5)=MONTH($E74)),$E77,0)</f>
        <v>0</v>
      </c>
      <c r="BQ77" s="105">
        <f t="shared" ref="BQ77" si="530">IF(AND(BP$5&gt;$E74,BQ$5&lt;$E76,MONTH(BP$5)=MONTH($E74)),$E77,0)</f>
        <v>0</v>
      </c>
      <c r="BR77" s="105">
        <f t="shared" ref="BR77" si="531">IF(AND(BQ$5&gt;$E74,BR$5&lt;$E76,MONTH(BQ$5)=MONTH($E74)),$E77,0)</f>
        <v>0.02</v>
      </c>
      <c r="BS77" s="105">
        <f t="shared" ref="BS77" si="532">IF(AND(BR$5&gt;$E74,BS$5&lt;$E76,MONTH(BR$5)=MONTH($E74)),$E77,0)</f>
        <v>0</v>
      </c>
      <c r="BT77" s="105">
        <f t="shared" ref="BT77" si="533">IF(AND(BS$5&gt;$E74,BT$5&lt;$E76,MONTH(BS$5)=MONTH($E74)),$E77,0)</f>
        <v>0</v>
      </c>
      <c r="BU77" s="105">
        <f t="shared" ref="BU77" si="534">IF(AND(BT$5&gt;$E74,BU$5&lt;$E76,MONTH(BT$5)=MONTH($E74)),$E77,0)</f>
        <v>0</v>
      </c>
      <c r="BV77" s="105">
        <f t="shared" ref="BV77" si="535">IF(AND(BU$5&gt;$E74,BV$5&lt;$E76,MONTH(BU$5)=MONTH($E74)),$E77,0)</f>
        <v>0</v>
      </c>
      <c r="BW77" s="105">
        <f t="shared" ref="BW77" si="536">IF(AND(BV$5&gt;$E74,BW$5&lt;$E76,MONTH(BV$5)=MONTH($E74)),$E77,0)</f>
        <v>0</v>
      </c>
      <c r="BX77" s="105">
        <f t="shared" ref="BX77" si="537">IF(AND(BW$5&gt;$E74,BX$5&lt;$E76,MONTH(BW$5)=MONTH($E74)),$E77,0)</f>
        <v>0</v>
      </c>
      <c r="BY77" s="105">
        <f t="shared" ref="BY77" si="538">IF(AND(BX$5&gt;$E74,BY$5&lt;$E76,MONTH(BX$5)=MONTH($E74)),$E77,0)</f>
        <v>0</v>
      </c>
    </row>
    <row r="78" spans="2:77" customFormat="1" outlineLevel="1" x14ac:dyDescent="0.25">
      <c r="B78" s="1"/>
      <c r="C78" s="44"/>
      <c r="D78" s="56"/>
      <c r="E78" s="285"/>
      <c r="F78" s="1"/>
      <c r="G78" s="1"/>
      <c r="H78" s="1"/>
      <c r="I78" s="1"/>
      <c r="J78" s="1"/>
      <c r="AP78" s="62"/>
    </row>
    <row r="79" spans="2:77" customFormat="1" outlineLevel="1" x14ac:dyDescent="0.25">
      <c r="B79" s="1"/>
      <c r="C79" s="74" t="s">
        <v>113</v>
      </c>
      <c r="D79" s="36" t="s">
        <v>116</v>
      </c>
      <c r="E79" s="153">
        <v>49</v>
      </c>
      <c r="F79" s="151">
        <f>+$E79*F$12</f>
        <v>49.23850997770181</v>
      </c>
      <c r="G79" s="151">
        <f t="shared" ref="G79:BR79" si="539">+$E79*G$12</f>
        <v>49.478180914780424</v>
      </c>
      <c r="H79" s="151">
        <f t="shared" si="539"/>
        <v>49.719018462264309</v>
      </c>
      <c r="I79" s="151">
        <f t="shared" si="539"/>
        <v>49.961028298688596</v>
      </c>
      <c r="J79" s="151">
        <f t="shared" si="539"/>
        <v>50.204216130228993</v>
      </c>
      <c r="K79" s="151">
        <f t="shared" si="539"/>
        <v>50.448587690836298</v>
      </c>
      <c r="L79" s="151">
        <f t="shared" si="539"/>
        <v>50.694148742371596</v>
      </c>
      <c r="M79" s="151">
        <f t="shared" si="539"/>
        <v>50.940905074742105</v>
      </c>
      <c r="N79" s="151">
        <f t="shared" si="539"/>
        <v>51.188862506037758</v>
      </c>
      <c r="O79" s="151">
        <f t="shared" si="539"/>
        <v>51.438026882668289</v>
      </c>
      <c r="P79" s="151">
        <f t="shared" si="539"/>
        <v>51.688404079501154</v>
      </c>
      <c r="Q79" s="151">
        <f t="shared" si="539"/>
        <v>51.940000000000012</v>
      </c>
      <c r="R79" s="151">
        <f t="shared" si="539"/>
        <v>52.110038044287421</v>
      </c>
      <c r="S79" s="151">
        <f t="shared" si="539"/>
        <v>52.280632748884912</v>
      </c>
      <c r="T79" s="151">
        <f t="shared" si="539"/>
        <v>52.451785936153463</v>
      </c>
      <c r="U79" s="151">
        <f t="shared" si="539"/>
        <v>52.623499434420026</v>
      </c>
      <c r="V79" s="151">
        <f t="shared" si="539"/>
        <v>52.795775077997007</v>
      </c>
      <c r="W79" s="151">
        <f t="shared" si="539"/>
        <v>52.968614707201873</v>
      </c>
      <c r="X79" s="151">
        <f t="shared" si="539"/>
        <v>53.142020168376803</v>
      </c>
      <c r="Y79" s="151">
        <f t="shared" si="539"/>
        <v>53.315993313908436</v>
      </c>
      <c r="Z79" s="151">
        <f t="shared" si="539"/>
        <v>53.490536002247623</v>
      </c>
      <c r="AA79" s="151">
        <f t="shared" si="539"/>
        <v>53.665650097929323</v>
      </c>
      <c r="AB79" s="151">
        <f t="shared" si="539"/>
        <v>53.841337471592482</v>
      </c>
      <c r="AC79" s="151">
        <f t="shared" si="539"/>
        <v>54.017600000000037</v>
      </c>
      <c r="AD79" s="151">
        <f t="shared" si="539"/>
        <v>54.15082197405242</v>
      </c>
      <c r="AE79" s="151">
        <f t="shared" si="539"/>
        <v>54.28437250943243</v>
      </c>
      <c r="AF79" s="151">
        <f t="shared" si="539"/>
        <v>54.418252416460916</v>
      </c>
      <c r="AG79" s="151">
        <f t="shared" si="539"/>
        <v>54.552462507457228</v>
      </c>
      <c r="AH79" s="151">
        <f t="shared" si="539"/>
        <v>54.687003596744098</v>
      </c>
      <c r="AI79" s="151">
        <f t="shared" si="539"/>
        <v>54.821876500652607</v>
      </c>
      <c r="AJ79" s="151">
        <f t="shared" si="539"/>
        <v>54.957082037527137</v>
      </c>
      <c r="AK79" s="151">
        <f t="shared" si="539"/>
        <v>55.092621027730296</v>
      </c>
      <c r="AL79" s="151">
        <f t="shared" si="539"/>
        <v>55.228494293647969</v>
      </c>
      <c r="AM79" s="151">
        <f t="shared" si="539"/>
        <v>55.364702659694245</v>
      </c>
      <c r="AN79" s="151">
        <f t="shared" si="539"/>
        <v>55.501246952316428</v>
      </c>
      <c r="AO79" s="151">
        <f t="shared" si="539"/>
        <v>55.638128000000087</v>
      </c>
      <c r="AP79" s="151">
        <f t="shared" si="539"/>
        <v>55.775346633274047</v>
      </c>
      <c r="AQ79" s="151">
        <f t="shared" si="539"/>
        <v>55.912903684715452</v>
      </c>
      <c r="AR79" s="151">
        <f t="shared" si="539"/>
        <v>56.050799988954793</v>
      </c>
      <c r="AS79" s="151">
        <f t="shared" si="539"/>
        <v>56.189036382680996</v>
      </c>
      <c r="AT79" s="151">
        <f t="shared" si="539"/>
        <v>56.327613704646474</v>
      </c>
      <c r="AU79" s="151">
        <f t="shared" si="539"/>
        <v>56.466532795672251</v>
      </c>
      <c r="AV79" s="151">
        <f t="shared" si="539"/>
        <v>56.605794498653005</v>
      </c>
      <c r="AW79" s="151">
        <f t="shared" si="539"/>
        <v>56.74539965856227</v>
      </c>
      <c r="AX79" s="151">
        <f t="shared" si="539"/>
        <v>56.885349122457477</v>
      </c>
      <c r="AY79" s="151">
        <f t="shared" si="539"/>
        <v>57.025643739485126</v>
      </c>
      <c r="AZ79" s="151">
        <f t="shared" si="539"/>
        <v>57.166284360885975</v>
      </c>
      <c r="BA79" s="151">
        <f t="shared" si="539"/>
        <v>57.307271840000141</v>
      </c>
      <c r="BB79" s="151">
        <f t="shared" si="539"/>
        <v>57.425315437061911</v>
      </c>
      <c r="BC79" s="151">
        <f t="shared" si="539"/>
        <v>57.543602184606335</v>
      </c>
      <c r="BD79" s="151">
        <f t="shared" si="539"/>
        <v>57.66213258348359</v>
      </c>
      <c r="BE79" s="151">
        <f t="shared" si="539"/>
        <v>57.780907135575532</v>
      </c>
      <c r="BF79" s="151">
        <f t="shared" si="539"/>
        <v>57.899926343797809</v>
      </c>
      <c r="BG79" s="151">
        <f t="shared" si="539"/>
        <v>58.019190712101981</v>
      </c>
      <c r="BH79" s="151">
        <f t="shared" si="539"/>
        <v>58.138700745477692</v>
      </c>
      <c r="BI79" s="151">
        <f t="shared" si="539"/>
        <v>58.258456949954763</v>
      </c>
      <c r="BJ79" s="151">
        <f t="shared" si="539"/>
        <v>58.378459832605351</v>
      </c>
      <c r="BK79" s="151">
        <f t="shared" si="539"/>
        <v>58.498709901546114</v>
      </c>
      <c r="BL79" s="151">
        <f t="shared" si="539"/>
        <v>58.619207665940323</v>
      </c>
      <c r="BM79" s="151">
        <f t="shared" si="539"/>
        <v>58.739953636000067</v>
      </c>
      <c r="BN79" s="151">
        <f t="shared" si="539"/>
        <v>58.860948322988385</v>
      </c>
      <c r="BO79" s="151">
        <f t="shared" si="539"/>
        <v>58.982192239221419</v>
      </c>
      <c r="BP79" s="151">
        <f t="shared" si="539"/>
        <v>59.103685898070601</v>
      </c>
      <c r="BQ79" s="151">
        <f t="shared" si="539"/>
        <v>59.225429813964844</v>
      </c>
      <c r="BR79" s="151">
        <f t="shared" si="539"/>
        <v>59.347424502392677</v>
      </c>
      <c r="BS79" s="151">
        <f t="shared" ref="BS79:BY79" si="540">+$E79*BS$12</f>
        <v>59.469670479904465</v>
      </c>
      <c r="BT79" s="151">
        <f t="shared" si="540"/>
        <v>59.592168264114562</v>
      </c>
      <c r="BU79" s="151">
        <f t="shared" si="540"/>
        <v>59.714918373703561</v>
      </c>
      <c r="BV79" s="151">
        <f t="shared" si="540"/>
        <v>59.837921328420414</v>
      </c>
      <c r="BW79" s="151">
        <f t="shared" si="540"/>
        <v>59.961177649084696</v>
      </c>
      <c r="BX79" s="151">
        <f t="shared" si="540"/>
        <v>60.084687857588762</v>
      </c>
      <c r="BY79" s="151">
        <f t="shared" si="540"/>
        <v>60.208452476900007</v>
      </c>
    </row>
    <row r="80" spans="2:77" customFormat="1" outlineLevel="1" x14ac:dyDescent="0.25">
      <c r="B80" s="1"/>
      <c r="C80" s="50" t="s">
        <v>273</v>
      </c>
      <c r="D80" s="36" t="s">
        <v>116</v>
      </c>
      <c r="E80" s="296">
        <v>45</v>
      </c>
      <c r="F80" s="155">
        <f>IF(F$5=EOMONTH($E63,1),F79,IF(AND(F$5&gt;EOMONTH($E63,1),F$5&lt;=$E65),E80*(1+F66),0))</f>
        <v>45</v>
      </c>
      <c r="G80" s="155">
        <f t="shared" ref="G80" si="541">IF(G$5=EOMONTH($E63,1),G79,IF(AND(G$5&gt;EOMONTH($E63,1),G$5&lt;=$E65),F80*(1+G66),0))</f>
        <v>45</v>
      </c>
      <c r="H80" s="155">
        <f t="shared" ref="H80" si="542">IF(H$5=EOMONTH($E63,1),H79,IF(AND(H$5&gt;EOMONTH($E63,1),H$5&lt;=$E65),G80*(1+H66),0))</f>
        <v>45</v>
      </c>
      <c r="I80" s="155">
        <f t="shared" ref="I80" si="543">IF(I$5=EOMONTH($E63,1),I79,IF(AND(I$5&gt;EOMONTH($E63,1),I$5&lt;=$E65),H80*(1+I66),0))</f>
        <v>45</v>
      </c>
      <c r="J80" s="155">
        <f t="shared" ref="J80" si="544">IF(J$5=EOMONTH($E63,1),J79,IF(AND(J$5&gt;EOMONTH($E63,1),J$5&lt;=$E65),I80*(1+J66),0))</f>
        <v>45</v>
      </c>
      <c r="K80" s="155">
        <f t="shared" ref="K80" si="545">IF(K$5=EOMONTH($E63,1),K79,IF(AND(K$5&gt;EOMONTH($E63,1),K$5&lt;=$E65),J80*(1+K66),0))</f>
        <v>45</v>
      </c>
      <c r="L80" s="155">
        <f t="shared" ref="L80" si="546">IF(L$5=EOMONTH($E63,1),L79,IF(AND(L$5&gt;EOMONTH($E63,1),L$5&lt;=$E65),K80*(1+L66),0))</f>
        <v>45</v>
      </c>
      <c r="M80" s="155">
        <f t="shared" ref="M80" si="547">IF(M$5=EOMONTH($E63,1),M79,IF(AND(M$5&gt;EOMONTH($E63,1),M$5&lt;=$E65),L80*(1+M66),0))</f>
        <v>45</v>
      </c>
      <c r="N80" s="155">
        <f t="shared" ref="N80" si="548">IF(N$5=EOMONTH($E63,1),N79,IF(AND(N$5&gt;EOMONTH($E63,1),N$5&lt;=$E65),M80*(1+N66),0))</f>
        <v>45</v>
      </c>
      <c r="O80" s="155">
        <f t="shared" ref="O80" si="549">IF(O$5=EOMONTH($E63,1),O79,IF(AND(O$5&gt;EOMONTH($E63,1),O$5&lt;=$E65),N80*(1+O66),0))</f>
        <v>45</v>
      </c>
      <c r="P80" s="155">
        <f t="shared" ref="P80" si="550">IF(P$5=EOMONTH($E63,1),P79,IF(AND(P$5&gt;EOMONTH($E63,1),P$5&lt;=$E65),O80*(1+P66),0))</f>
        <v>46.35</v>
      </c>
      <c r="Q80" s="155">
        <f t="shared" ref="Q80" si="551">IF(Q$5=EOMONTH($E63,1),Q79,IF(AND(Q$5&gt;EOMONTH($E63,1),Q$5&lt;=$E65),P80*(1+Q66),0))</f>
        <v>46.35</v>
      </c>
      <c r="R80" s="155">
        <f t="shared" ref="R80" si="552">IF(R$5=EOMONTH($E63,1),R79,IF(AND(R$5&gt;EOMONTH($E63,1),R$5&lt;=$E65),Q80*(1+R66),0))</f>
        <v>46.35</v>
      </c>
      <c r="S80" s="155">
        <f t="shared" ref="S80" si="553">IF(S$5=EOMONTH($E63,1),S79,IF(AND(S$5&gt;EOMONTH($E63,1),S$5&lt;=$E65),R80*(1+S66),0))</f>
        <v>46.35</v>
      </c>
      <c r="T80" s="155">
        <f t="shared" ref="T80" si="554">IF(T$5=EOMONTH($E63,1),T79,IF(AND(T$5&gt;EOMONTH($E63,1),T$5&lt;=$E65),S80*(1+T66),0))</f>
        <v>46.35</v>
      </c>
      <c r="U80" s="155">
        <f t="shared" ref="U80" si="555">IF(U$5=EOMONTH($E63,1),U79,IF(AND(U$5&gt;EOMONTH($E63,1),U$5&lt;=$E65),T80*(1+U66),0))</f>
        <v>46.35</v>
      </c>
      <c r="V80" s="155">
        <f t="shared" ref="V80" si="556">IF(V$5=EOMONTH($E63,1),V79,IF(AND(V$5&gt;EOMONTH($E63,1),V$5&lt;=$E65),U80*(1+V66),0))</f>
        <v>46.35</v>
      </c>
      <c r="W80" s="155">
        <f t="shared" ref="W80" si="557">IF(W$5=EOMONTH($E63,1),W79,IF(AND(W$5&gt;EOMONTH($E63,1),W$5&lt;=$E65),V80*(1+W66),0))</f>
        <v>46.35</v>
      </c>
      <c r="X80" s="155">
        <f t="shared" ref="X80" si="558">IF(X$5=EOMONTH($E63,1),X79,IF(AND(X$5&gt;EOMONTH($E63,1),X$5&lt;=$E65),W80*(1+X66),0))</f>
        <v>46.35</v>
      </c>
      <c r="Y80" s="155">
        <f t="shared" ref="Y80" si="559">IF(Y$5=EOMONTH($E63,1),Y79,IF(AND(Y$5&gt;EOMONTH($E63,1),Y$5&lt;=$E65),X80*(1+Y66),0))</f>
        <v>46.35</v>
      </c>
      <c r="Z80" s="155">
        <f t="shared" ref="Z80" si="560">IF(Z$5=EOMONTH($E63,1),Z79,IF(AND(Z$5&gt;EOMONTH($E63,1),Z$5&lt;=$E65),Y80*(1+Z66),0))</f>
        <v>46.35</v>
      </c>
      <c r="AA80" s="155">
        <f t="shared" ref="AA80" si="561">IF(AA$5=EOMONTH($E63,1),AA79,IF(AND(AA$5&gt;EOMONTH($E63,1),AA$5&lt;=$E65),Z80*(1+AA66),0))</f>
        <v>46.35</v>
      </c>
      <c r="AB80" s="155">
        <f t="shared" ref="AB80" si="562">IF(AB$5=EOMONTH($E63,1),AB79,IF(AND(AB$5&gt;EOMONTH($E63,1),AB$5&lt;=$E65),AA80*(1+AB66),0))</f>
        <v>47.740500000000004</v>
      </c>
      <c r="AC80" s="155">
        <f t="shared" ref="AC80" si="563">IF(AC$5=EOMONTH($E63,1),AC79,IF(AND(AC$5&gt;EOMONTH($E63,1),AC$5&lt;=$E65),AB80*(1+AC66),0))</f>
        <v>47.740500000000004</v>
      </c>
      <c r="AD80" s="155">
        <f t="shared" ref="AD80" si="564">IF(AD$5=EOMONTH($E63,1),AD79,IF(AND(AD$5&gt;EOMONTH($E63,1),AD$5&lt;=$E65),AC80*(1+AD66),0))</f>
        <v>47.740500000000004</v>
      </c>
      <c r="AE80" s="155">
        <f t="shared" ref="AE80" si="565">IF(AE$5=EOMONTH($E63,1),AE79,IF(AND(AE$5&gt;EOMONTH($E63,1),AE$5&lt;=$E65),AD80*(1+AE66),0))</f>
        <v>47.740500000000004</v>
      </c>
      <c r="AF80" s="155">
        <f t="shared" ref="AF80" si="566">IF(AF$5=EOMONTH($E63,1),AF79,IF(AND(AF$5&gt;EOMONTH($E63,1),AF$5&lt;=$E65),AE80*(1+AF66),0))</f>
        <v>47.740500000000004</v>
      </c>
      <c r="AG80" s="155">
        <f t="shared" ref="AG80" si="567">IF(AG$5=EOMONTH($E63,1),AG79,IF(AND(AG$5&gt;EOMONTH($E63,1),AG$5&lt;=$E65),AF80*(1+AG66),0))</f>
        <v>47.740500000000004</v>
      </c>
      <c r="AH80" s="155">
        <f t="shared" ref="AH80" si="568">IF(AH$5=EOMONTH($E63,1),AH79,IF(AND(AH$5&gt;EOMONTH($E63,1),AH$5&lt;=$E65),AG80*(1+AH66),0))</f>
        <v>47.740500000000004</v>
      </c>
      <c r="AI80" s="155">
        <f t="shared" ref="AI80" si="569">IF(AI$5=EOMONTH($E63,1),AI79,IF(AND(AI$5&gt;EOMONTH($E63,1),AI$5&lt;=$E65),AH80*(1+AI66),0))</f>
        <v>47.740500000000004</v>
      </c>
      <c r="AJ80" s="155">
        <f t="shared" ref="AJ80" si="570">IF(AJ$5=EOMONTH($E63,1),AJ79,IF(AND(AJ$5&gt;EOMONTH($E63,1),AJ$5&lt;=$E65),AI80*(1+AJ66),0))</f>
        <v>47.740500000000004</v>
      </c>
      <c r="AK80" s="155">
        <f t="shared" ref="AK80" si="571">IF(AK$5=EOMONTH($E63,1),AK79,IF(AND(AK$5&gt;EOMONTH($E63,1),AK$5&lt;=$E65),AJ80*(1+AK66),0))</f>
        <v>47.740500000000004</v>
      </c>
      <c r="AL80" s="155">
        <f t="shared" ref="AL80" si="572">IF(AL$5=EOMONTH($E63,1),AL79,IF(AND(AL$5&gt;EOMONTH($E63,1),AL$5&lt;=$E65),AK80*(1+AL66),0))</f>
        <v>47.740500000000004</v>
      </c>
      <c r="AM80" s="155">
        <f t="shared" ref="AM80" si="573">IF(AM$5=EOMONTH($E63,1),AM79,IF(AND(AM$5&gt;EOMONTH($E63,1),AM$5&lt;=$E65),AL80*(1+AM66),0))</f>
        <v>47.740500000000004</v>
      </c>
      <c r="AN80" s="155">
        <f t="shared" ref="AN80" si="574">IF(AN$5=EOMONTH($E63,1),AN79,IF(AND(AN$5&gt;EOMONTH($E63,1),AN$5&lt;=$E65),AM80*(1+AN66),0))</f>
        <v>49.172715000000004</v>
      </c>
      <c r="AO80" s="155">
        <f t="shared" ref="AO80" si="575">IF(AO$5=EOMONTH($E63,1),AO79,IF(AND(AO$5&gt;EOMONTH($E63,1),AO$5&lt;=$E65),AN80*(1+AO66),0))</f>
        <v>49.172715000000004</v>
      </c>
      <c r="AP80" s="155">
        <f t="shared" ref="AP80" si="576">IF(AP$5=EOMONTH($E63,1),AP79,IF(AND(AP$5&gt;EOMONTH($E63,1),AP$5&lt;=$E65),AO80*(1+AP66),0))</f>
        <v>49.172715000000004</v>
      </c>
      <c r="AQ80" s="155">
        <f t="shared" ref="AQ80" si="577">IF(AQ$5=EOMONTH($E63,1),AQ79,IF(AND(AQ$5&gt;EOMONTH($E63,1),AQ$5&lt;=$E65),AP80*(1+AQ66),0))</f>
        <v>49.172715000000004</v>
      </c>
      <c r="AR80" s="155">
        <f t="shared" ref="AR80" si="578">IF(AR$5=EOMONTH($E63,1),AR79,IF(AND(AR$5&gt;EOMONTH($E63,1),AR$5&lt;=$E65),AQ80*(1+AR66),0))</f>
        <v>49.172715000000004</v>
      </c>
      <c r="AS80" s="155">
        <f t="shared" ref="AS80" si="579">IF(AS$5=EOMONTH($E63,1),AS79,IF(AND(AS$5&gt;EOMONTH($E63,1),AS$5&lt;=$E65),AR80*(1+AS66),0))</f>
        <v>49.172715000000004</v>
      </c>
      <c r="AT80" s="155">
        <f t="shared" ref="AT80" si="580">IF(AT$5=EOMONTH($E63,1),AT79,IF(AND(AT$5&gt;EOMONTH($E63,1),AT$5&lt;=$E65),AS80*(1+AT66),0))</f>
        <v>49.172715000000004</v>
      </c>
      <c r="AU80" s="155">
        <f t="shared" ref="AU80" si="581">IF(AU$5=EOMONTH($E63,1),AU79,IF(AND(AU$5&gt;EOMONTH($E63,1),AU$5&lt;=$E65),AT80*(1+AU66),0))</f>
        <v>49.172715000000004</v>
      </c>
      <c r="AV80" s="155">
        <f t="shared" ref="AV80" si="582">IF(AV$5=EOMONTH($E63,1),AV79,IF(AND(AV$5&gt;EOMONTH($E63,1),AV$5&lt;=$E65),AU80*(1+AV66),0))</f>
        <v>49.172715000000004</v>
      </c>
      <c r="AW80" s="155">
        <f t="shared" ref="AW80" si="583">IF(AW$5=EOMONTH($E63,1),AW79,IF(AND(AW$5&gt;EOMONTH($E63,1),AW$5&lt;=$E65),AV80*(1+AW66),0))</f>
        <v>49.172715000000004</v>
      </c>
      <c r="AX80" s="155">
        <f t="shared" ref="AX80" si="584">IF(AX$5=EOMONTH($E63,1),AX79,IF(AND(AX$5&gt;EOMONTH($E63,1),AX$5&lt;=$E65),AW80*(1+AX66),0))</f>
        <v>49.172715000000004</v>
      </c>
      <c r="AY80" s="155">
        <f t="shared" ref="AY80" si="585">IF(AY$5=EOMONTH($E63,1),AY79,IF(AND(AY$5&gt;EOMONTH($E63,1),AY$5&lt;=$E65),AX80*(1+AY66),0))</f>
        <v>49.172715000000004</v>
      </c>
      <c r="AZ80" s="155">
        <f t="shared" ref="AZ80" si="586">IF(AZ$5=EOMONTH($E63,1),AZ79,IF(AND(AZ$5&gt;EOMONTH($E63,1),AZ$5&lt;=$E65),AY80*(1+AZ66),0))</f>
        <v>0</v>
      </c>
      <c r="BA80" s="155">
        <f t="shared" ref="BA80" si="587">IF(BA$5=EOMONTH($E63,1),BA79,IF(AND(BA$5&gt;EOMONTH($E63,1),BA$5&lt;=$E65),AZ80*(1+BA66),0))</f>
        <v>0</v>
      </c>
      <c r="BB80" s="155">
        <f t="shared" ref="BB80" si="588">IF(BB$5=EOMONTH($E63,1),BB79,IF(AND(BB$5&gt;EOMONTH($E63,1),BB$5&lt;=$E65),BA80*(1+BB66),0))</f>
        <v>0</v>
      </c>
      <c r="BC80" s="155">
        <f t="shared" ref="BC80" si="589">IF(BC$5=EOMONTH($E63,1),BC79,IF(AND(BC$5&gt;EOMONTH($E63,1),BC$5&lt;=$E65),BB80*(1+BC66),0))</f>
        <v>0</v>
      </c>
      <c r="BD80" s="155">
        <f t="shared" ref="BD80" si="590">IF(BD$5=EOMONTH($E63,1),BD79,IF(AND(BD$5&gt;EOMONTH($E63,1),BD$5&lt;=$E65),BC80*(1+BD66),0))</f>
        <v>0</v>
      </c>
      <c r="BE80" s="155">
        <f t="shared" ref="BE80" si="591">IF(BE$5=EOMONTH($E63,1),BE79,IF(AND(BE$5&gt;EOMONTH($E63,1),BE$5&lt;=$E65),BD80*(1+BE66),0))</f>
        <v>0</v>
      </c>
      <c r="BF80" s="155">
        <f t="shared" ref="BF80" si="592">IF(BF$5=EOMONTH($E63,1),BF79,IF(AND(BF$5&gt;EOMONTH($E63,1),BF$5&lt;=$E65),BE80*(1+BF66),0))</f>
        <v>0</v>
      </c>
      <c r="BG80" s="155">
        <f t="shared" ref="BG80" si="593">IF(BG$5=EOMONTH($E63,1),BG79,IF(AND(BG$5&gt;EOMONTH($E63,1),BG$5&lt;=$E65),BF80*(1+BG66),0))</f>
        <v>0</v>
      </c>
      <c r="BH80" s="155">
        <f t="shared" ref="BH80" si="594">IF(BH$5=EOMONTH($E63,1),BH79,IF(AND(BH$5&gt;EOMONTH($E63,1),BH$5&lt;=$E65),BG80*(1+BH66),0))</f>
        <v>0</v>
      </c>
      <c r="BI80" s="155">
        <f t="shared" ref="BI80" si="595">IF(BI$5=EOMONTH($E63,1),BI79,IF(AND(BI$5&gt;EOMONTH($E63,1),BI$5&lt;=$E65),BH80*(1+BI66),0))</f>
        <v>0</v>
      </c>
      <c r="BJ80" s="155">
        <f t="shared" ref="BJ80" si="596">IF(BJ$5=EOMONTH($E63,1),BJ79,IF(AND(BJ$5&gt;EOMONTH($E63,1),BJ$5&lt;=$E65),BI80*(1+BJ66),0))</f>
        <v>0</v>
      </c>
      <c r="BK80" s="155">
        <f t="shared" ref="BK80" si="597">IF(BK$5=EOMONTH($E63,1),BK79,IF(AND(BK$5&gt;EOMONTH($E63,1),BK$5&lt;=$E65),BJ80*(1+BK66),0))</f>
        <v>0</v>
      </c>
      <c r="BL80" s="155">
        <f t="shared" ref="BL80" si="598">IF(BL$5=EOMONTH($E63,1),BL79,IF(AND(BL$5&gt;EOMONTH($E63,1),BL$5&lt;=$E65),BK80*(1+BL66),0))</f>
        <v>0</v>
      </c>
      <c r="BM80" s="155">
        <f t="shared" ref="BM80" si="599">IF(BM$5=EOMONTH($E63,1),BM79,IF(AND(BM$5&gt;EOMONTH($E63,1),BM$5&lt;=$E65),BL80*(1+BM66),0))</f>
        <v>0</v>
      </c>
      <c r="BN80" s="155">
        <f t="shared" ref="BN80" si="600">IF(BN$5=EOMONTH($E63,1),BN79,IF(AND(BN$5&gt;EOMONTH($E63,1),BN$5&lt;=$E65),BM80*(1+BN66),0))</f>
        <v>0</v>
      </c>
      <c r="BO80" s="155">
        <f t="shared" ref="BO80" si="601">IF(BO$5=EOMONTH($E63,1),BO79,IF(AND(BO$5&gt;EOMONTH($E63,1),BO$5&lt;=$E65),BN80*(1+BO66),0))</f>
        <v>0</v>
      </c>
      <c r="BP80" s="155">
        <f t="shared" ref="BP80" si="602">IF(BP$5=EOMONTH($E63,1),BP79,IF(AND(BP$5&gt;EOMONTH($E63,1),BP$5&lt;=$E65),BO80*(1+BP66),0))</f>
        <v>0</v>
      </c>
      <c r="BQ80" s="155">
        <f t="shared" ref="BQ80" si="603">IF(BQ$5=EOMONTH($E63,1),BQ79,IF(AND(BQ$5&gt;EOMONTH($E63,1),BQ$5&lt;=$E65),BP80*(1+BQ66),0))</f>
        <v>0</v>
      </c>
      <c r="BR80" s="155">
        <f t="shared" ref="BR80" si="604">IF(BR$5=EOMONTH($E63,1),BR79,IF(AND(BR$5&gt;EOMONTH($E63,1),BR$5&lt;=$E65),BQ80*(1+BR66),0))</f>
        <v>0</v>
      </c>
      <c r="BS80" s="155">
        <f t="shared" ref="BS80" si="605">IF(BS$5=EOMONTH($E63,1),BS79,IF(AND(BS$5&gt;EOMONTH($E63,1),BS$5&lt;=$E65),BR80*(1+BS66),0))</f>
        <v>0</v>
      </c>
      <c r="BT80" s="155">
        <f t="shared" ref="BT80" si="606">IF(BT$5=EOMONTH($E63,1),BT79,IF(AND(BT$5&gt;EOMONTH($E63,1),BT$5&lt;=$E65),BS80*(1+BT66),0))</f>
        <v>0</v>
      </c>
      <c r="BU80" s="155">
        <f t="shared" ref="BU80" si="607">IF(BU$5=EOMONTH($E63,1),BU79,IF(AND(BU$5&gt;EOMONTH($E63,1),BU$5&lt;=$E65),BT80*(1+BU66),0))</f>
        <v>0</v>
      </c>
      <c r="BV80" s="155">
        <f t="shared" ref="BV80" si="608">IF(BV$5=EOMONTH($E63,1),BV79,IF(AND(BV$5&gt;EOMONTH($E63,1),BV$5&lt;=$E65),BU80*(1+BV66),0))</f>
        <v>0</v>
      </c>
      <c r="BW80" s="155">
        <f t="shared" ref="BW80" si="609">IF(BW$5=EOMONTH($E63,1),BW79,IF(AND(BW$5&gt;EOMONTH($E63,1),BW$5&lt;=$E65),BV80*(1+BW66),0))</f>
        <v>0</v>
      </c>
      <c r="BX80" s="155">
        <f t="shared" ref="BX80" si="610">IF(BX$5=EOMONTH($E63,1),BX79,IF(AND(BX$5&gt;EOMONTH($E63,1),BX$5&lt;=$E65),BW80*(1+BX66),0))</f>
        <v>0</v>
      </c>
      <c r="BY80" s="155">
        <f t="shared" ref="BY80" si="611">IF(BY$5=EOMONTH($E63,1),BY79,IF(AND(BY$5&gt;EOMONTH($E63,1),BY$5&lt;=$E65),BX80*(1+BY66),0))</f>
        <v>0</v>
      </c>
    </row>
    <row r="81" spans="2:77" customFormat="1" outlineLevel="1" x14ac:dyDescent="0.25">
      <c r="B81" s="1"/>
      <c r="C81" s="50" t="s">
        <v>274</v>
      </c>
      <c r="D81" s="36" t="s">
        <v>116</v>
      </c>
      <c r="E81" s="1"/>
      <c r="F81" s="155">
        <f>IF(F$5=EOMONTH($E69,1),F79,IF(AND(F$5&gt;EOMONTH($E69,1),F$5&lt;=$E71),E81*(1+F72),0))</f>
        <v>0</v>
      </c>
      <c r="G81" s="155">
        <f t="shared" ref="G81" si="612">IF(G$5=EOMONTH($E69,1),G79,IF(AND(G$5&gt;EOMONTH($E69,1),G$5&lt;=$E71),F81*(1+G72),0))</f>
        <v>0</v>
      </c>
      <c r="H81" s="155">
        <f t="shared" ref="H81" si="613">IF(H$5=EOMONTH($E69,1),H79,IF(AND(H$5&gt;EOMONTH($E69,1),H$5&lt;=$E71),G81*(1+H72),0))</f>
        <v>0</v>
      </c>
      <c r="I81" s="155">
        <f t="shared" ref="I81" si="614">IF(I$5=EOMONTH($E69,1),I79,IF(AND(I$5&gt;EOMONTH($E69,1),I$5&lt;=$E71),H81*(1+I72),0))</f>
        <v>0</v>
      </c>
      <c r="J81" s="155">
        <f t="shared" ref="J81" si="615">IF(J$5=EOMONTH($E69,1),J79,IF(AND(J$5&gt;EOMONTH($E69,1),J$5&lt;=$E71),I81*(1+J72),0))</f>
        <v>0</v>
      </c>
      <c r="K81" s="155">
        <f t="shared" ref="K81" si="616">IF(K$5=EOMONTH($E69,1),K79,IF(AND(K$5&gt;EOMONTH($E69,1),K$5&lt;=$E71),J81*(1+K72),0))</f>
        <v>0</v>
      </c>
      <c r="L81" s="155">
        <f t="shared" ref="L81" si="617">IF(L$5=EOMONTH($E69,1),L79,IF(AND(L$5&gt;EOMONTH($E69,1),L$5&lt;=$E71),K81*(1+L72),0))</f>
        <v>0</v>
      </c>
      <c r="M81" s="155">
        <f t="shared" ref="M81" si="618">IF(M$5=EOMONTH($E69,1),M79,IF(AND(M$5&gt;EOMONTH($E69,1),M$5&lt;=$E71),L81*(1+M72),0))</f>
        <v>0</v>
      </c>
      <c r="N81" s="155">
        <f t="shared" ref="N81" si="619">IF(N$5=EOMONTH($E69,1),N79,IF(AND(N$5&gt;EOMONTH($E69,1),N$5&lt;=$E71),M81*(1+N72),0))</f>
        <v>0</v>
      </c>
      <c r="O81" s="155">
        <f t="shared" ref="O81" si="620">IF(O$5=EOMONTH($E69,1),O79,IF(AND(O$5&gt;EOMONTH($E69,1),O$5&lt;=$E71),N81*(1+O72),0))</f>
        <v>0</v>
      </c>
      <c r="P81" s="155">
        <f t="shared" ref="P81" si="621">IF(P$5=EOMONTH($E69,1),P79,IF(AND(P$5&gt;EOMONTH($E69,1),P$5&lt;=$E71),O81*(1+P72),0))</f>
        <v>0</v>
      </c>
      <c r="Q81" s="155">
        <f t="shared" ref="Q81" si="622">IF(Q$5=EOMONTH($E69,1),Q79,IF(AND(Q$5&gt;EOMONTH($E69,1),Q$5&lt;=$E71),P81*(1+Q72),0))</f>
        <v>0</v>
      </c>
      <c r="R81" s="155">
        <f t="shared" ref="R81" si="623">IF(R$5=EOMONTH($E69,1),R79,IF(AND(R$5&gt;EOMONTH($E69,1),R$5&lt;=$E71),Q81*(1+R72),0))</f>
        <v>0</v>
      </c>
      <c r="S81" s="155">
        <f t="shared" ref="S81" si="624">IF(S$5=EOMONTH($E69,1),S79,IF(AND(S$5&gt;EOMONTH($E69,1),S$5&lt;=$E71),R81*(1+S72),0))</f>
        <v>0</v>
      </c>
      <c r="T81" s="155">
        <f t="shared" ref="T81" si="625">IF(T$5=EOMONTH($E69,1),T79,IF(AND(T$5&gt;EOMONTH($E69,1),T$5&lt;=$E71),S81*(1+T72),0))</f>
        <v>0</v>
      </c>
      <c r="U81" s="155">
        <f t="shared" ref="U81" si="626">IF(U$5=EOMONTH($E69,1),U79,IF(AND(U$5&gt;EOMONTH($E69,1),U$5&lt;=$E71),T81*(1+U72),0))</f>
        <v>0</v>
      </c>
      <c r="V81" s="155">
        <f t="shared" ref="V81" si="627">IF(V$5=EOMONTH($E69,1),V79,IF(AND(V$5&gt;EOMONTH($E69,1),V$5&lt;=$E71),U81*(1+V72),0))</f>
        <v>0</v>
      </c>
      <c r="W81" s="155">
        <f t="shared" ref="W81" si="628">IF(W$5=EOMONTH($E69,1),W79,IF(AND(W$5&gt;EOMONTH($E69,1),W$5&lt;=$E71),V81*(1+W72),0))</f>
        <v>0</v>
      </c>
      <c r="X81" s="155">
        <f t="shared" ref="X81" si="629">IF(X$5=EOMONTH($E69,1),X79,IF(AND(X$5&gt;EOMONTH($E69,1),X$5&lt;=$E71),W81*(1+X72),0))</f>
        <v>0</v>
      </c>
      <c r="Y81" s="155">
        <f t="shared" ref="Y81" si="630">IF(Y$5=EOMONTH($E69,1),Y79,IF(AND(Y$5&gt;EOMONTH($E69,1),Y$5&lt;=$E71),X81*(1+Y72),0))</f>
        <v>0</v>
      </c>
      <c r="Z81" s="155">
        <f t="shared" ref="Z81" si="631">IF(Z$5=EOMONTH($E69,1),Z79,IF(AND(Z$5&gt;EOMONTH($E69,1),Z$5&lt;=$E71),Y81*(1+Z72),0))</f>
        <v>0</v>
      </c>
      <c r="AA81" s="155">
        <f t="shared" ref="AA81" si="632">IF(AA$5=EOMONTH($E69,1),AA79,IF(AND(AA$5&gt;EOMONTH($E69,1),AA$5&lt;=$E71),Z81*(1+AA72),0))</f>
        <v>0</v>
      </c>
      <c r="AB81" s="155">
        <f t="shared" ref="AB81" si="633">IF(AB$5=EOMONTH($E69,1),AB79,IF(AND(AB$5&gt;EOMONTH($E69,1),AB$5&lt;=$E71),AA81*(1+AB72),0))</f>
        <v>0</v>
      </c>
      <c r="AC81" s="155">
        <f t="shared" ref="AC81" si="634">IF(AC$5=EOMONTH($E69,1),AC79,IF(AND(AC$5&gt;EOMONTH($E69,1),AC$5&lt;=$E71),AB81*(1+AC72),0))</f>
        <v>0</v>
      </c>
      <c r="AD81" s="155">
        <f t="shared" ref="AD81" si="635">IF(AD$5=EOMONTH($E69,1),AD79,IF(AND(AD$5&gt;EOMONTH($E69,1),AD$5&lt;=$E71),AC81*(1+AD72),0))</f>
        <v>0</v>
      </c>
      <c r="AE81" s="155">
        <f t="shared" ref="AE81" si="636">IF(AE$5=EOMONTH($E69,1),AE79,IF(AND(AE$5&gt;EOMONTH($E69,1),AE$5&lt;=$E71),AD81*(1+AE72),0))</f>
        <v>0</v>
      </c>
      <c r="AF81" s="155">
        <f t="shared" ref="AF81" si="637">IF(AF$5=EOMONTH($E69,1),AF79,IF(AND(AF$5&gt;EOMONTH($E69,1),AF$5&lt;=$E71),AE81*(1+AF72),0))</f>
        <v>0</v>
      </c>
      <c r="AG81" s="155">
        <f t="shared" ref="AG81" si="638">IF(AG$5=EOMONTH($E69,1),AG79,IF(AND(AG$5&gt;EOMONTH($E69,1),AG$5&lt;=$E71),AF81*(1+AG72),0))</f>
        <v>0</v>
      </c>
      <c r="AH81" s="155">
        <f t="shared" ref="AH81" si="639">IF(AH$5=EOMONTH($E69,1),AH79,IF(AND(AH$5&gt;EOMONTH($E69,1),AH$5&lt;=$E71),AG81*(1+AH72),0))</f>
        <v>0</v>
      </c>
      <c r="AI81" s="155">
        <f t="shared" ref="AI81" si="640">IF(AI$5=EOMONTH($E69,1),AI79,IF(AND(AI$5&gt;EOMONTH($E69,1),AI$5&lt;=$E71),AH81*(1+AI72),0))</f>
        <v>0</v>
      </c>
      <c r="AJ81" s="155">
        <f t="shared" ref="AJ81" si="641">IF(AJ$5=EOMONTH($E69,1),AJ79,IF(AND(AJ$5&gt;EOMONTH($E69,1),AJ$5&lt;=$E71),AI81*(1+AJ72),0))</f>
        <v>0</v>
      </c>
      <c r="AK81" s="155">
        <f t="shared" ref="AK81" si="642">IF(AK$5=EOMONTH($E69,1),AK79,IF(AND(AK$5&gt;EOMONTH($E69,1),AK$5&lt;=$E71),AJ81*(1+AK72),0))</f>
        <v>0</v>
      </c>
      <c r="AL81" s="155">
        <f t="shared" ref="AL81" si="643">IF(AL$5=EOMONTH($E69,1),AL79,IF(AND(AL$5&gt;EOMONTH($E69,1),AL$5&lt;=$E71),AK81*(1+AL72),0))</f>
        <v>0</v>
      </c>
      <c r="AM81" s="155">
        <f t="shared" ref="AM81" si="644">IF(AM$5=EOMONTH($E69,1),AM79,IF(AND(AM$5&gt;EOMONTH($E69,1),AM$5&lt;=$E71),AL81*(1+AM72),0))</f>
        <v>0</v>
      </c>
      <c r="AN81" s="155">
        <f t="shared" ref="AN81" si="645">IF(AN$5=EOMONTH($E69,1),AN79,IF(AND(AN$5&gt;EOMONTH($E69,1),AN$5&lt;=$E71),AM81*(1+AN72),0))</f>
        <v>0</v>
      </c>
      <c r="AO81" s="155">
        <f t="shared" ref="AO81" si="646">IF(AO$5=EOMONTH($E69,1),AO79,IF(AND(AO$5&gt;EOMONTH($E69,1),AO$5&lt;=$E71),AN81*(1+AO72),0))</f>
        <v>0</v>
      </c>
      <c r="AP81" s="155">
        <f t="shared" ref="AP81" si="647">IF(AP$5=EOMONTH($E69,1),AP79,IF(AND(AP$5&gt;EOMONTH($E69,1),AP$5&lt;=$E71),AO81*(1+AP72),0))</f>
        <v>0</v>
      </c>
      <c r="AQ81" s="155">
        <f t="shared" ref="AQ81" si="648">IF(AQ$5=EOMONTH($E69,1),AQ79,IF(AND(AQ$5&gt;EOMONTH($E69,1),AQ$5&lt;=$E71),AP81*(1+AQ72),0))</f>
        <v>0</v>
      </c>
      <c r="AR81" s="155">
        <f t="shared" ref="AR81" si="649">IF(AR$5=EOMONTH($E69,1),AR79,IF(AND(AR$5&gt;EOMONTH($E69,1),AR$5&lt;=$E71),AQ81*(1+AR72),0))</f>
        <v>0</v>
      </c>
      <c r="AS81" s="155">
        <f t="shared" ref="AS81" si="650">IF(AS$5=EOMONTH($E69,1),AS79,IF(AND(AS$5&gt;EOMONTH($E69,1),AS$5&lt;=$E71),AR81*(1+AS72),0))</f>
        <v>0</v>
      </c>
      <c r="AT81" s="155">
        <f t="shared" ref="AT81" si="651">IF(AT$5=EOMONTH($E69,1),AT79,IF(AND(AT$5&gt;EOMONTH($E69,1),AT$5&lt;=$E71),AS81*(1+AT72),0))</f>
        <v>0</v>
      </c>
      <c r="AU81" s="155">
        <f t="shared" ref="AU81" si="652">IF(AU$5=EOMONTH($E69,1),AU79,IF(AND(AU$5&gt;EOMONTH($E69,1),AU$5&lt;=$E71),AT81*(1+AU72),0))</f>
        <v>0</v>
      </c>
      <c r="AV81" s="155">
        <f t="shared" ref="AV81" si="653">IF(AV$5=EOMONTH($E69,1),AV79,IF(AND(AV$5&gt;EOMONTH($E69,1),AV$5&lt;=$E71),AU81*(1+AV72),0))</f>
        <v>0</v>
      </c>
      <c r="AW81" s="155">
        <f t="shared" ref="AW81" si="654">IF(AW$5=EOMONTH($E69,1),AW79,IF(AND(AW$5&gt;EOMONTH($E69,1),AW$5&lt;=$E71),AV81*(1+AW72),0))</f>
        <v>0</v>
      </c>
      <c r="AX81" s="155">
        <f t="shared" ref="AX81" si="655">IF(AX$5=EOMONTH($E69,1),AX79,IF(AND(AX$5&gt;EOMONTH($E69,1),AX$5&lt;=$E71),AW81*(1+AX72),0))</f>
        <v>0</v>
      </c>
      <c r="AY81" s="155">
        <f t="shared" ref="AY81" si="656">IF(AY$5=EOMONTH($E69,1),AY79,IF(AND(AY$5&gt;EOMONTH($E69,1),AY$5&lt;=$E71),AX81*(1+AY72),0))</f>
        <v>0</v>
      </c>
      <c r="AZ81" s="155">
        <f t="shared" ref="AZ81" si="657">IF(AZ$5=EOMONTH($E69,1),AZ79,IF(AND(AZ$5&gt;EOMONTH($E69,1),AZ$5&lt;=$E71),AY81*(1+AZ72),0))</f>
        <v>57.166284360885975</v>
      </c>
      <c r="BA81" s="155">
        <f t="shared" ref="BA81" si="658">IF(BA$5=EOMONTH($E69,1),BA79,IF(AND(BA$5&gt;EOMONTH($E69,1),BA$5&lt;=$E71),AZ81*(1+BA72),0))</f>
        <v>57.166284360885975</v>
      </c>
      <c r="BB81" s="155">
        <f t="shared" ref="BB81" si="659">IF(BB$5=EOMONTH($E69,1),BB79,IF(AND(BB$5&gt;EOMONTH($E69,1),BB$5&lt;=$E71),BA81*(1+BB72),0))</f>
        <v>57.166284360885975</v>
      </c>
      <c r="BC81" s="155">
        <f t="shared" ref="BC81" si="660">IF(BC$5=EOMONTH($E69,1),BC79,IF(AND(BC$5&gt;EOMONTH($E69,1),BC$5&lt;=$E71),BB81*(1+BC72),0))</f>
        <v>57.166284360885975</v>
      </c>
      <c r="BD81" s="155">
        <f t="shared" ref="BD81" si="661">IF(BD$5=EOMONTH($E69,1),BD79,IF(AND(BD$5&gt;EOMONTH($E69,1),BD$5&lt;=$E71),BC81*(1+BD72),0))</f>
        <v>57.166284360885975</v>
      </c>
      <c r="BE81" s="155">
        <f t="shared" ref="BE81" si="662">IF(BE$5=EOMONTH($E69,1),BE79,IF(AND(BE$5&gt;EOMONTH($E69,1),BE$5&lt;=$E71),BD81*(1+BE72),0))</f>
        <v>57.166284360885975</v>
      </c>
      <c r="BF81" s="155">
        <f t="shared" ref="BF81" si="663">IF(BF$5=EOMONTH($E69,1),BF79,IF(AND(BF$5&gt;EOMONTH($E69,1),BF$5&lt;=$E71),BE81*(1+BF72),0))</f>
        <v>57.166284360885975</v>
      </c>
      <c r="BG81" s="155">
        <f t="shared" ref="BG81" si="664">IF(BG$5=EOMONTH($E69,1),BG79,IF(AND(BG$5&gt;EOMONTH($E69,1),BG$5&lt;=$E71),BF81*(1+BG72),0))</f>
        <v>57.166284360885975</v>
      </c>
      <c r="BH81" s="155">
        <f t="shared" ref="BH81" si="665">IF(BH$5=EOMONTH($E69,1),BH79,IF(AND(BH$5&gt;EOMONTH($E69,1),BH$5&lt;=$E71),BG81*(1+BH72),0))</f>
        <v>57.166284360885975</v>
      </c>
      <c r="BI81" s="155">
        <f t="shared" ref="BI81" si="666">IF(BI$5=EOMONTH($E69,1),BI79,IF(AND(BI$5&gt;EOMONTH($E69,1),BI$5&lt;=$E71),BH81*(1+BI72),0))</f>
        <v>57.166284360885975</v>
      </c>
      <c r="BJ81" s="155">
        <f t="shared" ref="BJ81" si="667">IF(BJ$5=EOMONTH($E69,1),BJ79,IF(AND(BJ$5&gt;EOMONTH($E69,1),BJ$5&lt;=$E71),BI81*(1+BJ72),0))</f>
        <v>57.166284360885975</v>
      </c>
      <c r="BK81" s="155">
        <f t="shared" ref="BK81" si="668">IF(BK$5=EOMONTH($E69,1),BK79,IF(AND(BK$5&gt;EOMONTH($E69,1),BK$5&lt;=$E71),BJ81*(1+BK72),0))</f>
        <v>57.166284360885975</v>
      </c>
      <c r="BL81" s="155">
        <f t="shared" ref="BL81" si="669">IF(BL$5=EOMONTH($E69,1),BL79,IF(AND(BL$5&gt;EOMONTH($E69,1),BL$5&lt;=$E71),BK81*(1+BL72),0))</f>
        <v>58.595441469908117</v>
      </c>
      <c r="BM81" s="155">
        <f t="shared" ref="BM81" si="670">IF(BM$5=EOMONTH($E69,1),BM79,IF(AND(BM$5&gt;EOMONTH($E69,1),BM$5&lt;=$E71),BL81*(1+BM72),0))</f>
        <v>58.595441469908117</v>
      </c>
      <c r="BN81" s="155">
        <f t="shared" ref="BN81" si="671">IF(BN$5=EOMONTH($E69,1),BN79,IF(AND(BN$5&gt;EOMONTH($E69,1),BN$5&lt;=$E71),BM81*(1+BN72),0))</f>
        <v>58.595441469908117</v>
      </c>
      <c r="BO81" s="155">
        <f t="shared" ref="BO81" si="672">IF(BO$5=EOMONTH($E69,1),BO79,IF(AND(BO$5&gt;EOMONTH($E69,1),BO$5&lt;=$E71),BN81*(1+BO72),0))</f>
        <v>58.595441469908117</v>
      </c>
      <c r="BP81" s="155">
        <f t="shared" ref="BP81" si="673">IF(BP$5=EOMONTH($E69,1),BP79,IF(AND(BP$5&gt;EOMONTH($E69,1),BP$5&lt;=$E71),BO81*(1+BP72),0))</f>
        <v>58.595441469908117</v>
      </c>
      <c r="BQ81" s="155">
        <f t="shared" ref="BQ81" si="674">IF(BQ$5=EOMONTH($E69,1),BQ79,IF(AND(BQ$5&gt;EOMONTH($E69,1),BQ$5&lt;=$E71),BP81*(1+BQ72),0))</f>
        <v>58.595441469908117</v>
      </c>
      <c r="BR81" s="155">
        <f t="shared" ref="BR81" si="675">IF(BR$5=EOMONTH($E69,1),BR79,IF(AND(BR$5&gt;EOMONTH($E69,1),BR$5&lt;=$E71),BQ81*(1+BR72),0))</f>
        <v>58.595441469908117</v>
      </c>
      <c r="BS81" s="155">
        <f t="shared" ref="BS81" si="676">IF(BS$5=EOMONTH($E69,1),BS79,IF(AND(BS$5&gt;EOMONTH($E69,1),BS$5&lt;=$E71),BR81*(1+BS72),0))</f>
        <v>58.595441469908117</v>
      </c>
      <c r="BT81" s="155">
        <f t="shared" ref="BT81" si="677">IF(BT$5=EOMONTH($E69,1),BT79,IF(AND(BT$5&gt;EOMONTH($E69,1),BT$5&lt;=$E71),BS81*(1+BT72),0))</f>
        <v>58.595441469908117</v>
      </c>
      <c r="BU81" s="155">
        <f t="shared" ref="BU81" si="678">IF(BU$5=EOMONTH($E69,1),BU79,IF(AND(BU$5&gt;EOMONTH($E69,1),BU$5&lt;=$E71),BT81*(1+BU72),0))</f>
        <v>58.595441469908117</v>
      </c>
      <c r="BV81" s="155">
        <f t="shared" ref="BV81" si="679">IF(BV$5=EOMONTH($E69,1),BV79,IF(AND(BV$5&gt;EOMONTH($E69,1),BV$5&lt;=$E71),BU81*(1+BV72),0))</f>
        <v>58.595441469908117</v>
      </c>
      <c r="BW81" s="155">
        <f t="shared" ref="BW81" si="680">IF(BW$5=EOMONTH($E69,1),BW79,IF(AND(BW$5&gt;EOMONTH($E69,1),BW$5&lt;=$E71),BV81*(1+BW72),0))</f>
        <v>58.595441469908117</v>
      </c>
      <c r="BX81" s="155">
        <f t="shared" ref="BX81" si="681">IF(BX$5=EOMONTH($E69,1),BX79,IF(AND(BX$5&gt;EOMONTH($E69,1),BX$5&lt;=$E71),BW81*(1+BX72),0))</f>
        <v>60.060327506655817</v>
      </c>
      <c r="BY81" s="155">
        <f t="shared" ref="BY81" si="682">IF(BY$5=EOMONTH($E69,1),BY79,IF(AND(BY$5&gt;EOMONTH($E69,1),BY$5&lt;=$E71),BX81*(1+BY72),0))</f>
        <v>60.060327506655817</v>
      </c>
    </row>
    <row r="82" spans="2:77" customFormat="1" outlineLevel="1" x14ac:dyDescent="0.25">
      <c r="B82" s="1"/>
      <c r="C82" s="50" t="s">
        <v>275</v>
      </c>
      <c r="D82" s="36" t="s">
        <v>116</v>
      </c>
      <c r="E82" s="1"/>
      <c r="F82" s="155">
        <f>IF(F$5=EOMONTH($E74,1),F79,IF(F$5&gt;EOMONTH($E74,1),E82*(1+F77),IF(AND(F$5&gt;$E65,F$5&lt;=$E74),F79,0)))</f>
        <v>0</v>
      </c>
      <c r="G82" s="155">
        <f t="shared" ref="G82" si="683">IF(G$5=EOMONTH($E74,1),G79,IF(G$5&gt;EOMONTH($E74,1),F82*(1+G77),IF(AND(G$5&gt;$E65,G$5&lt;=$E74),G79,0)))</f>
        <v>0</v>
      </c>
      <c r="H82" s="155">
        <f t="shared" ref="H82" si="684">IF(H$5=EOMONTH($E74,1),H79,IF(H$5&gt;EOMONTH($E74,1),G82*(1+H77),IF(AND(H$5&gt;$E65,H$5&lt;=$E74),H79,0)))</f>
        <v>0</v>
      </c>
      <c r="I82" s="155">
        <f t="shared" ref="I82" si="685">IF(I$5=EOMONTH($E74,1),I79,IF(I$5&gt;EOMONTH($E74,1),H82*(1+I77),IF(AND(I$5&gt;$E65,I$5&lt;=$E74),I79,0)))</f>
        <v>0</v>
      </c>
      <c r="J82" s="155">
        <f t="shared" ref="J82" si="686">IF(J$5=EOMONTH($E74,1),J79,IF(J$5&gt;EOMONTH($E74,1),I82*(1+J77),IF(AND(J$5&gt;$E65,J$5&lt;=$E74),J79,0)))</f>
        <v>0</v>
      </c>
      <c r="K82" s="155">
        <f t="shared" ref="K82" si="687">IF(K$5=EOMONTH($E74,1),K79,IF(K$5&gt;EOMONTH($E74,1),J82*(1+K77),IF(AND(K$5&gt;$E65,K$5&lt;=$E74),K79,0)))</f>
        <v>0</v>
      </c>
      <c r="L82" s="155">
        <f t="shared" ref="L82" si="688">IF(L$5=EOMONTH($E74,1),L79,IF(L$5&gt;EOMONTH($E74,1),K82*(1+L77),IF(AND(L$5&gt;$E65,L$5&lt;=$E74),L79,0)))</f>
        <v>0</v>
      </c>
      <c r="M82" s="155">
        <f t="shared" ref="M82" si="689">IF(M$5=EOMONTH($E74,1),M79,IF(M$5&gt;EOMONTH($E74,1),L82*(1+M77),IF(AND(M$5&gt;$E65,M$5&lt;=$E74),M79,0)))</f>
        <v>0</v>
      </c>
      <c r="N82" s="155">
        <f t="shared" ref="N82" si="690">IF(N$5=EOMONTH($E74,1),N79,IF(N$5&gt;EOMONTH($E74,1),M82*(1+N77),IF(AND(N$5&gt;$E65,N$5&lt;=$E74),N79,0)))</f>
        <v>0</v>
      </c>
      <c r="O82" s="155">
        <f t="shared" ref="O82" si="691">IF(O$5=EOMONTH($E74,1),O79,IF(O$5&gt;EOMONTH($E74,1),N82*(1+O77),IF(AND(O$5&gt;$E65,O$5&lt;=$E74),O79,0)))</f>
        <v>0</v>
      </c>
      <c r="P82" s="155">
        <f t="shared" ref="P82" si="692">IF(P$5=EOMONTH($E74,1),P79,IF(P$5&gt;EOMONTH($E74,1),O82*(1+P77),IF(AND(P$5&gt;$E65,P$5&lt;=$E74),P79,0)))</f>
        <v>0</v>
      </c>
      <c r="Q82" s="155">
        <f t="shared" ref="Q82" si="693">IF(Q$5=EOMONTH($E74,1),Q79,IF(Q$5&gt;EOMONTH($E74,1),P82*(1+Q77),IF(AND(Q$5&gt;$E65,Q$5&lt;=$E74),Q79,0)))</f>
        <v>0</v>
      </c>
      <c r="R82" s="155">
        <f t="shared" ref="R82" si="694">IF(R$5=EOMONTH($E74,1),R79,IF(R$5&gt;EOMONTH($E74,1),Q82*(1+R77),IF(AND(R$5&gt;$E65,R$5&lt;=$E74),R79,0)))</f>
        <v>0</v>
      </c>
      <c r="S82" s="155">
        <f t="shared" ref="S82" si="695">IF(S$5=EOMONTH($E74,1),S79,IF(S$5&gt;EOMONTH($E74,1),R82*(1+S77),IF(AND(S$5&gt;$E65,S$5&lt;=$E74),S79,0)))</f>
        <v>0</v>
      </c>
      <c r="T82" s="155">
        <f t="shared" ref="T82" si="696">IF(T$5=EOMONTH($E74,1),T79,IF(T$5&gt;EOMONTH($E74,1),S82*(1+T77),IF(AND(T$5&gt;$E65,T$5&lt;=$E74),T79,0)))</f>
        <v>0</v>
      </c>
      <c r="U82" s="155">
        <f t="shared" ref="U82" si="697">IF(U$5=EOMONTH($E74,1),U79,IF(U$5&gt;EOMONTH($E74,1),T82*(1+U77),IF(AND(U$5&gt;$E65,U$5&lt;=$E74),U79,0)))</f>
        <v>0</v>
      </c>
      <c r="V82" s="155">
        <f t="shared" ref="V82" si="698">IF(V$5=EOMONTH($E74,1),V79,IF(V$5&gt;EOMONTH($E74,1),U82*(1+V77),IF(AND(V$5&gt;$E65,V$5&lt;=$E74),V79,0)))</f>
        <v>0</v>
      </c>
      <c r="W82" s="155">
        <f t="shared" ref="W82" si="699">IF(W$5=EOMONTH($E74,1),W79,IF(W$5&gt;EOMONTH($E74,1),V82*(1+W77),IF(AND(W$5&gt;$E65,W$5&lt;=$E74),W79,0)))</f>
        <v>0</v>
      </c>
      <c r="X82" s="155">
        <f t="shared" ref="X82" si="700">IF(X$5=EOMONTH($E74,1),X79,IF(X$5&gt;EOMONTH($E74,1),W82*(1+X77),IF(AND(X$5&gt;$E65,X$5&lt;=$E74),X79,0)))</f>
        <v>0</v>
      </c>
      <c r="Y82" s="155">
        <f t="shared" ref="Y82" si="701">IF(Y$5=EOMONTH($E74,1),Y79,IF(Y$5&gt;EOMONTH($E74,1),X82*(1+Y77),IF(AND(Y$5&gt;$E65,Y$5&lt;=$E74),Y79,0)))</f>
        <v>0</v>
      </c>
      <c r="Z82" s="155">
        <f t="shared" ref="Z82" si="702">IF(Z$5=EOMONTH($E74,1),Z79,IF(Z$5&gt;EOMONTH($E74,1),Y82*(1+Z77),IF(AND(Z$5&gt;$E65,Z$5&lt;=$E74),Z79,0)))</f>
        <v>0</v>
      </c>
      <c r="AA82" s="155">
        <f t="shared" ref="AA82" si="703">IF(AA$5=EOMONTH($E74,1),AA79,IF(AA$5&gt;EOMONTH($E74,1),Z82*(1+AA77),IF(AND(AA$5&gt;$E65,AA$5&lt;=$E74),AA79,0)))</f>
        <v>0</v>
      </c>
      <c r="AB82" s="155">
        <f t="shared" ref="AB82" si="704">IF(AB$5=EOMONTH($E74,1),AB79,IF(AB$5&gt;EOMONTH($E74,1),AA82*(1+AB77),IF(AND(AB$5&gt;$E65,AB$5&lt;=$E74),AB79,0)))</f>
        <v>0</v>
      </c>
      <c r="AC82" s="155">
        <f t="shared" ref="AC82" si="705">IF(AC$5=EOMONTH($E74,1),AC79,IF(AC$5&gt;EOMONTH($E74,1),AB82*(1+AC77),IF(AND(AC$5&gt;$E65,AC$5&lt;=$E74),AC79,0)))</f>
        <v>0</v>
      </c>
      <c r="AD82" s="155">
        <f t="shared" ref="AD82" si="706">IF(AD$5=EOMONTH($E74,1),AD79,IF(AD$5&gt;EOMONTH($E74,1),AC82*(1+AD77),IF(AND(AD$5&gt;$E65,AD$5&lt;=$E74),AD79,0)))</f>
        <v>0</v>
      </c>
      <c r="AE82" s="155">
        <f t="shared" ref="AE82" si="707">IF(AE$5=EOMONTH($E74,1),AE79,IF(AE$5&gt;EOMONTH($E74,1),AD82*(1+AE77),IF(AND(AE$5&gt;$E65,AE$5&lt;=$E74),AE79,0)))</f>
        <v>0</v>
      </c>
      <c r="AF82" s="155">
        <f t="shared" ref="AF82" si="708">IF(AF$5=EOMONTH($E74,1),AF79,IF(AF$5&gt;EOMONTH($E74,1),AE82*(1+AF77),IF(AND(AF$5&gt;$E65,AF$5&lt;=$E74),AF79,0)))</f>
        <v>0</v>
      </c>
      <c r="AG82" s="155">
        <f t="shared" ref="AG82" si="709">IF(AG$5=EOMONTH($E74,1),AG79,IF(AG$5&gt;EOMONTH($E74,1),AF82*(1+AG77),IF(AND(AG$5&gt;$E65,AG$5&lt;=$E74),AG79,0)))</f>
        <v>0</v>
      </c>
      <c r="AH82" s="155">
        <f t="shared" ref="AH82" si="710">IF(AH$5=EOMONTH($E74,1),AH79,IF(AH$5&gt;EOMONTH($E74,1),AG82*(1+AH77),IF(AND(AH$5&gt;$E65,AH$5&lt;=$E74),AH79,0)))</f>
        <v>0</v>
      </c>
      <c r="AI82" s="155">
        <f t="shared" ref="AI82" si="711">IF(AI$5=EOMONTH($E74,1),AI79,IF(AI$5&gt;EOMONTH($E74,1),AH82*(1+AI77),IF(AND(AI$5&gt;$E65,AI$5&lt;=$E74),AI79,0)))</f>
        <v>0</v>
      </c>
      <c r="AJ82" s="155">
        <f t="shared" ref="AJ82" si="712">IF(AJ$5=EOMONTH($E74,1),AJ79,IF(AJ$5&gt;EOMONTH($E74,1),AI82*(1+AJ77),IF(AND(AJ$5&gt;$E65,AJ$5&lt;=$E74),AJ79,0)))</f>
        <v>0</v>
      </c>
      <c r="AK82" s="155">
        <f t="shared" ref="AK82" si="713">IF(AK$5=EOMONTH($E74,1),AK79,IF(AK$5&gt;EOMONTH($E74,1),AJ82*(1+AK77),IF(AND(AK$5&gt;$E65,AK$5&lt;=$E74),AK79,0)))</f>
        <v>0</v>
      </c>
      <c r="AL82" s="155">
        <f t="shared" ref="AL82" si="714">IF(AL$5=EOMONTH($E74,1),AL79,IF(AL$5&gt;EOMONTH($E74,1),AK82*(1+AL77),IF(AND(AL$5&gt;$E65,AL$5&lt;=$E74),AL79,0)))</f>
        <v>0</v>
      </c>
      <c r="AM82" s="155">
        <f t="shared" ref="AM82" si="715">IF(AM$5=EOMONTH($E74,1),AM79,IF(AM$5&gt;EOMONTH($E74,1),AL82*(1+AM77),IF(AND(AM$5&gt;$E65,AM$5&lt;=$E74),AM79,0)))</f>
        <v>0</v>
      </c>
      <c r="AN82" s="155">
        <f t="shared" ref="AN82" si="716">IF(AN$5=EOMONTH($E74,1),AN79,IF(AN$5&gt;EOMONTH($E74,1),AM82*(1+AN77),IF(AND(AN$5&gt;$E65,AN$5&lt;=$E74),AN79,0)))</f>
        <v>0</v>
      </c>
      <c r="AO82" s="155">
        <f t="shared" ref="AO82" si="717">IF(AO$5=EOMONTH($E74,1),AO79,IF(AO$5&gt;EOMONTH($E74,1),AN82*(1+AO77),IF(AND(AO$5&gt;$E65,AO$5&lt;=$E74),AO79,0)))</f>
        <v>0</v>
      </c>
      <c r="AP82" s="155">
        <f t="shared" ref="AP82" si="718">IF(AP$5=EOMONTH($E74,1),AP79,IF(AP$5&gt;EOMONTH($E74,1),AO82*(1+AP77),IF(AND(AP$5&gt;$E65,AP$5&lt;=$E74),AP79,0)))</f>
        <v>0</v>
      </c>
      <c r="AQ82" s="155">
        <f t="shared" ref="AQ82" si="719">IF(AQ$5=EOMONTH($E74,1),AQ79,IF(AQ$5&gt;EOMONTH($E74,1),AP82*(1+AQ77),IF(AND(AQ$5&gt;$E65,AQ$5&lt;=$E74),AQ79,0)))</f>
        <v>0</v>
      </c>
      <c r="AR82" s="155">
        <f t="shared" ref="AR82" si="720">IF(AR$5=EOMONTH($E74,1),AR79,IF(AR$5&gt;EOMONTH($E74,1),AQ82*(1+AR77),IF(AND(AR$5&gt;$E65,AR$5&lt;=$E74),AR79,0)))</f>
        <v>0</v>
      </c>
      <c r="AS82" s="155">
        <f t="shared" ref="AS82" si="721">IF(AS$5=EOMONTH($E74,1),AS79,IF(AS$5&gt;EOMONTH($E74,1),AR82*(1+AS77),IF(AND(AS$5&gt;$E65,AS$5&lt;=$E74),AS79,0)))</f>
        <v>0</v>
      </c>
      <c r="AT82" s="155">
        <f t="shared" ref="AT82" si="722">IF(AT$5=EOMONTH($E74,1),AT79,IF(AT$5&gt;EOMONTH($E74,1),AS82*(1+AT77),IF(AND(AT$5&gt;$E65,AT$5&lt;=$E74),AT79,0)))</f>
        <v>0</v>
      </c>
      <c r="AU82" s="155">
        <f t="shared" ref="AU82" si="723">IF(AU$5=EOMONTH($E74,1),AU79,IF(AU$5&gt;EOMONTH($E74,1),AT82*(1+AU77),IF(AND(AU$5&gt;$E65,AU$5&lt;=$E74),AU79,0)))</f>
        <v>0</v>
      </c>
      <c r="AV82" s="155">
        <f t="shared" ref="AV82" si="724">IF(AV$5=EOMONTH($E74,1),AV79,IF(AV$5&gt;EOMONTH($E74,1),AU82*(1+AV77),IF(AND(AV$5&gt;$E65,AV$5&lt;=$E74),AV79,0)))</f>
        <v>0</v>
      </c>
      <c r="AW82" s="155">
        <f t="shared" ref="AW82" si="725">IF(AW$5=EOMONTH($E74,1),AW79,IF(AW$5&gt;EOMONTH($E74,1),AV82*(1+AW77),IF(AND(AW$5&gt;$E65,AW$5&lt;=$E74),AW79,0)))</f>
        <v>0</v>
      </c>
      <c r="AX82" s="155">
        <f t="shared" ref="AX82" si="726">IF(AX$5=EOMONTH($E74,1),AX79,IF(AX$5&gt;EOMONTH($E74,1),AW82*(1+AX77),IF(AND(AX$5&gt;$E65,AX$5&lt;=$E74),AX79,0)))</f>
        <v>0</v>
      </c>
      <c r="AY82" s="155">
        <f t="shared" ref="AY82" si="727">IF(AY$5=EOMONTH($E74,1),AY79,IF(AY$5&gt;EOMONTH($E74,1),AX82*(1+AY77),IF(AND(AY$5&gt;$E65,AY$5&lt;=$E74),AY79,0)))</f>
        <v>0</v>
      </c>
      <c r="AZ82" s="155">
        <f t="shared" ref="AZ82" si="728">IF(AZ$5=EOMONTH($E74,1),AZ79,IF(AZ$5&gt;EOMONTH($E74,1),AY82*(1+AZ77),IF(AND(AZ$5&gt;$E65,AZ$5&lt;=$E74),AZ79,0)))</f>
        <v>57.166284360885975</v>
      </c>
      <c r="BA82" s="155">
        <f t="shared" ref="BA82" si="729">IF(BA$5=EOMONTH($E74,1),BA79,IF(BA$5&gt;EOMONTH($E74,1),AZ82*(1+BA77),IF(AND(BA$5&gt;$E65,BA$5&lt;=$E74),BA79,0)))</f>
        <v>57.307271840000141</v>
      </c>
      <c r="BB82" s="155">
        <f t="shared" ref="BB82" si="730">IF(BB$5=EOMONTH($E74,1),BB79,IF(BB$5&gt;EOMONTH($E74,1),BA82*(1+BB77),IF(AND(BB$5&gt;$E65,BB$5&lt;=$E74),BB79,0)))</f>
        <v>57.425315437061911</v>
      </c>
      <c r="BC82" s="155">
        <f t="shared" ref="BC82" si="731">IF(BC$5=EOMONTH($E74,1),BC79,IF(BC$5&gt;EOMONTH($E74,1),BB82*(1+BC77),IF(AND(BC$5&gt;$E65,BC$5&lt;=$E74),BC79,0)))</f>
        <v>57.543602184606335</v>
      </c>
      <c r="BD82" s="155">
        <f t="shared" ref="BD82" si="732">IF(BD$5=EOMONTH($E74,1),BD79,IF(BD$5&gt;EOMONTH($E74,1),BC82*(1+BD77),IF(AND(BD$5&gt;$E65,BD$5&lt;=$E74),BD79,0)))</f>
        <v>57.66213258348359</v>
      </c>
      <c r="BE82" s="155">
        <f t="shared" ref="BE82" si="733">IF(BE$5=EOMONTH($E74,1),BE79,IF(BE$5&gt;EOMONTH($E74,1),BD82*(1+BE77),IF(AND(BE$5&gt;$E65,BE$5&lt;=$E74),BE79,0)))</f>
        <v>57.780907135575532</v>
      </c>
      <c r="BF82" s="155">
        <f t="shared" ref="BF82" si="734">IF(BF$5=EOMONTH($E74,1),BF79,IF(BF$5&gt;EOMONTH($E74,1),BE82*(1+BF77),IF(AND(BF$5&gt;$E65,BF$5&lt;=$E74),BF79,0)))</f>
        <v>57.899926343797809</v>
      </c>
      <c r="BG82" s="155">
        <f t="shared" ref="BG82" si="735">IF(BG$5=EOMONTH($E74,1),BG79,IF(BG$5&gt;EOMONTH($E74,1),BF82*(1+BG77),IF(AND(BG$5&gt;$E65,BG$5&lt;=$E74),BG79,0)))</f>
        <v>57.899926343797809</v>
      </c>
      <c r="BH82" s="155">
        <f t="shared" ref="BH82" si="736">IF(BH$5=EOMONTH($E74,1),BH79,IF(BH$5&gt;EOMONTH($E74,1),BG82*(1+BH77),IF(AND(BH$5&gt;$E65,BH$5&lt;=$E74),BH79,0)))</f>
        <v>57.899926343797809</v>
      </c>
      <c r="BI82" s="155">
        <f t="shared" ref="BI82" si="737">IF(BI$5=EOMONTH($E74,1),BI79,IF(BI$5&gt;EOMONTH($E74,1),BH82*(1+BI77),IF(AND(BI$5&gt;$E65,BI$5&lt;=$E74),BI79,0)))</f>
        <v>57.899926343797809</v>
      </c>
      <c r="BJ82" s="155">
        <f t="shared" ref="BJ82" si="738">IF(BJ$5=EOMONTH($E74,1),BJ79,IF(BJ$5&gt;EOMONTH($E74,1),BI82*(1+BJ77),IF(AND(BJ$5&gt;$E65,BJ$5&lt;=$E74),BJ79,0)))</f>
        <v>57.899926343797809</v>
      </c>
      <c r="BK82" s="155">
        <f t="shared" ref="BK82" si="739">IF(BK$5=EOMONTH($E74,1),BK79,IF(BK$5&gt;EOMONTH($E74,1),BJ82*(1+BK77),IF(AND(BK$5&gt;$E65,BK$5&lt;=$E74),BK79,0)))</f>
        <v>57.899926343797809</v>
      </c>
      <c r="BL82" s="155">
        <f t="shared" ref="BL82" si="740">IF(BL$5=EOMONTH($E74,1),BL79,IF(BL$5&gt;EOMONTH($E74,1),BK82*(1+BL77),IF(AND(BL$5&gt;$E65,BL$5&lt;=$E74),BL79,0)))</f>
        <v>57.899926343797809</v>
      </c>
      <c r="BM82" s="155">
        <f t="shared" ref="BM82" si="741">IF(BM$5=EOMONTH($E74,1),BM79,IF(BM$5&gt;EOMONTH($E74,1),BL82*(1+BM77),IF(AND(BM$5&gt;$E65,BM$5&lt;=$E74),BM79,0)))</f>
        <v>57.899926343797809</v>
      </c>
      <c r="BN82" s="155">
        <f t="shared" ref="BN82" si="742">IF(BN$5=EOMONTH($E74,1),BN79,IF(BN$5&gt;EOMONTH($E74,1),BM82*(1+BN77),IF(AND(BN$5&gt;$E65,BN$5&lt;=$E74),BN79,0)))</f>
        <v>57.899926343797809</v>
      </c>
      <c r="BO82" s="155">
        <f t="shared" ref="BO82" si="743">IF(BO$5=EOMONTH($E74,1),BO79,IF(BO$5&gt;EOMONTH($E74,1),BN82*(1+BO77),IF(AND(BO$5&gt;$E65,BO$5&lt;=$E74),BO79,0)))</f>
        <v>57.899926343797809</v>
      </c>
      <c r="BP82" s="155">
        <f t="shared" ref="BP82" si="744">IF(BP$5=EOMONTH($E74,1),BP79,IF(BP$5&gt;EOMONTH($E74,1),BO82*(1+BP77),IF(AND(BP$5&gt;$E65,BP$5&lt;=$E74),BP79,0)))</f>
        <v>57.899926343797809</v>
      </c>
      <c r="BQ82" s="155">
        <f t="shared" ref="BQ82" si="745">IF(BQ$5=EOMONTH($E74,1),BQ79,IF(BQ$5&gt;EOMONTH($E74,1),BP82*(1+BQ77),IF(AND(BQ$5&gt;$E65,BQ$5&lt;=$E74),BQ79,0)))</f>
        <v>57.899926343797809</v>
      </c>
      <c r="BR82" s="155">
        <f t="shared" ref="BR82" si="746">IF(BR$5=EOMONTH($E74,1),BR79,IF(BR$5&gt;EOMONTH($E74,1),BQ82*(1+BR77),IF(AND(BR$5&gt;$E65,BR$5&lt;=$E74),BR79,0)))</f>
        <v>59.057924870673766</v>
      </c>
      <c r="BS82" s="155">
        <f t="shared" ref="BS82" si="747">IF(BS$5=EOMONTH($E74,1),BS79,IF(BS$5&gt;EOMONTH($E74,1),BR82*(1+BS77),IF(AND(BS$5&gt;$E65,BS$5&lt;=$E74),BS79,0)))</f>
        <v>59.057924870673766</v>
      </c>
      <c r="BT82" s="155">
        <f t="shared" ref="BT82" si="748">IF(BT$5=EOMONTH($E74,1),BT79,IF(BT$5&gt;EOMONTH($E74,1),BS82*(1+BT77),IF(AND(BT$5&gt;$E65,BT$5&lt;=$E74),BT79,0)))</f>
        <v>59.057924870673766</v>
      </c>
      <c r="BU82" s="155">
        <f t="shared" ref="BU82" si="749">IF(BU$5=EOMONTH($E74,1),BU79,IF(BU$5&gt;EOMONTH($E74,1),BT82*(1+BU77),IF(AND(BU$5&gt;$E65,BU$5&lt;=$E74),BU79,0)))</f>
        <v>59.057924870673766</v>
      </c>
      <c r="BV82" s="155">
        <f t="shared" ref="BV82" si="750">IF(BV$5=EOMONTH($E74,1),BV79,IF(BV$5&gt;EOMONTH($E74,1),BU82*(1+BV77),IF(AND(BV$5&gt;$E65,BV$5&lt;=$E74),BV79,0)))</f>
        <v>59.057924870673766</v>
      </c>
      <c r="BW82" s="155">
        <f t="shared" ref="BW82" si="751">IF(BW$5=EOMONTH($E74,1),BW79,IF(BW$5&gt;EOMONTH($E74,1),BV82*(1+BW77),IF(AND(BW$5&gt;$E65,BW$5&lt;=$E74),BW79,0)))</f>
        <v>59.057924870673766</v>
      </c>
      <c r="BX82" s="155">
        <f t="shared" ref="BX82" si="752">IF(BX$5=EOMONTH($E74,1),BX79,IF(BX$5&gt;EOMONTH($E74,1),BW82*(1+BX77),IF(AND(BX$5&gt;$E65,BX$5&lt;=$E74),BX79,0)))</f>
        <v>59.057924870673766</v>
      </c>
      <c r="BY82" s="155">
        <f t="shared" ref="BY82" si="753">IF(BY$5=EOMONTH($E74,1),BY79,IF(BY$5&gt;EOMONTH($E74,1),BX82*(1+BY77),IF(AND(BY$5&gt;$E65,BY$5&lt;=$E74),BY79,0)))</f>
        <v>59.057924870673766</v>
      </c>
    </row>
    <row r="83" spans="2:77" customFormat="1" outlineLevel="1" x14ac:dyDescent="0.25">
      <c r="B83" s="1"/>
      <c r="C83" s="44"/>
      <c r="D83" s="56"/>
      <c r="E83" s="1"/>
      <c r="F83" s="1"/>
      <c r="G83" s="1"/>
      <c r="H83" s="1"/>
      <c r="I83" s="1"/>
      <c r="J83" s="1"/>
      <c r="AP83" s="110"/>
      <c r="AQ83" s="110"/>
      <c r="AR83" s="110"/>
      <c r="AS83" s="110"/>
      <c r="AT83" s="110"/>
      <c r="AZ83" s="110"/>
      <c r="BA83" s="110"/>
      <c r="BB83" s="110"/>
    </row>
    <row r="84" spans="2:77" customFormat="1" outlineLevel="1" x14ac:dyDescent="0.25">
      <c r="B84" s="1"/>
      <c r="C84" s="50" t="s">
        <v>276</v>
      </c>
      <c r="D84" s="37" t="s">
        <v>101</v>
      </c>
      <c r="E84" s="1"/>
      <c r="F84" s="156">
        <f t="shared" ref="F84:BQ84" si="754">+F79*$E62/Months</f>
        <v>33789.927472197865</v>
      </c>
      <c r="G84" s="156">
        <f t="shared" si="754"/>
        <v>33954.401652768065</v>
      </c>
      <c r="H84" s="156">
        <f t="shared" si="754"/>
        <v>34119.676419728879</v>
      </c>
      <c r="I84" s="156">
        <f t="shared" si="754"/>
        <v>34285.755669975049</v>
      </c>
      <c r="J84" s="156">
        <f t="shared" si="754"/>
        <v>34452.64331936965</v>
      </c>
      <c r="K84" s="156">
        <f t="shared" si="754"/>
        <v>34620.343302836409</v>
      </c>
      <c r="L84" s="156">
        <f t="shared" si="754"/>
        <v>34788.859574452508</v>
      </c>
      <c r="M84" s="156">
        <f t="shared" si="754"/>
        <v>34958.196107541771</v>
      </c>
      <c r="N84" s="156">
        <f t="shared" si="754"/>
        <v>35128.356894768411</v>
      </c>
      <c r="O84" s="156">
        <f t="shared" si="754"/>
        <v>35299.345948231115</v>
      </c>
      <c r="P84" s="156">
        <f t="shared" si="754"/>
        <v>35471.167299557666</v>
      </c>
      <c r="Q84" s="156">
        <f t="shared" si="754"/>
        <v>35643.825000000004</v>
      </c>
      <c r="R84" s="156">
        <f t="shared" si="754"/>
        <v>35760.513607892244</v>
      </c>
      <c r="S84" s="156">
        <f t="shared" si="754"/>
        <v>35877.584223922269</v>
      </c>
      <c r="T84" s="156">
        <f t="shared" si="754"/>
        <v>35995.038098685312</v>
      </c>
      <c r="U84" s="156">
        <f t="shared" si="754"/>
        <v>36112.876486870744</v>
      </c>
      <c r="V84" s="156">
        <f t="shared" si="754"/>
        <v>36231.100647275445</v>
      </c>
      <c r="W84" s="156">
        <f t="shared" si="754"/>
        <v>36349.711842817283</v>
      </c>
      <c r="X84" s="156">
        <f t="shared" si="754"/>
        <v>36468.71134054858</v>
      </c>
      <c r="Y84" s="156">
        <f t="shared" si="754"/>
        <v>36588.100411669664</v>
      </c>
      <c r="Z84" s="156">
        <f t="shared" si="754"/>
        <v>36707.88033154243</v>
      </c>
      <c r="AA84" s="156">
        <f t="shared" si="754"/>
        <v>36828.052379704</v>
      </c>
      <c r="AB84" s="156">
        <f t="shared" si="754"/>
        <v>36948.617839880339</v>
      </c>
      <c r="AC84" s="156">
        <f t="shared" si="754"/>
        <v>37069.578000000023</v>
      </c>
      <c r="AD84" s="156">
        <f t="shared" si="754"/>
        <v>37161.001579693475</v>
      </c>
      <c r="AE84" s="156">
        <f t="shared" si="754"/>
        <v>37252.650634598009</v>
      </c>
      <c r="AF84" s="156">
        <f t="shared" si="754"/>
        <v>37344.525720796308</v>
      </c>
      <c r="AG84" s="156">
        <f t="shared" si="754"/>
        <v>37436.627395742522</v>
      </c>
      <c r="AH84" s="156">
        <f t="shared" si="754"/>
        <v>37528.956218265637</v>
      </c>
      <c r="AI84" s="156">
        <f t="shared" si="754"/>
        <v>37621.512748572852</v>
      </c>
      <c r="AJ84" s="156">
        <f t="shared" si="754"/>
        <v>37714.297548252995</v>
      </c>
      <c r="AK84" s="156">
        <f t="shared" si="754"/>
        <v>37807.311180279918</v>
      </c>
      <c r="AL84" s="156">
        <f t="shared" si="754"/>
        <v>37900.554209015922</v>
      </c>
      <c r="AM84" s="156">
        <f t="shared" si="754"/>
        <v>37994.027200215176</v>
      </c>
      <c r="AN84" s="156">
        <f t="shared" si="754"/>
        <v>38087.730721027147</v>
      </c>
      <c r="AO84" s="156">
        <f t="shared" si="754"/>
        <v>38181.665340000058</v>
      </c>
      <c r="AP84" s="156">
        <f t="shared" si="754"/>
        <v>38275.831627084313</v>
      </c>
      <c r="AQ84" s="156">
        <f t="shared" si="754"/>
        <v>38370.230153635981</v>
      </c>
      <c r="AR84" s="156">
        <f t="shared" si="754"/>
        <v>38464.861492420227</v>
      </c>
      <c r="AS84" s="156">
        <f t="shared" si="754"/>
        <v>38559.726217614829</v>
      </c>
      <c r="AT84" s="156">
        <f t="shared" si="754"/>
        <v>38654.824904813642</v>
      </c>
      <c r="AU84" s="156">
        <f t="shared" si="754"/>
        <v>38750.158131030083</v>
      </c>
      <c r="AV84" s="156">
        <f t="shared" si="754"/>
        <v>38845.726474700627</v>
      </c>
      <c r="AW84" s="156">
        <f t="shared" si="754"/>
        <v>38941.530515688362</v>
      </c>
      <c r="AX84" s="156">
        <f t="shared" si="754"/>
        <v>39037.570835286446</v>
      </c>
      <c r="AY84" s="156">
        <f t="shared" si="754"/>
        <v>39133.848016221666</v>
      </c>
      <c r="AZ84" s="156">
        <f t="shared" si="754"/>
        <v>39230.362642658001</v>
      </c>
      <c r="BA84" s="156">
        <f t="shared" si="754"/>
        <v>39327.115300200101</v>
      </c>
      <c r="BB84" s="156">
        <f t="shared" si="754"/>
        <v>39408.122718683735</v>
      </c>
      <c r="BC84" s="156">
        <f t="shared" si="754"/>
        <v>39489.296999186095</v>
      </c>
      <c r="BD84" s="156">
        <f t="shared" si="754"/>
        <v>39570.638485415613</v>
      </c>
      <c r="BE84" s="156">
        <f t="shared" si="754"/>
        <v>39652.147521788713</v>
      </c>
      <c r="BF84" s="156">
        <f t="shared" si="754"/>
        <v>39733.824453431247</v>
      </c>
      <c r="BG84" s="156">
        <f t="shared" si="754"/>
        <v>39815.669626179988</v>
      </c>
      <c r="BH84" s="156">
        <f t="shared" si="754"/>
        <v>39897.683386584067</v>
      </c>
      <c r="BI84" s="156">
        <f t="shared" si="754"/>
        <v>39979.866081906453</v>
      </c>
      <c r="BJ84" s="156">
        <f t="shared" si="754"/>
        <v>40062.218060125422</v>
      </c>
      <c r="BK84" s="156">
        <f t="shared" si="754"/>
        <v>40144.739669936018</v>
      </c>
      <c r="BL84" s="156">
        <f t="shared" si="754"/>
        <v>40227.431260751546</v>
      </c>
      <c r="BM84" s="156">
        <f t="shared" si="754"/>
        <v>40310.293182705042</v>
      </c>
      <c r="BN84" s="156">
        <f t="shared" si="754"/>
        <v>40393.325786650777</v>
      </c>
      <c r="BO84" s="156">
        <f t="shared" si="754"/>
        <v>40476.529424165703</v>
      </c>
      <c r="BP84" s="156">
        <f t="shared" si="754"/>
        <v>40559.904447550951</v>
      </c>
      <c r="BQ84" s="156">
        <f t="shared" si="754"/>
        <v>40643.451209833373</v>
      </c>
      <c r="BR84" s="156">
        <f t="shared" ref="BR84:BY84" si="755">+BR79*$E62/Months</f>
        <v>40727.170064766971</v>
      </c>
      <c r="BS84" s="156">
        <f t="shared" si="755"/>
        <v>40811.061366834438</v>
      </c>
      <c r="BT84" s="156">
        <f t="shared" si="755"/>
        <v>40895.125471248619</v>
      </c>
      <c r="BU84" s="156">
        <f t="shared" si="755"/>
        <v>40979.362733954069</v>
      </c>
      <c r="BV84" s="156">
        <f t="shared" si="755"/>
        <v>41063.773511628511</v>
      </c>
      <c r="BW84" s="156">
        <f t="shared" si="755"/>
        <v>41148.358161684373</v>
      </c>
      <c r="BX84" s="156">
        <f t="shared" si="755"/>
        <v>41233.117042270285</v>
      </c>
      <c r="BY84" s="156">
        <f t="shared" si="755"/>
        <v>41318.050512272632</v>
      </c>
    </row>
    <row r="85" spans="2:77" customFormat="1" outlineLevel="1" x14ac:dyDescent="0.25">
      <c r="B85" s="1"/>
      <c r="C85" s="50" t="s">
        <v>277</v>
      </c>
      <c r="D85" s="37" t="s">
        <v>101</v>
      </c>
      <c r="E85" s="1"/>
      <c r="F85" s="13">
        <f t="shared" ref="F85:BQ85" si="756">+F80*$E62/Months</f>
        <v>30881.25</v>
      </c>
      <c r="G85" s="13">
        <f t="shared" si="756"/>
        <v>30881.25</v>
      </c>
      <c r="H85" s="13">
        <f t="shared" si="756"/>
        <v>30881.25</v>
      </c>
      <c r="I85" s="13">
        <f t="shared" si="756"/>
        <v>30881.25</v>
      </c>
      <c r="J85" s="13">
        <f t="shared" si="756"/>
        <v>30881.25</v>
      </c>
      <c r="K85" s="13">
        <f t="shared" si="756"/>
        <v>30881.25</v>
      </c>
      <c r="L85" s="13">
        <f t="shared" si="756"/>
        <v>30881.25</v>
      </c>
      <c r="M85" s="13">
        <f t="shared" si="756"/>
        <v>30881.25</v>
      </c>
      <c r="N85" s="13">
        <f t="shared" si="756"/>
        <v>30881.25</v>
      </c>
      <c r="O85" s="13">
        <f t="shared" si="756"/>
        <v>30881.25</v>
      </c>
      <c r="P85" s="13">
        <f t="shared" si="756"/>
        <v>31807.6875</v>
      </c>
      <c r="Q85" s="13">
        <f t="shared" si="756"/>
        <v>31807.6875</v>
      </c>
      <c r="R85" s="13">
        <f t="shared" si="756"/>
        <v>31807.6875</v>
      </c>
      <c r="S85" s="13">
        <f t="shared" si="756"/>
        <v>31807.6875</v>
      </c>
      <c r="T85" s="13">
        <f t="shared" si="756"/>
        <v>31807.6875</v>
      </c>
      <c r="U85" s="13">
        <f t="shared" si="756"/>
        <v>31807.6875</v>
      </c>
      <c r="V85" s="13">
        <f t="shared" si="756"/>
        <v>31807.6875</v>
      </c>
      <c r="W85" s="13">
        <f t="shared" si="756"/>
        <v>31807.6875</v>
      </c>
      <c r="X85" s="13">
        <f t="shared" si="756"/>
        <v>31807.6875</v>
      </c>
      <c r="Y85" s="13">
        <f t="shared" si="756"/>
        <v>31807.6875</v>
      </c>
      <c r="Z85" s="13">
        <f t="shared" si="756"/>
        <v>31807.6875</v>
      </c>
      <c r="AA85" s="13">
        <f t="shared" si="756"/>
        <v>31807.6875</v>
      </c>
      <c r="AB85" s="13">
        <f t="shared" si="756"/>
        <v>32761.918125</v>
      </c>
      <c r="AC85" s="13">
        <f t="shared" si="756"/>
        <v>32761.918125</v>
      </c>
      <c r="AD85" s="13">
        <f t="shared" si="756"/>
        <v>32761.918125</v>
      </c>
      <c r="AE85" s="13">
        <f t="shared" si="756"/>
        <v>32761.918125</v>
      </c>
      <c r="AF85" s="13">
        <f t="shared" si="756"/>
        <v>32761.918125</v>
      </c>
      <c r="AG85" s="13">
        <f t="shared" si="756"/>
        <v>32761.918125</v>
      </c>
      <c r="AH85" s="13">
        <f t="shared" si="756"/>
        <v>32761.918125</v>
      </c>
      <c r="AI85" s="13">
        <f t="shared" si="756"/>
        <v>32761.918125</v>
      </c>
      <c r="AJ85" s="13">
        <f t="shared" si="756"/>
        <v>32761.918125</v>
      </c>
      <c r="AK85" s="13">
        <f t="shared" si="756"/>
        <v>32761.918125</v>
      </c>
      <c r="AL85" s="13">
        <f t="shared" si="756"/>
        <v>32761.918125</v>
      </c>
      <c r="AM85" s="13">
        <f t="shared" si="756"/>
        <v>32761.918125</v>
      </c>
      <c r="AN85" s="13">
        <f t="shared" si="756"/>
        <v>33744.77566875</v>
      </c>
      <c r="AO85" s="13">
        <f t="shared" si="756"/>
        <v>33744.77566875</v>
      </c>
      <c r="AP85" s="13">
        <f t="shared" si="756"/>
        <v>33744.77566875</v>
      </c>
      <c r="AQ85" s="13">
        <f t="shared" si="756"/>
        <v>33744.77566875</v>
      </c>
      <c r="AR85" s="13">
        <f t="shared" si="756"/>
        <v>33744.77566875</v>
      </c>
      <c r="AS85" s="13">
        <f t="shared" si="756"/>
        <v>33744.77566875</v>
      </c>
      <c r="AT85" s="13">
        <f t="shared" si="756"/>
        <v>33744.77566875</v>
      </c>
      <c r="AU85" s="13">
        <f t="shared" si="756"/>
        <v>33744.77566875</v>
      </c>
      <c r="AV85" s="13">
        <f t="shared" si="756"/>
        <v>33744.77566875</v>
      </c>
      <c r="AW85" s="13">
        <f t="shared" si="756"/>
        <v>33744.77566875</v>
      </c>
      <c r="AX85" s="13">
        <f t="shared" si="756"/>
        <v>33744.77566875</v>
      </c>
      <c r="AY85" s="13">
        <f t="shared" si="756"/>
        <v>33744.77566875</v>
      </c>
      <c r="AZ85" s="13">
        <f t="shared" si="756"/>
        <v>0</v>
      </c>
      <c r="BA85" s="13">
        <f t="shared" si="756"/>
        <v>0</v>
      </c>
      <c r="BB85" s="13">
        <f t="shared" si="756"/>
        <v>0</v>
      </c>
      <c r="BC85" s="13">
        <f t="shared" si="756"/>
        <v>0</v>
      </c>
      <c r="BD85" s="13">
        <f t="shared" si="756"/>
        <v>0</v>
      </c>
      <c r="BE85" s="13">
        <f t="shared" si="756"/>
        <v>0</v>
      </c>
      <c r="BF85" s="13">
        <f t="shared" si="756"/>
        <v>0</v>
      </c>
      <c r="BG85" s="13">
        <f t="shared" si="756"/>
        <v>0</v>
      </c>
      <c r="BH85" s="13">
        <f t="shared" si="756"/>
        <v>0</v>
      </c>
      <c r="BI85" s="13">
        <f t="shared" si="756"/>
        <v>0</v>
      </c>
      <c r="BJ85" s="13">
        <f t="shared" si="756"/>
        <v>0</v>
      </c>
      <c r="BK85" s="13">
        <f t="shared" si="756"/>
        <v>0</v>
      </c>
      <c r="BL85" s="13">
        <f t="shared" si="756"/>
        <v>0</v>
      </c>
      <c r="BM85" s="13">
        <f t="shared" si="756"/>
        <v>0</v>
      </c>
      <c r="BN85" s="13">
        <f t="shared" si="756"/>
        <v>0</v>
      </c>
      <c r="BO85" s="13">
        <f t="shared" si="756"/>
        <v>0</v>
      </c>
      <c r="BP85" s="13">
        <f t="shared" si="756"/>
        <v>0</v>
      </c>
      <c r="BQ85" s="13">
        <f t="shared" si="756"/>
        <v>0</v>
      </c>
      <c r="BR85" s="13">
        <f t="shared" ref="BR85:BY85" si="757">+BR80*$E62/Months</f>
        <v>0</v>
      </c>
      <c r="BS85" s="13">
        <f t="shared" si="757"/>
        <v>0</v>
      </c>
      <c r="BT85" s="13">
        <f t="shared" si="757"/>
        <v>0</v>
      </c>
      <c r="BU85" s="13">
        <f t="shared" si="757"/>
        <v>0</v>
      </c>
      <c r="BV85" s="13">
        <f t="shared" si="757"/>
        <v>0</v>
      </c>
      <c r="BW85" s="13">
        <f t="shared" si="757"/>
        <v>0</v>
      </c>
      <c r="BX85" s="13">
        <f t="shared" si="757"/>
        <v>0</v>
      </c>
      <c r="BY85" s="13">
        <f t="shared" si="757"/>
        <v>0</v>
      </c>
    </row>
    <row r="86" spans="2:77" customFormat="1" outlineLevel="1" x14ac:dyDescent="0.25">
      <c r="B86" s="1"/>
      <c r="C86" s="50" t="s">
        <v>278</v>
      </c>
      <c r="D86" s="37" t="s">
        <v>101</v>
      </c>
      <c r="E86" s="1"/>
      <c r="F86" s="13">
        <f t="shared" ref="F86:BQ86" si="758">+F81*$E62/Months*Renewal_Probability</f>
        <v>0</v>
      </c>
      <c r="G86" s="13">
        <f t="shared" si="758"/>
        <v>0</v>
      </c>
      <c r="H86" s="13">
        <f t="shared" si="758"/>
        <v>0</v>
      </c>
      <c r="I86" s="13">
        <f t="shared" si="758"/>
        <v>0</v>
      </c>
      <c r="J86" s="13">
        <f t="shared" si="758"/>
        <v>0</v>
      </c>
      <c r="K86" s="13">
        <f t="shared" si="758"/>
        <v>0</v>
      </c>
      <c r="L86" s="13">
        <f t="shared" si="758"/>
        <v>0</v>
      </c>
      <c r="M86" s="13">
        <f t="shared" si="758"/>
        <v>0</v>
      </c>
      <c r="N86" s="13">
        <f t="shared" si="758"/>
        <v>0</v>
      </c>
      <c r="O86" s="13">
        <f t="shared" si="758"/>
        <v>0</v>
      </c>
      <c r="P86" s="13">
        <f t="shared" si="758"/>
        <v>0</v>
      </c>
      <c r="Q86" s="13">
        <f t="shared" si="758"/>
        <v>0</v>
      </c>
      <c r="R86" s="13">
        <f t="shared" si="758"/>
        <v>0</v>
      </c>
      <c r="S86" s="13">
        <f t="shared" si="758"/>
        <v>0</v>
      </c>
      <c r="T86" s="13">
        <f t="shared" si="758"/>
        <v>0</v>
      </c>
      <c r="U86" s="13">
        <f t="shared" si="758"/>
        <v>0</v>
      </c>
      <c r="V86" s="13">
        <f t="shared" si="758"/>
        <v>0</v>
      </c>
      <c r="W86" s="13">
        <f t="shared" si="758"/>
        <v>0</v>
      </c>
      <c r="X86" s="13">
        <f t="shared" si="758"/>
        <v>0</v>
      </c>
      <c r="Y86" s="13">
        <f t="shared" si="758"/>
        <v>0</v>
      </c>
      <c r="Z86" s="13">
        <f t="shared" si="758"/>
        <v>0</v>
      </c>
      <c r="AA86" s="13">
        <f t="shared" si="758"/>
        <v>0</v>
      </c>
      <c r="AB86" s="13">
        <f t="shared" si="758"/>
        <v>0</v>
      </c>
      <c r="AC86" s="13">
        <f t="shared" si="758"/>
        <v>0</v>
      </c>
      <c r="AD86" s="13">
        <f t="shared" si="758"/>
        <v>0</v>
      </c>
      <c r="AE86" s="13">
        <f t="shared" si="758"/>
        <v>0</v>
      </c>
      <c r="AF86" s="13">
        <f t="shared" si="758"/>
        <v>0</v>
      </c>
      <c r="AG86" s="13">
        <f t="shared" si="758"/>
        <v>0</v>
      </c>
      <c r="AH86" s="13">
        <f t="shared" si="758"/>
        <v>0</v>
      </c>
      <c r="AI86" s="13">
        <f t="shared" si="758"/>
        <v>0</v>
      </c>
      <c r="AJ86" s="13">
        <f t="shared" si="758"/>
        <v>0</v>
      </c>
      <c r="AK86" s="13">
        <f t="shared" si="758"/>
        <v>0</v>
      </c>
      <c r="AL86" s="13">
        <f t="shared" si="758"/>
        <v>0</v>
      </c>
      <c r="AM86" s="13">
        <f t="shared" si="758"/>
        <v>0</v>
      </c>
      <c r="AN86" s="13">
        <f t="shared" si="758"/>
        <v>0</v>
      </c>
      <c r="AO86" s="13">
        <f t="shared" si="758"/>
        <v>0</v>
      </c>
      <c r="AP86" s="13">
        <f t="shared" si="758"/>
        <v>0</v>
      </c>
      <c r="AQ86" s="13">
        <f t="shared" si="758"/>
        <v>0</v>
      </c>
      <c r="AR86" s="13">
        <f t="shared" si="758"/>
        <v>0</v>
      </c>
      <c r="AS86" s="13">
        <f t="shared" si="758"/>
        <v>0</v>
      </c>
      <c r="AT86" s="13">
        <f t="shared" si="758"/>
        <v>0</v>
      </c>
      <c r="AU86" s="13">
        <f t="shared" si="758"/>
        <v>0</v>
      </c>
      <c r="AV86" s="13">
        <f t="shared" si="758"/>
        <v>0</v>
      </c>
      <c r="AW86" s="13">
        <f t="shared" si="758"/>
        <v>0</v>
      </c>
      <c r="AX86" s="13">
        <f t="shared" si="758"/>
        <v>0</v>
      </c>
      <c r="AY86" s="13">
        <f t="shared" si="758"/>
        <v>0</v>
      </c>
      <c r="AZ86" s="13">
        <f t="shared" si="758"/>
        <v>23538.217585594801</v>
      </c>
      <c r="BA86" s="13">
        <f t="shared" si="758"/>
        <v>23538.217585594801</v>
      </c>
      <c r="BB86" s="13">
        <f t="shared" si="758"/>
        <v>23538.217585594801</v>
      </c>
      <c r="BC86" s="13">
        <f t="shared" si="758"/>
        <v>23538.217585594801</v>
      </c>
      <c r="BD86" s="13">
        <f t="shared" si="758"/>
        <v>23538.217585594801</v>
      </c>
      <c r="BE86" s="13">
        <f t="shared" si="758"/>
        <v>23538.217585594801</v>
      </c>
      <c r="BF86" s="13">
        <f t="shared" si="758"/>
        <v>23538.217585594801</v>
      </c>
      <c r="BG86" s="13">
        <f t="shared" si="758"/>
        <v>23538.217585594801</v>
      </c>
      <c r="BH86" s="13">
        <f t="shared" si="758"/>
        <v>23538.217585594801</v>
      </c>
      <c r="BI86" s="13">
        <f t="shared" si="758"/>
        <v>23538.217585594801</v>
      </c>
      <c r="BJ86" s="13">
        <f t="shared" si="758"/>
        <v>23538.217585594801</v>
      </c>
      <c r="BK86" s="13">
        <f t="shared" si="758"/>
        <v>23538.217585594801</v>
      </c>
      <c r="BL86" s="13">
        <f t="shared" si="758"/>
        <v>24126.673025234664</v>
      </c>
      <c r="BM86" s="13">
        <f t="shared" si="758"/>
        <v>24126.673025234664</v>
      </c>
      <c r="BN86" s="13">
        <f t="shared" si="758"/>
        <v>24126.673025234664</v>
      </c>
      <c r="BO86" s="13">
        <f t="shared" si="758"/>
        <v>24126.673025234664</v>
      </c>
      <c r="BP86" s="13">
        <f t="shared" si="758"/>
        <v>24126.673025234664</v>
      </c>
      <c r="BQ86" s="13">
        <f t="shared" si="758"/>
        <v>24126.673025234664</v>
      </c>
      <c r="BR86" s="13">
        <f t="shared" ref="BR86:BY86" si="759">+BR81*$E62/Months*Renewal_Probability</f>
        <v>24126.673025234664</v>
      </c>
      <c r="BS86" s="13">
        <f t="shared" si="759"/>
        <v>24126.673025234664</v>
      </c>
      <c r="BT86" s="13">
        <f t="shared" si="759"/>
        <v>24126.673025234664</v>
      </c>
      <c r="BU86" s="13">
        <f t="shared" si="759"/>
        <v>24126.673025234664</v>
      </c>
      <c r="BV86" s="13">
        <f t="shared" si="759"/>
        <v>24126.673025234664</v>
      </c>
      <c r="BW86" s="13">
        <f t="shared" si="759"/>
        <v>24126.673025234664</v>
      </c>
      <c r="BX86" s="13">
        <f t="shared" si="759"/>
        <v>24729.83985086553</v>
      </c>
      <c r="BY86" s="13">
        <f t="shared" si="759"/>
        <v>24729.83985086553</v>
      </c>
    </row>
    <row r="87" spans="2:77" customFormat="1" outlineLevel="1" x14ac:dyDescent="0.25">
      <c r="B87" s="1"/>
      <c r="C87" s="50" t="s">
        <v>279</v>
      </c>
      <c r="D87" s="37" t="s">
        <v>101</v>
      </c>
      <c r="E87" s="1"/>
      <c r="F87" s="13">
        <f t="shared" ref="F87:BQ87" si="760">+F82*$E62/Months*(1-Renewal_Probability)</f>
        <v>0</v>
      </c>
      <c r="G87" s="13">
        <f t="shared" si="760"/>
        <v>0</v>
      </c>
      <c r="H87" s="13">
        <f t="shared" si="760"/>
        <v>0</v>
      </c>
      <c r="I87" s="13">
        <f t="shared" si="760"/>
        <v>0</v>
      </c>
      <c r="J87" s="13">
        <f t="shared" si="760"/>
        <v>0</v>
      </c>
      <c r="K87" s="13">
        <f t="shared" si="760"/>
        <v>0</v>
      </c>
      <c r="L87" s="13">
        <f t="shared" si="760"/>
        <v>0</v>
      </c>
      <c r="M87" s="13">
        <f t="shared" si="760"/>
        <v>0</v>
      </c>
      <c r="N87" s="13">
        <f t="shared" si="760"/>
        <v>0</v>
      </c>
      <c r="O87" s="13">
        <f t="shared" si="760"/>
        <v>0</v>
      </c>
      <c r="P87" s="13">
        <f t="shared" si="760"/>
        <v>0</v>
      </c>
      <c r="Q87" s="13">
        <f t="shared" si="760"/>
        <v>0</v>
      </c>
      <c r="R87" s="13">
        <f t="shared" si="760"/>
        <v>0</v>
      </c>
      <c r="S87" s="13">
        <f t="shared" si="760"/>
        <v>0</v>
      </c>
      <c r="T87" s="13">
        <f t="shared" si="760"/>
        <v>0</v>
      </c>
      <c r="U87" s="13">
        <f t="shared" si="760"/>
        <v>0</v>
      </c>
      <c r="V87" s="13">
        <f t="shared" si="760"/>
        <v>0</v>
      </c>
      <c r="W87" s="13">
        <f t="shared" si="760"/>
        <v>0</v>
      </c>
      <c r="X87" s="13">
        <f t="shared" si="760"/>
        <v>0</v>
      </c>
      <c r="Y87" s="13">
        <f t="shared" si="760"/>
        <v>0</v>
      </c>
      <c r="Z87" s="13">
        <f t="shared" si="760"/>
        <v>0</v>
      </c>
      <c r="AA87" s="13">
        <f t="shared" si="760"/>
        <v>0</v>
      </c>
      <c r="AB87" s="13">
        <f t="shared" si="760"/>
        <v>0</v>
      </c>
      <c r="AC87" s="13">
        <f t="shared" si="760"/>
        <v>0</v>
      </c>
      <c r="AD87" s="13">
        <f t="shared" si="760"/>
        <v>0</v>
      </c>
      <c r="AE87" s="13">
        <f t="shared" si="760"/>
        <v>0</v>
      </c>
      <c r="AF87" s="13">
        <f t="shared" si="760"/>
        <v>0</v>
      </c>
      <c r="AG87" s="13">
        <f t="shared" si="760"/>
        <v>0</v>
      </c>
      <c r="AH87" s="13">
        <f t="shared" si="760"/>
        <v>0</v>
      </c>
      <c r="AI87" s="13">
        <f t="shared" si="760"/>
        <v>0</v>
      </c>
      <c r="AJ87" s="13">
        <f t="shared" si="760"/>
        <v>0</v>
      </c>
      <c r="AK87" s="13">
        <f t="shared" si="760"/>
        <v>0</v>
      </c>
      <c r="AL87" s="13">
        <f t="shared" si="760"/>
        <v>0</v>
      </c>
      <c r="AM87" s="13">
        <f t="shared" si="760"/>
        <v>0</v>
      </c>
      <c r="AN87" s="13">
        <f t="shared" si="760"/>
        <v>0</v>
      </c>
      <c r="AO87" s="13">
        <f t="shared" si="760"/>
        <v>0</v>
      </c>
      <c r="AP87" s="13">
        <f t="shared" si="760"/>
        <v>0</v>
      </c>
      <c r="AQ87" s="13">
        <f t="shared" si="760"/>
        <v>0</v>
      </c>
      <c r="AR87" s="13">
        <f t="shared" si="760"/>
        <v>0</v>
      </c>
      <c r="AS87" s="13">
        <f t="shared" si="760"/>
        <v>0</v>
      </c>
      <c r="AT87" s="13">
        <f t="shared" si="760"/>
        <v>0</v>
      </c>
      <c r="AU87" s="13">
        <f t="shared" si="760"/>
        <v>0</v>
      </c>
      <c r="AV87" s="13">
        <f t="shared" si="760"/>
        <v>0</v>
      </c>
      <c r="AW87" s="13">
        <f t="shared" si="760"/>
        <v>0</v>
      </c>
      <c r="AX87" s="13">
        <f t="shared" si="760"/>
        <v>0</v>
      </c>
      <c r="AY87" s="13">
        <f t="shared" si="760"/>
        <v>0</v>
      </c>
      <c r="AZ87" s="13">
        <f t="shared" si="760"/>
        <v>15692.145057063201</v>
      </c>
      <c r="BA87" s="13">
        <f t="shared" si="760"/>
        <v>15730.846120080041</v>
      </c>
      <c r="BB87" s="13">
        <f t="shared" si="760"/>
        <v>15763.249087473494</v>
      </c>
      <c r="BC87" s="13">
        <f t="shared" si="760"/>
        <v>15795.71879967444</v>
      </c>
      <c r="BD87" s="13">
        <f t="shared" si="760"/>
        <v>15828.255394166246</v>
      </c>
      <c r="BE87" s="13">
        <f t="shared" si="760"/>
        <v>15860.859008715486</v>
      </c>
      <c r="BF87" s="13">
        <f t="shared" si="760"/>
        <v>15893.529781372499</v>
      </c>
      <c r="BG87" s="13">
        <f t="shared" si="760"/>
        <v>15893.529781372499</v>
      </c>
      <c r="BH87" s="13">
        <f t="shared" si="760"/>
        <v>15893.529781372499</v>
      </c>
      <c r="BI87" s="13">
        <f t="shared" si="760"/>
        <v>15893.529781372499</v>
      </c>
      <c r="BJ87" s="13">
        <f t="shared" si="760"/>
        <v>15893.529781372499</v>
      </c>
      <c r="BK87" s="13">
        <f t="shared" si="760"/>
        <v>15893.529781372499</v>
      </c>
      <c r="BL87" s="13">
        <f t="shared" si="760"/>
        <v>15893.529781372499</v>
      </c>
      <c r="BM87" s="13">
        <f t="shared" si="760"/>
        <v>15893.529781372499</v>
      </c>
      <c r="BN87" s="13">
        <f t="shared" si="760"/>
        <v>15893.529781372499</v>
      </c>
      <c r="BO87" s="13">
        <f t="shared" si="760"/>
        <v>15893.529781372499</v>
      </c>
      <c r="BP87" s="13">
        <f t="shared" si="760"/>
        <v>15893.529781372499</v>
      </c>
      <c r="BQ87" s="13">
        <f t="shared" si="760"/>
        <v>15893.529781372499</v>
      </c>
      <c r="BR87" s="13">
        <f t="shared" ref="BR87:BY87" si="761">+BR82*$E62/Months*(1-Renewal_Probability)</f>
        <v>16211.400376999949</v>
      </c>
      <c r="BS87" s="13">
        <f t="shared" si="761"/>
        <v>16211.400376999949</v>
      </c>
      <c r="BT87" s="13">
        <f t="shared" si="761"/>
        <v>16211.400376999949</v>
      </c>
      <c r="BU87" s="13">
        <f t="shared" si="761"/>
        <v>16211.400376999949</v>
      </c>
      <c r="BV87" s="13">
        <f t="shared" si="761"/>
        <v>16211.400376999949</v>
      </c>
      <c r="BW87" s="13">
        <f t="shared" si="761"/>
        <v>16211.400376999949</v>
      </c>
      <c r="BX87" s="13">
        <f t="shared" si="761"/>
        <v>16211.400376999949</v>
      </c>
      <c r="BY87" s="13">
        <f t="shared" si="761"/>
        <v>16211.400376999949</v>
      </c>
    </row>
    <row r="88" spans="2:77" customFormat="1" outlineLevel="1" x14ac:dyDescent="0.25">
      <c r="B88" s="1"/>
      <c r="C88" s="50"/>
      <c r="D88" s="37"/>
      <c r="E88" s="1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</row>
    <row r="89" spans="2:77" customFormat="1" outlineLevel="1" x14ac:dyDescent="0.25">
      <c r="B89" s="1"/>
      <c r="C89" s="50" t="s">
        <v>117</v>
      </c>
      <c r="D89" s="37" t="s">
        <v>101</v>
      </c>
      <c r="E89" s="1"/>
      <c r="F89" s="13">
        <f>IF(F$5&gt;$E63,SUM(F85:F87)-F84,0)</f>
        <v>-2908.6774721978654</v>
      </c>
      <c r="G89" s="13">
        <f t="shared" ref="G89:BR89" si="762">IF(G$5&gt;$E63,SUM(G85:G87)-G84,0)</f>
        <v>-3073.1516527680651</v>
      </c>
      <c r="H89" s="13">
        <f t="shared" si="762"/>
        <v>-3238.4264197288794</v>
      </c>
      <c r="I89" s="13">
        <f t="shared" si="762"/>
        <v>-3404.5056699750494</v>
      </c>
      <c r="J89" s="13">
        <f t="shared" si="762"/>
        <v>-3571.3933193696503</v>
      </c>
      <c r="K89" s="13">
        <f t="shared" si="762"/>
        <v>-3739.0933028364088</v>
      </c>
      <c r="L89" s="13">
        <f t="shared" si="762"/>
        <v>-3907.6095744525082</v>
      </c>
      <c r="M89" s="13">
        <f t="shared" si="762"/>
        <v>-4076.9461075417712</v>
      </c>
      <c r="N89" s="13">
        <f t="shared" si="762"/>
        <v>-4247.1068947684107</v>
      </c>
      <c r="O89" s="13">
        <f t="shared" si="762"/>
        <v>-4418.0959482311155</v>
      </c>
      <c r="P89" s="13">
        <f t="shared" si="762"/>
        <v>-3663.4797995576664</v>
      </c>
      <c r="Q89" s="13">
        <f t="shared" si="762"/>
        <v>-3836.1375000000044</v>
      </c>
      <c r="R89" s="13">
        <f t="shared" si="762"/>
        <v>-3952.8261078922442</v>
      </c>
      <c r="S89" s="13">
        <f t="shared" si="762"/>
        <v>-4069.8967239222693</v>
      </c>
      <c r="T89" s="13">
        <f t="shared" si="762"/>
        <v>-4187.3505986853124</v>
      </c>
      <c r="U89" s="13">
        <f t="shared" si="762"/>
        <v>-4305.188986870744</v>
      </c>
      <c r="V89" s="13">
        <f t="shared" si="762"/>
        <v>-4423.4131472754452</v>
      </c>
      <c r="W89" s="13">
        <f t="shared" si="762"/>
        <v>-4542.0243428172835</v>
      </c>
      <c r="X89" s="13">
        <f t="shared" si="762"/>
        <v>-4661.0238405485798</v>
      </c>
      <c r="Y89" s="13">
        <f t="shared" si="762"/>
        <v>-4780.412911669664</v>
      </c>
      <c r="Z89" s="13">
        <f t="shared" si="762"/>
        <v>-4900.1928315424302</v>
      </c>
      <c r="AA89" s="13">
        <f t="shared" si="762"/>
        <v>-5020.3648797040005</v>
      </c>
      <c r="AB89" s="13">
        <f t="shared" si="762"/>
        <v>-4186.6997148803384</v>
      </c>
      <c r="AC89" s="13">
        <f t="shared" si="762"/>
        <v>-4307.659875000023</v>
      </c>
      <c r="AD89" s="13">
        <f t="shared" si="762"/>
        <v>-4399.0834546934748</v>
      </c>
      <c r="AE89" s="13">
        <f t="shared" si="762"/>
        <v>-4490.7325095980086</v>
      </c>
      <c r="AF89" s="13">
        <f t="shared" si="762"/>
        <v>-4582.6075957963076</v>
      </c>
      <c r="AG89" s="13">
        <f t="shared" si="762"/>
        <v>-4674.7092707425218</v>
      </c>
      <c r="AH89" s="13">
        <f t="shared" si="762"/>
        <v>-4767.0380932656371</v>
      </c>
      <c r="AI89" s="13">
        <f t="shared" si="762"/>
        <v>-4859.5946235728516</v>
      </c>
      <c r="AJ89" s="13">
        <f t="shared" si="762"/>
        <v>-4952.3794232529945</v>
      </c>
      <c r="AK89" s="13">
        <f t="shared" si="762"/>
        <v>-5045.3930552799175</v>
      </c>
      <c r="AL89" s="13">
        <f t="shared" si="762"/>
        <v>-5138.6360840159214</v>
      </c>
      <c r="AM89" s="13">
        <f t="shared" si="762"/>
        <v>-5232.1090752151758</v>
      </c>
      <c r="AN89" s="13">
        <f t="shared" si="762"/>
        <v>-4342.955052277146</v>
      </c>
      <c r="AO89" s="13">
        <f t="shared" si="762"/>
        <v>-4436.8896712500573</v>
      </c>
      <c r="AP89" s="13">
        <f t="shared" si="762"/>
        <v>-4531.0559583343129</v>
      </c>
      <c r="AQ89" s="13">
        <f t="shared" si="762"/>
        <v>-4625.4544848859805</v>
      </c>
      <c r="AR89" s="13">
        <f t="shared" si="762"/>
        <v>-4720.0858236702261</v>
      </c>
      <c r="AS89" s="13">
        <f t="shared" si="762"/>
        <v>-4814.9505488648283</v>
      </c>
      <c r="AT89" s="13">
        <f t="shared" si="762"/>
        <v>-4910.0492360636417</v>
      </c>
      <c r="AU89" s="13">
        <f t="shared" si="762"/>
        <v>-5005.3824622800821</v>
      </c>
      <c r="AV89" s="13">
        <f t="shared" si="762"/>
        <v>-5100.9508059506261</v>
      </c>
      <c r="AW89" s="13">
        <f t="shared" si="762"/>
        <v>-5196.7548469383619</v>
      </c>
      <c r="AX89" s="13">
        <f t="shared" si="762"/>
        <v>-5292.7951665364453</v>
      </c>
      <c r="AY89" s="13">
        <f t="shared" si="762"/>
        <v>-5389.0723474716651</v>
      </c>
      <c r="AZ89" s="13">
        <f t="shared" si="762"/>
        <v>0</v>
      </c>
      <c r="BA89" s="13">
        <f t="shared" si="762"/>
        <v>-58.051594525262772</v>
      </c>
      <c r="BB89" s="13">
        <f t="shared" si="762"/>
        <v>-106.65604561544023</v>
      </c>
      <c r="BC89" s="13">
        <f t="shared" si="762"/>
        <v>-155.36061391685507</v>
      </c>
      <c r="BD89" s="13">
        <f t="shared" si="762"/>
        <v>-204.16550565456419</v>
      </c>
      <c r="BE89" s="13">
        <f t="shared" si="762"/>
        <v>-253.07092747842398</v>
      </c>
      <c r="BF89" s="13">
        <f t="shared" si="762"/>
        <v>-302.07708646394894</v>
      </c>
      <c r="BG89" s="13">
        <f t="shared" si="762"/>
        <v>-383.92225921268982</v>
      </c>
      <c r="BH89" s="13">
        <f t="shared" si="762"/>
        <v>-465.93601961676904</v>
      </c>
      <c r="BI89" s="13">
        <f t="shared" si="762"/>
        <v>-548.11871493915532</v>
      </c>
      <c r="BJ89" s="13">
        <f t="shared" si="762"/>
        <v>-630.47069315812405</v>
      </c>
      <c r="BK89" s="13">
        <f t="shared" si="762"/>
        <v>-712.99230296871974</v>
      </c>
      <c r="BL89" s="13">
        <f t="shared" si="762"/>
        <v>-207.22845414438052</v>
      </c>
      <c r="BM89" s="13">
        <f t="shared" si="762"/>
        <v>-290.09037609787629</v>
      </c>
      <c r="BN89" s="13">
        <f t="shared" si="762"/>
        <v>-373.12298004361219</v>
      </c>
      <c r="BO89" s="13">
        <f t="shared" si="762"/>
        <v>-456.32661755853769</v>
      </c>
      <c r="BP89" s="13">
        <f t="shared" si="762"/>
        <v>-539.70164094378561</v>
      </c>
      <c r="BQ89" s="13">
        <f t="shared" si="762"/>
        <v>-623.2484032262073</v>
      </c>
      <c r="BR89" s="13">
        <f t="shared" si="762"/>
        <v>-389.09666253235628</v>
      </c>
      <c r="BS89" s="13">
        <f t="shared" ref="BS89:BY89" si="763">IF(BS$5&gt;$E63,SUM(BS85:BS87)-BS84,0)</f>
        <v>-472.98796459982259</v>
      </c>
      <c r="BT89" s="13">
        <f t="shared" si="763"/>
        <v>-557.05206901400379</v>
      </c>
      <c r="BU89" s="13">
        <f t="shared" si="763"/>
        <v>-641.28933171945391</v>
      </c>
      <c r="BV89" s="13">
        <f t="shared" si="763"/>
        <v>-725.70010939389613</v>
      </c>
      <c r="BW89" s="13">
        <f t="shared" si="763"/>
        <v>-810.28475944975798</v>
      </c>
      <c r="BX89" s="13">
        <f t="shared" si="763"/>
        <v>-291.8768144048081</v>
      </c>
      <c r="BY89" s="13">
        <f t="shared" si="763"/>
        <v>-376.81028440715454</v>
      </c>
    </row>
    <row r="90" spans="2:77" customFormat="1" outlineLevel="1" x14ac:dyDescent="0.25">
      <c r="B90" s="1"/>
      <c r="C90" s="50" t="s">
        <v>25</v>
      </c>
      <c r="D90" s="37" t="s">
        <v>101</v>
      </c>
      <c r="E90" s="1"/>
      <c r="F90" s="62">
        <f>IF(AND(F$5&gt;$E65,F$5&lt;=$E74),-F87,0)</f>
        <v>0</v>
      </c>
      <c r="G90" s="62">
        <f t="shared" ref="G90:BR90" si="764">IF(AND(G$5&gt;$E65,G$5&lt;=$E74),-G87,0)</f>
        <v>0</v>
      </c>
      <c r="H90" s="62">
        <f t="shared" si="764"/>
        <v>0</v>
      </c>
      <c r="I90" s="62">
        <f t="shared" si="764"/>
        <v>0</v>
      </c>
      <c r="J90" s="62">
        <f t="shared" si="764"/>
        <v>0</v>
      </c>
      <c r="K90" s="62">
        <f t="shared" si="764"/>
        <v>0</v>
      </c>
      <c r="L90" s="62">
        <f t="shared" si="764"/>
        <v>0</v>
      </c>
      <c r="M90" s="62">
        <f t="shared" si="764"/>
        <v>0</v>
      </c>
      <c r="N90" s="62">
        <f t="shared" si="764"/>
        <v>0</v>
      </c>
      <c r="O90" s="62">
        <f t="shared" si="764"/>
        <v>0</v>
      </c>
      <c r="P90" s="62">
        <f t="shared" si="764"/>
        <v>0</v>
      </c>
      <c r="Q90" s="62">
        <f t="shared" si="764"/>
        <v>0</v>
      </c>
      <c r="R90" s="62">
        <f t="shared" si="764"/>
        <v>0</v>
      </c>
      <c r="S90" s="62">
        <f t="shared" si="764"/>
        <v>0</v>
      </c>
      <c r="T90" s="62">
        <f t="shared" si="764"/>
        <v>0</v>
      </c>
      <c r="U90" s="62">
        <f t="shared" si="764"/>
        <v>0</v>
      </c>
      <c r="V90" s="62">
        <f t="shared" si="764"/>
        <v>0</v>
      </c>
      <c r="W90" s="62">
        <f t="shared" si="764"/>
        <v>0</v>
      </c>
      <c r="X90" s="62">
        <f t="shared" si="764"/>
        <v>0</v>
      </c>
      <c r="Y90" s="62">
        <f t="shared" si="764"/>
        <v>0</v>
      </c>
      <c r="Z90" s="62">
        <f t="shared" si="764"/>
        <v>0</v>
      </c>
      <c r="AA90" s="62">
        <f t="shared" si="764"/>
        <v>0</v>
      </c>
      <c r="AB90" s="62">
        <f t="shared" si="764"/>
        <v>0</v>
      </c>
      <c r="AC90" s="62">
        <f t="shared" si="764"/>
        <v>0</v>
      </c>
      <c r="AD90" s="62">
        <f t="shared" si="764"/>
        <v>0</v>
      </c>
      <c r="AE90" s="62">
        <f t="shared" si="764"/>
        <v>0</v>
      </c>
      <c r="AF90" s="62">
        <f t="shared" si="764"/>
        <v>0</v>
      </c>
      <c r="AG90" s="62">
        <f t="shared" si="764"/>
        <v>0</v>
      </c>
      <c r="AH90" s="62">
        <f t="shared" si="764"/>
        <v>0</v>
      </c>
      <c r="AI90" s="62">
        <f t="shared" si="764"/>
        <v>0</v>
      </c>
      <c r="AJ90" s="62">
        <f t="shared" si="764"/>
        <v>0</v>
      </c>
      <c r="AK90" s="62">
        <f t="shared" si="764"/>
        <v>0</v>
      </c>
      <c r="AL90" s="62">
        <f t="shared" si="764"/>
        <v>0</v>
      </c>
      <c r="AM90" s="62">
        <f t="shared" si="764"/>
        <v>0</v>
      </c>
      <c r="AN90" s="62">
        <f t="shared" si="764"/>
        <v>0</v>
      </c>
      <c r="AO90" s="62">
        <f t="shared" si="764"/>
        <v>0</v>
      </c>
      <c r="AP90" s="62">
        <f t="shared" si="764"/>
        <v>0</v>
      </c>
      <c r="AQ90" s="62">
        <f t="shared" si="764"/>
        <v>0</v>
      </c>
      <c r="AR90" s="62">
        <f t="shared" si="764"/>
        <v>0</v>
      </c>
      <c r="AS90" s="62">
        <f t="shared" si="764"/>
        <v>0</v>
      </c>
      <c r="AT90" s="62">
        <f t="shared" si="764"/>
        <v>0</v>
      </c>
      <c r="AU90" s="62">
        <f t="shared" si="764"/>
        <v>0</v>
      </c>
      <c r="AV90" s="62">
        <f t="shared" si="764"/>
        <v>0</v>
      </c>
      <c r="AW90" s="62">
        <f t="shared" si="764"/>
        <v>0</v>
      </c>
      <c r="AX90" s="62">
        <f t="shared" si="764"/>
        <v>0</v>
      </c>
      <c r="AY90" s="62">
        <f t="shared" si="764"/>
        <v>0</v>
      </c>
      <c r="AZ90" s="62">
        <f t="shared" si="764"/>
        <v>-15692.145057063201</v>
      </c>
      <c r="BA90" s="62">
        <f t="shared" si="764"/>
        <v>-15730.846120080041</v>
      </c>
      <c r="BB90" s="62">
        <f t="shared" si="764"/>
        <v>-15763.249087473494</v>
      </c>
      <c r="BC90" s="62">
        <f t="shared" si="764"/>
        <v>-15795.71879967444</v>
      </c>
      <c r="BD90" s="62">
        <f t="shared" si="764"/>
        <v>-15828.255394166246</v>
      </c>
      <c r="BE90" s="62">
        <f t="shared" si="764"/>
        <v>-15860.859008715486</v>
      </c>
      <c r="BF90" s="62">
        <f t="shared" si="764"/>
        <v>0</v>
      </c>
      <c r="BG90" s="62">
        <f t="shared" si="764"/>
        <v>0</v>
      </c>
      <c r="BH90" s="62">
        <f t="shared" si="764"/>
        <v>0</v>
      </c>
      <c r="BI90" s="62">
        <f t="shared" si="764"/>
        <v>0</v>
      </c>
      <c r="BJ90" s="62">
        <f t="shared" si="764"/>
        <v>0</v>
      </c>
      <c r="BK90" s="62">
        <f t="shared" si="764"/>
        <v>0</v>
      </c>
      <c r="BL90" s="62">
        <f t="shared" si="764"/>
        <v>0</v>
      </c>
      <c r="BM90" s="62">
        <f t="shared" si="764"/>
        <v>0</v>
      </c>
      <c r="BN90" s="62">
        <f t="shared" si="764"/>
        <v>0</v>
      </c>
      <c r="BO90" s="62">
        <f t="shared" si="764"/>
        <v>0</v>
      </c>
      <c r="BP90" s="62">
        <f t="shared" si="764"/>
        <v>0</v>
      </c>
      <c r="BQ90" s="62">
        <f t="shared" si="764"/>
        <v>0</v>
      </c>
      <c r="BR90" s="62">
        <f t="shared" si="764"/>
        <v>0</v>
      </c>
      <c r="BS90" s="62">
        <f t="shared" ref="BS90:BY90" si="765">IF(AND(BS$5&gt;$E65,BS$5&lt;=$E74),-BS87,0)</f>
        <v>0</v>
      </c>
      <c r="BT90" s="62">
        <f t="shared" si="765"/>
        <v>0</v>
      </c>
      <c r="BU90" s="62">
        <f t="shared" si="765"/>
        <v>0</v>
      </c>
      <c r="BV90" s="62">
        <f t="shared" si="765"/>
        <v>0</v>
      </c>
      <c r="BW90" s="62">
        <f t="shared" si="765"/>
        <v>0</v>
      </c>
      <c r="BX90" s="62">
        <f t="shared" si="765"/>
        <v>0</v>
      </c>
      <c r="BY90" s="62">
        <f t="shared" si="765"/>
        <v>0</v>
      </c>
    </row>
    <row r="91" spans="2:77" customFormat="1" outlineLevel="1" x14ac:dyDescent="0.25">
      <c r="B91" s="1"/>
      <c r="C91" s="50" t="s">
        <v>26</v>
      </c>
      <c r="D91" s="37" t="s">
        <v>101</v>
      </c>
      <c r="E91" s="1"/>
      <c r="F91" s="62">
        <f t="shared" ref="F91:BQ91" si="766">IF(AND(F$5&gt;$E63,F$5&lt;=EOMONTH($E63,$E67)),-F85,0)+IF(AND(F$5&gt;$E65,F$5&lt;=EOMONTH($E65,Renewal_Free_Rent_Months)),-F86,0)+IF(AND(F$5&gt;$E74,F$5&lt;=EOMONTH($E74,New_Free_Rent_Months)),-F87,0)</f>
        <v>-30881.25</v>
      </c>
      <c r="G91" s="62">
        <f t="shared" si="766"/>
        <v>-30881.25</v>
      </c>
      <c r="H91" s="62">
        <f t="shared" si="766"/>
        <v>0</v>
      </c>
      <c r="I91" s="62">
        <f t="shared" si="766"/>
        <v>0</v>
      </c>
      <c r="J91" s="62">
        <f t="shared" si="766"/>
        <v>0</v>
      </c>
      <c r="K91" s="62">
        <f t="shared" si="766"/>
        <v>0</v>
      </c>
      <c r="L91" s="62">
        <f t="shared" si="766"/>
        <v>0</v>
      </c>
      <c r="M91" s="62">
        <f t="shared" si="766"/>
        <v>0</v>
      </c>
      <c r="N91" s="62">
        <f t="shared" si="766"/>
        <v>0</v>
      </c>
      <c r="O91" s="62">
        <f t="shared" si="766"/>
        <v>0</v>
      </c>
      <c r="P91" s="62">
        <f t="shared" si="766"/>
        <v>0</v>
      </c>
      <c r="Q91" s="62">
        <f t="shared" si="766"/>
        <v>0</v>
      </c>
      <c r="R91" s="62">
        <f t="shared" si="766"/>
        <v>0</v>
      </c>
      <c r="S91" s="62">
        <f t="shared" si="766"/>
        <v>0</v>
      </c>
      <c r="T91" s="62">
        <f t="shared" si="766"/>
        <v>0</v>
      </c>
      <c r="U91" s="62">
        <f t="shared" si="766"/>
        <v>0</v>
      </c>
      <c r="V91" s="62">
        <f t="shared" si="766"/>
        <v>0</v>
      </c>
      <c r="W91" s="62">
        <f t="shared" si="766"/>
        <v>0</v>
      </c>
      <c r="X91" s="62">
        <f t="shared" si="766"/>
        <v>0</v>
      </c>
      <c r="Y91" s="62">
        <f t="shared" si="766"/>
        <v>0</v>
      </c>
      <c r="Z91" s="62">
        <f t="shared" si="766"/>
        <v>0</v>
      </c>
      <c r="AA91" s="62">
        <f t="shared" si="766"/>
        <v>0</v>
      </c>
      <c r="AB91" s="62">
        <f t="shared" si="766"/>
        <v>0</v>
      </c>
      <c r="AC91" s="62">
        <f t="shared" si="766"/>
        <v>0</v>
      </c>
      <c r="AD91" s="62">
        <f t="shared" si="766"/>
        <v>0</v>
      </c>
      <c r="AE91" s="62">
        <f t="shared" si="766"/>
        <v>0</v>
      </c>
      <c r="AF91" s="62">
        <f t="shared" si="766"/>
        <v>0</v>
      </c>
      <c r="AG91" s="62">
        <f t="shared" si="766"/>
        <v>0</v>
      </c>
      <c r="AH91" s="62">
        <f t="shared" si="766"/>
        <v>0</v>
      </c>
      <c r="AI91" s="62">
        <f t="shared" si="766"/>
        <v>0</v>
      </c>
      <c r="AJ91" s="62">
        <f t="shared" si="766"/>
        <v>0</v>
      </c>
      <c r="AK91" s="62">
        <f t="shared" si="766"/>
        <v>0</v>
      </c>
      <c r="AL91" s="62">
        <f t="shared" si="766"/>
        <v>0</v>
      </c>
      <c r="AM91" s="62">
        <f t="shared" si="766"/>
        <v>0</v>
      </c>
      <c r="AN91" s="62">
        <f t="shared" si="766"/>
        <v>0</v>
      </c>
      <c r="AO91" s="62">
        <f t="shared" si="766"/>
        <v>0</v>
      </c>
      <c r="AP91" s="62">
        <f t="shared" si="766"/>
        <v>0</v>
      </c>
      <c r="AQ91" s="62">
        <f t="shared" si="766"/>
        <v>0</v>
      </c>
      <c r="AR91" s="62">
        <f t="shared" si="766"/>
        <v>0</v>
      </c>
      <c r="AS91" s="62">
        <f t="shared" si="766"/>
        <v>0</v>
      </c>
      <c r="AT91" s="62">
        <f t="shared" si="766"/>
        <v>0</v>
      </c>
      <c r="AU91" s="62">
        <f t="shared" si="766"/>
        <v>0</v>
      </c>
      <c r="AV91" s="62">
        <f t="shared" si="766"/>
        <v>0</v>
      </c>
      <c r="AW91" s="62">
        <f t="shared" si="766"/>
        <v>0</v>
      </c>
      <c r="AX91" s="62">
        <f t="shared" si="766"/>
        <v>0</v>
      </c>
      <c r="AY91" s="62">
        <f t="shared" si="766"/>
        <v>0</v>
      </c>
      <c r="AZ91" s="62">
        <f t="shared" si="766"/>
        <v>-23538.217585594801</v>
      </c>
      <c r="BA91" s="62">
        <f t="shared" si="766"/>
        <v>-23538.217585594801</v>
      </c>
      <c r="BB91" s="62">
        <f t="shared" si="766"/>
        <v>0</v>
      </c>
      <c r="BC91" s="62">
        <f t="shared" si="766"/>
        <v>0</v>
      </c>
      <c r="BD91" s="62">
        <f t="shared" si="766"/>
        <v>0</v>
      </c>
      <c r="BE91" s="62">
        <f t="shared" si="766"/>
        <v>0</v>
      </c>
      <c r="BF91" s="62">
        <f t="shared" si="766"/>
        <v>-15893.529781372499</v>
      </c>
      <c r="BG91" s="62">
        <f t="shared" si="766"/>
        <v>-15893.529781372499</v>
      </c>
      <c r="BH91" s="62">
        <f t="shared" si="766"/>
        <v>-15893.529781372499</v>
      </c>
      <c r="BI91" s="62">
        <f t="shared" si="766"/>
        <v>0</v>
      </c>
      <c r="BJ91" s="62">
        <f t="shared" si="766"/>
        <v>0</v>
      </c>
      <c r="BK91" s="62">
        <f t="shared" si="766"/>
        <v>0</v>
      </c>
      <c r="BL91" s="62">
        <f t="shared" si="766"/>
        <v>0</v>
      </c>
      <c r="BM91" s="62">
        <f t="shared" si="766"/>
        <v>0</v>
      </c>
      <c r="BN91" s="62">
        <f t="shared" si="766"/>
        <v>0</v>
      </c>
      <c r="BO91" s="62">
        <f t="shared" si="766"/>
        <v>0</v>
      </c>
      <c r="BP91" s="62">
        <f t="shared" si="766"/>
        <v>0</v>
      </c>
      <c r="BQ91" s="62">
        <f t="shared" si="766"/>
        <v>0</v>
      </c>
      <c r="BR91" s="62">
        <f t="shared" ref="BR91:BY91" si="767">IF(AND(BR$5&gt;$E63,BR$5&lt;=EOMONTH($E63,$E67)),-BR85,0)+IF(AND(BR$5&gt;$E65,BR$5&lt;=EOMONTH($E65,Renewal_Free_Rent_Months)),-BR86,0)+IF(AND(BR$5&gt;$E74,BR$5&lt;=EOMONTH($E74,New_Free_Rent_Months)),-BR87,0)</f>
        <v>0</v>
      </c>
      <c r="BS91" s="62">
        <f t="shared" si="767"/>
        <v>0</v>
      </c>
      <c r="BT91" s="62">
        <f t="shared" si="767"/>
        <v>0</v>
      </c>
      <c r="BU91" s="62">
        <f t="shared" si="767"/>
        <v>0</v>
      </c>
      <c r="BV91" s="62">
        <f t="shared" si="767"/>
        <v>0</v>
      </c>
      <c r="BW91" s="62">
        <f t="shared" si="767"/>
        <v>0</v>
      </c>
      <c r="BX91" s="62">
        <f t="shared" si="767"/>
        <v>0</v>
      </c>
      <c r="BY91" s="62">
        <f t="shared" si="767"/>
        <v>0</v>
      </c>
    </row>
    <row r="92" spans="2:77" customFormat="1" outlineLevel="1" x14ac:dyDescent="0.25">
      <c r="B92" s="1"/>
      <c r="C92" s="50" t="s">
        <v>27</v>
      </c>
      <c r="D92" s="37" t="s">
        <v>101</v>
      </c>
      <c r="E92" s="1"/>
      <c r="F92" s="62">
        <f t="shared" ref="F92:BQ92" si="768">IF(F$5=EOMONTH($E63,1),-New_TIs*$E62*F$15,0)+IF(F$5=EOMONTH($E69,1),-Renewal_TIs*$E62*F$15*Renewal_Probability,0)+IF(F$5=EOMONTH($E74,1),-New_TIs*$E62*F$15*(1-Renewal_Probability),0)</f>
        <v>0</v>
      </c>
      <c r="G92" s="62">
        <f t="shared" si="768"/>
        <v>0</v>
      </c>
      <c r="H92" s="62">
        <f t="shared" si="768"/>
        <v>0</v>
      </c>
      <c r="I92" s="62">
        <f t="shared" si="768"/>
        <v>0</v>
      </c>
      <c r="J92" s="62">
        <f t="shared" si="768"/>
        <v>0</v>
      </c>
      <c r="K92" s="62">
        <f t="shared" si="768"/>
        <v>0</v>
      </c>
      <c r="L92" s="62">
        <f t="shared" si="768"/>
        <v>0</v>
      </c>
      <c r="M92" s="62">
        <f t="shared" si="768"/>
        <v>0</v>
      </c>
      <c r="N92" s="62">
        <f t="shared" si="768"/>
        <v>0</v>
      </c>
      <c r="O92" s="62">
        <f t="shared" si="768"/>
        <v>0</v>
      </c>
      <c r="P92" s="62">
        <f t="shared" si="768"/>
        <v>0</v>
      </c>
      <c r="Q92" s="62">
        <f t="shared" si="768"/>
        <v>0</v>
      </c>
      <c r="R92" s="62">
        <f t="shared" si="768"/>
        <v>0</v>
      </c>
      <c r="S92" s="62">
        <f t="shared" si="768"/>
        <v>0</v>
      </c>
      <c r="T92" s="62">
        <f t="shared" si="768"/>
        <v>0</v>
      </c>
      <c r="U92" s="62">
        <f t="shared" si="768"/>
        <v>0</v>
      </c>
      <c r="V92" s="62">
        <f t="shared" si="768"/>
        <v>0</v>
      </c>
      <c r="W92" s="62">
        <f t="shared" si="768"/>
        <v>0</v>
      </c>
      <c r="X92" s="62">
        <f t="shared" si="768"/>
        <v>0</v>
      </c>
      <c r="Y92" s="62">
        <f t="shared" si="768"/>
        <v>0</v>
      </c>
      <c r="Z92" s="62">
        <f t="shared" si="768"/>
        <v>0</v>
      </c>
      <c r="AA92" s="62">
        <f t="shared" si="768"/>
        <v>0</v>
      </c>
      <c r="AB92" s="62">
        <f t="shared" si="768"/>
        <v>0</v>
      </c>
      <c r="AC92" s="62">
        <f t="shared" si="768"/>
        <v>0</v>
      </c>
      <c r="AD92" s="62">
        <f t="shared" si="768"/>
        <v>0</v>
      </c>
      <c r="AE92" s="62">
        <f t="shared" si="768"/>
        <v>0</v>
      </c>
      <c r="AF92" s="62">
        <f t="shared" si="768"/>
        <v>0</v>
      </c>
      <c r="AG92" s="62">
        <f t="shared" si="768"/>
        <v>0</v>
      </c>
      <c r="AH92" s="62">
        <f t="shared" si="768"/>
        <v>0</v>
      </c>
      <c r="AI92" s="62">
        <f t="shared" si="768"/>
        <v>0</v>
      </c>
      <c r="AJ92" s="62">
        <f t="shared" si="768"/>
        <v>0</v>
      </c>
      <c r="AK92" s="62">
        <f t="shared" si="768"/>
        <v>0</v>
      </c>
      <c r="AL92" s="62">
        <f t="shared" si="768"/>
        <v>0</v>
      </c>
      <c r="AM92" s="62">
        <f t="shared" si="768"/>
        <v>0</v>
      </c>
      <c r="AN92" s="62">
        <f t="shared" si="768"/>
        <v>0</v>
      </c>
      <c r="AO92" s="62">
        <f t="shared" si="768"/>
        <v>0</v>
      </c>
      <c r="AP92" s="62">
        <f t="shared" si="768"/>
        <v>0</v>
      </c>
      <c r="AQ92" s="62">
        <f t="shared" si="768"/>
        <v>0</v>
      </c>
      <c r="AR92" s="62">
        <f t="shared" si="768"/>
        <v>0</v>
      </c>
      <c r="AS92" s="62">
        <f t="shared" si="768"/>
        <v>0</v>
      </c>
      <c r="AT92" s="62">
        <f t="shared" si="768"/>
        <v>0</v>
      </c>
      <c r="AU92" s="62">
        <f t="shared" si="768"/>
        <v>0</v>
      </c>
      <c r="AV92" s="62">
        <f t="shared" si="768"/>
        <v>0</v>
      </c>
      <c r="AW92" s="62">
        <f t="shared" si="768"/>
        <v>0</v>
      </c>
      <c r="AX92" s="62">
        <f t="shared" si="768"/>
        <v>0</v>
      </c>
      <c r="AY92" s="62">
        <f t="shared" si="768"/>
        <v>0</v>
      </c>
      <c r="AZ92" s="62">
        <f t="shared" si="768"/>
        <v>-109950.97278282426</v>
      </c>
      <c r="BA92" s="62">
        <f t="shared" si="768"/>
        <v>0</v>
      </c>
      <c r="BB92" s="62">
        <f t="shared" si="768"/>
        <v>0</v>
      </c>
      <c r="BC92" s="62">
        <f t="shared" si="768"/>
        <v>0</v>
      </c>
      <c r="BD92" s="62">
        <f t="shared" si="768"/>
        <v>0</v>
      </c>
      <c r="BE92" s="62">
        <f t="shared" si="768"/>
        <v>0</v>
      </c>
      <c r="BF92" s="62">
        <f t="shared" si="768"/>
        <v>-166226.85969639078</v>
      </c>
      <c r="BG92" s="62">
        <f t="shared" si="768"/>
        <v>0</v>
      </c>
      <c r="BH92" s="62">
        <f t="shared" si="768"/>
        <v>0</v>
      </c>
      <c r="BI92" s="62">
        <f t="shared" si="768"/>
        <v>0</v>
      </c>
      <c r="BJ92" s="62">
        <f t="shared" si="768"/>
        <v>0</v>
      </c>
      <c r="BK92" s="62">
        <f t="shared" si="768"/>
        <v>0</v>
      </c>
      <c r="BL92" s="62">
        <f t="shared" si="768"/>
        <v>0</v>
      </c>
      <c r="BM92" s="62">
        <f t="shared" si="768"/>
        <v>0</v>
      </c>
      <c r="BN92" s="62">
        <f t="shared" si="768"/>
        <v>0</v>
      </c>
      <c r="BO92" s="62">
        <f t="shared" si="768"/>
        <v>0</v>
      </c>
      <c r="BP92" s="62">
        <f t="shared" si="768"/>
        <v>0</v>
      </c>
      <c r="BQ92" s="62">
        <f t="shared" si="768"/>
        <v>0</v>
      </c>
      <c r="BR92" s="62">
        <f t="shared" ref="BR92:BY92" si="769">IF(BR$5=EOMONTH($E63,1),-New_TIs*$E62*BR$15,0)+IF(BR$5=EOMONTH($E69,1),-Renewal_TIs*$E62*BR$15*Renewal_Probability,0)+IF(BR$5=EOMONTH($E74,1),-New_TIs*$E62*BR$15*(1-Renewal_Probability),0)</f>
        <v>0</v>
      </c>
      <c r="BS92" s="62">
        <f t="shared" si="769"/>
        <v>0</v>
      </c>
      <c r="BT92" s="62">
        <f t="shared" si="769"/>
        <v>0</v>
      </c>
      <c r="BU92" s="62">
        <f t="shared" si="769"/>
        <v>0</v>
      </c>
      <c r="BV92" s="62">
        <f t="shared" si="769"/>
        <v>0</v>
      </c>
      <c r="BW92" s="62">
        <f t="shared" si="769"/>
        <v>0</v>
      </c>
      <c r="BX92" s="62">
        <f t="shared" si="769"/>
        <v>0</v>
      </c>
      <c r="BY92" s="62">
        <f t="shared" si="769"/>
        <v>0</v>
      </c>
    </row>
    <row r="93" spans="2:77" customFormat="1" outlineLevel="1" x14ac:dyDescent="0.25">
      <c r="B93" s="1"/>
      <c r="C93" s="50" t="s">
        <v>28</v>
      </c>
      <c r="D93" s="37" t="s">
        <v>101</v>
      </c>
      <c r="E93" s="1"/>
      <c r="F93" s="62">
        <f t="shared" ref="F93:BQ93" si="770">IF(F$5=EOMONTH($E63,1),-New_LC_Pct*FV($E66,$E64,-F80*$E62),0)+IF(F$5=EOMONTH($E69,1),-Renewal_LC_Pct*FV($E72,$E70,-F81*$E62)*Renewal_Probability,0)+IF(F$5=EOMONTH($E74,1),-New_LC_Pct*FV($E77,$E75,-F82*$E62)*(1-Renewal_Probability),0)</f>
        <v>0</v>
      </c>
      <c r="G93" s="62">
        <f t="shared" si="770"/>
        <v>0</v>
      </c>
      <c r="H93" s="62">
        <f t="shared" si="770"/>
        <v>0</v>
      </c>
      <c r="I93" s="62">
        <f t="shared" si="770"/>
        <v>0</v>
      </c>
      <c r="J93" s="62">
        <f t="shared" si="770"/>
        <v>0</v>
      </c>
      <c r="K93" s="62">
        <f t="shared" si="770"/>
        <v>0</v>
      </c>
      <c r="L93" s="62">
        <f t="shared" si="770"/>
        <v>0</v>
      </c>
      <c r="M93" s="62">
        <f t="shared" si="770"/>
        <v>0</v>
      </c>
      <c r="N93" s="62">
        <f t="shared" si="770"/>
        <v>0</v>
      </c>
      <c r="O93" s="62">
        <f t="shared" si="770"/>
        <v>0</v>
      </c>
      <c r="P93" s="62">
        <f t="shared" si="770"/>
        <v>0</v>
      </c>
      <c r="Q93" s="62">
        <f t="shared" si="770"/>
        <v>0</v>
      </c>
      <c r="R93" s="62">
        <f t="shared" si="770"/>
        <v>0</v>
      </c>
      <c r="S93" s="62">
        <f t="shared" si="770"/>
        <v>0</v>
      </c>
      <c r="T93" s="62">
        <f t="shared" si="770"/>
        <v>0</v>
      </c>
      <c r="U93" s="62">
        <f t="shared" si="770"/>
        <v>0</v>
      </c>
      <c r="V93" s="62">
        <f t="shared" si="770"/>
        <v>0</v>
      </c>
      <c r="W93" s="62">
        <f t="shared" si="770"/>
        <v>0</v>
      </c>
      <c r="X93" s="62">
        <f t="shared" si="770"/>
        <v>0</v>
      </c>
      <c r="Y93" s="62">
        <f t="shared" si="770"/>
        <v>0</v>
      </c>
      <c r="Z93" s="62">
        <f t="shared" si="770"/>
        <v>0</v>
      </c>
      <c r="AA93" s="62">
        <f t="shared" si="770"/>
        <v>0</v>
      </c>
      <c r="AB93" s="62">
        <f t="shared" si="770"/>
        <v>0</v>
      </c>
      <c r="AC93" s="62">
        <f t="shared" si="770"/>
        <v>0</v>
      </c>
      <c r="AD93" s="62">
        <f t="shared" si="770"/>
        <v>0</v>
      </c>
      <c r="AE93" s="62">
        <f t="shared" si="770"/>
        <v>0</v>
      </c>
      <c r="AF93" s="62">
        <f t="shared" si="770"/>
        <v>0</v>
      </c>
      <c r="AG93" s="62">
        <f t="shared" si="770"/>
        <v>0</v>
      </c>
      <c r="AH93" s="62">
        <f t="shared" si="770"/>
        <v>0</v>
      </c>
      <c r="AI93" s="62">
        <f t="shared" si="770"/>
        <v>0</v>
      </c>
      <c r="AJ93" s="62">
        <f t="shared" si="770"/>
        <v>0</v>
      </c>
      <c r="AK93" s="62">
        <f t="shared" si="770"/>
        <v>0</v>
      </c>
      <c r="AL93" s="62">
        <f t="shared" si="770"/>
        <v>0</v>
      </c>
      <c r="AM93" s="62">
        <f t="shared" si="770"/>
        <v>0</v>
      </c>
      <c r="AN93" s="62">
        <f t="shared" si="770"/>
        <v>0</v>
      </c>
      <c r="AO93" s="62">
        <f t="shared" si="770"/>
        <v>0</v>
      </c>
      <c r="AP93" s="62">
        <f t="shared" si="770"/>
        <v>0</v>
      </c>
      <c r="AQ93" s="62">
        <f t="shared" si="770"/>
        <v>0</v>
      </c>
      <c r="AR93" s="62">
        <f t="shared" si="770"/>
        <v>0</v>
      </c>
      <c r="AS93" s="62">
        <f t="shared" si="770"/>
        <v>0</v>
      </c>
      <c r="AT93" s="62">
        <f t="shared" si="770"/>
        <v>0</v>
      </c>
      <c r="AU93" s="62">
        <f t="shared" si="770"/>
        <v>0</v>
      </c>
      <c r="AV93" s="62">
        <f t="shared" si="770"/>
        <v>0</v>
      </c>
      <c r="AW93" s="62">
        <f t="shared" si="770"/>
        <v>0</v>
      </c>
      <c r="AX93" s="62">
        <f t="shared" si="770"/>
        <v>0</v>
      </c>
      <c r="AY93" s="62">
        <f t="shared" si="770"/>
        <v>0</v>
      </c>
      <c r="AZ93" s="62">
        <f t="shared" si="770"/>
        <v>-44540.857548773085</v>
      </c>
      <c r="BA93" s="62">
        <f t="shared" si="770"/>
        <v>0</v>
      </c>
      <c r="BB93" s="62">
        <f t="shared" si="770"/>
        <v>0</v>
      </c>
      <c r="BC93" s="62">
        <f t="shared" si="770"/>
        <v>0</v>
      </c>
      <c r="BD93" s="62">
        <f t="shared" si="770"/>
        <v>0</v>
      </c>
      <c r="BE93" s="62">
        <f t="shared" si="770"/>
        <v>0</v>
      </c>
      <c r="BF93" s="62">
        <f t="shared" si="770"/>
        <v>-59551.608431821318</v>
      </c>
      <c r="BG93" s="62">
        <f t="shared" si="770"/>
        <v>0</v>
      </c>
      <c r="BH93" s="62">
        <f t="shared" si="770"/>
        <v>0</v>
      </c>
      <c r="BI93" s="62">
        <f t="shared" si="770"/>
        <v>0</v>
      </c>
      <c r="BJ93" s="62">
        <f t="shared" si="770"/>
        <v>0</v>
      </c>
      <c r="BK93" s="62">
        <f t="shared" si="770"/>
        <v>0</v>
      </c>
      <c r="BL93" s="62">
        <f t="shared" si="770"/>
        <v>0</v>
      </c>
      <c r="BM93" s="62">
        <f t="shared" si="770"/>
        <v>0</v>
      </c>
      <c r="BN93" s="62">
        <f t="shared" si="770"/>
        <v>0</v>
      </c>
      <c r="BO93" s="62">
        <f t="shared" si="770"/>
        <v>0</v>
      </c>
      <c r="BP93" s="62">
        <f t="shared" si="770"/>
        <v>0</v>
      </c>
      <c r="BQ93" s="62">
        <f t="shared" si="770"/>
        <v>0</v>
      </c>
      <c r="BR93" s="62">
        <f t="shared" ref="BR93:BY93" si="771">IF(BR$5=EOMONTH($E63,1),-New_LC_Pct*FV($E66,$E64,-BR80*$E62),0)+IF(BR$5=EOMONTH($E69,1),-Renewal_LC_Pct*FV($E72,$E70,-BR81*$E62)*Renewal_Probability,0)+IF(BR$5=EOMONTH($E74,1),-New_LC_Pct*FV($E77,$E75,-BR82*$E62)*(1-Renewal_Probability),0)</f>
        <v>0</v>
      </c>
      <c r="BS93" s="62">
        <f t="shared" si="771"/>
        <v>0</v>
      </c>
      <c r="BT93" s="62">
        <f t="shared" si="771"/>
        <v>0</v>
      </c>
      <c r="BU93" s="62">
        <f t="shared" si="771"/>
        <v>0</v>
      </c>
      <c r="BV93" s="62">
        <f t="shared" si="771"/>
        <v>0</v>
      </c>
      <c r="BW93" s="62">
        <f t="shared" si="771"/>
        <v>0</v>
      </c>
      <c r="BX93" s="62">
        <f t="shared" si="771"/>
        <v>0</v>
      </c>
      <c r="BY93" s="62">
        <f t="shared" si="771"/>
        <v>0</v>
      </c>
    </row>
    <row r="94" spans="2:77" customFormat="1" outlineLevel="1" x14ac:dyDescent="0.25">
      <c r="B94" s="1"/>
      <c r="C94" s="44"/>
      <c r="D94" s="56"/>
      <c r="E94" s="1"/>
      <c r="F94" s="93"/>
      <c r="G94" s="93"/>
      <c r="H94" s="1"/>
      <c r="I94" s="1"/>
      <c r="J94" s="1"/>
      <c r="K94" s="93"/>
      <c r="AP94" s="62"/>
    </row>
    <row r="95" spans="2:77" customFormat="1" outlineLevel="1" x14ac:dyDescent="0.25">
      <c r="B95" s="1"/>
      <c r="C95" s="50" t="s">
        <v>29</v>
      </c>
      <c r="D95" s="37" t="s">
        <v>101</v>
      </c>
      <c r="E95" s="1"/>
      <c r="F95" s="62">
        <f t="shared" ref="F95:BQ95" si="772">-IF(F$5&gt;$E63,SUM(F$338:F$341)*($E62/Rentable_Sq_Ft)*IF(AND(F$5&gt;$E65,F$5&lt;=$E74),Renewal_Probability,1),0)</f>
        <v>10342.498164979743</v>
      </c>
      <c r="G95" s="62">
        <f t="shared" si="772"/>
        <v>10376.356812669756</v>
      </c>
      <c r="H95" s="62">
        <f t="shared" si="772"/>
        <v>10410.326304761682</v>
      </c>
      <c r="I95" s="62">
        <f t="shared" si="772"/>
        <v>10444.407004131253</v>
      </c>
      <c r="J95" s="62">
        <f t="shared" si="772"/>
        <v>10478.599274842154</v>
      </c>
      <c r="K95" s="62">
        <f t="shared" si="772"/>
        <v>10512.903482149924</v>
      </c>
      <c r="L95" s="62">
        <f t="shared" si="772"/>
        <v>10547.31999250586</v>
      </c>
      <c r="M95" s="62">
        <f t="shared" si="772"/>
        <v>10581.849173560906</v>
      </c>
      <c r="N95" s="62">
        <f t="shared" si="772"/>
        <v>10616.491394169621</v>
      </c>
      <c r="O95" s="62">
        <f t="shared" si="772"/>
        <v>10651.247024394084</v>
      </c>
      <c r="P95" s="62">
        <f t="shared" si="772"/>
        <v>10686.116435507869</v>
      </c>
      <c r="Q95" s="62">
        <f t="shared" si="772"/>
        <v>10721.100000000004</v>
      </c>
      <c r="R95" s="62">
        <f t="shared" si="772"/>
        <v>10747.541124855848</v>
      </c>
      <c r="S95" s="62">
        <f t="shared" si="772"/>
        <v>10774.04746065867</v>
      </c>
      <c r="T95" s="62">
        <f t="shared" si="772"/>
        <v>10800.619168236261</v>
      </c>
      <c r="U95" s="62">
        <f t="shared" si="772"/>
        <v>10827.256408813044</v>
      </c>
      <c r="V95" s="62">
        <f t="shared" si="772"/>
        <v>10853.95934401108</v>
      </c>
      <c r="W95" s="62">
        <f t="shared" si="772"/>
        <v>10880.728135851028</v>
      </c>
      <c r="X95" s="62">
        <f t="shared" si="772"/>
        <v>10907.562946753131</v>
      </c>
      <c r="Y95" s="62">
        <f t="shared" si="772"/>
        <v>10934.463939538209</v>
      </c>
      <c r="Z95" s="62">
        <f t="shared" si="772"/>
        <v>10961.431277428635</v>
      </c>
      <c r="AA95" s="62">
        <f t="shared" si="772"/>
        <v>10988.465124049342</v>
      </c>
      <c r="AB95" s="62">
        <f t="shared" si="772"/>
        <v>11015.565643428799</v>
      </c>
      <c r="AC95" s="62">
        <f t="shared" si="772"/>
        <v>11042.733000000017</v>
      </c>
      <c r="AD95" s="62">
        <f t="shared" si="772"/>
        <v>11060.970971344914</v>
      </c>
      <c r="AE95" s="62">
        <f t="shared" si="772"/>
        <v>11079.239064182269</v>
      </c>
      <c r="AF95" s="62">
        <f t="shared" si="772"/>
        <v>11097.537328260178</v>
      </c>
      <c r="AG95" s="62">
        <f t="shared" si="772"/>
        <v>11115.865813408895</v>
      </c>
      <c r="AH95" s="62">
        <f t="shared" si="772"/>
        <v>11134.224569540975</v>
      </c>
      <c r="AI95" s="62">
        <f t="shared" si="772"/>
        <v>11152.613646651409</v>
      </c>
      <c r="AJ95" s="62">
        <f t="shared" si="772"/>
        <v>11171.033094817758</v>
      </c>
      <c r="AK95" s="62">
        <f t="shared" si="772"/>
        <v>11189.48296420029</v>
      </c>
      <c r="AL95" s="62">
        <f t="shared" si="772"/>
        <v>11207.96330504212</v>
      </c>
      <c r="AM95" s="62">
        <f t="shared" si="772"/>
        <v>11226.474167669334</v>
      </c>
      <c r="AN95" s="62">
        <f t="shared" si="772"/>
        <v>11245.015602491147</v>
      </c>
      <c r="AO95" s="62">
        <f t="shared" si="772"/>
        <v>11263.587660000023</v>
      </c>
      <c r="AP95" s="62">
        <f t="shared" si="772"/>
        <v>11282.190390771817</v>
      </c>
      <c r="AQ95" s="62">
        <f t="shared" si="772"/>
        <v>11300.82384546592</v>
      </c>
      <c r="AR95" s="62">
        <f t="shared" si="772"/>
        <v>11319.488074825387</v>
      </c>
      <c r="AS95" s="62">
        <f t="shared" si="772"/>
        <v>11338.183129677078</v>
      </c>
      <c r="AT95" s="62">
        <f t="shared" si="772"/>
        <v>11356.909060931803</v>
      </c>
      <c r="AU95" s="62">
        <f t="shared" si="772"/>
        <v>11375.665919584444</v>
      </c>
      <c r="AV95" s="62">
        <f t="shared" si="772"/>
        <v>11394.453756714121</v>
      </c>
      <c r="AW95" s="62">
        <f t="shared" si="772"/>
        <v>11413.272623484305</v>
      </c>
      <c r="AX95" s="62">
        <f t="shared" si="772"/>
        <v>11432.122571142969</v>
      </c>
      <c r="AY95" s="62">
        <f t="shared" si="772"/>
        <v>11451.003651022729</v>
      </c>
      <c r="AZ95" s="62">
        <f t="shared" si="772"/>
        <v>6881.9495487245867</v>
      </c>
      <c r="BA95" s="62">
        <f t="shared" si="772"/>
        <v>6893.3156479200206</v>
      </c>
      <c r="BB95" s="62">
        <f t="shared" si="772"/>
        <v>6901.873614622521</v>
      </c>
      <c r="BC95" s="62">
        <f t="shared" si="772"/>
        <v>6910.4422059355593</v>
      </c>
      <c r="BD95" s="62">
        <f t="shared" si="772"/>
        <v>6919.0214350494598</v>
      </c>
      <c r="BE95" s="62">
        <f t="shared" si="772"/>
        <v>6927.6113151709242</v>
      </c>
      <c r="BF95" s="62">
        <f t="shared" si="772"/>
        <v>11560.353099205071</v>
      </c>
      <c r="BG95" s="62">
        <f t="shared" si="772"/>
        <v>11574.705135575552</v>
      </c>
      <c r="BH95" s="62">
        <f t="shared" si="772"/>
        <v>11589.074989822891</v>
      </c>
      <c r="BI95" s="62">
        <f t="shared" si="772"/>
        <v>11603.462684067767</v>
      </c>
      <c r="BJ95" s="62">
        <f t="shared" si="772"/>
        <v>11617.868240458314</v>
      </c>
      <c r="BK95" s="62">
        <f t="shared" si="772"/>
        <v>11632.291681170167</v>
      </c>
      <c r="BL95" s="62">
        <f t="shared" si="772"/>
        <v>11646.733028406496</v>
      </c>
      <c r="BM95" s="62">
        <f t="shared" si="772"/>
        <v>11661.192304398026</v>
      </c>
      <c r="BN95" s="62">
        <f t="shared" si="772"/>
        <v>11675.669531403088</v>
      </c>
      <c r="BO95" s="62">
        <f t="shared" si="772"/>
        <v>11690.164731707648</v>
      </c>
      <c r="BP95" s="62">
        <f t="shared" si="772"/>
        <v>11704.677927625329</v>
      </c>
      <c r="BQ95" s="62">
        <f t="shared" si="772"/>
        <v>11719.209141497473</v>
      </c>
      <c r="BR95" s="62">
        <f t="shared" ref="BR95:BY95" si="773">-IF(BR$5&gt;$E63,SUM(BR$338:BR$341)*($E62/Rentable_Sq_Ft)*IF(AND(BR$5&gt;$E65,BR$5&lt;=$E74),Renewal_Probability,1),0)</f>
        <v>11733.758395693141</v>
      </c>
      <c r="BS95" s="62">
        <f t="shared" si="773"/>
        <v>11748.325712609176</v>
      </c>
      <c r="BT95" s="62">
        <f t="shared" si="773"/>
        <v>11762.911114670225</v>
      </c>
      <c r="BU95" s="62">
        <f t="shared" si="773"/>
        <v>11777.514624328775</v>
      </c>
      <c r="BV95" s="62">
        <f t="shared" si="773"/>
        <v>11792.136264065179</v>
      </c>
      <c r="BW95" s="62">
        <f t="shared" si="773"/>
        <v>11806.776056387711</v>
      </c>
      <c r="BX95" s="62">
        <f t="shared" si="773"/>
        <v>11821.434023832584</v>
      </c>
      <c r="BY95" s="62">
        <f t="shared" si="773"/>
        <v>11836.110188963985</v>
      </c>
    </row>
    <row r="96" spans="2:77" customFormat="1" outlineLevel="1" x14ac:dyDescent="0.25">
      <c r="B96" s="1"/>
      <c r="C96" s="50" t="s">
        <v>125</v>
      </c>
      <c r="D96" s="37" t="s">
        <v>101</v>
      </c>
      <c r="E96" s="1"/>
      <c r="F96" s="62">
        <f t="shared" ref="F96:BQ96" si="774">IF(F$5&lt;=$E63,-F79*$E62/Months,0)</f>
        <v>0</v>
      </c>
      <c r="G96" s="62">
        <f t="shared" si="774"/>
        <v>0</v>
      </c>
      <c r="H96" s="62">
        <f t="shared" si="774"/>
        <v>0</v>
      </c>
      <c r="I96" s="62">
        <f t="shared" si="774"/>
        <v>0</v>
      </c>
      <c r="J96" s="62">
        <f t="shared" si="774"/>
        <v>0</v>
      </c>
      <c r="K96" s="62">
        <f t="shared" si="774"/>
        <v>0</v>
      </c>
      <c r="L96" s="62">
        <f t="shared" si="774"/>
        <v>0</v>
      </c>
      <c r="M96" s="62">
        <f t="shared" si="774"/>
        <v>0</v>
      </c>
      <c r="N96" s="62">
        <f t="shared" si="774"/>
        <v>0</v>
      </c>
      <c r="O96" s="62">
        <f t="shared" si="774"/>
        <v>0</v>
      </c>
      <c r="P96" s="62">
        <f t="shared" si="774"/>
        <v>0</v>
      </c>
      <c r="Q96" s="62">
        <f t="shared" si="774"/>
        <v>0</v>
      </c>
      <c r="R96" s="62">
        <f t="shared" si="774"/>
        <v>0</v>
      </c>
      <c r="S96" s="62">
        <f t="shared" si="774"/>
        <v>0</v>
      </c>
      <c r="T96" s="62">
        <f t="shared" si="774"/>
        <v>0</v>
      </c>
      <c r="U96" s="62">
        <f t="shared" si="774"/>
        <v>0</v>
      </c>
      <c r="V96" s="62">
        <f t="shared" si="774"/>
        <v>0</v>
      </c>
      <c r="W96" s="62">
        <f t="shared" si="774"/>
        <v>0</v>
      </c>
      <c r="X96" s="62">
        <f t="shared" si="774"/>
        <v>0</v>
      </c>
      <c r="Y96" s="62">
        <f t="shared" si="774"/>
        <v>0</v>
      </c>
      <c r="Z96" s="62">
        <f t="shared" si="774"/>
        <v>0</v>
      </c>
      <c r="AA96" s="62">
        <f t="shared" si="774"/>
        <v>0</v>
      </c>
      <c r="AB96" s="62">
        <f t="shared" si="774"/>
        <v>0</v>
      </c>
      <c r="AC96" s="62">
        <f t="shared" si="774"/>
        <v>0</v>
      </c>
      <c r="AD96" s="62">
        <f t="shared" si="774"/>
        <v>0</v>
      </c>
      <c r="AE96" s="62">
        <f t="shared" si="774"/>
        <v>0</v>
      </c>
      <c r="AF96" s="62">
        <f t="shared" si="774"/>
        <v>0</v>
      </c>
      <c r="AG96" s="62">
        <f t="shared" si="774"/>
        <v>0</v>
      </c>
      <c r="AH96" s="62">
        <f t="shared" si="774"/>
        <v>0</v>
      </c>
      <c r="AI96" s="62">
        <f t="shared" si="774"/>
        <v>0</v>
      </c>
      <c r="AJ96" s="62">
        <f t="shared" si="774"/>
        <v>0</v>
      </c>
      <c r="AK96" s="62">
        <f t="shared" si="774"/>
        <v>0</v>
      </c>
      <c r="AL96" s="62">
        <f t="shared" si="774"/>
        <v>0</v>
      </c>
      <c r="AM96" s="62">
        <f t="shared" si="774"/>
        <v>0</v>
      </c>
      <c r="AN96" s="62">
        <f t="shared" si="774"/>
        <v>0</v>
      </c>
      <c r="AO96" s="62">
        <f t="shared" si="774"/>
        <v>0</v>
      </c>
      <c r="AP96" s="62">
        <f t="shared" si="774"/>
        <v>0</v>
      </c>
      <c r="AQ96" s="62">
        <f t="shared" si="774"/>
        <v>0</v>
      </c>
      <c r="AR96" s="62">
        <f t="shared" si="774"/>
        <v>0</v>
      </c>
      <c r="AS96" s="62">
        <f t="shared" si="774"/>
        <v>0</v>
      </c>
      <c r="AT96" s="62">
        <f t="shared" si="774"/>
        <v>0</v>
      </c>
      <c r="AU96" s="62">
        <f t="shared" si="774"/>
        <v>0</v>
      </c>
      <c r="AV96" s="62">
        <f t="shared" si="774"/>
        <v>0</v>
      </c>
      <c r="AW96" s="62">
        <f t="shared" si="774"/>
        <v>0</v>
      </c>
      <c r="AX96" s="62">
        <f t="shared" si="774"/>
        <v>0</v>
      </c>
      <c r="AY96" s="62">
        <f t="shared" si="774"/>
        <v>0</v>
      </c>
      <c r="AZ96" s="62">
        <f t="shared" si="774"/>
        <v>0</v>
      </c>
      <c r="BA96" s="62">
        <f t="shared" si="774"/>
        <v>0</v>
      </c>
      <c r="BB96" s="62">
        <f t="shared" si="774"/>
        <v>0</v>
      </c>
      <c r="BC96" s="62">
        <f t="shared" si="774"/>
        <v>0</v>
      </c>
      <c r="BD96" s="62">
        <f t="shared" si="774"/>
        <v>0</v>
      </c>
      <c r="BE96" s="62">
        <f t="shared" si="774"/>
        <v>0</v>
      </c>
      <c r="BF96" s="62">
        <f t="shared" si="774"/>
        <v>0</v>
      </c>
      <c r="BG96" s="62">
        <f t="shared" si="774"/>
        <v>0</v>
      </c>
      <c r="BH96" s="62">
        <f t="shared" si="774"/>
        <v>0</v>
      </c>
      <c r="BI96" s="62">
        <f t="shared" si="774"/>
        <v>0</v>
      </c>
      <c r="BJ96" s="62">
        <f t="shared" si="774"/>
        <v>0</v>
      </c>
      <c r="BK96" s="62">
        <f t="shared" si="774"/>
        <v>0</v>
      </c>
      <c r="BL96" s="62">
        <f t="shared" si="774"/>
        <v>0</v>
      </c>
      <c r="BM96" s="62">
        <f t="shared" si="774"/>
        <v>0</v>
      </c>
      <c r="BN96" s="62">
        <f t="shared" si="774"/>
        <v>0</v>
      </c>
      <c r="BO96" s="62">
        <f t="shared" si="774"/>
        <v>0</v>
      </c>
      <c r="BP96" s="62">
        <f t="shared" si="774"/>
        <v>0</v>
      </c>
      <c r="BQ96" s="62">
        <f t="shared" si="774"/>
        <v>0</v>
      </c>
      <c r="BR96" s="62">
        <f t="shared" ref="BR96:BY96" si="775">IF(BR$5&lt;=$E63,-BR79*$E62/Months,0)</f>
        <v>0</v>
      </c>
      <c r="BS96" s="62">
        <f t="shared" si="775"/>
        <v>0</v>
      </c>
      <c r="BT96" s="62">
        <f t="shared" si="775"/>
        <v>0</v>
      </c>
      <c r="BU96" s="62">
        <f t="shared" si="775"/>
        <v>0</v>
      </c>
      <c r="BV96" s="62">
        <f t="shared" si="775"/>
        <v>0</v>
      </c>
      <c r="BW96" s="62">
        <f t="shared" si="775"/>
        <v>0</v>
      </c>
      <c r="BX96" s="62">
        <f t="shared" si="775"/>
        <v>0</v>
      </c>
      <c r="BY96" s="62">
        <f t="shared" si="775"/>
        <v>0</v>
      </c>
    </row>
    <row r="97" spans="2:77" customFormat="1" outlineLevel="1" x14ac:dyDescent="0.25">
      <c r="B97" s="1"/>
      <c r="C97" s="1"/>
      <c r="D97" s="1"/>
      <c r="E97" s="284"/>
      <c r="F97" s="1"/>
      <c r="G97" s="1"/>
      <c r="H97" s="1"/>
      <c r="I97" s="1"/>
      <c r="J97" s="1"/>
    </row>
    <row r="98" spans="2:77" customFormat="1" outlineLevel="1" x14ac:dyDescent="0.25">
      <c r="B98" s="1"/>
      <c r="C98" s="46" t="s">
        <v>284</v>
      </c>
      <c r="D98" s="47"/>
      <c r="E98" s="48"/>
      <c r="F98" s="48"/>
      <c r="G98" s="48"/>
      <c r="H98" s="48"/>
      <c r="I98" s="48"/>
      <c r="J98" s="48"/>
      <c r="K98" s="48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</row>
    <row r="99" spans="2:77" customFormat="1" outlineLevel="1" x14ac:dyDescent="0.25">
      <c r="B99" s="1"/>
      <c r="C99" s="74" t="s">
        <v>289</v>
      </c>
      <c r="D99" s="53" t="s">
        <v>12</v>
      </c>
      <c r="E99" s="15" t="s">
        <v>292</v>
      </c>
      <c r="F99" s="1"/>
      <c r="G99" s="1"/>
      <c r="H99" s="1"/>
      <c r="I99" s="1"/>
      <c r="J99" s="1"/>
      <c r="P99" s="92"/>
      <c r="Q99" s="92"/>
      <c r="R99" s="92"/>
      <c r="S99" s="92"/>
      <c r="T99" s="92"/>
      <c r="U99" s="92"/>
      <c r="V99" s="92"/>
      <c r="W99" s="92"/>
      <c r="X99" s="92"/>
      <c r="Y99" s="92"/>
    </row>
    <row r="100" spans="2:77" customFormat="1" outlineLevel="1" x14ac:dyDescent="0.25">
      <c r="B100" s="1"/>
      <c r="C100" s="74" t="s">
        <v>114</v>
      </c>
      <c r="D100" s="53" t="s">
        <v>16</v>
      </c>
      <c r="E100" s="11">
        <v>0.1</v>
      </c>
      <c r="F100" s="1"/>
      <c r="G100" s="1"/>
      <c r="H100" s="1"/>
      <c r="I100" s="1"/>
      <c r="J100" s="1"/>
      <c r="P100" s="92"/>
      <c r="Q100" s="92"/>
      <c r="R100" s="92"/>
      <c r="S100" s="92"/>
      <c r="T100" s="92"/>
      <c r="U100" s="92"/>
      <c r="V100" s="92"/>
      <c r="W100" s="92"/>
      <c r="X100" s="92"/>
      <c r="Y100" s="92"/>
    </row>
    <row r="101" spans="2:77" customFormat="1" outlineLevel="1" x14ac:dyDescent="0.25">
      <c r="B101" s="1"/>
      <c r="C101" s="50" t="s">
        <v>115</v>
      </c>
      <c r="D101" s="55" t="s">
        <v>22</v>
      </c>
      <c r="E101" s="146">
        <f>+E100*Rentable_Sq_Ft</f>
        <v>5490</v>
      </c>
      <c r="F101" s="1"/>
      <c r="G101" s="1"/>
      <c r="H101" s="1"/>
      <c r="I101" s="1"/>
      <c r="J101" s="1"/>
    </row>
    <row r="102" spans="2:77" customFormat="1" outlineLevel="1" x14ac:dyDescent="0.25">
      <c r="B102" s="1"/>
      <c r="C102" s="50" t="s">
        <v>39</v>
      </c>
      <c r="D102" s="36" t="s">
        <v>13</v>
      </c>
      <c r="E102" s="14">
        <v>42185</v>
      </c>
      <c r="F102" s="1"/>
      <c r="G102" s="1"/>
      <c r="H102" s="1"/>
      <c r="I102" s="1"/>
      <c r="J102" s="1"/>
    </row>
    <row r="103" spans="2:77" customFormat="1" outlineLevel="1" x14ac:dyDescent="0.25">
      <c r="B103" s="1"/>
      <c r="C103" s="50" t="s">
        <v>55</v>
      </c>
      <c r="D103" s="36" t="s">
        <v>17</v>
      </c>
      <c r="E103" s="51">
        <v>4</v>
      </c>
      <c r="F103" s="1"/>
      <c r="G103" s="1"/>
      <c r="H103" s="1"/>
      <c r="I103" s="1"/>
      <c r="J103" s="1"/>
    </row>
    <row r="104" spans="2:77" customFormat="1" outlineLevel="1" x14ac:dyDescent="0.25">
      <c r="B104" s="1"/>
      <c r="C104" s="50" t="s">
        <v>23</v>
      </c>
      <c r="D104" s="36" t="s">
        <v>13</v>
      </c>
      <c r="E104" s="102">
        <f>EOMONTH(E102,E103*Months)</f>
        <v>43646</v>
      </c>
      <c r="F104" s="1"/>
      <c r="G104" s="1"/>
      <c r="H104" s="1"/>
      <c r="I104" s="1"/>
      <c r="J104" s="1"/>
    </row>
    <row r="105" spans="2:77" customFormat="1" outlineLevel="1" x14ac:dyDescent="0.25">
      <c r="B105" s="1"/>
      <c r="C105" s="74" t="s">
        <v>263</v>
      </c>
      <c r="D105" s="38" t="s">
        <v>16</v>
      </c>
      <c r="E105" s="128">
        <v>2.5000000000000001E-2</v>
      </c>
      <c r="F105" s="105">
        <f>IF(AND(E$5&gt;$E102,F$5&lt;$E104,MONTH(E$5)=MONTH($E102)),$E105,0)</f>
        <v>0</v>
      </c>
      <c r="G105" s="105">
        <f t="shared" ref="G105" si="776">IF(AND(F$5&gt;$E102,G$5&lt;$E104,MONTH(F$5)=MONTH($E102)),$E105,0)</f>
        <v>0</v>
      </c>
      <c r="H105" s="105">
        <f t="shared" ref="H105" si="777">IF(AND(G$5&gt;$E102,H$5&lt;$E104,MONTH(G$5)=MONTH($E102)),$E105,0)</f>
        <v>0</v>
      </c>
      <c r="I105" s="105">
        <f t="shared" ref="I105" si="778">IF(AND(H$5&gt;$E102,I$5&lt;$E104,MONTH(H$5)=MONTH($E102)),$E105,0)</f>
        <v>0</v>
      </c>
      <c r="J105" s="105">
        <f t="shared" ref="J105" si="779">IF(AND(I$5&gt;$E102,J$5&lt;$E104,MONTH(I$5)=MONTH($E102)),$E105,0)</f>
        <v>0</v>
      </c>
      <c r="K105" s="105">
        <f t="shared" ref="K105" si="780">IF(AND(J$5&gt;$E102,K$5&lt;$E104,MONTH(J$5)=MONTH($E102)),$E105,0)</f>
        <v>0</v>
      </c>
      <c r="L105" s="105">
        <f t="shared" ref="L105" si="781">IF(AND(K$5&gt;$E102,L$5&lt;$E104,MONTH(K$5)=MONTH($E102)),$E105,0)</f>
        <v>2.5000000000000001E-2</v>
      </c>
      <c r="M105" s="105">
        <f t="shared" ref="M105" si="782">IF(AND(L$5&gt;$E102,M$5&lt;$E104,MONTH(L$5)=MONTH($E102)),$E105,0)</f>
        <v>0</v>
      </c>
      <c r="N105" s="105">
        <f t="shared" ref="N105" si="783">IF(AND(M$5&gt;$E102,N$5&lt;$E104,MONTH(M$5)=MONTH($E102)),$E105,0)</f>
        <v>0</v>
      </c>
      <c r="O105" s="105">
        <f t="shared" ref="O105" si="784">IF(AND(N$5&gt;$E102,O$5&lt;$E104,MONTH(N$5)=MONTH($E102)),$E105,0)</f>
        <v>0</v>
      </c>
      <c r="P105" s="105">
        <f t="shared" ref="P105" si="785">IF(AND(O$5&gt;$E102,P$5&lt;$E104,MONTH(O$5)=MONTH($E102)),$E105,0)</f>
        <v>0</v>
      </c>
      <c r="Q105" s="105">
        <f t="shared" ref="Q105" si="786">IF(AND(P$5&gt;$E102,Q$5&lt;$E104,MONTH(P$5)=MONTH($E102)),$E105,0)</f>
        <v>0</v>
      </c>
      <c r="R105" s="105">
        <f t="shared" ref="R105" si="787">IF(AND(Q$5&gt;$E102,R$5&lt;$E104,MONTH(Q$5)=MONTH($E102)),$E105,0)</f>
        <v>0</v>
      </c>
      <c r="S105" s="105">
        <f t="shared" ref="S105" si="788">IF(AND(R$5&gt;$E102,S$5&lt;$E104,MONTH(R$5)=MONTH($E102)),$E105,0)</f>
        <v>0</v>
      </c>
      <c r="T105" s="105">
        <f t="shared" ref="T105" si="789">IF(AND(S$5&gt;$E102,T$5&lt;$E104,MONTH(S$5)=MONTH($E102)),$E105,0)</f>
        <v>0</v>
      </c>
      <c r="U105" s="105">
        <f t="shared" ref="U105" si="790">IF(AND(T$5&gt;$E102,U$5&lt;$E104,MONTH(T$5)=MONTH($E102)),$E105,0)</f>
        <v>0</v>
      </c>
      <c r="V105" s="105">
        <f t="shared" ref="V105" si="791">IF(AND(U$5&gt;$E102,V$5&lt;$E104,MONTH(U$5)=MONTH($E102)),$E105,0)</f>
        <v>0</v>
      </c>
      <c r="W105" s="105">
        <f t="shared" ref="W105" si="792">IF(AND(V$5&gt;$E102,W$5&lt;$E104,MONTH(V$5)=MONTH($E102)),$E105,0)</f>
        <v>0</v>
      </c>
      <c r="X105" s="105">
        <f t="shared" ref="X105" si="793">IF(AND(W$5&gt;$E102,X$5&lt;$E104,MONTH(W$5)=MONTH($E102)),$E105,0)</f>
        <v>0</v>
      </c>
      <c r="Y105" s="105">
        <f t="shared" ref="Y105" si="794">IF(AND(X$5&gt;$E102,Y$5&lt;$E104,MONTH(X$5)=MONTH($E102)),$E105,0)</f>
        <v>0</v>
      </c>
      <c r="Z105" s="105">
        <f t="shared" ref="Z105" si="795">IF(AND(Y$5&gt;$E102,Z$5&lt;$E104,MONTH(Y$5)=MONTH($E102)),$E105,0)</f>
        <v>0</v>
      </c>
      <c r="AA105" s="105">
        <f t="shared" ref="AA105" si="796">IF(AND(Z$5&gt;$E102,AA$5&lt;$E104,MONTH(Z$5)=MONTH($E102)),$E105,0)</f>
        <v>0</v>
      </c>
      <c r="AB105" s="105">
        <f t="shared" ref="AB105" si="797">IF(AND(AA$5&gt;$E102,AB$5&lt;$E104,MONTH(AA$5)=MONTH($E102)),$E105,0)</f>
        <v>0</v>
      </c>
      <c r="AC105" s="105">
        <f t="shared" ref="AC105" si="798">IF(AND(AB$5&gt;$E102,AC$5&lt;$E104,MONTH(AB$5)=MONTH($E102)),$E105,0)</f>
        <v>0</v>
      </c>
      <c r="AD105" s="105">
        <f t="shared" ref="AD105" si="799">IF(AND(AC$5&gt;$E102,AD$5&lt;$E104,MONTH(AC$5)=MONTH($E102)),$E105,0)</f>
        <v>0</v>
      </c>
      <c r="AE105" s="105">
        <f t="shared" ref="AE105" si="800">IF(AND(AD$5&gt;$E102,AE$5&lt;$E104,MONTH(AD$5)=MONTH($E102)),$E105,0)</f>
        <v>0</v>
      </c>
      <c r="AF105" s="105">
        <f t="shared" ref="AF105" si="801">IF(AND(AE$5&gt;$E102,AF$5&lt;$E104,MONTH(AE$5)=MONTH($E102)),$E105,0)</f>
        <v>0</v>
      </c>
      <c r="AG105" s="105">
        <f t="shared" ref="AG105" si="802">IF(AND(AF$5&gt;$E102,AG$5&lt;$E104,MONTH(AF$5)=MONTH($E102)),$E105,0)</f>
        <v>0</v>
      </c>
      <c r="AH105" s="105">
        <f t="shared" ref="AH105" si="803">IF(AND(AG$5&gt;$E102,AH$5&lt;$E104,MONTH(AG$5)=MONTH($E102)),$E105,0)</f>
        <v>0</v>
      </c>
      <c r="AI105" s="105">
        <f t="shared" ref="AI105" si="804">IF(AND(AH$5&gt;$E102,AI$5&lt;$E104,MONTH(AH$5)=MONTH($E102)),$E105,0)</f>
        <v>0</v>
      </c>
      <c r="AJ105" s="105">
        <f t="shared" ref="AJ105" si="805">IF(AND(AI$5&gt;$E102,AJ$5&lt;$E104,MONTH(AI$5)=MONTH($E102)),$E105,0)</f>
        <v>0</v>
      </c>
      <c r="AK105" s="105">
        <f t="shared" ref="AK105" si="806">IF(AND(AJ$5&gt;$E102,AK$5&lt;$E104,MONTH(AJ$5)=MONTH($E102)),$E105,0)</f>
        <v>0</v>
      </c>
      <c r="AL105" s="105">
        <f t="shared" ref="AL105" si="807">IF(AND(AK$5&gt;$E102,AL$5&lt;$E104,MONTH(AK$5)=MONTH($E102)),$E105,0)</f>
        <v>0</v>
      </c>
      <c r="AM105" s="105">
        <f t="shared" ref="AM105" si="808">IF(AND(AL$5&gt;$E102,AM$5&lt;$E104,MONTH(AL$5)=MONTH($E102)),$E105,0)</f>
        <v>0</v>
      </c>
      <c r="AN105" s="105">
        <f t="shared" ref="AN105" si="809">IF(AND(AM$5&gt;$E102,AN$5&lt;$E104,MONTH(AM$5)=MONTH($E102)),$E105,0)</f>
        <v>0</v>
      </c>
      <c r="AO105" s="105">
        <f t="shared" ref="AO105" si="810">IF(AND(AN$5&gt;$E102,AO$5&lt;$E104,MONTH(AN$5)=MONTH($E102)),$E105,0)</f>
        <v>0</v>
      </c>
      <c r="AP105" s="105">
        <f t="shared" ref="AP105" si="811">IF(AND(AO$5&gt;$E102,AP$5&lt;$E104,MONTH(AO$5)=MONTH($E102)),$E105,0)</f>
        <v>0</v>
      </c>
      <c r="AQ105" s="105">
        <f t="shared" ref="AQ105" si="812">IF(AND(AP$5&gt;$E102,AQ$5&lt;$E104,MONTH(AP$5)=MONTH($E102)),$E105,0)</f>
        <v>0</v>
      </c>
      <c r="AR105" s="105">
        <f t="shared" ref="AR105" si="813">IF(AND(AQ$5&gt;$E102,AR$5&lt;$E104,MONTH(AQ$5)=MONTH($E102)),$E105,0)</f>
        <v>0</v>
      </c>
      <c r="AS105" s="105">
        <f t="shared" ref="AS105" si="814">IF(AND(AR$5&gt;$E102,AS$5&lt;$E104,MONTH(AR$5)=MONTH($E102)),$E105,0)</f>
        <v>0</v>
      </c>
      <c r="AT105" s="105">
        <f t="shared" ref="AT105" si="815">IF(AND(AS$5&gt;$E102,AT$5&lt;$E104,MONTH(AS$5)=MONTH($E102)),$E105,0)</f>
        <v>0</v>
      </c>
      <c r="AU105" s="105">
        <f t="shared" ref="AU105" si="816">IF(AND(AT$5&gt;$E102,AU$5&lt;$E104,MONTH(AT$5)=MONTH($E102)),$E105,0)</f>
        <v>0</v>
      </c>
      <c r="AV105" s="105">
        <f t="shared" ref="AV105" si="817">IF(AND(AU$5&gt;$E102,AV$5&lt;$E104,MONTH(AU$5)=MONTH($E102)),$E105,0)</f>
        <v>0</v>
      </c>
      <c r="AW105" s="105">
        <f t="shared" ref="AW105" si="818">IF(AND(AV$5&gt;$E102,AW$5&lt;$E104,MONTH(AV$5)=MONTH($E102)),$E105,0)</f>
        <v>0</v>
      </c>
      <c r="AX105" s="105">
        <f t="shared" ref="AX105" si="819">IF(AND(AW$5&gt;$E102,AX$5&lt;$E104,MONTH(AW$5)=MONTH($E102)),$E105,0)</f>
        <v>0</v>
      </c>
      <c r="AY105" s="105">
        <f t="shared" ref="AY105" si="820">IF(AND(AX$5&gt;$E102,AY$5&lt;$E104,MONTH(AX$5)=MONTH($E102)),$E105,0)</f>
        <v>0</v>
      </c>
      <c r="AZ105" s="105">
        <f t="shared" ref="AZ105" si="821">IF(AND(AY$5&gt;$E102,AZ$5&lt;$E104,MONTH(AY$5)=MONTH($E102)),$E105,0)</f>
        <v>0</v>
      </c>
      <c r="BA105" s="105">
        <f t="shared" ref="BA105" si="822">IF(AND(AZ$5&gt;$E102,BA$5&lt;$E104,MONTH(AZ$5)=MONTH($E102)),$E105,0)</f>
        <v>0</v>
      </c>
      <c r="BB105" s="105">
        <f t="shared" ref="BB105" si="823">IF(AND(BA$5&gt;$E102,BB$5&lt;$E104,MONTH(BA$5)=MONTH($E102)),$E105,0)</f>
        <v>0</v>
      </c>
      <c r="BC105" s="105">
        <f t="shared" ref="BC105" si="824">IF(AND(BB$5&gt;$E102,BC$5&lt;$E104,MONTH(BB$5)=MONTH($E102)),$E105,0)</f>
        <v>0</v>
      </c>
      <c r="BD105" s="105">
        <f t="shared" ref="BD105" si="825">IF(AND(BC$5&gt;$E102,BD$5&lt;$E104,MONTH(BC$5)=MONTH($E102)),$E105,0)</f>
        <v>0</v>
      </c>
      <c r="BE105" s="105">
        <f t="shared" ref="BE105" si="826">IF(AND(BD$5&gt;$E102,BE$5&lt;$E104,MONTH(BD$5)=MONTH($E102)),$E105,0)</f>
        <v>0</v>
      </c>
      <c r="BF105" s="105">
        <f t="shared" ref="BF105" si="827">IF(AND(BE$5&gt;$E102,BF$5&lt;$E104,MONTH(BE$5)=MONTH($E102)),$E105,0)</f>
        <v>0</v>
      </c>
      <c r="BG105" s="105">
        <f t="shared" ref="BG105" si="828">IF(AND(BF$5&gt;$E102,BG$5&lt;$E104,MONTH(BF$5)=MONTH($E102)),$E105,0)</f>
        <v>0</v>
      </c>
      <c r="BH105" s="105">
        <f t="shared" ref="BH105" si="829">IF(AND(BG$5&gt;$E102,BH$5&lt;$E104,MONTH(BG$5)=MONTH($E102)),$E105,0)</f>
        <v>0</v>
      </c>
      <c r="BI105" s="105">
        <f t="shared" ref="BI105" si="830">IF(AND(BH$5&gt;$E102,BI$5&lt;$E104,MONTH(BH$5)=MONTH($E102)),$E105,0)</f>
        <v>0</v>
      </c>
      <c r="BJ105" s="105">
        <f t="shared" ref="BJ105" si="831">IF(AND(BI$5&gt;$E102,BJ$5&lt;$E104,MONTH(BI$5)=MONTH($E102)),$E105,0)</f>
        <v>0</v>
      </c>
      <c r="BK105" s="105">
        <f t="shared" ref="BK105" si="832">IF(AND(BJ$5&gt;$E102,BK$5&lt;$E104,MONTH(BJ$5)=MONTH($E102)),$E105,0)</f>
        <v>0</v>
      </c>
      <c r="BL105" s="105">
        <f t="shared" ref="BL105" si="833">IF(AND(BK$5&gt;$E102,BL$5&lt;$E104,MONTH(BK$5)=MONTH($E102)),$E105,0)</f>
        <v>0</v>
      </c>
      <c r="BM105" s="105">
        <f t="shared" ref="BM105" si="834">IF(AND(BL$5&gt;$E102,BM$5&lt;$E104,MONTH(BL$5)=MONTH($E102)),$E105,0)</f>
        <v>0</v>
      </c>
      <c r="BN105" s="105">
        <f t="shared" ref="BN105" si="835">IF(AND(BM$5&gt;$E102,BN$5&lt;$E104,MONTH(BM$5)=MONTH($E102)),$E105,0)</f>
        <v>0</v>
      </c>
      <c r="BO105" s="105">
        <f t="shared" ref="BO105" si="836">IF(AND(BN$5&gt;$E102,BO$5&lt;$E104,MONTH(BN$5)=MONTH($E102)),$E105,0)</f>
        <v>0</v>
      </c>
      <c r="BP105" s="105">
        <f t="shared" ref="BP105" si="837">IF(AND(BO$5&gt;$E102,BP$5&lt;$E104,MONTH(BO$5)=MONTH($E102)),$E105,0)</f>
        <v>0</v>
      </c>
      <c r="BQ105" s="105">
        <f t="shared" ref="BQ105" si="838">IF(AND(BP$5&gt;$E102,BQ$5&lt;$E104,MONTH(BP$5)=MONTH($E102)),$E105,0)</f>
        <v>0</v>
      </c>
      <c r="BR105" s="105">
        <f t="shared" ref="BR105" si="839">IF(AND(BQ$5&gt;$E102,BR$5&lt;$E104,MONTH(BQ$5)=MONTH($E102)),$E105,0)</f>
        <v>0</v>
      </c>
      <c r="BS105" s="105">
        <f t="shared" ref="BS105" si="840">IF(AND(BR$5&gt;$E102,BS$5&lt;$E104,MONTH(BR$5)=MONTH($E102)),$E105,0)</f>
        <v>0</v>
      </c>
      <c r="BT105" s="105">
        <f t="shared" ref="BT105" si="841">IF(AND(BS$5&gt;$E102,BT$5&lt;$E104,MONTH(BS$5)=MONTH($E102)),$E105,0)</f>
        <v>0</v>
      </c>
      <c r="BU105" s="105">
        <f t="shared" ref="BU105" si="842">IF(AND(BT$5&gt;$E102,BU$5&lt;$E104,MONTH(BT$5)=MONTH($E102)),$E105,0)</f>
        <v>0</v>
      </c>
      <c r="BV105" s="105">
        <f t="shared" ref="BV105" si="843">IF(AND(BU$5&gt;$E102,BV$5&lt;$E104,MONTH(BU$5)=MONTH($E102)),$E105,0)</f>
        <v>0</v>
      </c>
      <c r="BW105" s="105">
        <f t="shared" ref="BW105" si="844">IF(AND(BV$5&gt;$E102,BW$5&lt;$E104,MONTH(BV$5)=MONTH($E102)),$E105,0)</f>
        <v>0</v>
      </c>
      <c r="BX105" s="105">
        <f t="shared" ref="BX105" si="845">IF(AND(BW$5&gt;$E102,BX$5&lt;$E104,MONTH(BW$5)=MONTH($E102)),$E105,0)</f>
        <v>0</v>
      </c>
      <c r="BY105" s="105">
        <f t="shared" ref="BY105" si="846">IF(AND(BX$5&gt;$E102,BY$5&lt;$E104,MONTH(BX$5)=MONTH($E102)),$E105,0)</f>
        <v>0</v>
      </c>
    </row>
    <row r="106" spans="2:77" customFormat="1" outlineLevel="1" x14ac:dyDescent="0.25">
      <c r="B106" s="1"/>
      <c r="C106" s="74" t="s">
        <v>264</v>
      </c>
      <c r="D106" s="36" t="s">
        <v>19</v>
      </c>
      <c r="E106" s="51">
        <v>4</v>
      </c>
      <c r="F106" s="1"/>
      <c r="G106" s="1"/>
      <c r="H106" s="1"/>
      <c r="I106" s="1"/>
      <c r="J106" s="1"/>
      <c r="AP106" s="62"/>
    </row>
    <row r="107" spans="2:77" customFormat="1" outlineLevel="1" x14ac:dyDescent="0.25">
      <c r="B107" s="1"/>
      <c r="C107" s="44"/>
      <c r="D107" s="56"/>
      <c r="E107" s="285"/>
      <c r="F107" s="1"/>
      <c r="G107" s="1"/>
      <c r="H107" s="1"/>
      <c r="I107" s="1"/>
      <c r="J107" s="1"/>
      <c r="AP107" s="62"/>
    </row>
    <row r="108" spans="2:77" customFormat="1" outlineLevel="1" x14ac:dyDescent="0.25">
      <c r="B108" s="1"/>
      <c r="C108" s="74" t="s">
        <v>265</v>
      </c>
      <c r="D108" s="36" t="s">
        <v>13</v>
      </c>
      <c r="E108" s="145">
        <f>E104</f>
        <v>43646</v>
      </c>
      <c r="F108" s="1"/>
      <c r="G108" s="1"/>
      <c r="H108" s="1"/>
      <c r="I108" s="1"/>
      <c r="J108" s="1"/>
      <c r="AP108" s="62"/>
    </row>
    <row r="109" spans="2:77" customFormat="1" outlineLevel="1" x14ac:dyDescent="0.25">
      <c r="B109" s="1"/>
      <c r="C109" s="74" t="s">
        <v>266</v>
      </c>
      <c r="D109" s="36" t="s">
        <v>17</v>
      </c>
      <c r="E109" s="295">
        <f>New_Lease_Years</f>
        <v>5</v>
      </c>
      <c r="F109" s="1"/>
      <c r="G109" s="1"/>
      <c r="H109" s="1"/>
      <c r="I109" s="1"/>
      <c r="J109" s="1"/>
      <c r="AP109" s="62"/>
    </row>
    <row r="110" spans="2:77" customFormat="1" outlineLevel="1" x14ac:dyDescent="0.25">
      <c r="B110" s="1"/>
      <c r="C110" s="50" t="s">
        <v>267</v>
      </c>
      <c r="D110" s="36" t="s">
        <v>13</v>
      </c>
      <c r="E110" s="145">
        <f>EOMONTH(E108,E109*Months)</f>
        <v>45473</v>
      </c>
      <c r="F110" s="1"/>
      <c r="G110" s="1"/>
      <c r="H110" s="1"/>
      <c r="I110" s="1"/>
      <c r="J110" s="1"/>
      <c r="AP110" s="62"/>
    </row>
    <row r="111" spans="2:77" customFormat="1" outlineLevel="1" x14ac:dyDescent="0.25">
      <c r="B111" s="1"/>
      <c r="C111" s="74" t="s">
        <v>268</v>
      </c>
      <c r="D111" s="38" t="s">
        <v>16</v>
      </c>
      <c r="E111" s="105">
        <f>INDEX(Annual!$F$65:$K$92,16,INDEX(Monthly!$F$5:$BY$9,5,MATCH(E108,$F$5:$BY$5,0)))</f>
        <v>0.03</v>
      </c>
      <c r="F111" s="105">
        <f>IF(AND(E$5&gt;$E108,F$5&lt;$E110,MONTH(E$5)=MONTH($E108)),$E111,0)</f>
        <v>0</v>
      </c>
      <c r="G111" s="105">
        <f t="shared" ref="G111" si="847">IF(AND(F$5&gt;$E108,G$5&lt;$E110,MONTH(F$5)=MONTH($E108)),$E111,0)</f>
        <v>0</v>
      </c>
      <c r="H111" s="105">
        <f t="shared" ref="H111" si="848">IF(AND(G$5&gt;$E108,H$5&lt;$E110,MONTH(G$5)=MONTH($E108)),$E111,0)</f>
        <v>0</v>
      </c>
      <c r="I111" s="105">
        <f t="shared" ref="I111" si="849">IF(AND(H$5&gt;$E108,I$5&lt;$E110,MONTH(H$5)=MONTH($E108)),$E111,0)</f>
        <v>0</v>
      </c>
      <c r="J111" s="105">
        <f t="shared" ref="J111" si="850">IF(AND(I$5&gt;$E108,J$5&lt;$E110,MONTH(I$5)=MONTH($E108)),$E111,0)</f>
        <v>0</v>
      </c>
      <c r="K111" s="105">
        <f t="shared" ref="K111" si="851">IF(AND(J$5&gt;$E108,K$5&lt;$E110,MONTH(J$5)=MONTH($E108)),$E111,0)</f>
        <v>0</v>
      </c>
      <c r="L111" s="105">
        <f t="shared" ref="L111" si="852">IF(AND(K$5&gt;$E108,L$5&lt;$E110,MONTH(K$5)=MONTH($E108)),$E111,0)</f>
        <v>0</v>
      </c>
      <c r="M111" s="105">
        <f t="shared" ref="M111" si="853">IF(AND(L$5&gt;$E108,M$5&lt;$E110,MONTH(L$5)=MONTH($E108)),$E111,0)</f>
        <v>0</v>
      </c>
      <c r="N111" s="105">
        <f t="shared" ref="N111" si="854">IF(AND(M$5&gt;$E108,N$5&lt;$E110,MONTH(M$5)=MONTH($E108)),$E111,0)</f>
        <v>0</v>
      </c>
      <c r="O111" s="105">
        <f t="shared" ref="O111" si="855">IF(AND(N$5&gt;$E108,O$5&lt;$E110,MONTH(N$5)=MONTH($E108)),$E111,0)</f>
        <v>0</v>
      </c>
      <c r="P111" s="105">
        <f t="shared" ref="P111" si="856">IF(AND(O$5&gt;$E108,P$5&lt;$E110,MONTH(O$5)=MONTH($E108)),$E111,0)</f>
        <v>0</v>
      </c>
      <c r="Q111" s="105">
        <f t="shared" ref="Q111" si="857">IF(AND(P$5&gt;$E108,Q$5&lt;$E110,MONTH(P$5)=MONTH($E108)),$E111,0)</f>
        <v>0</v>
      </c>
      <c r="R111" s="105">
        <f t="shared" ref="R111" si="858">IF(AND(Q$5&gt;$E108,R$5&lt;$E110,MONTH(Q$5)=MONTH($E108)),$E111,0)</f>
        <v>0</v>
      </c>
      <c r="S111" s="105">
        <f t="shared" ref="S111" si="859">IF(AND(R$5&gt;$E108,S$5&lt;$E110,MONTH(R$5)=MONTH($E108)),$E111,0)</f>
        <v>0</v>
      </c>
      <c r="T111" s="105">
        <f t="shared" ref="T111" si="860">IF(AND(S$5&gt;$E108,T$5&lt;$E110,MONTH(S$5)=MONTH($E108)),$E111,0)</f>
        <v>0</v>
      </c>
      <c r="U111" s="105">
        <f t="shared" ref="U111" si="861">IF(AND(T$5&gt;$E108,U$5&lt;$E110,MONTH(T$5)=MONTH($E108)),$E111,0)</f>
        <v>0</v>
      </c>
      <c r="V111" s="105">
        <f t="shared" ref="V111" si="862">IF(AND(U$5&gt;$E108,V$5&lt;$E110,MONTH(U$5)=MONTH($E108)),$E111,0)</f>
        <v>0</v>
      </c>
      <c r="W111" s="105">
        <f t="shared" ref="W111" si="863">IF(AND(V$5&gt;$E108,W$5&lt;$E110,MONTH(V$5)=MONTH($E108)),$E111,0)</f>
        <v>0</v>
      </c>
      <c r="X111" s="105">
        <f t="shared" ref="X111" si="864">IF(AND(W$5&gt;$E108,X$5&lt;$E110,MONTH(W$5)=MONTH($E108)),$E111,0)</f>
        <v>0</v>
      </c>
      <c r="Y111" s="105">
        <f t="shared" ref="Y111" si="865">IF(AND(X$5&gt;$E108,Y$5&lt;$E110,MONTH(X$5)=MONTH($E108)),$E111,0)</f>
        <v>0</v>
      </c>
      <c r="Z111" s="105">
        <f t="shared" ref="Z111" si="866">IF(AND(Y$5&gt;$E108,Z$5&lt;$E110,MONTH(Y$5)=MONTH($E108)),$E111,0)</f>
        <v>0</v>
      </c>
      <c r="AA111" s="105">
        <f t="shared" ref="AA111" si="867">IF(AND(Z$5&gt;$E108,AA$5&lt;$E110,MONTH(Z$5)=MONTH($E108)),$E111,0)</f>
        <v>0</v>
      </c>
      <c r="AB111" s="105">
        <f t="shared" ref="AB111" si="868">IF(AND(AA$5&gt;$E108,AB$5&lt;$E110,MONTH(AA$5)=MONTH($E108)),$E111,0)</f>
        <v>0</v>
      </c>
      <c r="AC111" s="105">
        <f t="shared" ref="AC111" si="869">IF(AND(AB$5&gt;$E108,AC$5&lt;$E110,MONTH(AB$5)=MONTH($E108)),$E111,0)</f>
        <v>0</v>
      </c>
      <c r="AD111" s="105">
        <f t="shared" ref="AD111" si="870">IF(AND(AC$5&gt;$E108,AD$5&lt;$E110,MONTH(AC$5)=MONTH($E108)),$E111,0)</f>
        <v>0</v>
      </c>
      <c r="AE111" s="105">
        <f t="shared" ref="AE111" si="871">IF(AND(AD$5&gt;$E108,AE$5&lt;$E110,MONTH(AD$5)=MONTH($E108)),$E111,0)</f>
        <v>0</v>
      </c>
      <c r="AF111" s="105">
        <f t="shared" ref="AF111" si="872">IF(AND(AE$5&gt;$E108,AF$5&lt;$E110,MONTH(AE$5)=MONTH($E108)),$E111,0)</f>
        <v>0</v>
      </c>
      <c r="AG111" s="105">
        <f t="shared" ref="AG111" si="873">IF(AND(AF$5&gt;$E108,AG$5&lt;$E110,MONTH(AF$5)=MONTH($E108)),$E111,0)</f>
        <v>0</v>
      </c>
      <c r="AH111" s="105">
        <f t="shared" ref="AH111" si="874">IF(AND(AG$5&gt;$E108,AH$5&lt;$E110,MONTH(AG$5)=MONTH($E108)),$E111,0)</f>
        <v>0</v>
      </c>
      <c r="AI111" s="105">
        <f t="shared" ref="AI111" si="875">IF(AND(AH$5&gt;$E108,AI$5&lt;$E110,MONTH(AH$5)=MONTH($E108)),$E111,0)</f>
        <v>0</v>
      </c>
      <c r="AJ111" s="105">
        <f t="shared" ref="AJ111" si="876">IF(AND(AI$5&gt;$E108,AJ$5&lt;$E110,MONTH(AI$5)=MONTH($E108)),$E111,0)</f>
        <v>0.03</v>
      </c>
      <c r="AK111" s="105">
        <f t="shared" ref="AK111" si="877">IF(AND(AJ$5&gt;$E108,AK$5&lt;$E110,MONTH(AJ$5)=MONTH($E108)),$E111,0)</f>
        <v>0</v>
      </c>
      <c r="AL111" s="105">
        <f t="shared" ref="AL111" si="878">IF(AND(AK$5&gt;$E108,AL$5&lt;$E110,MONTH(AK$5)=MONTH($E108)),$E111,0)</f>
        <v>0</v>
      </c>
      <c r="AM111" s="105">
        <f t="shared" ref="AM111" si="879">IF(AND(AL$5&gt;$E108,AM$5&lt;$E110,MONTH(AL$5)=MONTH($E108)),$E111,0)</f>
        <v>0</v>
      </c>
      <c r="AN111" s="105">
        <f t="shared" ref="AN111" si="880">IF(AND(AM$5&gt;$E108,AN$5&lt;$E110,MONTH(AM$5)=MONTH($E108)),$E111,0)</f>
        <v>0</v>
      </c>
      <c r="AO111" s="105">
        <f t="shared" ref="AO111" si="881">IF(AND(AN$5&gt;$E108,AO$5&lt;$E110,MONTH(AN$5)=MONTH($E108)),$E111,0)</f>
        <v>0</v>
      </c>
      <c r="AP111" s="105">
        <f t="shared" ref="AP111" si="882">IF(AND(AO$5&gt;$E108,AP$5&lt;$E110,MONTH(AO$5)=MONTH($E108)),$E111,0)</f>
        <v>0</v>
      </c>
      <c r="AQ111" s="105">
        <f t="shared" ref="AQ111" si="883">IF(AND(AP$5&gt;$E108,AQ$5&lt;$E110,MONTH(AP$5)=MONTH($E108)),$E111,0)</f>
        <v>0</v>
      </c>
      <c r="AR111" s="105">
        <f t="shared" ref="AR111" si="884">IF(AND(AQ$5&gt;$E108,AR$5&lt;$E110,MONTH(AQ$5)=MONTH($E108)),$E111,0)</f>
        <v>0</v>
      </c>
      <c r="AS111" s="105">
        <f t="shared" ref="AS111" si="885">IF(AND(AR$5&gt;$E108,AS$5&lt;$E110,MONTH(AR$5)=MONTH($E108)),$E111,0)</f>
        <v>0</v>
      </c>
      <c r="AT111" s="105">
        <f t="shared" ref="AT111" si="886">IF(AND(AS$5&gt;$E108,AT$5&lt;$E110,MONTH(AS$5)=MONTH($E108)),$E111,0)</f>
        <v>0</v>
      </c>
      <c r="AU111" s="105">
        <f t="shared" ref="AU111" si="887">IF(AND(AT$5&gt;$E108,AU$5&lt;$E110,MONTH(AT$5)=MONTH($E108)),$E111,0)</f>
        <v>0</v>
      </c>
      <c r="AV111" s="105">
        <f t="shared" ref="AV111" si="888">IF(AND(AU$5&gt;$E108,AV$5&lt;$E110,MONTH(AU$5)=MONTH($E108)),$E111,0)</f>
        <v>0.03</v>
      </c>
      <c r="AW111" s="105">
        <f t="shared" ref="AW111" si="889">IF(AND(AV$5&gt;$E108,AW$5&lt;$E110,MONTH(AV$5)=MONTH($E108)),$E111,0)</f>
        <v>0</v>
      </c>
      <c r="AX111" s="105">
        <f t="shared" ref="AX111" si="890">IF(AND(AW$5&gt;$E108,AX$5&lt;$E110,MONTH(AW$5)=MONTH($E108)),$E111,0)</f>
        <v>0</v>
      </c>
      <c r="AY111" s="105">
        <f t="shared" ref="AY111" si="891">IF(AND(AX$5&gt;$E108,AY$5&lt;$E110,MONTH(AX$5)=MONTH($E108)),$E111,0)</f>
        <v>0</v>
      </c>
      <c r="AZ111" s="105">
        <f t="shared" ref="AZ111" si="892">IF(AND(AY$5&gt;$E108,AZ$5&lt;$E110,MONTH(AY$5)=MONTH($E108)),$E111,0)</f>
        <v>0</v>
      </c>
      <c r="BA111" s="105">
        <f t="shared" ref="BA111" si="893">IF(AND(AZ$5&gt;$E108,BA$5&lt;$E110,MONTH(AZ$5)=MONTH($E108)),$E111,0)</f>
        <v>0</v>
      </c>
      <c r="BB111" s="105">
        <f t="shared" ref="BB111" si="894">IF(AND(BA$5&gt;$E108,BB$5&lt;$E110,MONTH(BA$5)=MONTH($E108)),$E111,0)</f>
        <v>0</v>
      </c>
      <c r="BC111" s="105">
        <f t="shared" ref="BC111" si="895">IF(AND(BB$5&gt;$E108,BC$5&lt;$E110,MONTH(BB$5)=MONTH($E108)),$E111,0)</f>
        <v>0</v>
      </c>
      <c r="BD111" s="105">
        <f t="shared" ref="BD111" si="896">IF(AND(BC$5&gt;$E108,BD$5&lt;$E110,MONTH(BC$5)=MONTH($E108)),$E111,0)</f>
        <v>0</v>
      </c>
      <c r="BE111" s="105">
        <f t="shared" ref="BE111" si="897">IF(AND(BD$5&gt;$E108,BE$5&lt;$E110,MONTH(BD$5)=MONTH($E108)),$E111,0)</f>
        <v>0</v>
      </c>
      <c r="BF111" s="105">
        <f t="shared" ref="BF111" si="898">IF(AND(BE$5&gt;$E108,BF$5&lt;$E110,MONTH(BE$5)=MONTH($E108)),$E111,0)</f>
        <v>0</v>
      </c>
      <c r="BG111" s="105">
        <f t="shared" ref="BG111" si="899">IF(AND(BF$5&gt;$E108,BG$5&lt;$E110,MONTH(BF$5)=MONTH($E108)),$E111,0)</f>
        <v>0</v>
      </c>
      <c r="BH111" s="105">
        <f t="shared" ref="BH111" si="900">IF(AND(BG$5&gt;$E108,BH$5&lt;$E110,MONTH(BG$5)=MONTH($E108)),$E111,0)</f>
        <v>0.03</v>
      </c>
      <c r="BI111" s="105">
        <f t="shared" ref="BI111" si="901">IF(AND(BH$5&gt;$E108,BI$5&lt;$E110,MONTH(BH$5)=MONTH($E108)),$E111,0)</f>
        <v>0</v>
      </c>
      <c r="BJ111" s="105">
        <f t="shared" ref="BJ111" si="902">IF(AND(BI$5&gt;$E108,BJ$5&lt;$E110,MONTH(BI$5)=MONTH($E108)),$E111,0)</f>
        <v>0</v>
      </c>
      <c r="BK111" s="105">
        <f t="shared" ref="BK111" si="903">IF(AND(BJ$5&gt;$E108,BK$5&lt;$E110,MONTH(BJ$5)=MONTH($E108)),$E111,0)</f>
        <v>0</v>
      </c>
      <c r="BL111" s="105">
        <f t="shared" ref="BL111" si="904">IF(AND(BK$5&gt;$E108,BL$5&lt;$E110,MONTH(BK$5)=MONTH($E108)),$E111,0)</f>
        <v>0</v>
      </c>
      <c r="BM111" s="105">
        <f t="shared" ref="BM111" si="905">IF(AND(BL$5&gt;$E108,BM$5&lt;$E110,MONTH(BL$5)=MONTH($E108)),$E111,0)</f>
        <v>0</v>
      </c>
      <c r="BN111" s="105">
        <f t="shared" ref="BN111" si="906">IF(AND(BM$5&gt;$E108,BN$5&lt;$E110,MONTH(BM$5)=MONTH($E108)),$E111,0)</f>
        <v>0</v>
      </c>
      <c r="BO111" s="105">
        <f t="shared" ref="BO111" si="907">IF(AND(BN$5&gt;$E108,BO$5&lt;$E110,MONTH(BN$5)=MONTH($E108)),$E111,0)</f>
        <v>0</v>
      </c>
      <c r="BP111" s="105">
        <f t="shared" ref="BP111" si="908">IF(AND(BO$5&gt;$E108,BP$5&lt;$E110,MONTH(BO$5)=MONTH($E108)),$E111,0)</f>
        <v>0</v>
      </c>
      <c r="BQ111" s="105">
        <f t="shared" ref="BQ111" si="909">IF(AND(BP$5&gt;$E108,BQ$5&lt;$E110,MONTH(BP$5)=MONTH($E108)),$E111,0)</f>
        <v>0</v>
      </c>
      <c r="BR111" s="105">
        <f t="shared" ref="BR111" si="910">IF(AND(BQ$5&gt;$E108,BR$5&lt;$E110,MONTH(BQ$5)=MONTH($E108)),$E111,0)</f>
        <v>0</v>
      </c>
      <c r="BS111" s="105">
        <f t="shared" ref="BS111" si="911">IF(AND(BR$5&gt;$E108,BS$5&lt;$E110,MONTH(BR$5)=MONTH($E108)),$E111,0)</f>
        <v>0</v>
      </c>
      <c r="BT111" s="105">
        <f t="shared" ref="BT111" si="912">IF(AND(BS$5&gt;$E108,BT$5&lt;$E110,MONTH(BS$5)=MONTH($E108)),$E111,0)</f>
        <v>0.03</v>
      </c>
      <c r="BU111" s="105">
        <f t="shared" ref="BU111" si="913">IF(AND(BT$5&gt;$E108,BU$5&lt;$E110,MONTH(BT$5)=MONTH($E108)),$E111,0)</f>
        <v>0</v>
      </c>
      <c r="BV111" s="105">
        <f t="shared" ref="BV111" si="914">IF(AND(BU$5&gt;$E108,BV$5&lt;$E110,MONTH(BU$5)=MONTH($E108)),$E111,0)</f>
        <v>0</v>
      </c>
      <c r="BW111" s="105">
        <f t="shared" ref="BW111" si="915">IF(AND(BV$5&gt;$E108,BW$5&lt;$E110,MONTH(BV$5)=MONTH($E108)),$E111,0)</f>
        <v>0</v>
      </c>
      <c r="BX111" s="105">
        <f t="shared" ref="BX111" si="916">IF(AND(BW$5&gt;$E108,BX$5&lt;$E110,MONTH(BW$5)=MONTH($E108)),$E111,0)</f>
        <v>0</v>
      </c>
      <c r="BY111" s="105">
        <f t="shared" ref="BY111" si="917">IF(AND(BX$5&gt;$E108,BY$5&lt;$E110,MONTH(BX$5)=MONTH($E108)),$E111,0)</f>
        <v>0</v>
      </c>
    </row>
    <row r="112" spans="2:77" customFormat="1" outlineLevel="1" x14ac:dyDescent="0.25">
      <c r="B112" s="1"/>
      <c r="C112" s="44"/>
      <c r="D112" s="56"/>
      <c r="E112" s="1"/>
      <c r="F112" s="1"/>
      <c r="G112" s="1"/>
      <c r="H112" s="1"/>
      <c r="I112" s="1"/>
      <c r="J112" s="1"/>
      <c r="AP112" s="62"/>
    </row>
    <row r="113" spans="2:77" customFormat="1" outlineLevel="1" x14ac:dyDescent="0.25">
      <c r="B113" s="1"/>
      <c r="C113" s="74" t="s">
        <v>269</v>
      </c>
      <c r="D113" s="36" t="s">
        <v>13</v>
      </c>
      <c r="E113" s="145">
        <f>EOMONTH(E104,Down_Months)</f>
        <v>43830</v>
      </c>
      <c r="F113" s="1"/>
      <c r="G113" s="1"/>
      <c r="H113" s="1"/>
      <c r="I113" s="1"/>
      <c r="J113" s="1"/>
      <c r="AP113" s="62"/>
    </row>
    <row r="114" spans="2:77" customFormat="1" outlineLevel="1" x14ac:dyDescent="0.25">
      <c r="B114" s="1"/>
      <c r="C114" s="74" t="s">
        <v>270</v>
      </c>
      <c r="D114" s="36" t="s">
        <v>17</v>
      </c>
      <c r="E114" s="295">
        <f>New_Lease_Years</f>
        <v>5</v>
      </c>
      <c r="F114" s="1"/>
      <c r="G114" s="1"/>
      <c r="H114" s="1"/>
      <c r="I114" s="1"/>
      <c r="J114" s="1"/>
      <c r="AP114" s="62"/>
    </row>
    <row r="115" spans="2:77" customFormat="1" outlineLevel="1" x14ac:dyDescent="0.25">
      <c r="B115" s="1"/>
      <c r="C115" s="50" t="s">
        <v>271</v>
      </c>
      <c r="D115" s="36" t="s">
        <v>13</v>
      </c>
      <c r="E115" s="145">
        <f>EOMONTH(E113,E114*Months)</f>
        <v>45657</v>
      </c>
      <c r="F115" s="1"/>
      <c r="G115" s="1"/>
      <c r="H115" s="1"/>
      <c r="I115" s="1"/>
      <c r="J115" s="1"/>
      <c r="AP115" s="62"/>
    </row>
    <row r="116" spans="2:77" customFormat="1" outlineLevel="1" x14ac:dyDescent="0.25">
      <c r="B116" s="1"/>
      <c r="C116" s="74" t="s">
        <v>272</v>
      </c>
      <c r="D116" s="38" t="s">
        <v>16</v>
      </c>
      <c r="E116" s="105">
        <f>INDEX(Annual!$F$65:$K$92,16,INDEX(Monthly!$F$5:$BY$9,5,MATCH(E113,$F$5:$BY$5,0)))</f>
        <v>0.03</v>
      </c>
      <c r="F116" s="105">
        <f>IF(AND(E$5&gt;$E113,F$5&lt;$E115,MONTH(E$5)=MONTH($E113)),$E116,0)</f>
        <v>0</v>
      </c>
      <c r="G116" s="105">
        <f t="shared" ref="G116" si="918">IF(AND(F$5&gt;$E113,G$5&lt;$E115,MONTH(F$5)=MONTH($E113)),$E116,0)</f>
        <v>0</v>
      </c>
      <c r="H116" s="105">
        <f t="shared" ref="H116" si="919">IF(AND(G$5&gt;$E113,H$5&lt;$E115,MONTH(G$5)=MONTH($E113)),$E116,0)</f>
        <v>0</v>
      </c>
      <c r="I116" s="105">
        <f t="shared" ref="I116" si="920">IF(AND(H$5&gt;$E113,I$5&lt;$E115,MONTH(H$5)=MONTH($E113)),$E116,0)</f>
        <v>0</v>
      </c>
      <c r="J116" s="105">
        <f t="shared" ref="J116" si="921">IF(AND(I$5&gt;$E113,J$5&lt;$E115,MONTH(I$5)=MONTH($E113)),$E116,0)</f>
        <v>0</v>
      </c>
      <c r="K116" s="105">
        <f t="shared" ref="K116" si="922">IF(AND(J$5&gt;$E113,K$5&lt;$E115,MONTH(J$5)=MONTH($E113)),$E116,0)</f>
        <v>0</v>
      </c>
      <c r="L116" s="105">
        <f t="shared" ref="L116" si="923">IF(AND(K$5&gt;$E113,L$5&lt;$E115,MONTH(K$5)=MONTH($E113)),$E116,0)</f>
        <v>0</v>
      </c>
      <c r="M116" s="105">
        <f t="shared" ref="M116" si="924">IF(AND(L$5&gt;$E113,M$5&lt;$E115,MONTH(L$5)=MONTH($E113)),$E116,0)</f>
        <v>0</v>
      </c>
      <c r="N116" s="105">
        <f t="shared" ref="N116" si="925">IF(AND(M$5&gt;$E113,N$5&lt;$E115,MONTH(M$5)=MONTH($E113)),$E116,0)</f>
        <v>0</v>
      </c>
      <c r="O116" s="105">
        <f t="shared" ref="O116" si="926">IF(AND(N$5&gt;$E113,O$5&lt;$E115,MONTH(N$5)=MONTH($E113)),$E116,0)</f>
        <v>0</v>
      </c>
      <c r="P116" s="105">
        <f t="shared" ref="P116" si="927">IF(AND(O$5&gt;$E113,P$5&lt;$E115,MONTH(O$5)=MONTH($E113)),$E116,0)</f>
        <v>0</v>
      </c>
      <c r="Q116" s="105">
        <f t="shared" ref="Q116" si="928">IF(AND(P$5&gt;$E113,Q$5&lt;$E115,MONTH(P$5)=MONTH($E113)),$E116,0)</f>
        <v>0</v>
      </c>
      <c r="R116" s="105">
        <f t="shared" ref="R116" si="929">IF(AND(Q$5&gt;$E113,R$5&lt;$E115,MONTH(Q$5)=MONTH($E113)),$E116,0)</f>
        <v>0</v>
      </c>
      <c r="S116" s="105">
        <f t="shared" ref="S116" si="930">IF(AND(R$5&gt;$E113,S$5&lt;$E115,MONTH(R$5)=MONTH($E113)),$E116,0)</f>
        <v>0</v>
      </c>
      <c r="T116" s="105">
        <f t="shared" ref="T116" si="931">IF(AND(S$5&gt;$E113,T$5&lt;$E115,MONTH(S$5)=MONTH($E113)),$E116,0)</f>
        <v>0</v>
      </c>
      <c r="U116" s="105">
        <f t="shared" ref="U116" si="932">IF(AND(T$5&gt;$E113,U$5&lt;$E115,MONTH(T$5)=MONTH($E113)),$E116,0)</f>
        <v>0</v>
      </c>
      <c r="V116" s="105">
        <f t="shared" ref="V116" si="933">IF(AND(U$5&gt;$E113,V$5&lt;$E115,MONTH(U$5)=MONTH($E113)),$E116,0)</f>
        <v>0</v>
      </c>
      <c r="W116" s="105">
        <f t="shared" ref="W116" si="934">IF(AND(V$5&gt;$E113,W$5&lt;$E115,MONTH(V$5)=MONTH($E113)),$E116,0)</f>
        <v>0</v>
      </c>
      <c r="X116" s="105">
        <f t="shared" ref="X116" si="935">IF(AND(W$5&gt;$E113,X$5&lt;$E115,MONTH(W$5)=MONTH($E113)),$E116,0)</f>
        <v>0</v>
      </c>
      <c r="Y116" s="105">
        <f t="shared" ref="Y116" si="936">IF(AND(X$5&gt;$E113,Y$5&lt;$E115,MONTH(X$5)=MONTH($E113)),$E116,0)</f>
        <v>0</v>
      </c>
      <c r="Z116" s="105">
        <f t="shared" ref="Z116" si="937">IF(AND(Y$5&gt;$E113,Z$5&lt;$E115,MONTH(Y$5)=MONTH($E113)),$E116,0)</f>
        <v>0</v>
      </c>
      <c r="AA116" s="105">
        <f t="shared" ref="AA116" si="938">IF(AND(Z$5&gt;$E113,AA$5&lt;$E115,MONTH(Z$5)=MONTH($E113)),$E116,0)</f>
        <v>0</v>
      </c>
      <c r="AB116" s="105">
        <f t="shared" ref="AB116" si="939">IF(AND(AA$5&gt;$E113,AB$5&lt;$E115,MONTH(AA$5)=MONTH($E113)),$E116,0)</f>
        <v>0</v>
      </c>
      <c r="AC116" s="105">
        <f t="shared" ref="AC116" si="940">IF(AND(AB$5&gt;$E113,AC$5&lt;$E115,MONTH(AB$5)=MONTH($E113)),$E116,0)</f>
        <v>0</v>
      </c>
      <c r="AD116" s="105">
        <f t="shared" ref="AD116" si="941">IF(AND(AC$5&gt;$E113,AD$5&lt;$E115,MONTH(AC$5)=MONTH($E113)),$E116,0)</f>
        <v>0</v>
      </c>
      <c r="AE116" s="105">
        <f t="shared" ref="AE116" si="942">IF(AND(AD$5&gt;$E113,AE$5&lt;$E115,MONTH(AD$5)=MONTH($E113)),$E116,0)</f>
        <v>0</v>
      </c>
      <c r="AF116" s="105">
        <f t="shared" ref="AF116" si="943">IF(AND(AE$5&gt;$E113,AF$5&lt;$E115,MONTH(AE$5)=MONTH($E113)),$E116,0)</f>
        <v>0</v>
      </c>
      <c r="AG116" s="105">
        <f t="shared" ref="AG116" si="944">IF(AND(AF$5&gt;$E113,AG$5&lt;$E115,MONTH(AF$5)=MONTH($E113)),$E116,0)</f>
        <v>0</v>
      </c>
      <c r="AH116" s="105">
        <f t="shared" ref="AH116" si="945">IF(AND(AG$5&gt;$E113,AH$5&lt;$E115,MONTH(AG$5)=MONTH($E113)),$E116,0)</f>
        <v>0</v>
      </c>
      <c r="AI116" s="105">
        <f t="shared" ref="AI116" si="946">IF(AND(AH$5&gt;$E113,AI$5&lt;$E115,MONTH(AH$5)=MONTH($E113)),$E116,0)</f>
        <v>0</v>
      </c>
      <c r="AJ116" s="105">
        <f t="shared" ref="AJ116" si="947">IF(AND(AI$5&gt;$E113,AJ$5&lt;$E115,MONTH(AI$5)=MONTH($E113)),$E116,0)</f>
        <v>0</v>
      </c>
      <c r="AK116" s="105">
        <f t="shared" ref="AK116" si="948">IF(AND(AJ$5&gt;$E113,AK$5&lt;$E115,MONTH(AJ$5)=MONTH($E113)),$E116,0)</f>
        <v>0</v>
      </c>
      <c r="AL116" s="105">
        <f t="shared" ref="AL116" si="949">IF(AND(AK$5&gt;$E113,AL$5&lt;$E115,MONTH(AK$5)=MONTH($E113)),$E116,0)</f>
        <v>0</v>
      </c>
      <c r="AM116" s="105">
        <f t="shared" ref="AM116" si="950">IF(AND(AL$5&gt;$E113,AM$5&lt;$E115,MONTH(AL$5)=MONTH($E113)),$E116,0)</f>
        <v>0</v>
      </c>
      <c r="AN116" s="105">
        <f t="shared" ref="AN116" si="951">IF(AND(AM$5&gt;$E113,AN$5&lt;$E115,MONTH(AM$5)=MONTH($E113)),$E116,0)</f>
        <v>0</v>
      </c>
      <c r="AO116" s="105">
        <f t="shared" ref="AO116" si="952">IF(AND(AN$5&gt;$E113,AO$5&lt;$E115,MONTH(AN$5)=MONTH($E113)),$E116,0)</f>
        <v>0</v>
      </c>
      <c r="AP116" s="105">
        <f t="shared" ref="AP116" si="953">IF(AND(AO$5&gt;$E113,AP$5&lt;$E115,MONTH(AO$5)=MONTH($E113)),$E116,0)</f>
        <v>0.03</v>
      </c>
      <c r="AQ116" s="105">
        <f t="shared" ref="AQ116" si="954">IF(AND(AP$5&gt;$E113,AQ$5&lt;$E115,MONTH(AP$5)=MONTH($E113)),$E116,0)</f>
        <v>0</v>
      </c>
      <c r="AR116" s="105">
        <f t="shared" ref="AR116" si="955">IF(AND(AQ$5&gt;$E113,AR$5&lt;$E115,MONTH(AQ$5)=MONTH($E113)),$E116,0)</f>
        <v>0</v>
      </c>
      <c r="AS116" s="105">
        <f t="shared" ref="AS116" si="956">IF(AND(AR$5&gt;$E113,AS$5&lt;$E115,MONTH(AR$5)=MONTH($E113)),$E116,0)</f>
        <v>0</v>
      </c>
      <c r="AT116" s="105">
        <f t="shared" ref="AT116" si="957">IF(AND(AS$5&gt;$E113,AT$5&lt;$E115,MONTH(AS$5)=MONTH($E113)),$E116,0)</f>
        <v>0</v>
      </c>
      <c r="AU116" s="105">
        <f t="shared" ref="AU116" si="958">IF(AND(AT$5&gt;$E113,AU$5&lt;$E115,MONTH(AT$5)=MONTH($E113)),$E116,0)</f>
        <v>0</v>
      </c>
      <c r="AV116" s="105">
        <f t="shared" ref="AV116" si="959">IF(AND(AU$5&gt;$E113,AV$5&lt;$E115,MONTH(AU$5)=MONTH($E113)),$E116,0)</f>
        <v>0</v>
      </c>
      <c r="AW116" s="105">
        <f t="shared" ref="AW116" si="960">IF(AND(AV$5&gt;$E113,AW$5&lt;$E115,MONTH(AV$5)=MONTH($E113)),$E116,0)</f>
        <v>0</v>
      </c>
      <c r="AX116" s="105">
        <f t="shared" ref="AX116" si="961">IF(AND(AW$5&gt;$E113,AX$5&lt;$E115,MONTH(AW$5)=MONTH($E113)),$E116,0)</f>
        <v>0</v>
      </c>
      <c r="AY116" s="105">
        <f t="shared" ref="AY116" si="962">IF(AND(AX$5&gt;$E113,AY$5&lt;$E115,MONTH(AX$5)=MONTH($E113)),$E116,0)</f>
        <v>0</v>
      </c>
      <c r="AZ116" s="105">
        <f t="shared" ref="AZ116" si="963">IF(AND(AY$5&gt;$E113,AZ$5&lt;$E115,MONTH(AY$5)=MONTH($E113)),$E116,0)</f>
        <v>0</v>
      </c>
      <c r="BA116" s="105">
        <f t="shared" ref="BA116" si="964">IF(AND(AZ$5&gt;$E113,BA$5&lt;$E115,MONTH(AZ$5)=MONTH($E113)),$E116,0)</f>
        <v>0</v>
      </c>
      <c r="BB116" s="105">
        <f t="shared" ref="BB116" si="965">IF(AND(BA$5&gt;$E113,BB$5&lt;$E115,MONTH(BA$5)=MONTH($E113)),$E116,0)</f>
        <v>0.03</v>
      </c>
      <c r="BC116" s="105">
        <f t="shared" ref="BC116" si="966">IF(AND(BB$5&gt;$E113,BC$5&lt;$E115,MONTH(BB$5)=MONTH($E113)),$E116,0)</f>
        <v>0</v>
      </c>
      <c r="BD116" s="105">
        <f t="shared" ref="BD116" si="967">IF(AND(BC$5&gt;$E113,BD$5&lt;$E115,MONTH(BC$5)=MONTH($E113)),$E116,0)</f>
        <v>0</v>
      </c>
      <c r="BE116" s="105">
        <f t="shared" ref="BE116" si="968">IF(AND(BD$5&gt;$E113,BE$5&lt;$E115,MONTH(BD$5)=MONTH($E113)),$E116,0)</f>
        <v>0</v>
      </c>
      <c r="BF116" s="105">
        <f t="shared" ref="BF116" si="969">IF(AND(BE$5&gt;$E113,BF$5&lt;$E115,MONTH(BE$5)=MONTH($E113)),$E116,0)</f>
        <v>0</v>
      </c>
      <c r="BG116" s="105">
        <f t="shared" ref="BG116" si="970">IF(AND(BF$5&gt;$E113,BG$5&lt;$E115,MONTH(BF$5)=MONTH($E113)),$E116,0)</f>
        <v>0</v>
      </c>
      <c r="BH116" s="105">
        <f t="shared" ref="BH116" si="971">IF(AND(BG$5&gt;$E113,BH$5&lt;$E115,MONTH(BG$5)=MONTH($E113)),$E116,0)</f>
        <v>0</v>
      </c>
      <c r="BI116" s="105">
        <f t="shared" ref="BI116" si="972">IF(AND(BH$5&gt;$E113,BI$5&lt;$E115,MONTH(BH$5)=MONTH($E113)),$E116,0)</f>
        <v>0</v>
      </c>
      <c r="BJ116" s="105">
        <f t="shared" ref="BJ116" si="973">IF(AND(BI$5&gt;$E113,BJ$5&lt;$E115,MONTH(BI$5)=MONTH($E113)),$E116,0)</f>
        <v>0</v>
      </c>
      <c r="BK116" s="105">
        <f t="shared" ref="BK116" si="974">IF(AND(BJ$5&gt;$E113,BK$5&lt;$E115,MONTH(BJ$5)=MONTH($E113)),$E116,0)</f>
        <v>0</v>
      </c>
      <c r="BL116" s="105">
        <f t="shared" ref="BL116" si="975">IF(AND(BK$5&gt;$E113,BL$5&lt;$E115,MONTH(BK$5)=MONTH($E113)),$E116,0)</f>
        <v>0</v>
      </c>
      <c r="BM116" s="105">
        <f t="shared" ref="BM116" si="976">IF(AND(BL$5&gt;$E113,BM$5&lt;$E115,MONTH(BL$5)=MONTH($E113)),$E116,0)</f>
        <v>0</v>
      </c>
      <c r="BN116" s="105">
        <f t="shared" ref="BN116" si="977">IF(AND(BM$5&gt;$E113,BN$5&lt;$E115,MONTH(BM$5)=MONTH($E113)),$E116,0)</f>
        <v>0.03</v>
      </c>
      <c r="BO116" s="105">
        <f t="shared" ref="BO116" si="978">IF(AND(BN$5&gt;$E113,BO$5&lt;$E115,MONTH(BN$5)=MONTH($E113)),$E116,0)</f>
        <v>0</v>
      </c>
      <c r="BP116" s="105">
        <f t="shared" ref="BP116" si="979">IF(AND(BO$5&gt;$E113,BP$5&lt;$E115,MONTH(BO$5)=MONTH($E113)),$E116,0)</f>
        <v>0</v>
      </c>
      <c r="BQ116" s="105">
        <f t="shared" ref="BQ116" si="980">IF(AND(BP$5&gt;$E113,BQ$5&lt;$E115,MONTH(BP$5)=MONTH($E113)),$E116,0)</f>
        <v>0</v>
      </c>
      <c r="BR116" s="105">
        <f t="shared" ref="BR116" si="981">IF(AND(BQ$5&gt;$E113,BR$5&lt;$E115,MONTH(BQ$5)=MONTH($E113)),$E116,0)</f>
        <v>0</v>
      </c>
      <c r="BS116" s="105">
        <f t="shared" ref="BS116" si="982">IF(AND(BR$5&gt;$E113,BS$5&lt;$E115,MONTH(BR$5)=MONTH($E113)),$E116,0)</f>
        <v>0</v>
      </c>
      <c r="BT116" s="105">
        <f t="shared" ref="BT116" si="983">IF(AND(BS$5&gt;$E113,BT$5&lt;$E115,MONTH(BS$5)=MONTH($E113)),$E116,0)</f>
        <v>0</v>
      </c>
      <c r="BU116" s="105">
        <f t="shared" ref="BU116" si="984">IF(AND(BT$5&gt;$E113,BU$5&lt;$E115,MONTH(BT$5)=MONTH($E113)),$E116,0)</f>
        <v>0</v>
      </c>
      <c r="BV116" s="105">
        <f t="shared" ref="BV116" si="985">IF(AND(BU$5&gt;$E113,BV$5&lt;$E115,MONTH(BU$5)=MONTH($E113)),$E116,0)</f>
        <v>0</v>
      </c>
      <c r="BW116" s="105">
        <f t="shared" ref="BW116" si="986">IF(AND(BV$5&gt;$E113,BW$5&lt;$E115,MONTH(BV$5)=MONTH($E113)),$E116,0)</f>
        <v>0</v>
      </c>
      <c r="BX116" s="105">
        <f t="shared" ref="BX116" si="987">IF(AND(BW$5&gt;$E113,BX$5&lt;$E115,MONTH(BW$5)=MONTH($E113)),$E116,0)</f>
        <v>0</v>
      </c>
      <c r="BY116" s="105">
        <f t="shared" ref="BY116" si="988">IF(AND(BX$5&gt;$E113,BY$5&lt;$E115,MONTH(BX$5)=MONTH($E113)),$E116,0)</f>
        <v>0</v>
      </c>
    </row>
    <row r="117" spans="2:77" customFormat="1" outlineLevel="1" x14ac:dyDescent="0.25">
      <c r="B117" s="1"/>
      <c r="C117" s="44"/>
      <c r="D117" s="56"/>
      <c r="E117" s="285"/>
      <c r="F117" s="1"/>
      <c r="G117" s="1"/>
      <c r="H117" s="1"/>
      <c r="I117" s="1"/>
      <c r="J117" s="1"/>
      <c r="AP117" s="62"/>
    </row>
    <row r="118" spans="2:77" customFormat="1" outlineLevel="1" x14ac:dyDescent="0.25">
      <c r="B118" s="1"/>
      <c r="C118" s="74" t="s">
        <v>113</v>
      </c>
      <c r="D118" s="36" t="s">
        <v>116</v>
      </c>
      <c r="E118" s="153">
        <v>46</v>
      </c>
      <c r="F118" s="151">
        <f>+$E118*F$12</f>
        <v>46.223907326005779</v>
      </c>
      <c r="G118" s="151">
        <f t="shared" ref="G118:BR118" si="989">+$E118*G$12</f>
        <v>46.44890453224285</v>
      </c>
      <c r="H118" s="151">
        <f t="shared" si="989"/>
        <v>46.674996923758329</v>
      </c>
      <c r="I118" s="151">
        <f t="shared" si="989"/>
        <v>46.90218983142195</v>
      </c>
      <c r="J118" s="151">
        <f t="shared" si="989"/>
        <v>47.130488612051707</v>
      </c>
      <c r="K118" s="151">
        <f t="shared" si="989"/>
        <v>47.359898648540202</v>
      </c>
      <c r="L118" s="151">
        <f t="shared" si="989"/>
        <v>47.590425349981494</v>
      </c>
      <c r="M118" s="151">
        <f t="shared" si="989"/>
        <v>47.822074151798709</v>
      </c>
      <c r="N118" s="151">
        <f t="shared" si="989"/>
        <v>48.054850515872182</v>
      </c>
      <c r="O118" s="151">
        <f t="shared" si="989"/>
        <v>48.288759930668192</v>
      </c>
      <c r="P118" s="151">
        <f t="shared" si="989"/>
        <v>48.523807911368429</v>
      </c>
      <c r="Q118" s="151">
        <f t="shared" si="989"/>
        <v>48.760000000000012</v>
      </c>
      <c r="R118" s="151">
        <f t="shared" si="989"/>
        <v>48.919627551780032</v>
      </c>
      <c r="S118" s="151">
        <f t="shared" si="989"/>
        <v>49.079777682626649</v>
      </c>
      <c r="T118" s="151">
        <f t="shared" si="989"/>
        <v>49.24045210332774</v>
      </c>
      <c r="U118" s="151">
        <f t="shared" si="989"/>
        <v>49.401652530271861</v>
      </c>
      <c r="V118" s="151">
        <f t="shared" si="989"/>
        <v>49.563380685466576</v>
      </c>
      <c r="W118" s="151">
        <f t="shared" si="989"/>
        <v>49.725638296556859</v>
      </c>
      <c r="X118" s="151">
        <f t="shared" si="989"/>
        <v>49.888427096843529</v>
      </c>
      <c r="Y118" s="151">
        <f t="shared" si="989"/>
        <v>50.051748825301793</v>
      </c>
      <c r="Z118" s="151">
        <f t="shared" si="989"/>
        <v>50.215605226599813</v>
      </c>
      <c r="AA118" s="151">
        <f t="shared" si="989"/>
        <v>50.379998051117326</v>
      </c>
      <c r="AB118" s="151">
        <f t="shared" si="989"/>
        <v>50.544929054964371</v>
      </c>
      <c r="AC118" s="151">
        <f t="shared" si="989"/>
        <v>50.710400000000035</v>
      </c>
      <c r="AD118" s="151">
        <f t="shared" si="989"/>
        <v>50.835465526661459</v>
      </c>
      <c r="AE118" s="151">
        <f t="shared" si="989"/>
        <v>50.960839498650849</v>
      </c>
      <c r="AF118" s="151">
        <f t="shared" si="989"/>
        <v>51.086522676677596</v>
      </c>
      <c r="AG118" s="151">
        <f t="shared" si="989"/>
        <v>51.212515823327195</v>
      </c>
      <c r="AH118" s="151">
        <f t="shared" si="989"/>
        <v>51.338819703065887</v>
      </c>
      <c r="AI118" s="151">
        <f t="shared" si="989"/>
        <v>51.465435082245307</v>
      </c>
      <c r="AJ118" s="151">
        <f t="shared" si="989"/>
        <v>51.592362729107109</v>
      </c>
      <c r="AK118" s="151">
        <f t="shared" si="989"/>
        <v>51.719603413787624</v>
      </c>
      <c r="AL118" s="151">
        <f t="shared" si="989"/>
        <v>51.847157908322586</v>
      </c>
      <c r="AM118" s="151">
        <f t="shared" si="989"/>
        <v>51.975026986651734</v>
      </c>
      <c r="AN118" s="151">
        <f t="shared" si="989"/>
        <v>52.103211424623581</v>
      </c>
      <c r="AO118" s="151">
        <f t="shared" si="989"/>
        <v>52.231712000000087</v>
      </c>
      <c r="AP118" s="151">
        <f t="shared" si="989"/>
        <v>52.360529492461353</v>
      </c>
      <c r="AQ118" s="151">
        <f t="shared" si="989"/>
        <v>52.489664683610421</v>
      </c>
      <c r="AR118" s="151">
        <f t="shared" si="989"/>
        <v>52.619118356977964</v>
      </c>
      <c r="AS118" s="151">
        <f t="shared" si="989"/>
        <v>52.748891298027054</v>
      </c>
      <c r="AT118" s="151">
        <f t="shared" si="989"/>
        <v>52.878984294157917</v>
      </c>
      <c r="AU118" s="151">
        <f t="shared" si="989"/>
        <v>53.009398134712725</v>
      </c>
      <c r="AV118" s="151">
        <f t="shared" si="989"/>
        <v>53.140133610980378</v>
      </c>
      <c r="AW118" s="151">
        <f t="shared" si="989"/>
        <v>53.271191516201313</v>
      </c>
      <c r="AX118" s="151">
        <f t="shared" si="989"/>
        <v>53.40257264557232</v>
      </c>
      <c r="AY118" s="151">
        <f t="shared" si="989"/>
        <v>53.534277796251345</v>
      </c>
      <c r="AZ118" s="151">
        <f t="shared" si="989"/>
        <v>53.666307767362341</v>
      </c>
      <c r="BA118" s="151">
        <f t="shared" si="989"/>
        <v>53.798663360000134</v>
      </c>
      <c r="BB118" s="151">
        <f t="shared" si="989"/>
        <v>53.909479798058122</v>
      </c>
      <c r="BC118" s="151">
        <f t="shared" si="989"/>
        <v>54.020524499834515</v>
      </c>
      <c r="BD118" s="151">
        <f t="shared" si="989"/>
        <v>54.131797935515209</v>
      </c>
      <c r="BE118" s="151">
        <f t="shared" si="989"/>
        <v>54.243300576254583</v>
      </c>
      <c r="BF118" s="151">
        <f t="shared" si="989"/>
        <v>54.355032894177533</v>
      </c>
      <c r="BG118" s="151">
        <f t="shared" si="989"/>
        <v>54.466995362381454</v>
      </c>
      <c r="BH118" s="151">
        <f t="shared" si="989"/>
        <v>54.57918845493824</v>
      </c>
      <c r="BI118" s="151">
        <f t="shared" si="989"/>
        <v>54.691612646896303</v>
      </c>
      <c r="BJ118" s="151">
        <f t="shared" si="989"/>
        <v>54.804268414282575</v>
      </c>
      <c r="BK118" s="151">
        <f t="shared" si="989"/>
        <v>54.91715623410451</v>
      </c>
      <c r="BL118" s="151">
        <f t="shared" si="989"/>
        <v>55.030276584352137</v>
      </c>
      <c r="BM118" s="151">
        <f t="shared" si="989"/>
        <v>55.143629944000061</v>
      </c>
      <c r="BN118" s="151">
        <f t="shared" si="989"/>
        <v>55.257216793009505</v>
      </c>
      <c r="BO118" s="151">
        <f t="shared" si="989"/>
        <v>55.371037612330312</v>
      </c>
      <c r="BP118" s="151">
        <f t="shared" si="989"/>
        <v>55.485092883903015</v>
      </c>
      <c r="BQ118" s="151">
        <f t="shared" si="989"/>
        <v>55.599383090660879</v>
      </c>
      <c r="BR118" s="151">
        <f t="shared" si="989"/>
        <v>55.713908716531897</v>
      </c>
      <c r="BS118" s="151">
        <f t="shared" ref="BS118:BY118" si="990">+$E118*BS$12</f>
        <v>55.828670246440922</v>
      </c>
      <c r="BT118" s="151">
        <f t="shared" si="990"/>
        <v>55.943668166311625</v>
      </c>
      <c r="BU118" s="151">
        <f t="shared" si="990"/>
        <v>56.058902963068647</v>
      </c>
      <c r="BV118" s="151">
        <f t="shared" si="990"/>
        <v>56.174375124639568</v>
      </c>
      <c r="BW118" s="151">
        <f t="shared" si="990"/>
        <v>56.290085139957057</v>
      </c>
      <c r="BX118" s="151">
        <f t="shared" si="990"/>
        <v>56.40603349896088</v>
      </c>
      <c r="BY118" s="151">
        <f t="shared" si="990"/>
        <v>56.522220692600001</v>
      </c>
    </row>
    <row r="119" spans="2:77" customFormat="1" outlineLevel="1" x14ac:dyDescent="0.25">
      <c r="B119" s="1"/>
      <c r="C119" s="50" t="s">
        <v>273</v>
      </c>
      <c r="D119" s="36" t="s">
        <v>116</v>
      </c>
      <c r="E119" s="296">
        <v>43</v>
      </c>
      <c r="F119" s="155">
        <f>IF(F$5=EOMONTH($E102,1),F118,IF(AND(F$5&gt;EOMONTH($E102,1),F$5&lt;=$E104),E119*(1+F105),0))</f>
        <v>43</v>
      </c>
      <c r="G119" s="155">
        <f t="shared" ref="G119" si="991">IF(G$5=EOMONTH($E102,1),G118,IF(AND(G$5&gt;EOMONTH($E102,1),G$5&lt;=$E104),F119*(1+G105),0))</f>
        <v>43</v>
      </c>
      <c r="H119" s="155">
        <f t="shared" ref="H119" si="992">IF(H$5=EOMONTH($E102,1),H118,IF(AND(H$5&gt;EOMONTH($E102,1),H$5&lt;=$E104),G119*(1+H105),0))</f>
        <v>43</v>
      </c>
      <c r="I119" s="155">
        <f t="shared" ref="I119" si="993">IF(I$5=EOMONTH($E102,1),I118,IF(AND(I$5&gt;EOMONTH($E102,1),I$5&lt;=$E104),H119*(1+I105),0))</f>
        <v>43</v>
      </c>
      <c r="J119" s="155">
        <f t="shared" ref="J119" si="994">IF(J$5=EOMONTH($E102,1),J118,IF(AND(J$5&gt;EOMONTH($E102,1),J$5&lt;=$E104),I119*(1+J105),0))</f>
        <v>43</v>
      </c>
      <c r="K119" s="155">
        <f t="shared" ref="K119" si="995">IF(K$5=EOMONTH($E102,1),K118,IF(AND(K$5&gt;EOMONTH($E102,1),K$5&lt;=$E104),J119*(1+K105),0))</f>
        <v>43</v>
      </c>
      <c r="L119" s="155">
        <f t="shared" ref="L119" si="996">IF(L$5=EOMONTH($E102,1),L118,IF(AND(L$5&gt;EOMONTH($E102,1),L$5&lt;=$E104),K119*(1+L105),0))</f>
        <v>44.074999999999996</v>
      </c>
      <c r="M119" s="155">
        <f t="shared" ref="M119" si="997">IF(M$5=EOMONTH($E102,1),M118,IF(AND(M$5&gt;EOMONTH($E102,1),M$5&lt;=$E104),L119*(1+M105),0))</f>
        <v>44.074999999999996</v>
      </c>
      <c r="N119" s="155">
        <f t="shared" ref="N119" si="998">IF(N$5=EOMONTH($E102,1),N118,IF(AND(N$5&gt;EOMONTH($E102,1),N$5&lt;=$E104),M119*(1+N105),0))</f>
        <v>44.074999999999996</v>
      </c>
      <c r="O119" s="155">
        <f t="shared" ref="O119" si="999">IF(O$5=EOMONTH($E102,1),O118,IF(AND(O$5&gt;EOMONTH($E102,1),O$5&lt;=$E104),N119*(1+O105),0))</f>
        <v>44.074999999999996</v>
      </c>
      <c r="P119" s="155">
        <f t="shared" ref="P119" si="1000">IF(P$5=EOMONTH($E102,1),P118,IF(AND(P$5&gt;EOMONTH($E102,1),P$5&lt;=$E104),O119*(1+P105),0))</f>
        <v>44.074999999999996</v>
      </c>
      <c r="Q119" s="155">
        <f t="shared" ref="Q119" si="1001">IF(Q$5=EOMONTH($E102,1),Q118,IF(AND(Q$5&gt;EOMONTH($E102,1),Q$5&lt;=$E104),P119*(1+Q105),0))</f>
        <v>44.074999999999996</v>
      </c>
      <c r="R119" s="155">
        <f t="shared" ref="R119" si="1002">IF(R$5=EOMONTH($E102,1),R118,IF(AND(R$5&gt;EOMONTH($E102,1),R$5&lt;=$E104),Q119*(1+R105),0))</f>
        <v>44.074999999999996</v>
      </c>
      <c r="S119" s="155">
        <f t="shared" ref="S119" si="1003">IF(S$5=EOMONTH($E102,1),S118,IF(AND(S$5&gt;EOMONTH($E102,1),S$5&lt;=$E104),R119*(1+S105),0))</f>
        <v>44.074999999999996</v>
      </c>
      <c r="T119" s="155">
        <f t="shared" ref="T119" si="1004">IF(T$5=EOMONTH($E102,1),T118,IF(AND(T$5&gt;EOMONTH($E102,1),T$5&lt;=$E104),S119*(1+T105),0))</f>
        <v>44.074999999999996</v>
      </c>
      <c r="U119" s="155">
        <f t="shared" ref="U119" si="1005">IF(U$5=EOMONTH($E102,1),U118,IF(AND(U$5&gt;EOMONTH($E102,1),U$5&lt;=$E104),T119*(1+U105),0))</f>
        <v>44.074999999999996</v>
      </c>
      <c r="V119" s="155">
        <f t="shared" ref="V119" si="1006">IF(V$5=EOMONTH($E102,1),V118,IF(AND(V$5&gt;EOMONTH($E102,1),V$5&lt;=$E104),U119*(1+V105),0))</f>
        <v>44.074999999999996</v>
      </c>
      <c r="W119" s="155">
        <f t="shared" ref="W119" si="1007">IF(W$5=EOMONTH($E102,1),W118,IF(AND(W$5&gt;EOMONTH($E102,1),W$5&lt;=$E104),V119*(1+W105),0))</f>
        <v>44.074999999999996</v>
      </c>
      <c r="X119" s="155">
        <f t="shared" ref="X119" si="1008">IF(X$5=EOMONTH($E102,1),X118,IF(AND(X$5&gt;EOMONTH($E102,1),X$5&lt;=$E104),W119*(1+X105),0))</f>
        <v>0</v>
      </c>
      <c r="Y119" s="155">
        <f t="shared" ref="Y119" si="1009">IF(Y$5=EOMONTH($E102,1),Y118,IF(AND(Y$5&gt;EOMONTH($E102,1),Y$5&lt;=$E104),X119*(1+Y105),0))</f>
        <v>0</v>
      </c>
      <c r="Z119" s="155">
        <f t="shared" ref="Z119" si="1010">IF(Z$5=EOMONTH($E102,1),Z118,IF(AND(Z$5&gt;EOMONTH($E102,1),Z$5&lt;=$E104),Y119*(1+Z105),0))</f>
        <v>0</v>
      </c>
      <c r="AA119" s="155">
        <f t="shared" ref="AA119" si="1011">IF(AA$5=EOMONTH($E102,1),AA118,IF(AND(AA$5&gt;EOMONTH($E102,1),AA$5&lt;=$E104),Z119*(1+AA105),0))</f>
        <v>0</v>
      </c>
      <c r="AB119" s="155">
        <f t="shared" ref="AB119" si="1012">IF(AB$5=EOMONTH($E102,1),AB118,IF(AND(AB$5&gt;EOMONTH($E102,1),AB$5&lt;=$E104),AA119*(1+AB105),0))</f>
        <v>0</v>
      </c>
      <c r="AC119" s="155">
        <f t="shared" ref="AC119" si="1013">IF(AC$5=EOMONTH($E102,1),AC118,IF(AND(AC$5&gt;EOMONTH($E102,1),AC$5&lt;=$E104),AB119*(1+AC105),0))</f>
        <v>0</v>
      </c>
      <c r="AD119" s="155">
        <f t="shared" ref="AD119" si="1014">IF(AD$5=EOMONTH($E102,1),AD118,IF(AND(AD$5&gt;EOMONTH($E102,1),AD$5&lt;=$E104),AC119*(1+AD105),0))</f>
        <v>0</v>
      </c>
      <c r="AE119" s="155">
        <f t="shared" ref="AE119" si="1015">IF(AE$5=EOMONTH($E102,1),AE118,IF(AND(AE$5&gt;EOMONTH($E102,1),AE$5&lt;=$E104),AD119*(1+AE105),0))</f>
        <v>0</v>
      </c>
      <c r="AF119" s="155">
        <f t="shared" ref="AF119" si="1016">IF(AF$5=EOMONTH($E102,1),AF118,IF(AND(AF$5&gt;EOMONTH($E102,1),AF$5&lt;=$E104),AE119*(1+AF105),0))</f>
        <v>0</v>
      </c>
      <c r="AG119" s="155">
        <f t="shared" ref="AG119" si="1017">IF(AG$5=EOMONTH($E102,1),AG118,IF(AND(AG$5&gt;EOMONTH($E102,1),AG$5&lt;=$E104),AF119*(1+AG105),0))</f>
        <v>0</v>
      </c>
      <c r="AH119" s="155">
        <f t="shared" ref="AH119" si="1018">IF(AH$5=EOMONTH($E102,1),AH118,IF(AND(AH$5&gt;EOMONTH($E102,1),AH$5&lt;=$E104),AG119*(1+AH105),0))</f>
        <v>0</v>
      </c>
      <c r="AI119" s="155">
        <f t="shared" ref="AI119" si="1019">IF(AI$5=EOMONTH($E102,1),AI118,IF(AND(AI$5&gt;EOMONTH($E102,1),AI$5&lt;=$E104),AH119*(1+AI105),0))</f>
        <v>0</v>
      </c>
      <c r="AJ119" s="155">
        <f t="shared" ref="AJ119" si="1020">IF(AJ$5=EOMONTH($E102,1),AJ118,IF(AND(AJ$5&gt;EOMONTH($E102,1),AJ$5&lt;=$E104),AI119*(1+AJ105),0))</f>
        <v>0</v>
      </c>
      <c r="AK119" s="155">
        <f t="shared" ref="AK119" si="1021">IF(AK$5=EOMONTH($E102,1),AK118,IF(AND(AK$5&gt;EOMONTH($E102,1),AK$5&lt;=$E104),AJ119*(1+AK105),0))</f>
        <v>0</v>
      </c>
      <c r="AL119" s="155">
        <f t="shared" ref="AL119" si="1022">IF(AL$5=EOMONTH($E102,1),AL118,IF(AND(AL$5&gt;EOMONTH($E102,1),AL$5&lt;=$E104),AK119*(1+AL105),0))</f>
        <v>0</v>
      </c>
      <c r="AM119" s="155">
        <f t="shared" ref="AM119" si="1023">IF(AM$5=EOMONTH($E102,1),AM118,IF(AND(AM$5&gt;EOMONTH($E102,1),AM$5&lt;=$E104),AL119*(1+AM105),0))</f>
        <v>0</v>
      </c>
      <c r="AN119" s="155">
        <f t="shared" ref="AN119" si="1024">IF(AN$5=EOMONTH($E102,1),AN118,IF(AND(AN$5&gt;EOMONTH($E102,1),AN$5&lt;=$E104),AM119*(1+AN105),0))</f>
        <v>0</v>
      </c>
      <c r="AO119" s="155">
        <f t="shared" ref="AO119" si="1025">IF(AO$5=EOMONTH($E102,1),AO118,IF(AND(AO$5&gt;EOMONTH($E102,1),AO$5&lt;=$E104),AN119*(1+AO105),0))</f>
        <v>0</v>
      </c>
      <c r="AP119" s="155">
        <f t="shared" ref="AP119" si="1026">IF(AP$5=EOMONTH($E102,1),AP118,IF(AND(AP$5&gt;EOMONTH($E102,1),AP$5&lt;=$E104),AO119*(1+AP105),0))</f>
        <v>0</v>
      </c>
      <c r="AQ119" s="155">
        <f t="shared" ref="AQ119" si="1027">IF(AQ$5=EOMONTH($E102,1),AQ118,IF(AND(AQ$5&gt;EOMONTH($E102,1),AQ$5&lt;=$E104),AP119*(1+AQ105),0))</f>
        <v>0</v>
      </c>
      <c r="AR119" s="155">
        <f t="shared" ref="AR119" si="1028">IF(AR$5=EOMONTH($E102,1),AR118,IF(AND(AR$5&gt;EOMONTH($E102,1),AR$5&lt;=$E104),AQ119*(1+AR105),0))</f>
        <v>0</v>
      </c>
      <c r="AS119" s="155">
        <f t="shared" ref="AS119" si="1029">IF(AS$5=EOMONTH($E102,1),AS118,IF(AND(AS$5&gt;EOMONTH($E102,1),AS$5&lt;=$E104),AR119*(1+AS105),0))</f>
        <v>0</v>
      </c>
      <c r="AT119" s="155">
        <f t="shared" ref="AT119" si="1030">IF(AT$5=EOMONTH($E102,1),AT118,IF(AND(AT$5&gt;EOMONTH($E102,1),AT$5&lt;=$E104),AS119*(1+AT105),0))</f>
        <v>0</v>
      </c>
      <c r="AU119" s="155">
        <f t="shared" ref="AU119" si="1031">IF(AU$5=EOMONTH($E102,1),AU118,IF(AND(AU$5&gt;EOMONTH($E102,1),AU$5&lt;=$E104),AT119*(1+AU105),0))</f>
        <v>0</v>
      </c>
      <c r="AV119" s="155">
        <f t="shared" ref="AV119" si="1032">IF(AV$5=EOMONTH($E102,1),AV118,IF(AND(AV$5&gt;EOMONTH($E102,1),AV$5&lt;=$E104),AU119*(1+AV105),0))</f>
        <v>0</v>
      </c>
      <c r="AW119" s="155">
        <f t="shared" ref="AW119" si="1033">IF(AW$5=EOMONTH($E102,1),AW118,IF(AND(AW$5&gt;EOMONTH($E102,1),AW$5&lt;=$E104),AV119*(1+AW105),0))</f>
        <v>0</v>
      </c>
      <c r="AX119" s="155">
        <f t="shared" ref="AX119" si="1034">IF(AX$5=EOMONTH($E102,1),AX118,IF(AND(AX$5&gt;EOMONTH($E102,1),AX$5&lt;=$E104),AW119*(1+AX105),0))</f>
        <v>0</v>
      </c>
      <c r="AY119" s="155">
        <f t="shared" ref="AY119" si="1035">IF(AY$5=EOMONTH($E102,1),AY118,IF(AND(AY$5&gt;EOMONTH($E102,1),AY$5&lt;=$E104),AX119*(1+AY105),0))</f>
        <v>0</v>
      </c>
      <c r="AZ119" s="155">
        <f t="shared" ref="AZ119" si="1036">IF(AZ$5=EOMONTH($E102,1),AZ118,IF(AND(AZ$5&gt;EOMONTH($E102,1),AZ$5&lt;=$E104),AY119*(1+AZ105),0))</f>
        <v>0</v>
      </c>
      <c r="BA119" s="155">
        <f t="shared" ref="BA119" si="1037">IF(BA$5=EOMONTH($E102,1),BA118,IF(AND(BA$5&gt;EOMONTH($E102,1),BA$5&lt;=$E104),AZ119*(1+BA105),0))</f>
        <v>0</v>
      </c>
      <c r="BB119" s="155">
        <f t="shared" ref="BB119" si="1038">IF(BB$5=EOMONTH($E102,1),BB118,IF(AND(BB$5&gt;EOMONTH($E102,1),BB$5&lt;=$E104),BA119*(1+BB105),0))</f>
        <v>0</v>
      </c>
      <c r="BC119" s="155">
        <f t="shared" ref="BC119" si="1039">IF(BC$5=EOMONTH($E102,1),BC118,IF(AND(BC$5&gt;EOMONTH($E102,1),BC$5&lt;=$E104),BB119*(1+BC105),0))</f>
        <v>0</v>
      </c>
      <c r="BD119" s="155">
        <f t="shared" ref="BD119" si="1040">IF(BD$5=EOMONTH($E102,1),BD118,IF(AND(BD$5&gt;EOMONTH($E102,1),BD$5&lt;=$E104),BC119*(1+BD105),0))</f>
        <v>0</v>
      </c>
      <c r="BE119" s="155">
        <f t="shared" ref="BE119" si="1041">IF(BE$5=EOMONTH($E102,1),BE118,IF(AND(BE$5&gt;EOMONTH($E102,1),BE$5&lt;=$E104),BD119*(1+BE105),0))</f>
        <v>0</v>
      </c>
      <c r="BF119" s="155">
        <f t="shared" ref="BF119" si="1042">IF(BF$5=EOMONTH($E102,1),BF118,IF(AND(BF$5&gt;EOMONTH($E102,1),BF$5&lt;=$E104),BE119*(1+BF105),0))</f>
        <v>0</v>
      </c>
      <c r="BG119" s="155">
        <f t="shared" ref="BG119" si="1043">IF(BG$5=EOMONTH($E102,1),BG118,IF(AND(BG$5&gt;EOMONTH($E102,1),BG$5&lt;=$E104),BF119*(1+BG105),0))</f>
        <v>0</v>
      </c>
      <c r="BH119" s="155">
        <f t="shared" ref="BH119" si="1044">IF(BH$5=EOMONTH($E102,1),BH118,IF(AND(BH$5&gt;EOMONTH($E102,1),BH$5&lt;=$E104),BG119*(1+BH105),0))</f>
        <v>0</v>
      </c>
      <c r="BI119" s="155">
        <f t="shared" ref="BI119" si="1045">IF(BI$5=EOMONTH($E102,1),BI118,IF(AND(BI$5&gt;EOMONTH($E102,1),BI$5&lt;=$E104),BH119*(1+BI105),0))</f>
        <v>0</v>
      </c>
      <c r="BJ119" s="155">
        <f t="shared" ref="BJ119" si="1046">IF(BJ$5=EOMONTH($E102,1),BJ118,IF(AND(BJ$5&gt;EOMONTH($E102,1),BJ$5&lt;=$E104),BI119*(1+BJ105),0))</f>
        <v>0</v>
      </c>
      <c r="BK119" s="155">
        <f t="shared" ref="BK119" si="1047">IF(BK$5=EOMONTH($E102,1),BK118,IF(AND(BK$5&gt;EOMONTH($E102,1),BK$5&lt;=$E104),BJ119*(1+BK105),0))</f>
        <v>0</v>
      </c>
      <c r="BL119" s="155">
        <f t="shared" ref="BL119" si="1048">IF(BL$5=EOMONTH($E102,1),BL118,IF(AND(BL$5&gt;EOMONTH($E102,1),BL$5&lt;=$E104),BK119*(1+BL105),0))</f>
        <v>0</v>
      </c>
      <c r="BM119" s="155">
        <f t="shared" ref="BM119" si="1049">IF(BM$5=EOMONTH($E102,1),BM118,IF(AND(BM$5&gt;EOMONTH($E102,1),BM$5&lt;=$E104),BL119*(1+BM105),0))</f>
        <v>0</v>
      </c>
      <c r="BN119" s="155">
        <f t="shared" ref="BN119" si="1050">IF(BN$5=EOMONTH($E102,1),BN118,IF(AND(BN$5&gt;EOMONTH($E102,1),BN$5&lt;=$E104),BM119*(1+BN105),0))</f>
        <v>0</v>
      </c>
      <c r="BO119" s="155">
        <f t="shared" ref="BO119" si="1051">IF(BO$5=EOMONTH($E102,1),BO118,IF(AND(BO$5&gt;EOMONTH($E102,1),BO$5&lt;=$E104),BN119*(1+BO105),0))</f>
        <v>0</v>
      </c>
      <c r="BP119" s="155">
        <f t="shared" ref="BP119" si="1052">IF(BP$5=EOMONTH($E102,1),BP118,IF(AND(BP$5&gt;EOMONTH($E102,1),BP$5&lt;=$E104),BO119*(1+BP105),0))</f>
        <v>0</v>
      </c>
      <c r="BQ119" s="155">
        <f t="shared" ref="BQ119" si="1053">IF(BQ$5=EOMONTH($E102,1),BQ118,IF(AND(BQ$5&gt;EOMONTH($E102,1),BQ$5&lt;=$E104),BP119*(1+BQ105),0))</f>
        <v>0</v>
      </c>
      <c r="BR119" s="155">
        <f t="shared" ref="BR119" si="1054">IF(BR$5=EOMONTH($E102,1),BR118,IF(AND(BR$5&gt;EOMONTH($E102,1),BR$5&lt;=$E104),BQ119*(1+BR105),0))</f>
        <v>0</v>
      </c>
      <c r="BS119" s="155">
        <f t="shared" ref="BS119" si="1055">IF(BS$5=EOMONTH($E102,1),BS118,IF(AND(BS$5&gt;EOMONTH($E102,1),BS$5&lt;=$E104),BR119*(1+BS105),0))</f>
        <v>0</v>
      </c>
      <c r="BT119" s="155">
        <f t="shared" ref="BT119" si="1056">IF(BT$5=EOMONTH($E102,1),BT118,IF(AND(BT$5&gt;EOMONTH($E102,1),BT$5&lt;=$E104),BS119*(1+BT105),0))</f>
        <v>0</v>
      </c>
      <c r="BU119" s="155">
        <f t="shared" ref="BU119" si="1057">IF(BU$5=EOMONTH($E102,1),BU118,IF(AND(BU$5&gt;EOMONTH($E102,1),BU$5&lt;=$E104),BT119*(1+BU105),0))</f>
        <v>0</v>
      </c>
      <c r="BV119" s="155">
        <f t="shared" ref="BV119" si="1058">IF(BV$5=EOMONTH($E102,1),BV118,IF(AND(BV$5&gt;EOMONTH($E102,1),BV$5&lt;=$E104),BU119*(1+BV105),0))</f>
        <v>0</v>
      </c>
      <c r="BW119" s="155">
        <f t="shared" ref="BW119" si="1059">IF(BW$5=EOMONTH($E102,1),BW118,IF(AND(BW$5&gt;EOMONTH($E102,1),BW$5&lt;=$E104),BV119*(1+BW105),0))</f>
        <v>0</v>
      </c>
      <c r="BX119" s="155">
        <f t="shared" ref="BX119" si="1060">IF(BX$5=EOMONTH($E102,1),BX118,IF(AND(BX$5&gt;EOMONTH($E102,1),BX$5&lt;=$E104),BW119*(1+BX105),0))</f>
        <v>0</v>
      </c>
      <c r="BY119" s="155">
        <f t="shared" ref="BY119" si="1061">IF(BY$5=EOMONTH($E102,1),BY118,IF(AND(BY$5&gt;EOMONTH($E102,1),BY$5&lt;=$E104),BX119*(1+BY105),0))</f>
        <v>0</v>
      </c>
    </row>
    <row r="120" spans="2:77" customFormat="1" outlineLevel="1" x14ac:dyDescent="0.25">
      <c r="B120" s="1"/>
      <c r="C120" s="50" t="s">
        <v>274</v>
      </c>
      <c r="D120" s="36" t="s">
        <v>116</v>
      </c>
      <c r="E120" s="1"/>
      <c r="F120" s="155">
        <f>IF(F$5=EOMONTH($E108,1),F118,IF(AND(F$5&gt;EOMONTH($E108,1),F$5&lt;=$E110),E120*(1+F111),0))</f>
        <v>0</v>
      </c>
      <c r="G120" s="155">
        <f t="shared" ref="G120" si="1062">IF(G$5=EOMONTH($E108,1),G118,IF(AND(G$5&gt;EOMONTH($E108,1),G$5&lt;=$E110),F120*(1+G111),0))</f>
        <v>0</v>
      </c>
      <c r="H120" s="155">
        <f t="shared" ref="H120" si="1063">IF(H$5=EOMONTH($E108,1),H118,IF(AND(H$5&gt;EOMONTH($E108,1),H$5&lt;=$E110),G120*(1+H111),0))</f>
        <v>0</v>
      </c>
      <c r="I120" s="155">
        <f t="shared" ref="I120" si="1064">IF(I$5=EOMONTH($E108,1),I118,IF(AND(I$5&gt;EOMONTH($E108,1),I$5&lt;=$E110),H120*(1+I111),0))</f>
        <v>0</v>
      </c>
      <c r="J120" s="155">
        <f t="shared" ref="J120" si="1065">IF(J$5=EOMONTH($E108,1),J118,IF(AND(J$5&gt;EOMONTH($E108,1),J$5&lt;=$E110),I120*(1+J111),0))</f>
        <v>0</v>
      </c>
      <c r="K120" s="155">
        <f t="shared" ref="K120" si="1066">IF(K$5=EOMONTH($E108,1),K118,IF(AND(K$5&gt;EOMONTH($E108,1),K$5&lt;=$E110),J120*(1+K111),0))</f>
        <v>0</v>
      </c>
      <c r="L120" s="155">
        <f t="shared" ref="L120" si="1067">IF(L$5=EOMONTH($E108,1),L118,IF(AND(L$5&gt;EOMONTH($E108,1),L$5&lt;=$E110),K120*(1+L111),0))</f>
        <v>0</v>
      </c>
      <c r="M120" s="155">
        <f t="shared" ref="M120" si="1068">IF(M$5=EOMONTH($E108,1),M118,IF(AND(M$5&gt;EOMONTH($E108,1),M$5&lt;=$E110),L120*(1+M111),0))</f>
        <v>0</v>
      </c>
      <c r="N120" s="155">
        <f t="shared" ref="N120" si="1069">IF(N$5=EOMONTH($E108,1),N118,IF(AND(N$5&gt;EOMONTH($E108,1),N$5&lt;=$E110),M120*(1+N111),0))</f>
        <v>0</v>
      </c>
      <c r="O120" s="155">
        <f t="shared" ref="O120" si="1070">IF(O$5=EOMONTH($E108,1),O118,IF(AND(O$5&gt;EOMONTH($E108,1),O$5&lt;=$E110),N120*(1+O111),0))</f>
        <v>0</v>
      </c>
      <c r="P120" s="155">
        <f t="shared" ref="P120" si="1071">IF(P$5=EOMONTH($E108,1),P118,IF(AND(P$5&gt;EOMONTH($E108,1),P$5&lt;=$E110),O120*(1+P111),0))</f>
        <v>0</v>
      </c>
      <c r="Q120" s="155">
        <f t="shared" ref="Q120" si="1072">IF(Q$5=EOMONTH($E108,1),Q118,IF(AND(Q$5&gt;EOMONTH($E108,1),Q$5&lt;=$E110),P120*(1+Q111),0))</f>
        <v>0</v>
      </c>
      <c r="R120" s="155">
        <f t="shared" ref="R120" si="1073">IF(R$5=EOMONTH($E108,1),R118,IF(AND(R$5&gt;EOMONTH($E108,1),R$5&lt;=$E110),Q120*(1+R111),0))</f>
        <v>0</v>
      </c>
      <c r="S120" s="155">
        <f t="shared" ref="S120" si="1074">IF(S$5=EOMONTH($E108,1),S118,IF(AND(S$5&gt;EOMONTH($E108,1),S$5&lt;=$E110),R120*(1+S111),0))</f>
        <v>0</v>
      </c>
      <c r="T120" s="155">
        <f t="shared" ref="T120" si="1075">IF(T$5=EOMONTH($E108,1),T118,IF(AND(T$5&gt;EOMONTH($E108,1),T$5&lt;=$E110),S120*(1+T111),0))</f>
        <v>0</v>
      </c>
      <c r="U120" s="155">
        <f t="shared" ref="U120" si="1076">IF(U$5=EOMONTH($E108,1),U118,IF(AND(U$5&gt;EOMONTH($E108,1),U$5&lt;=$E110),T120*(1+U111),0))</f>
        <v>0</v>
      </c>
      <c r="V120" s="155">
        <f t="shared" ref="V120" si="1077">IF(V$5=EOMONTH($E108,1),V118,IF(AND(V$5&gt;EOMONTH($E108,1),V$5&lt;=$E110),U120*(1+V111),0))</f>
        <v>0</v>
      </c>
      <c r="W120" s="155">
        <f t="shared" ref="W120" si="1078">IF(W$5=EOMONTH($E108,1),W118,IF(AND(W$5&gt;EOMONTH($E108,1),W$5&lt;=$E110),V120*(1+W111),0))</f>
        <v>0</v>
      </c>
      <c r="X120" s="155">
        <f t="shared" ref="X120" si="1079">IF(X$5=EOMONTH($E108,1),X118,IF(AND(X$5&gt;EOMONTH($E108,1),X$5&lt;=$E110),W120*(1+X111),0))</f>
        <v>49.888427096843529</v>
      </c>
      <c r="Y120" s="155">
        <f t="shared" ref="Y120" si="1080">IF(Y$5=EOMONTH($E108,1),Y118,IF(AND(Y$5&gt;EOMONTH($E108,1),Y$5&lt;=$E110),X120*(1+Y111),0))</f>
        <v>49.888427096843529</v>
      </c>
      <c r="Z120" s="155">
        <f t="shared" ref="Z120" si="1081">IF(Z$5=EOMONTH($E108,1),Z118,IF(AND(Z$5&gt;EOMONTH($E108,1),Z$5&lt;=$E110),Y120*(1+Z111),0))</f>
        <v>49.888427096843529</v>
      </c>
      <c r="AA120" s="155">
        <f t="shared" ref="AA120" si="1082">IF(AA$5=EOMONTH($E108,1),AA118,IF(AND(AA$5&gt;EOMONTH($E108,1),AA$5&lt;=$E110),Z120*(1+AA111),0))</f>
        <v>49.888427096843529</v>
      </c>
      <c r="AB120" s="155">
        <f t="shared" ref="AB120" si="1083">IF(AB$5=EOMONTH($E108,1),AB118,IF(AND(AB$5&gt;EOMONTH($E108,1),AB$5&lt;=$E110),AA120*(1+AB111),0))</f>
        <v>49.888427096843529</v>
      </c>
      <c r="AC120" s="155">
        <f t="shared" ref="AC120" si="1084">IF(AC$5=EOMONTH($E108,1),AC118,IF(AND(AC$5&gt;EOMONTH($E108,1),AC$5&lt;=$E110),AB120*(1+AC111),0))</f>
        <v>49.888427096843529</v>
      </c>
      <c r="AD120" s="155">
        <f t="shared" ref="AD120" si="1085">IF(AD$5=EOMONTH($E108,1),AD118,IF(AND(AD$5&gt;EOMONTH($E108,1),AD$5&lt;=$E110),AC120*(1+AD111),0))</f>
        <v>49.888427096843529</v>
      </c>
      <c r="AE120" s="155">
        <f t="shared" ref="AE120" si="1086">IF(AE$5=EOMONTH($E108,1),AE118,IF(AND(AE$5&gt;EOMONTH($E108,1),AE$5&lt;=$E110),AD120*(1+AE111),0))</f>
        <v>49.888427096843529</v>
      </c>
      <c r="AF120" s="155">
        <f t="shared" ref="AF120" si="1087">IF(AF$5=EOMONTH($E108,1),AF118,IF(AND(AF$5&gt;EOMONTH($E108,1),AF$5&lt;=$E110),AE120*(1+AF111),0))</f>
        <v>49.888427096843529</v>
      </c>
      <c r="AG120" s="155">
        <f t="shared" ref="AG120" si="1088">IF(AG$5=EOMONTH($E108,1),AG118,IF(AND(AG$5&gt;EOMONTH($E108,1),AG$5&lt;=$E110),AF120*(1+AG111),0))</f>
        <v>49.888427096843529</v>
      </c>
      <c r="AH120" s="155">
        <f t="shared" ref="AH120" si="1089">IF(AH$5=EOMONTH($E108,1),AH118,IF(AND(AH$5&gt;EOMONTH($E108,1),AH$5&lt;=$E110),AG120*(1+AH111),0))</f>
        <v>49.888427096843529</v>
      </c>
      <c r="AI120" s="155">
        <f t="shared" ref="AI120" si="1090">IF(AI$5=EOMONTH($E108,1),AI118,IF(AND(AI$5&gt;EOMONTH($E108,1),AI$5&lt;=$E110),AH120*(1+AI111),0))</f>
        <v>49.888427096843529</v>
      </c>
      <c r="AJ120" s="155">
        <f t="shared" ref="AJ120" si="1091">IF(AJ$5=EOMONTH($E108,1),AJ118,IF(AND(AJ$5&gt;EOMONTH($E108,1),AJ$5&lt;=$E110),AI120*(1+AJ111),0))</f>
        <v>51.385079909748839</v>
      </c>
      <c r="AK120" s="155">
        <f t="shared" ref="AK120" si="1092">IF(AK$5=EOMONTH($E108,1),AK118,IF(AND(AK$5&gt;EOMONTH($E108,1),AK$5&lt;=$E110),AJ120*(1+AK111),0))</f>
        <v>51.385079909748839</v>
      </c>
      <c r="AL120" s="155">
        <f t="shared" ref="AL120" si="1093">IF(AL$5=EOMONTH($E108,1),AL118,IF(AND(AL$5&gt;EOMONTH($E108,1),AL$5&lt;=$E110),AK120*(1+AL111),0))</f>
        <v>51.385079909748839</v>
      </c>
      <c r="AM120" s="155">
        <f t="shared" ref="AM120" si="1094">IF(AM$5=EOMONTH($E108,1),AM118,IF(AND(AM$5&gt;EOMONTH($E108,1),AM$5&lt;=$E110),AL120*(1+AM111),0))</f>
        <v>51.385079909748839</v>
      </c>
      <c r="AN120" s="155">
        <f t="shared" ref="AN120" si="1095">IF(AN$5=EOMONTH($E108,1),AN118,IF(AND(AN$5&gt;EOMONTH($E108,1),AN$5&lt;=$E110),AM120*(1+AN111),0))</f>
        <v>51.385079909748839</v>
      </c>
      <c r="AO120" s="155">
        <f t="shared" ref="AO120" si="1096">IF(AO$5=EOMONTH($E108,1),AO118,IF(AND(AO$5&gt;EOMONTH($E108,1),AO$5&lt;=$E110),AN120*(1+AO111),0))</f>
        <v>51.385079909748839</v>
      </c>
      <c r="AP120" s="155">
        <f t="shared" ref="AP120" si="1097">IF(AP$5=EOMONTH($E108,1),AP118,IF(AND(AP$5&gt;EOMONTH($E108,1),AP$5&lt;=$E110),AO120*(1+AP111),0))</f>
        <v>51.385079909748839</v>
      </c>
      <c r="AQ120" s="155">
        <f t="shared" ref="AQ120" si="1098">IF(AQ$5=EOMONTH($E108,1),AQ118,IF(AND(AQ$5&gt;EOMONTH($E108,1),AQ$5&lt;=$E110),AP120*(1+AQ111),0))</f>
        <v>51.385079909748839</v>
      </c>
      <c r="AR120" s="155">
        <f t="shared" ref="AR120" si="1099">IF(AR$5=EOMONTH($E108,1),AR118,IF(AND(AR$5&gt;EOMONTH($E108,1),AR$5&lt;=$E110),AQ120*(1+AR111),0))</f>
        <v>51.385079909748839</v>
      </c>
      <c r="AS120" s="155">
        <f t="shared" ref="AS120" si="1100">IF(AS$5=EOMONTH($E108,1),AS118,IF(AND(AS$5&gt;EOMONTH($E108,1),AS$5&lt;=$E110),AR120*(1+AS111),0))</f>
        <v>51.385079909748839</v>
      </c>
      <c r="AT120" s="155">
        <f t="shared" ref="AT120" si="1101">IF(AT$5=EOMONTH($E108,1),AT118,IF(AND(AT$5&gt;EOMONTH($E108,1),AT$5&lt;=$E110),AS120*(1+AT111),0))</f>
        <v>51.385079909748839</v>
      </c>
      <c r="AU120" s="155">
        <f t="shared" ref="AU120" si="1102">IF(AU$5=EOMONTH($E108,1),AU118,IF(AND(AU$5&gt;EOMONTH($E108,1),AU$5&lt;=$E110),AT120*(1+AU111),0))</f>
        <v>51.385079909748839</v>
      </c>
      <c r="AV120" s="155">
        <f t="shared" ref="AV120" si="1103">IF(AV$5=EOMONTH($E108,1),AV118,IF(AND(AV$5&gt;EOMONTH($E108,1),AV$5&lt;=$E110),AU120*(1+AV111),0))</f>
        <v>52.926632307041302</v>
      </c>
      <c r="AW120" s="155">
        <f t="shared" ref="AW120" si="1104">IF(AW$5=EOMONTH($E108,1),AW118,IF(AND(AW$5&gt;EOMONTH($E108,1),AW$5&lt;=$E110),AV120*(1+AW111),0))</f>
        <v>52.926632307041302</v>
      </c>
      <c r="AX120" s="155">
        <f t="shared" ref="AX120" si="1105">IF(AX$5=EOMONTH($E108,1),AX118,IF(AND(AX$5&gt;EOMONTH($E108,1),AX$5&lt;=$E110),AW120*(1+AX111),0))</f>
        <v>52.926632307041302</v>
      </c>
      <c r="AY120" s="155">
        <f t="shared" ref="AY120" si="1106">IF(AY$5=EOMONTH($E108,1),AY118,IF(AND(AY$5&gt;EOMONTH($E108,1),AY$5&lt;=$E110),AX120*(1+AY111),0))</f>
        <v>52.926632307041302</v>
      </c>
      <c r="AZ120" s="155">
        <f t="shared" ref="AZ120" si="1107">IF(AZ$5=EOMONTH($E108,1),AZ118,IF(AND(AZ$5&gt;EOMONTH($E108,1),AZ$5&lt;=$E110),AY120*(1+AZ111),0))</f>
        <v>52.926632307041302</v>
      </c>
      <c r="BA120" s="155">
        <f t="shared" ref="BA120" si="1108">IF(BA$5=EOMONTH($E108,1),BA118,IF(AND(BA$5&gt;EOMONTH($E108,1),BA$5&lt;=$E110),AZ120*(1+BA111),0))</f>
        <v>52.926632307041302</v>
      </c>
      <c r="BB120" s="155">
        <f t="shared" ref="BB120" si="1109">IF(BB$5=EOMONTH($E108,1),BB118,IF(AND(BB$5&gt;EOMONTH($E108,1),BB$5&lt;=$E110),BA120*(1+BB111),0))</f>
        <v>52.926632307041302</v>
      </c>
      <c r="BC120" s="155">
        <f t="shared" ref="BC120" si="1110">IF(BC$5=EOMONTH($E108,1),BC118,IF(AND(BC$5&gt;EOMONTH($E108,1),BC$5&lt;=$E110),BB120*(1+BC111),0))</f>
        <v>52.926632307041302</v>
      </c>
      <c r="BD120" s="155">
        <f t="shared" ref="BD120" si="1111">IF(BD$5=EOMONTH($E108,1),BD118,IF(AND(BD$5&gt;EOMONTH($E108,1),BD$5&lt;=$E110),BC120*(1+BD111),0))</f>
        <v>52.926632307041302</v>
      </c>
      <c r="BE120" s="155">
        <f t="shared" ref="BE120" si="1112">IF(BE$5=EOMONTH($E108,1),BE118,IF(AND(BE$5&gt;EOMONTH($E108,1),BE$5&lt;=$E110),BD120*(1+BE111),0))</f>
        <v>52.926632307041302</v>
      </c>
      <c r="BF120" s="155">
        <f t="shared" ref="BF120" si="1113">IF(BF$5=EOMONTH($E108,1),BF118,IF(AND(BF$5&gt;EOMONTH($E108,1),BF$5&lt;=$E110),BE120*(1+BF111),0))</f>
        <v>52.926632307041302</v>
      </c>
      <c r="BG120" s="155">
        <f t="shared" ref="BG120" si="1114">IF(BG$5=EOMONTH($E108,1),BG118,IF(AND(BG$5&gt;EOMONTH($E108,1),BG$5&lt;=$E110),BF120*(1+BG111),0))</f>
        <v>52.926632307041302</v>
      </c>
      <c r="BH120" s="155">
        <f t="shared" ref="BH120" si="1115">IF(BH$5=EOMONTH($E108,1),BH118,IF(AND(BH$5&gt;EOMONTH($E108,1),BH$5&lt;=$E110),BG120*(1+BH111),0))</f>
        <v>54.514431276252544</v>
      </c>
      <c r="BI120" s="155">
        <f t="shared" ref="BI120" si="1116">IF(BI$5=EOMONTH($E108,1),BI118,IF(AND(BI$5&gt;EOMONTH($E108,1),BI$5&lt;=$E110),BH120*(1+BI111),0))</f>
        <v>54.514431276252544</v>
      </c>
      <c r="BJ120" s="155">
        <f t="shared" ref="BJ120" si="1117">IF(BJ$5=EOMONTH($E108,1),BJ118,IF(AND(BJ$5&gt;EOMONTH($E108,1),BJ$5&lt;=$E110),BI120*(1+BJ111),0))</f>
        <v>54.514431276252544</v>
      </c>
      <c r="BK120" s="155">
        <f t="shared" ref="BK120" si="1118">IF(BK$5=EOMONTH($E108,1),BK118,IF(AND(BK$5&gt;EOMONTH($E108,1),BK$5&lt;=$E110),BJ120*(1+BK111),0))</f>
        <v>54.514431276252544</v>
      </c>
      <c r="BL120" s="155">
        <f t="shared" ref="BL120" si="1119">IF(BL$5=EOMONTH($E108,1),BL118,IF(AND(BL$5&gt;EOMONTH($E108,1),BL$5&lt;=$E110),BK120*(1+BL111),0))</f>
        <v>54.514431276252544</v>
      </c>
      <c r="BM120" s="155">
        <f t="shared" ref="BM120" si="1120">IF(BM$5=EOMONTH($E108,1),BM118,IF(AND(BM$5&gt;EOMONTH($E108,1),BM$5&lt;=$E110),BL120*(1+BM111),0))</f>
        <v>54.514431276252544</v>
      </c>
      <c r="BN120" s="155">
        <f t="shared" ref="BN120" si="1121">IF(BN$5=EOMONTH($E108,1),BN118,IF(AND(BN$5&gt;EOMONTH($E108,1),BN$5&lt;=$E110),BM120*(1+BN111),0))</f>
        <v>54.514431276252544</v>
      </c>
      <c r="BO120" s="155">
        <f t="shared" ref="BO120" si="1122">IF(BO$5=EOMONTH($E108,1),BO118,IF(AND(BO$5&gt;EOMONTH($E108,1),BO$5&lt;=$E110),BN120*(1+BO111),0))</f>
        <v>54.514431276252544</v>
      </c>
      <c r="BP120" s="155">
        <f t="shared" ref="BP120" si="1123">IF(BP$5=EOMONTH($E108,1),BP118,IF(AND(BP$5&gt;EOMONTH($E108,1),BP$5&lt;=$E110),BO120*(1+BP111),0))</f>
        <v>54.514431276252544</v>
      </c>
      <c r="BQ120" s="155">
        <f t="shared" ref="BQ120" si="1124">IF(BQ$5=EOMONTH($E108,1),BQ118,IF(AND(BQ$5&gt;EOMONTH($E108,1),BQ$5&lt;=$E110),BP120*(1+BQ111),0))</f>
        <v>54.514431276252544</v>
      </c>
      <c r="BR120" s="155">
        <f t="shared" ref="BR120" si="1125">IF(BR$5=EOMONTH($E108,1),BR118,IF(AND(BR$5&gt;EOMONTH($E108,1),BR$5&lt;=$E110),BQ120*(1+BR111),0))</f>
        <v>54.514431276252544</v>
      </c>
      <c r="BS120" s="155">
        <f t="shared" ref="BS120" si="1126">IF(BS$5=EOMONTH($E108,1),BS118,IF(AND(BS$5&gt;EOMONTH($E108,1),BS$5&lt;=$E110),BR120*(1+BS111),0))</f>
        <v>54.514431276252544</v>
      </c>
      <c r="BT120" s="155">
        <f t="shared" ref="BT120" si="1127">IF(BT$5=EOMONTH($E108,1),BT118,IF(AND(BT$5&gt;EOMONTH($E108,1),BT$5&lt;=$E110),BS120*(1+BT111),0))</f>
        <v>56.149864214540123</v>
      </c>
      <c r="BU120" s="155">
        <f t="shared" ref="BU120" si="1128">IF(BU$5=EOMONTH($E108,1),BU118,IF(AND(BU$5&gt;EOMONTH($E108,1),BU$5&lt;=$E110),BT120*(1+BU111),0))</f>
        <v>56.149864214540123</v>
      </c>
      <c r="BV120" s="155">
        <f t="shared" ref="BV120" si="1129">IF(BV$5=EOMONTH($E108,1),BV118,IF(AND(BV$5&gt;EOMONTH($E108,1),BV$5&lt;=$E110),BU120*(1+BV111),0))</f>
        <v>56.149864214540123</v>
      </c>
      <c r="BW120" s="155">
        <f t="shared" ref="BW120" si="1130">IF(BW$5=EOMONTH($E108,1),BW118,IF(AND(BW$5&gt;EOMONTH($E108,1),BW$5&lt;=$E110),BV120*(1+BW111),0))</f>
        <v>56.149864214540123</v>
      </c>
      <c r="BX120" s="155">
        <f t="shared" ref="BX120" si="1131">IF(BX$5=EOMONTH($E108,1),BX118,IF(AND(BX$5&gt;EOMONTH($E108,1),BX$5&lt;=$E110),BW120*(1+BX111),0))</f>
        <v>56.149864214540123</v>
      </c>
      <c r="BY120" s="155">
        <f t="shared" ref="BY120" si="1132">IF(BY$5=EOMONTH($E108,1),BY118,IF(AND(BY$5&gt;EOMONTH($E108,1),BY$5&lt;=$E110),BX120*(1+BY111),0))</f>
        <v>56.149864214540123</v>
      </c>
    </row>
    <row r="121" spans="2:77" customFormat="1" outlineLevel="1" x14ac:dyDescent="0.25">
      <c r="B121" s="1"/>
      <c r="C121" s="50" t="s">
        <v>275</v>
      </c>
      <c r="D121" s="36" t="s">
        <v>116</v>
      </c>
      <c r="E121" s="1"/>
      <c r="F121" s="155">
        <f>IF(F$5=EOMONTH($E113,1),F118,IF(F$5&gt;EOMONTH($E113,1),E121*(1+F116),IF(AND(F$5&gt;$E104,F$5&lt;=$E113),F118,0)))</f>
        <v>0</v>
      </c>
      <c r="G121" s="155">
        <f t="shared" ref="G121" si="1133">IF(G$5=EOMONTH($E113,1),G118,IF(G$5&gt;EOMONTH($E113,1),F121*(1+G116),IF(AND(G$5&gt;$E104,G$5&lt;=$E113),G118,0)))</f>
        <v>0</v>
      </c>
      <c r="H121" s="155">
        <f t="shared" ref="H121" si="1134">IF(H$5=EOMONTH($E113,1),H118,IF(H$5&gt;EOMONTH($E113,1),G121*(1+H116),IF(AND(H$5&gt;$E104,H$5&lt;=$E113),H118,0)))</f>
        <v>0</v>
      </c>
      <c r="I121" s="155">
        <f t="shared" ref="I121" si="1135">IF(I$5=EOMONTH($E113,1),I118,IF(I$5&gt;EOMONTH($E113,1),H121*(1+I116),IF(AND(I$5&gt;$E104,I$5&lt;=$E113),I118,0)))</f>
        <v>0</v>
      </c>
      <c r="J121" s="155">
        <f t="shared" ref="J121" si="1136">IF(J$5=EOMONTH($E113,1),J118,IF(J$5&gt;EOMONTH($E113,1),I121*(1+J116),IF(AND(J$5&gt;$E104,J$5&lt;=$E113),J118,0)))</f>
        <v>0</v>
      </c>
      <c r="K121" s="155">
        <f t="shared" ref="K121" si="1137">IF(K$5=EOMONTH($E113,1),K118,IF(K$5&gt;EOMONTH($E113,1),J121*(1+K116),IF(AND(K$5&gt;$E104,K$5&lt;=$E113),K118,0)))</f>
        <v>0</v>
      </c>
      <c r="L121" s="155">
        <f t="shared" ref="L121" si="1138">IF(L$5=EOMONTH($E113,1),L118,IF(L$5&gt;EOMONTH($E113,1),K121*(1+L116),IF(AND(L$5&gt;$E104,L$5&lt;=$E113),L118,0)))</f>
        <v>0</v>
      </c>
      <c r="M121" s="155">
        <f t="shared" ref="M121" si="1139">IF(M$5=EOMONTH($E113,1),M118,IF(M$5&gt;EOMONTH($E113,1),L121*(1+M116),IF(AND(M$5&gt;$E104,M$5&lt;=$E113),M118,0)))</f>
        <v>0</v>
      </c>
      <c r="N121" s="155">
        <f t="shared" ref="N121" si="1140">IF(N$5=EOMONTH($E113,1),N118,IF(N$5&gt;EOMONTH($E113,1),M121*(1+N116),IF(AND(N$5&gt;$E104,N$5&lt;=$E113),N118,0)))</f>
        <v>0</v>
      </c>
      <c r="O121" s="155">
        <f t="shared" ref="O121" si="1141">IF(O$5=EOMONTH($E113,1),O118,IF(O$5&gt;EOMONTH($E113,1),N121*(1+O116),IF(AND(O$5&gt;$E104,O$5&lt;=$E113),O118,0)))</f>
        <v>0</v>
      </c>
      <c r="P121" s="155">
        <f t="shared" ref="P121" si="1142">IF(P$5=EOMONTH($E113,1),P118,IF(P$5&gt;EOMONTH($E113,1),O121*(1+P116),IF(AND(P$5&gt;$E104,P$5&lt;=$E113),P118,0)))</f>
        <v>0</v>
      </c>
      <c r="Q121" s="155">
        <f t="shared" ref="Q121" si="1143">IF(Q$5=EOMONTH($E113,1),Q118,IF(Q$5&gt;EOMONTH($E113,1),P121*(1+Q116),IF(AND(Q$5&gt;$E104,Q$5&lt;=$E113),Q118,0)))</f>
        <v>0</v>
      </c>
      <c r="R121" s="155">
        <f t="shared" ref="R121" si="1144">IF(R$5=EOMONTH($E113,1),R118,IF(R$5&gt;EOMONTH($E113,1),Q121*(1+R116),IF(AND(R$5&gt;$E104,R$5&lt;=$E113),R118,0)))</f>
        <v>0</v>
      </c>
      <c r="S121" s="155">
        <f t="shared" ref="S121" si="1145">IF(S$5=EOMONTH($E113,1),S118,IF(S$5&gt;EOMONTH($E113,1),R121*(1+S116),IF(AND(S$5&gt;$E104,S$5&lt;=$E113),S118,0)))</f>
        <v>0</v>
      </c>
      <c r="T121" s="155">
        <f t="shared" ref="T121" si="1146">IF(T$5=EOMONTH($E113,1),T118,IF(T$5&gt;EOMONTH($E113,1),S121*(1+T116),IF(AND(T$5&gt;$E104,T$5&lt;=$E113),T118,0)))</f>
        <v>0</v>
      </c>
      <c r="U121" s="155">
        <f t="shared" ref="U121" si="1147">IF(U$5=EOMONTH($E113,1),U118,IF(U$5&gt;EOMONTH($E113,1),T121*(1+U116),IF(AND(U$5&gt;$E104,U$5&lt;=$E113),U118,0)))</f>
        <v>0</v>
      </c>
      <c r="V121" s="155">
        <f t="shared" ref="V121" si="1148">IF(V$5=EOMONTH($E113,1),V118,IF(V$5&gt;EOMONTH($E113,1),U121*(1+V116),IF(AND(V$5&gt;$E104,V$5&lt;=$E113),V118,0)))</f>
        <v>0</v>
      </c>
      <c r="W121" s="155">
        <f t="shared" ref="W121" si="1149">IF(W$5=EOMONTH($E113,1),W118,IF(W$5&gt;EOMONTH($E113,1),V121*(1+W116),IF(AND(W$5&gt;$E104,W$5&lt;=$E113),W118,0)))</f>
        <v>0</v>
      </c>
      <c r="X121" s="155">
        <f t="shared" ref="X121" si="1150">IF(X$5=EOMONTH($E113,1),X118,IF(X$5&gt;EOMONTH($E113,1),W121*(1+X116),IF(AND(X$5&gt;$E104,X$5&lt;=$E113),X118,0)))</f>
        <v>49.888427096843529</v>
      </c>
      <c r="Y121" s="155">
        <f t="shared" ref="Y121" si="1151">IF(Y$5=EOMONTH($E113,1),Y118,IF(Y$5&gt;EOMONTH($E113,1),X121*(1+Y116),IF(AND(Y$5&gt;$E104,Y$5&lt;=$E113),Y118,0)))</f>
        <v>50.051748825301793</v>
      </c>
      <c r="Z121" s="155">
        <f t="shared" ref="Z121" si="1152">IF(Z$5=EOMONTH($E113,1),Z118,IF(Z$5&gt;EOMONTH($E113,1),Y121*(1+Z116),IF(AND(Z$5&gt;$E104,Z$5&lt;=$E113),Z118,0)))</f>
        <v>50.215605226599813</v>
      </c>
      <c r="AA121" s="155">
        <f t="shared" ref="AA121" si="1153">IF(AA$5=EOMONTH($E113,1),AA118,IF(AA$5&gt;EOMONTH($E113,1),Z121*(1+AA116),IF(AND(AA$5&gt;$E104,AA$5&lt;=$E113),AA118,0)))</f>
        <v>50.379998051117326</v>
      </c>
      <c r="AB121" s="155">
        <f t="shared" ref="AB121" si="1154">IF(AB$5=EOMONTH($E113,1),AB118,IF(AB$5&gt;EOMONTH($E113,1),AA121*(1+AB116),IF(AND(AB$5&gt;$E104,AB$5&lt;=$E113),AB118,0)))</f>
        <v>50.544929054964371</v>
      </c>
      <c r="AC121" s="155">
        <f t="shared" ref="AC121" si="1155">IF(AC$5=EOMONTH($E113,1),AC118,IF(AC$5&gt;EOMONTH($E113,1),AB121*(1+AC116),IF(AND(AC$5&gt;$E104,AC$5&lt;=$E113),AC118,0)))</f>
        <v>50.710400000000035</v>
      </c>
      <c r="AD121" s="155">
        <f t="shared" ref="AD121" si="1156">IF(AD$5=EOMONTH($E113,1),AD118,IF(AD$5&gt;EOMONTH($E113,1),AC121*(1+AD116),IF(AND(AD$5&gt;$E104,AD$5&lt;=$E113),AD118,0)))</f>
        <v>50.835465526661459</v>
      </c>
      <c r="AE121" s="155">
        <f t="shared" ref="AE121" si="1157">IF(AE$5=EOMONTH($E113,1),AE118,IF(AE$5&gt;EOMONTH($E113,1),AD121*(1+AE116),IF(AND(AE$5&gt;$E104,AE$5&lt;=$E113),AE118,0)))</f>
        <v>50.835465526661459</v>
      </c>
      <c r="AF121" s="155">
        <f t="shared" ref="AF121" si="1158">IF(AF$5=EOMONTH($E113,1),AF118,IF(AF$5&gt;EOMONTH($E113,1),AE121*(1+AF116),IF(AND(AF$5&gt;$E104,AF$5&lt;=$E113),AF118,0)))</f>
        <v>50.835465526661459</v>
      </c>
      <c r="AG121" s="155">
        <f t="shared" ref="AG121" si="1159">IF(AG$5=EOMONTH($E113,1),AG118,IF(AG$5&gt;EOMONTH($E113,1),AF121*(1+AG116),IF(AND(AG$5&gt;$E104,AG$5&lt;=$E113),AG118,0)))</f>
        <v>50.835465526661459</v>
      </c>
      <c r="AH121" s="155">
        <f t="shared" ref="AH121" si="1160">IF(AH$5=EOMONTH($E113,1),AH118,IF(AH$5&gt;EOMONTH($E113,1),AG121*(1+AH116),IF(AND(AH$5&gt;$E104,AH$5&lt;=$E113),AH118,0)))</f>
        <v>50.835465526661459</v>
      </c>
      <c r="AI121" s="155">
        <f t="shared" ref="AI121" si="1161">IF(AI$5=EOMONTH($E113,1),AI118,IF(AI$5&gt;EOMONTH($E113,1),AH121*(1+AI116),IF(AND(AI$5&gt;$E104,AI$5&lt;=$E113),AI118,0)))</f>
        <v>50.835465526661459</v>
      </c>
      <c r="AJ121" s="155">
        <f t="shared" ref="AJ121" si="1162">IF(AJ$5=EOMONTH($E113,1),AJ118,IF(AJ$5&gt;EOMONTH($E113,1),AI121*(1+AJ116),IF(AND(AJ$5&gt;$E104,AJ$5&lt;=$E113),AJ118,0)))</f>
        <v>50.835465526661459</v>
      </c>
      <c r="AK121" s="155">
        <f t="shared" ref="AK121" si="1163">IF(AK$5=EOMONTH($E113,1),AK118,IF(AK$5&gt;EOMONTH($E113,1),AJ121*(1+AK116),IF(AND(AK$5&gt;$E104,AK$5&lt;=$E113),AK118,0)))</f>
        <v>50.835465526661459</v>
      </c>
      <c r="AL121" s="155">
        <f t="shared" ref="AL121" si="1164">IF(AL$5=EOMONTH($E113,1),AL118,IF(AL$5&gt;EOMONTH($E113,1),AK121*(1+AL116),IF(AND(AL$5&gt;$E104,AL$5&lt;=$E113),AL118,0)))</f>
        <v>50.835465526661459</v>
      </c>
      <c r="AM121" s="155">
        <f t="shared" ref="AM121" si="1165">IF(AM$5=EOMONTH($E113,1),AM118,IF(AM$5&gt;EOMONTH($E113,1),AL121*(1+AM116),IF(AND(AM$5&gt;$E104,AM$5&lt;=$E113),AM118,0)))</f>
        <v>50.835465526661459</v>
      </c>
      <c r="AN121" s="155">
        <f t="shared" ref="AN121" si="1166">IF(AN$5=EOMONTH($E113,1),AN118,IF(AN$5&gt;EOMONTH($E113,1),AM121*(1+AN116),IF(AND(AN$5&gt;$E104,AN$5&lt;=$E113),AN118,0)))</f>
        <v>50.835465526661459</v>
      </c>
      <c r="AO121" s="155">
        <f t="shared" ref="AO121" si="1167">IF(AO$5=EOMONTH($E113,1),AO118,IF(AO$5&gt;EOMONTH($E113,1),AN121*(1+AO116),IF(AND(AO$5&gt;$E104,AO$5&lt;=$E113),AO118,0)))</f>
        <v>50.835465526661459</v>
      </c>
      <c r="AP121" s="155">
        <f t="shared" ref="AP121" si="1168">IF(AP$5=EOMONTH($E113,1),AP118,IF(AP$5&gt;EOMONTH($E113,1),AO121*(1+AP116),IF(AND(AP$5&gt;$E104,AP$5&lt;=$E113),AP118,0)))</f>
        <v>52.360529492461303</v>
      </c>
      <c r="AQ121" s="155">
        <f t="shared" ref="AQ121" si="1169">IF(AQ$5=EOMONTH($E113,1),AQ118,IF(AQ$5&gt;EOMONTH($E113,1),AP121*(1+AQ116),IF(AND(AQ$5&gt;$E104,AQ$5&lt;=$E113),AQ118,0)))</f>
        <v>52.360529492461303</v>
      </c>
      <c r="AR121" s="155">
        <f t="shared" ref="AR121" si="1170">IF(AR$5=EOMONTH($E113,1),AR118,IF(AR$5&gt;EOMONTH($E113,1),AQ121*(1+AR116),IF(AND(AR$5&gt;$E104,AR$5&lt;=$E113),AR118,0)))</f>
        <v>52.360529492461303</v>
      </c>
      <c r="AS121" s="155">
        <f t="shared" ref="AS121" si="1171">IF(AS$5=EOMONTH($E113,1),AS118,IF(AS$5&gt;EOMONTH($E113,1),AR121*(1+AS116),IF(AND(AS$5&gt;$E104,AS$5&lt;=$E113),AS118,0)))</f>
        <v>52.360529492461303</v>
      </c>
      <c r="AT121" s="155">
        <f t="shared" ref="AT121" si="1172">IF(AT$5=EOMONTH($E113,1),AT118,IF(AT$5&gt;EOMONTH($E113,1),AS121*(1+AT116),IF(AND(AT$5&gt;$E104,AT$5&lt;=$E113),AT118,0)))</f>
        <v>52.360529492461303</v>
      </c>
      <c r="AU121" s="155">
        <f t="shared" ref="AU121" si="1173">IF(AU$5=EOMONTH($E113,1),AU118,IF(AU$5&gt;EOMONTH($E113,1),AT121*(1+AU116),IF(AND(AU$5&gt;$E104,AU$5&lt;=$E113),AU118,0)))</f>
        <v>52.360529492461303</v>
      </c>
      <c r="AV121" s="155">
        <f t="shared" ref="AV121" si="1174">IF(AV$5=EOMONTH($E113,1),AV118,IF(AV$5&gt;EOMONTH($E113,1),AU121*(1+AV116),IF(AND(AV$5&gt;$E104,AV$5&lt;=$E113),AV118,0)))</f>
        <v>52.360529492461303</v>
      </c>
      <c r="AW121" s="155">
        <f t="shared" ref="AW121" si="1175">IF(AW$5=EOMONTH($E113,1),AW118,IF(AW$5&gt;EOMONTH($E113,1),AV121*(1+AW116),IF(AND(AW$5&gt;$E104,AW$5&lt;=$E113),AW118,0)))</f>
        <v>52.360529492461303</v>
      </c>
      <c r="AX121" s="155">
        <f t="shared" ref="AX121" si="1176">IF(AX$5=EOMONTH($E113,1),AX118,IF(AX$5&gt;EOMONTH($E113,1),AW121*(1+AX116),IF(AND(AX$5&gt;$E104,AX$5&lt;=$E113),AX118,0)))</f>
        <v>52.360529492461303</v>
      </c>
      <c r="AY121" s="155">
        <f t="shared" ref="AY121" si="1177">IF(AY$5=EOMONTH($E113,1),AY118,IF(AY$5&gt;EOMONTH($E113,1),AX121*(1+AY116),IF(AND(AY$5&gt;$E104,AY$5&lt;=$E113),AY118,0)))</f>
        <v>52.360529492461303</v>
      </c>
      <c r="AZ121" s="155">
        <f t="shared" ref="AZ121" si="1178">IF(AZ$5=EOMONTH($E113,1),AZ118,IF(AZ$5&gt;EOMONTH($E113,1),AY121*(1+AZ116),IF(AND(AZ$5&gt;$E104,AZ$5&lt;=$E113),AZ118,0)))</f>
        <v>52.360529492461303</v>
      </c>
      <c r="BA121" s="155">
        <f t="shared" ref="BA121" si="1179">IF(BA$5=EOMONTH($E113,1),BA118,IF(BA$5&gt;EOMONTH($E113,1),AZ121*(1+BA116),IF(AND(BA$5&gt;$E104,BA$5&lt;=$E113),BA118,0)))</f>
        <v>52.360529492461303</v>
      </c>
      <c r="BB121" s="155">
        <f t="shared" ref="BB121" si="1180">IF(BB$5=EOMONTH($E113,1),BB118,IF(BB$5&gt;EOMONTH($E113,1),BA121*(1+BB116),IF(AND(BB$5&gt;$E104,BB$5&lt;=$E113),BB118,0)))</f>
        <v>53.931345377235147</v>
      </c>
      <c r="BC121" s="155">
        <f t="shared" ref="BC121" si="1181">IF(BC$5=EOMONTH($E113,1),BC118,IF(BC$5&gt;EOMONTH($E113,1),BB121*(1+BC116),IF(AND(BC$5&gt;$E104,BC$5&lt;=$E113),BC118,0)))</f>
        <v>53.931345377235147</v>
      </c>
      <c r="BD121" s="155">
        <f t="shared" ref="BD121" si="1182">IF(BD$5=EOMONTH($E113,1),BD118,IF(BD$5&gt;EOMONTH($E113,1),BC121*(1+BD116),IF(AND(BD$5&gt;$E104,BD$5&lt;=$E113),BD118,0)))</f>
        <v>53.931345377235147</v>
      </c>
      <c r="BE121" s="155">
        <f t="shared" ref="BE121" si="1183">IF(BE$5=EOMONTH($E113,1),BE118,IF(BE$5&gt;EOMONTH($E113,1),BD121*(1+BE116),IF(AND(BE$5&gt;$E104,BE$5&lt;=$E113),BE118,0)))</f>
        <v>53.931345377235147</v>
      </c>
      <c r="BF121" s="155">
        <f t="shared" ref="BF121" si="1184">IF(BF$5=EOMONTH($E113,1),BF118,IF(BF$5&gt;EOMONTH($E113,1),BE121*(1+BF116),IF(AND(BF$5&gt;$E104,BF$5&lt;=$E113),BF118,0)))</f>
        <v>53.931345377235147</v>
      </c>
      <c r="BG121" s="155">
        <f t="shared" ref="BG121" si="1185">IF(BG$5=EOMONTH($E113,1),BG118,IF(BG$5&gt;EOMONTH($E113,1),BF121*(1+BG116),IF(AND(BG$5&gt;$E104,BG$5&lt;=$E113),BG118,0)))</f>
        <v>53.931345377235147</v>
      </c>
      <c r="BH121" s="155">
        <f t="shared" ref="BH121" si="1186">IF(BH$5=EOMONTH($E113,1),BH118,IF(BH$5&gt;EOMONTH($E113,1),BG121*(1+BH116),IF(AND(BH$5&gt;$E104,BH$5&lt;=$E113),BH118,0)))</f>
        <v>53.931345377235147</v>
      </c>
      <c r="BI121" s="155">
        <f t="shared" ref="BI121" si="1187">IF(BI$5=EOMONTH($E113,1),BI118,IF(BI$5&gt;EOMONTH($E113,1),BH121*(1+BI116),IF(AND(BI$5&gt;$E104,BI$5&lt;=$E113),BI118,0)))</f>
        <v>53.931345377235147</v>
      </c>
      <c r="BJ121" s="155">
        <f t="shared" ref="BJ121" si="1188">IF(BJ$5=EOMONTH($E113,1),BJ118,IF(BJ$5&gt;EOMONTH($E113,1),BI121*(1+BJ116),IF(AND(BJ$5&gt;$E104,BJ$5&lt;=$E113),BJ118,0)))</f>
        <v>53.931345377235147</v>
      </c>
      <c r="BK121" s="155">
        <f t="shared" ref="BK121" si="1189">IF(BK$5=EOMONTH($E113,1),BK118,IF(BK$5&gt;EOMONTH($E113,1),BJ121*(1+BK116),IF(AND(BK$5&gt;$E104,BK$5&lt;=$E113),BK118,0)))</f>
        <v>53.931345377235147</v>
      </c>
      <c r="BL121" s="155">
        <f t="shared" ref="BL121" si="1190">IF(BL$5=EOMONTH($E113,1),BL118,IF(BL$5&gt;EOMONTH($E113,1),BK121*(1+BL116),IF(AND(BL$5&gt;$E104,BL$5&lt;=$E113),BL118,0)))</f>
        <v>53.931345377235147</v>
      </c>
      <c r="BM121" s="155">
        <f t="shared" ref="BM121" si="1191">IF(BM$5=EOMONTH($E113,1),BM118,IF(BM$5&gt;EOMONTH($E113,1),BL121*(1+BM116),IF(AND(BM$5&gt;$E104,BM$5&lt;=$E113),BM118,0)))</f>
        <v>53.931345377235147</v>
      </c>
      <c r="BN121" s="155">
        <f t="shared" ref="BN121" si="1192">IF(BN$5=EOMONTH($E113,1),BN118,IF(BN$5&gt;EOMONTH($E113,1),BM121*(1+BN116),IF(AND(BN$5&gt;$E104,BN$5&lt;=$E113),BN118,0)))</f>
        <v>55.5492857385522</v>
      </c>
      <c r="BO121" s="155">
        <f t="shared" ref="BO121" si="1193">IF(BO$5=EOMONTH($E113,1),BO118,IF(BO$5&gt;EOMONTH($E113,1),BN121*(1+BO116),IF(AND(BO$5&gt;$E104,BO$5&lt;=$E113),BO118,0)))</f>
        <v>55.5492857385522</v>
      </c>
      <c r="BP121" s="155">
        <f t="shared" ref="BP121" si="1194">IF(BP$5=EOMONTH($E113,1),BP118,IF(BP$5&gt;EOMONTH($E113,1),BO121*(1+BP116),IF(AND(BP$5&gt;$E104,BP$5&lt;=$E113),BP118,0)))</f>
        <v>55.5492857385522</v>
      </c>
      <c r="BQ121" s="155">
        <f t="shared" ref="BQ121" si="1195">IF(BQ$5=EOMONTH($E113,1),BQ118,IF(BQ$5&gt;EOMONTH($E113,1),BP121*(1+BQ116),IF(AND(BQ$5&gt;$E104,BQ$5&lt;=$E113),BQ118,0)))</f>
        <v>55.5492857385522</v>
      </c>
      <c r="BR121" s="155">
        <f t="shared" ref="BR121" si="1196">IF(BR$5=EOMONTH($E113,1),BR118,IF(BR$5&gt;EOMONTH($E113,1),BQ121*(1+BR116),IF(AND(BR$5&gt;$E104,BR$5&lt;=$E113),BR118,0)))</f>
        <v>55.5492857385522</v>
      </c>
      <c r="BS121" s="155">
        <f t="shared" ref="BS121" si="1197">IF(BS$5=EOMONTH($E113,1),BS118,IF(BS$5&gt;EOMONTH($E113,1),BR121*(1+BS116),IF(AND(BS$5&gt;$E104,BS$5&lt;=$E113),BS118,0)))</f>
        <v>55.5492857385522</v>
      </c>
      <c r="BT121" s="155">
        <f t="shared" ref="BT121" si="1198">IF(BT$5=EOMONTH($E113,1),BT118,IF(BT$5&gt;EOMONTH($E113,1),BS121*(1+BT116),IF(AND(BT$5&gt;$E104,BT$5&lt;=$E113),BT118,0)))</f>
        <v>55.5492857385522</v>
      </c>
      <c r="BU121" s="155">
        <f t="shared" ref="BU121" si="1199">IF(BU$5=EOMONTH($E113,1),BU118,IF(BU$5&gt;EOMONTH($E113,1),BT121*(1+BU116),IF(AND(BU$5&gt;$E104,BU$5&lt;=$E113),BU118,0)))</f>
        <v>55.5492857385522</v>
      </c>
      <c r="BV121" s="155">
        <f t="shared" ref="BV121" si="1200">IF(BV$5=EOMONTH($E113,1),BV118,IF(BV$5&gt;EOMONTH($E113,1),BU121*(1+BV116),IF(AND(BV$5&gt;$E104,BV$5&lt;=$E113),BV118,0)))</f>
        <v>55.5492857385522</v>
      </c>
      <c r="BW121" s="155">
        <f t="shared" ref="BW121" si="1201">IF(BW$5=EOMONTH($E113,1),BW118,IF(BW$5&gt;EOMONTH($E113,1),BV121*(1+BW116),IF(AND(BW$5&gt;$E104,BW$5&lt;=$E113),BW118,0)))</f>
        <v>55.5492857385522</v>
      </c>
      <c r="BX121" s="155">
        <f t="shared" ref="BX121" si="1202">IF(BX$5=EOMONTH($E113,1),BX118,IF(BX$5&gt;EOMONTH($E113,1),BW121*(1+BX116),IF(AND(BX$5&gt;$E104,BX$5&lt;=$E113),BX118,0)))</f>
        <v>55.5492857385522</v>
      </c>
      <c r="BY121" s="155">
        <f t="shared" ref="BY121" si="1203">IF(BY$5=EOMONTH($E113,1),BY118,IF(BY$5&gt;EOMONTH($E113,1),BX121*(1+BY116),IF(AND(BY$5&gt;$E104,BY$5&lt;=$E113),BY118,0)))</f>
        <v>55.5492857385522</v>
      </c>
    </row>
    <row r="122" spans="2:77" customFormat="1" outlineLevel="1" x14ac:dyDescent="0.25">
      <c r="B122" s="1"/>
      <c r="C122" s="44"/>
      <c r="D122" s="56"/>
      <c r="E122" s="1"/>
      <c r="F122" s="1"/>
      <c r="G122" s="1"/>
      <c r="H122" s="1"/>
      <c r="I122" s="1"/>
      <c r="J122" s="1"/>
      <c r="AP122" s="110"/>
      <c r="AQ122" s="110"/>
      <c r="AR122" s="110"/>
      <c r="AS122" s="110"/>
      <c r="AT122" s="110"/>
      <c r="AZ122" s="110"/>
      <c r="BA122" s="110"/>
      <c r="BB122" s="110"/>
    </row>
    <row r="123" spans="2:77" customFormat="1" outlineLevel="1" x14ac:dyDescent="0.25">
      <c r="B123" s="1"/>
      <c r="C123" s="50" t="s">
        <v>276</v>
      </c>
      <c r="D123" s="37" t="s">
        <v>101</v>
      </c>
      <c r="E123" s="1"/>
      <c r="F123" s="156">
        <f t="shared" ref="F123:BQ123" si="1204">+F118*$E101/Months</f>
        <v>21147.437601647642</v>
      </c>
      <c r="G123" s="156">
        <f t="shared" si="1204"/>
        <v>21250.373823501104</v>
      </c>
      <c r="H123" s="156">
        <f t="shared" si="1204"/>
        <v>21353.811092619435</v>
      </c>
      <c r="I123" s="156">
        <f t="shared" si="1204"/>
        <v>21457.751847875541</v>
      </c>
      <c r="J123" s="156">
        <f t="shared" si="1204"/>
        <v>21562.198540013658</v>
      </c>
      <c r="K123" s="156">
        <f t="shared" si="1204"/>
        <v>21667.15363170714</v>
      </c>
      <c r="L123" s="156">
        <f t="shared" si="1204"/>
        <v>21772.619597616533</v>
      </c>
      <c r="M123" s="156">
        <f t="shared" si="1204"/>
        <v>21878.59892444791</v>
      </c>
      <c r="N123" s="156">
        <f t="shared" si="1204"/>
        <v>21985.094111011524</v>
      </c>
      <c r="O123" s="156">
        <f t="shared" si="1204"/>
        <v>22092.1076682807</v>
      </c>
      <c r="P123" s="156">
        <f t="shared" si="1204"/>
        <v>22199.642119451059</v>
      </c>
      <c r="Q123" s="156">
        <f t="shared" si="1204"/>
        <v>22307.700000000008</v>
      </c>
      <c r="R123" s="156">
        <f t="shared" si="1204"/>
        <v>22380.729604939363</v>
      </c>
      <c r="S123" s="156">
        <f t="shared" si="1204"/>
        <v>22453.99828980169</v>
      </c>
      <c r="T123" s="156">
        <f t="shared" si="1204"/>
        <v>22527.506837272438</v>
      </c>
      <c r="U123" s="156">
        <f t="shared" si="1204"/>
        <v>22601.256032599373</v>
      </c>
      <c r="V123" s="156">
        <f t="shared" si="1204"/>
        <v>22675.246663600959</v>
      </c>
      <c r="W123" s="156">
        <f t="shared" si="1204"/>
        <v>22749.479520674762</v>
      </c>
      <c r="X123" s="156">
        <f t="shared" si="1204"/>
        <v>22823.955396805915</v>
      </c>
      <c r="Y123" s="156">
        <f t="shared" si="1204"/>
        <v>22898.675087575568</v>
      </c>
      <c r="Z123" s="156">
        <f t="shared" si="1204"/>
        <v>22973.639391169414</v>
      </c>
      <c r="AA123" s="156">
        <f t="shared" si="1204"/>
        <v>23048.849108386177</v>
      </c>
      <c r="AB123" s="156">
        <f t="shared" si="1204"/>
        <v>23124.3050426462</v>
      </c>
      <c r="AC123" s="156">
        <f t="shared" si="1204"/>
        <v>23200.008000000016</v>
      </c>
      <c r="AD123" s="156">
        <f t="shared" si="1204"/>
        <v>23257.225478447621</v>
      </c>
      <c r="AE123" s="156">
        <f t="shared" si="1204"/>
        <v>23314.584070632762</v>
      </c>
      <c r="AF123" s="156">
        <f t="shared" si="1204"/>
        <v>23372.08412458</v>
      </c>
      <c r="AG123" s="156">
        <f t="shared" si="1204"/>
        <v>23429.725989172191</v>
      </c>
      <c r="AH123" s="156">
        <f t="shared" si="1204"/>
        <v>23487.510014152645</v>
      </c>
      <c r="AI123" s="156">
        <f t="shared" si="1204"/>
        <v>23545.436550127226</v>
      </c>
      <c r="AJ123" s="156">
        <f t="shared" si="1204"/>
        <v>23603.505948566501</v>
      </c>
      <c r="AK123" s="156">
        <f t="shared" si="1204"/>
        <v>23661.718561807837</v>
      </c>
      <c r="AL123" s="156">
        <f t="shared" si="1204"/>
        <v>23720.074743057583</v>
      </c>
      <c r="AM123" s="156">
        <f t="shared" si="1204"/>
        <v>23778.574846393167</v>
      </c>
      <c r="AN123" s="156">
        <f t="shared" si="1204"/>
        <v>23837.219226765286</v>
      </c>
      <c r="AO123" s="156">
        <f t="shared" si="1204"/>
        <v>23896.008240000039</v>
      </c>
      <c r="AP123" s="156">
        <f t="shared" si="1204"/>
        <v>23954.942242801069</v>
      </c>
      <c r="AQ123" s="156">
        <f t="shared" si="1204"/>
        <v>24014.021592751767</v>
      </c>
      <c r="AR123" s="156">
        <f t="shared" si="1204"/>
        <v>24073.246648317418</v>
      </c>
      <c r="AS123" s="156">
        <f t="shared" si="1204"/>
        <v>24132.61776884738</v>
      </c>
      <c r="AT123" s="156">
        <f t="shared" si="1204"/>
        <v>24192.135314577245</v>
      </c>
      <c r="AU123" s="156">
        <f t="shared" si="1204"/>
        <v>24251.799646631072</v>
      </c>
      <c r="AV123" s="156">
        <f t="shared" si="1204"/>
        <v>24311.611127023523</v>
      </c>
      <c r="AW123" s="156">
        <f t="shared" si="1204"/>
        <v>24371.570118662101</v>
      </c>
      <c r="AX123" s="156">
        <f t="shared" si="1204"/>
        <v>24431.676985349335</v>
      </c>
      <c r="AY123" s="156">
        <f t="shared" si="1204"/>
        <v>24491.932091784987</v>
      </c>
      <c r="AZ123" s="156">
        <f t="shared" si="1204"/>
        <v>24552.335803568272</v>
      </c>
      <c r="BA123" s="156">
        <f t="shared" si="1204"/>
        <v>24612.888487200064</v>
      </c>
      <c r="BB123" s="156">
        <f t="shared" si="1204"/>
        <v>24663.587007611593</v>
      </c>
      <c r="BC123" s="156">
        <f t="shared" si="1204"/>
        <v>24714.389958674292</v>
      </c>
      <c r="BD123" s="156">
        <f t="shared" si="1204"/>
        <v>24765.297555498208</v>
      </c>
      <c r="BE123" s="156">
        <f t="shared" si="1204"/>
        <v>24816.31001363647</v>
      </c>
      <c r="BF123" s="156">
        <f t="shared" si="1204"/>
        <v>24867.42754908622</v>
      </c>
      <c r="BG123" s="156">
        <f t="shared" si="1204"/>
        <v>24918.650378289516</v>
      </c>
      <c r="BH123" s="156">
        <f t="shared" si="1204"/>
        <v>24969.978718134244</v>
      </c>
      <c r="BI123" s="156">
        <f t="shared" si="1204"/>
        <v>25021.412785955061</v>
      </c>
      <c r="BJ123" s="156">
        <f t="shared" si="1204"/>
        <v>25072.95279953428</v>
      </c>
      <c r="BK123" s="156">
        <f t="shared" si="1204"/>
        <v>25124.598977102814</v>
      </c>
      <c r="BL123" s="156">
        <f t="shared" si="1204"/>
        <v>25176.351537341103</v>
      </c>
      <c r="BM123" s="156">
        <f t="shared" si="1204"/>
        <v>25228.210699380026</v>
      </c>
      <c r="BN123" s="156">
        <f t="shared" si="1204"/>
        <v>25280.176682801848</v>
      </c>
      <c r="BO123" s="156">
        <f t="shared" si="1204"/>
        <v>25332.24970764112</v>
      </c>
      <c r="BP123" s="156">
        <f t="shared" si="1204"/>
        <v>25384.429994385631</v>
      </c>
      <c r="BQ123" s="156">
        <f t="shared" si="1204"/>
        <v>25436.717763977354</v>
      </c>
      <c r="BR123" s="156">
        <f t="shared" ref="BR123:BY123" si="1205">+BR118*$E101/Months</f>
        <v>25489.113237813344</v>
      </c>
      <c r="BS123" s="156">
        <f t="shared" si="1205"/>
        <v>25541.61663774672</v>
      </c>
      <c r="BT123" s="156">
        <f t="shared" si="1205"/>
        <v>25594.228186087566</v>
      </c>
      <c r="BU123" s="156">
        <f t="shared" si="1205"/>
        <v>25646.948105603908</v>
      </c>
      <c r="BV123" s="156">
        <f t="shared" si="1205"/>
        <v>25699.776619522603</v>
      </c>
      <c r="BW123" s="156">
        <f t="shared" si="1205"/>
        <v>25752.713951530353</v>
      </c>
      <c r="BX123" s="156">
        <f t="shared" si="1205"/>
        <v>25805.760325774605</v>
      </c>
      <c r="BY123" s="156">
        <f t="shared" si="1205"/>
        <v>25858.915966864501</v>
      </c>
    </row>
    <row r="124" spans="2:77" customFormat="1" outlineLevel="1" x14ac:dyDescent="0.25">
      <c r="B124" s="1"/>
      <c r="C124" s="50" t="s">
        <v>277</v>
      </c>
      <c r="D124" s="37" t="s">
        <v>101</v>
      </c>
      <c r="E124" s="1"/>
      <c r="F124" s="13">
        <f t="shared" ref="F124:BQ124" si="1206">+F119*$E101/Months</f>
        <v>19672.5</v>
      </c>
      <c r="G124" s="13">
        <f t="shared" si="1206"/>
        <v>19672.5</v>
      </c>
      <c r="H124" s="13">
        <f t="shared" si="1206"/>
        <v>19672.5</v>
      </c>
      <c r="I124" s="13">
        <f t="shared" si="1206"/>
        <v>19672.5</v>
      </c>
      <c r="J124" s="13">
        <f t="shared" si="1206"/>
        <v>19672.5</v>
      </c>
      <c r="K124" s="13">
        <f t="shared" si="1206"/>
        <v>19672.5</v>
      </c>
      <c r="L124" s="13">
        <f t="shared" si="1206"/>
        <v>20164.312499999996</v>
      </c>
      <c r="M124" s="13">
        <f t="shared" si="1206"/>
        <v>20164.312499999996</v>
      </c>
      <c r="N124" s="13">
        <f t="shared" si="1206"/>
        <v>20164.312499999996</v>
      </c>
      <c r="O124" s="13">
        <f t="shared" si="1206"/>
        <v>20164.312499999996</v>
      </c>
      <c r="P124" s="13">
        <f t="shared" si="1206"/>
        <v>20164.312499999996</v>
      </c>
      <c r="Q124" s="13">
        <f t="shared" si="1206"/>
        <v>20164.312499999996</v>
      </c>
      <c r="R124" s="13">
        <f t="shared" si="1206"/>
        <v>20164.312499999996</v>
      </c>
      <c r="S124" s="13">
        <f t="shared" si="1206"/>
        <v>20164.312499999996</v>
      </c>
      <c r="T124" s="13">
        <f t="shared" si="1206"/>
        <v>20164.312499999996</v>
      </c>
      <c r="U124" s="13">
        <f t="shared" si="1206"/>
        <v>20164.312499999996</v>
      </c>
      <c r="V124" s="13">
        <f t="shared" si="1206"/>
        <v>20164.312499999996</v>
      </c>
      <c r="W124" s="13">
        <f t="shared" si="1206"/>
        <v>20164.312499999996</v>
      </c>
      <c r="X124" s="13">
        <f t="shared" si="1206"/>
        <v>0</v>
      </c>
      <c r="Y124" s="13">
        <f t="shared" si="1206"/>
        <v>0</v>
      </c>
      <c r="Z124" s="13">
        <f t="shared" si="1206"/>
        <v>0</v>
      </c>
      <c r="AA124" s="13">
        <f t="shared" si="1206"/>
        <v>0</v>
      </c>
      <c r="AB124" s="13">
        <f t="shared" si="1206"/>
        <v>0</v>
      </c>
      <c r="AC124" s="13">
        <f t="shared" si="1206"/>
        <v>0</v>
      </c>
      <c r="AD124" s="13">
        <f t="shared" si="1206"/>
        <v>0</v>
      </c>
      <c r="AE124" s="13">
        <f t="shared" si="1206"/>
        <v>0</v>
      </c>
      <c r="AF124" s="13">
        <f t="shared" si="1206"/>
        <v>0</v>
      </c>
      <c r="AG124" s="13">
        <f t="shared" si="1206"/>
        <v>0</v>
      </c>
      <c r="AH124" s="13">
        <f t="shared" si="1206"/>
        <v>0</v>
      </c>
      <c r="AI124" s="13">
        <f t="shared" si="1206"/>
        <v>0</v>
      </c>
      <c r="AJ124" s="13">
        <f t="shared" si="1206"/>
        <v>0</v>
      </c>
      <c r="AK124" s="13">
        <f t="shared" si="1206"/>
        <v>0</v>
      </c>
      <c r="AL124" s="13">
        <f t="shared" si="1206"/>
        <v>0</v>
      </c>
      <c r="AM124" s="13">
        <f t="shared" si="1206"/>
        <v>0</v>
      </c>
      <c r="AN124" s="13">
        <f t="shared" si="1206"/>
        <v>0</v>
      </c>
      <c r="AO124" s="13">
        <f t="shared" si="1206"/>
        <v>0</v>
      </c>
      <c r="AP124" s="13">
        <f t="shared" si="1206"/>
        <v>0</v>
      </c>
      <c r="AQ124" s="13">
        <f t="shared" si="1206"/>
        <v>0</v>
      </c>
      <c r="AR124" s="13">
        <f t="shared" si="1206"/>
        <v>0</v>
      </c>
      <c r="AS124" s="13">
        <f t="shared" si="1206"/>
        <v>0</v>
      </c>
      <c r="AT124" s="13">
        <f t="shared" si="1206"/>
        <v>0</v>
      </c>
      <c r="AU124" s="13">
        <f t="shared" si="1206"/>
        <v>0</v>
      </c>
      <c r="AV124" s="13">
        <f t="shared" si="1206"/>
        <v>0</v>
      </c>
      <c r="AW124" s="13">
        <f t="shared" si="1206"/>
        <v>0</v>
      </c>
      <c r="AX124" s="13">
        <f t="shared" si="1206"/>
        <v>0</v>
      </c>
      <c r="AY124" s="13">
        <f t="shared" si="1206"/>
        <v>0</v>
      </c>
      <c r="AZ124" s="13">
        <f t="shared" si="1206"/>
        <v>0</v>
      </c>
      <c r="BA124" s="13">
        <f t="shared" si="1206"/>
        <v>0</v>
      </c>
      <c r="BB124" s="13">
        <f t="shared" si="1206"/>
        <v>0</v>
      </c>
      <c r="BC124" s="13">
        <f t="shared" si="1206"/>
        <v>0</v>
      </c>
      <c r="BD124" s="13">
        <f t="shared" si="1206"/>
        <v>0</v>
      </c>
      <c r="BE124" s="13">
        <f t="shared" si="1206"/>
        <v>0</v>
      </c>
      <c r="BF124" s="13">
        <f t="shared" si="1206"/>
        <v>0</v>
      </c>
      <c r="BG124" s="13">
        <f t="shared" si="1206"/>
        <v>0</v>
      </c>
      <c r="BH124" s="13">
        <f t="shared" si="1206"/>
        <v>0</v>
      </c>
      <c r="BI124" s="13">
        <f t="shared" si="1206"/>
        <v>0</v>
      </c>
      <c r="BJ124" s="13">
        <f t="shared" si="1206"/>
        <v>0</v>
      </c>
      <c r="BK124" s="13">
        <f t="shared" si="1206"/>
        <v>0</v>
      </c>
      <c r="BL124" s="13">
        <f t="shared" si="1206"/>
        <v>0</v>
      </c>
      <c r="BM124" s="13">
        <f t="shared" si="1206"/>
        <v>0</v>
      </c>
      <c r="BN124" s="13">
        <f t="shared" si="1206"/>
        <v>0</v>
      </c>
      <c r="BO124" s="13">
        <f t="shared" si="1206"/>
        <v>0</v>
      </c>
      <c r="BP124" s="13">
        <f t="shared" si="1206"/>
        <v>0</v>
      </c>
      <c r="BQ124" s="13">
        <f t="shared" si="1206"/>
        <v>0</v>
      </c>
      <c r="BR124" s="13">
        <f t="shared" ref="BR124:BY124" si="1207">+BR119*$E101/Months</f>
        <v>0</v>
      </c>
      <c r="BS124" s="13">
        <f t="shared" si="1207"/>
        <v>0</v>
      </c>
      <c r="BT124" s="13">
        <f t="shared" si="1207"/>
        <v>0</v>
      </c>
      <c r="BU124" s="13">
        <f t="shared" si="1207"/>
        <v>0</v>
      </c>
      <c r="BV124" s="13">
        <f t="shared" si="1207"/>
        <v>0</v>
      </c>
      <c r="BW124" s="13">
        <f t="shared" si="1207"/>
        <v>0</v>
      </c>
      <c r="BX124" s="13">
        <f t="shared" si="1207"/>
        <v>0</v>
      </c>
      <c r="BY124" s="13">
        <f t="shared" si="1207"/>
        <v>0</v>
      </c>
    </row>
    <row r="125" spans="2:77" customFormat="1" outlineLevel="1" x14ac:dyDescent="0.25">
      <c r="B125" s="1"/>
      <c r="C125" s="50" t="s">
        <v>278</v>
      </c>
      <c r="D125" s="37" t="s">
        <v>101</v>
      </c>
      <c r="E125" s="1"/>
      <c r="F125" s="13">
        <f t="shared" ref="F125:BQ125" si="1208">+F120*$E101/Months*Renewal_Probability</f>
        <v>0</v>
      </c>
      <c r="G125" s="13">
        <f t="shared" si="1208"/>
        <v>0</v>
      </c>
      <c r="H125" s="13">
        <f t="shared" si="1208"/>
        <v>0</v>
      </c>
      <c r="I125" s="13">
        <f t="shared" si="1208"/>
        <v>0</v>
      </c>
      <c r="J125" s="13">
        <f t="shared" si="1208"/>
        <v>0</v>
      </c>
      <c r="K125" s="13">
        <f t="shared" si="1208"/>
        <v>0</v>
      </c>
      <c r="L125" s="13">
        <f t="shared" si="1208"/>
        <v>0</v>
      </c>
      <c r="M125" s="13">
        <f t="shared" si="1208"/>
        <v>0</v>
      </c>
      <c r="N125" s="13">
        <f t="shared" si="1208"/>
        <v>0</v>
      </c>
      <c r="O125" s="13">
        <f t="shared" si="1208"/>
        <v>0</v>
      </c>
      <c r="P125" s="13">
        <f t="shared" si="1208"/>
        <v>0</v>
      </c>
      <c r="Q125" s="13">
        <f t="shared" si="1208"/>
        <v>0</v>
      </c>
      <c r="R125" s="13">
        <f t="shared" si="1208"/>
        <v>0</v>
      </c>
      <c r="S125" s="13">
        <f t="shared" si="1208"/>
        <v>0</v>
      </c>
      <c r="T125" s="13">
        <f t="shared" si="1208"/>
        <v>0</v>
      </c>
      <c r="U125" s="13">
        <f t="shared" si="1208"/>
        <v>0</v>
      </c>
      <c r="V125" s="13">
        <f t="shared" si="1208"/>
        <v>0</v>
      </c>
      <c r="W125" s="13">
        <f t="shared" si="1208"/>
        <v>0</v>
      </c>
      <c r="X125" s="13">
        <f t="shared" si="1208"/>
        <v>13694.373238083548</v>
      </c>
      <c r="Y125" s="13">
        <f t="shared" si="1208"/>
        <v>13694.373238083548</v>
      </c>
      <c r="Z125" s="13">
        <f t="shared" si="1208"/>
        <v>13694.373238083548</v>
      </c>
      <c r="AA125" s="13">
        <f t="shared" si="1208"/>
        <v>13694.373238083548</v>
      </c>
      <c r="AB125" s="13">
        <f t="shared" si="1208"/>
        <v>13694.373238083548</v>
      </c>
      <c r="AC125" s="13">
        <f t="shared" si="1208"/>
        <v>13694.373238083548</v>
      </c>
      <c r="AD125" s="13">
        <f t="shared" si="1208"/>
        <v>13694.373238083548</v>
      </c>
      <c r="AE125" s="13">
        <f t="shared" si="1208"/>
        <v>13694.373238083548</v>
      </c>
      <c r="AF125" s="13">
        <f t="shared" si="1208"/>
        <v>13694.373238083548</v>
      </c>
      <c r="AG125" s="13">
        <f t="shared" si="1208"/>
        <v>13694.373238083548</v>
      </c>
      <c r="AH125" s="13">
        <f t="shared" si="1208"/>
        <v>13694.373238083548</v>
      </c>
      <c r="AI125" s="13">
        <f t="shared" si="1208"/>
        <v>13694.373238083548</v>
      </c>
      <c r="AJ125" s="13">
        <f t="shared" si="1208"/>
        <v>14105.204435226056</v>
      </c>
      <c r="AK125" s="13">
        <f t="shared" si="1208"/>
        <v>14105.204435226056</v>
      </c>
      <c r="AL125" s="13">
        <f t="shared" si="1208"/>
        <v>14105.204435226056</v>
      </c>
      <c r="AM125" s="13">
        <f t="shared" si="1208"/>
        <v>14105.204435226056</v>
      </c>
      <c r="AN125" s="13">
        <f t="shared" si="1208"/>
        <v>14105.204435226056</v>
      </c>
      <c r="AO125" s="13">
        <f t="shared" si="1208"/>
        <v>14105.204435226056</v>
      </c>
      <c r="AP125" s="13">
        <f t="shared" si="1208"/>
        <v>14105.204435226056</v>
      </c>
      <c r="AQ125" s="13">
        <f t="shared" si="1208"/>
        <v>14105.204435226056</v>
      </c>
      <c r="AR125" s="13">
        <f t="shared" si="1208"/>
        <v>14105.204435226056</v>
      </c>
      <c r="AS125" s="13">
        <f t="shared" si="1208"/>
        <v>14105.204435226056</v>
      </c>
      <c r="AT125" s="13">
        <f t="shared" si="1208"/>
        <v>14105.204435226056</v>
      </c>
      <c r="AU125" s="13">
        <f t="shared" si="1208"/>
        <v>14105.204435226056</v>
      </c>
      <c r="AV125" s="13">
        <f t="shared" si="1208"/>
        <v>14528.360568282837</v>
      </c>
      <c r="AW125" s="13">
        <f t="shared" si="1208"/>
        <v>14528.360568282837</v>
      </c>
      <c r="AX125" s="13">
        <f t="shared" si="1208"/>
        <v>14528.360568282837</v>
      </c>
      <c r="AY125" s="13">
        <f t="shared" si="1208"/>
        <v>14528.360568282837</v>
      </c>
      <c r="AZ125" s="13">
        <f t="shared" si="1208"/>
        <v>14528.360568282837</v>
      </c>
      <c r="BA125" s="13">
        <f t="shared" si="1208"/>
        <v>14528.360568282837</v>
      </c>
      <c r="BB125" s="13">
        <f t="shared" si="1208"/>
        <v>14528.360568282837</v>
      </c>
      <c r="BC125" s="13">
        <f t="shared" si="1208"/>
        <v>14528.360568282837</v>
      </c>
      <c r="BD125" s="13">
        <f t="shared" si="1208"/>
        <v>14528.360568282837</v>
      </c>
      <c r="BE125" s="13">
        <f t="shared" si="1208"/>
        <v>14528.360568282837</v>
      </c>
      <c r="BF125" s="13">
        <f t="shared" si="1208"/>
        <v>14528.360568282837</v>
      </c>
      <c r="BG125" s="13">
        <f t="shared" si="1208"/>
        <v>14528.360568282837</v>
      </c>
      <c r="BH125" s="13">
        <f t="shared" si="1208"/>
        <v>14964.211385331324</v>
      </c>
      <c r="BI125" s="13">
        <f t="shared" si="1208"/>
        <v>14964.211385331324</v>
      </c>
      <c r="BJ125" s="13">
        <f t="shared" si="1208"/>
        <v>14964.211385331324</v>
      </c>
      <c r="BK125" s="13">
        <f t="shared" si="1208"/>
        <v>14964.211385331324</v>
      </c>
      <c r="BL125" s="13">
        <f t="shared" si="1208"/>
        <v>14964.211385331324</v>
      </c>
      <c r="BM125" s="13">
        <f t="shared" si="1208"/>
        <v>14964.211385331324</v>
      </c>
      <c r="BN125" s="13">
        <f t="shared" si="1208"/>
        <v>14964.211385331324</v>
      </c>
      <c r="BO125" s="13">
        <f t="shared" si="1208"/>
        <v>14964.211385331324</v>
      </c>
      <c r="BP125" s="13">
        <f t="shared" si="1208"/>
        <v>14964.211385331324</v>
      </c>
      <c r="BQ125" s="13">
        <f t="shared" si="1208"/>
        <v>14964.211385331324</v>
      </c>
      <c r="BR125" s="13">
        <f t="shared" ref="BR125:BY125" si="1209">+BR120*$E101/Months*Renewal_Probability</f>
        <v>14964.211385331324</v>
      </c>
      <c r="BS125" s="13">
        <f t="shared" si="1209"/>
        <v>14964.211385331324</v>
      </c>
      <c r="BT125" s="13">
        <f t="shared" si="1209"/>
        <v>15413.137726891264</v>
      </c>
      <c r="BU125" s="13">
        <f t="shared" si="1209"/>
        <v>15413.137726891264</v>
      </c>
      <c r="BV125" s="13">
        <f t="shared" si="1209"/>
        <v>15413.137726891264</v>
      </c>
      <c r="BW125" s="13">
        <f t="shared" si="1209"/>
        <v>15413.137726891264</v>
      </c>
      <c r="BX125" s="13">
        <f t="shared" si="1209"/>
        <v>15413.137726891264</v>
      </c>
      <c r="BY125" s="13">
        <f t="shared" si="1209"/>
        <v>15413.137726891264</v>
      </c>
    </row>
    <row r="126" spans="2:77" customFormat="1" outlineLevel="1" x14ac:dyDescent="0.25">
      <c r="B126" s="1"/>
      <c r="C126" s="50" t="s">
        <v>279</v>
      </c>
      <c r="D126" s="37" t="s">
        <v>101</v>
      </c>
      <c r="E126" s="1"/>
      <c r="F126" s="13">
        <f t="shared" ref="F126:BQ126" si="1210">+F121*$E101/Months*(1-Renewal_Probability)</f>
        <v>0</v>
      </c>
      <c r="G126" s="13">
        <f t="shared" si="1210"/>
        <v>0</v>
      </c>
      <c r="H126" s="13">
        <f t="shared" si="1210"/>
        <v>0</v>
      </c>
      <c r="I126" s="13">
        <f t="shared" si="1210"/>
        <v>0</v>
      </c>
      <c r="J126" s="13">
        <f t="shared" si="1210"/>
        <v>0</v>
      </c>
      <c r="K126" s="13">
        <f t="shared" si="1210"/>
        <v>0</v>
      </c>
      <c r="L126" s="13">
        <f t="shared" si="1210"/>
        <v>0</v>
      </c>
      <c r="M126" s="13">
        <f t="shared" si="1210"/>
        <v>0</v>
      </c>
      <c r="N126" s="13">
        <f t="shared" si="1210"/>
        <v>0</v>
      </c>
      <c r="O126" s="13">
        <f t="shared" si="1210"/>
        <v>0</v>
      </c>
      <c r="P126" s="13">
        <f t="shared" si="1210"/>
        <v>0</v>
      </c>
      <c r="Q126" s="13">
        <f t="shared" si="1210"/>
        <v>0</v>
      </c>
      <c r="R126" s="13">
        <f t="shared" si="1210"/>
        <v>0</v>
      </c>
      <c r="S126" s="13">
        <f t="shared" si="1210"/>
        <v>0</v>
      </c>
      <c r="T126" s="13">
        <f t="shared" si="1210"/>
        <v>0</v>
      </c>
      <c r="U126" s="13">
        <f t="shared" si="1210"/>
        <v>0</v>
      </c>
      <c r="V126" s="13">
        <f t="shared" si="1210"/>
        <v>0</v>
      </c>
      <c r="W126" s="13">
        <f t="shared" si="1210"/>
        <v>0</v>
      </c>
      <c r="X126" s="13">
        <f t="shared" si="1210"/>
        <v>9129.5821587223672</v>
      </c>
      <c r="Y126" s="13">
        <f t="shared" si="1210"/>
        <v>9159.4700350302282</v>
      </c>
      <c r="Z126" s="13">
        <f t="shared" si="1210"/>
        <v>9189.4557564677652</v>
      </c>
      <c r="AA126" s="13">
        <f t="shared" si="1210"/>
        <v>9219.539643354472</v>
      </c>
      <c r="AB126" s="13">
        <f t="shared" si="1210"/>
        <v>9249.7220170584806</v>
      </c>
      <c r="AC126" s="13">
        <f t="shared" si="1210"/>
        <v>9280.0032000000065</v>
      </c>
      <c r="AD126" s="13">
        <f t="shared" si="1210"/>
        <v>9302.8901913790487</v>
      </c>
      <c r="AE126" s="13">
        <f t="shared" si="1210"/>
        <v>9302.8901913790487</v>
      </c>
      <c r="AF126" s="13">
        <f t="shared" si="1210"/>
        <v>9302.8901913790487</v>
      </c>
      <c r="AG126" s="13">
        <f t="shared" si="1210"/>
        <v>9302.8901913790487</v>
      </c>
      <c r="AH126" s="13">
        <f t="shared" si="1210"/>
        <v>9302.8901913790487</v>
      </c>
      <c r="AI126" s="13">
        <f t="shared" si="1210"/>
        <v>9302.8901913790487</v>
      </c>
      <c r="AJ126" s="13">
        <f t="shared" si="1210"/>
        <v>9302.8901913790487</v>
      </c>
      <c r="AK126" s="13">
        <f t="shared" si="1210"/>
        <v>9302.8901913790487</v>
      </c>
      <c r="AL126" s="13">
        <f t="shared" si="1210"/>
        <v>9302.8901913790487</v>
      </c>
      <c r="AM126" s="13">
        <f t="shared" si="1210"/>
        <v>9302.8901913790487</v>
      </c>
      <c r="AN126" s="13">
        <f t="shared" si="1210"/>
        <v>9302.8901913790487</v>
      </c>
      <c r="AO126" s="13">
        <f t="shared" si="1210"/>
        <v>9302.8901913790487</v>
      </c>
      <c r="AP126" s="13">
        <f t="shared" si="1210"/>
        <v>9581.9768971204176</v>
      </c>
      <c r="AQ126" s="13">
        <f t="shared" si="1210"/>
        <v>9581.9768971204176</v>
      </c>
      <c r="AR126" s="13">
        <f t="shared" si="1210"/>
        <v>9581.9768971204176</v>
      </c>
      <c r="AS126" s="13">
        <f t="shared" si="1210"/>
        <v>9581.9768971204176</v>
      </c>
      <c r="AT126" s="13">
        <f t="shared" si="1210"/>
        <v>9581.9768971204176</v>
      </c>
      <c r="AU126" s="13">
        <f t="shared" si="1210"/>
        <v>9581.9768971204176</v>
      </c>
      <c r="AV126" s="13">
        <f t="shared" si="1210"/>
        <v>9581.9768971204176</v>
      </c>
      <c r="AW126" s="13">
        <f t="shared" si="1210"/>
        <v>9581.9768971204176</v>
      </c>
      <c r="AX126" s="13">
        <f t="shared" si="1210"/>
        <v>9581.9768971204176</v>
      </c>
      <c r="AY126" s="13">
        <f t="shared" si="1210"/>
        <v>9581.9768971204176</v>
      </c>
      <c r="AZ126" s="13">
        <f t="shared" si="1210"/>
        <v>9581.9768971204176</v>
      </c>
      <c r="BA126" s="13">
        <f t="shared" si="1210"/>
        <v>9581.9768971204176</v>
      </c>
      <c r="BB126" s="13">
        <f t="shared" si="1210"/>
        <v>9869.4362040340329</v>
      </c>
      <c r="BC126" s="13">
        <f t="shared" si="1210"/>
        <v>9869.4362040340329</v>
      </c>
      <c r="BD126" s="13">
        <f t="shared" si="1210"/>
        <v>9869.4362040340329</v>
      </c>
      <c r="BE126" s="13">
        <f t="shared" si="1210"/>
        <v>9869.4362040340329</v>
      </c>
      <c r="BF126" s="13">
        <f t="shared" si="1210"/>
        <v>9869.4362040340329</v>
      </c>
      <c r="BG126" s="13">
        <f t="shared" si="1210"/>
        <v>9869.4362040340329</v>
      </c>
      <c r="BH126" s="13">
        <f t="shared" si="1210"/>
        <v>9869.4362040340329</v>
      </c>
      <c r="BI126" s="13">
        <f t="shared" si="1210"/>
        <v>9869.4362040340329</v>
      </c>
      <c r="BJ126" s="13">
        <f t="shared" si="1210"/>
        <v>9869.4362040340329</v>
      </c>
      <c r="BK126" s="13">
        <f t="shared" si="1210"/>
        <v>9869.4362040340329</v>
      </c>
      <c r="BL126" s="13">
        <f t="shared" si="1210"/>
        <v>9869.4362040340329</v>
      </c>
      <c r="BM126" s="13">
        <f t="shared" si="1210"/>
        <v>9869.4362040340329</v>
      </c>
      <c r="BN126" s="13">
        <f t="shared" si="1210"/>
        <v>10165.519290155053</v>
      </c>
      <c r="BO126" s="13">
        <f t="shared" si="1210"/>
        <v>10165.519290155053</v>
      </c>
      <c r="BP126" s="13">
        <f t="shared" si="1210"/>
        <v>10165.519290155053</v>
      </c>
      <c r="BQ126" s="13">
        <f t="shared" si="1210"/>
        <v>10165.519290155053</v>
      </c>
      <c r="BR126" s="13">
        <f t="shared" ref="BR126:BY126" si="1211">+BR121*$E101/Months*(1-Renewal_Probability)</f>
        <v>10165.519290155053</v>
      </c>
      <c r="BS126" s="13">
        <f t="shared" si="1211"/>
        <v>10165.519290155053</v>
      </c>
      <c r="BT126" s="13">
        <f t="shared" si="1211"/>
        <v>10165.519290155053</v>
      </c>
      <c r="BU126" s="13">
        <f t="shared" si="1211"/>
        <v>10165.519290155053</v>
      </c>
      <c r="BV126" s="13">
        <f t="shared" si="1211"/>
        <v>10165.519290155053</v>
      </c>
      <c r="BW126" s="13">
        <f t="shared" si="1211"/>
        <v>10165.519290155053</v>
      </c>
      <c r="BX126" s="13">
        <f t="shared" si="1211"/>
        <v>10165.519290155053</v>
      </c>
      <c r="BY126" s="13">
        <f t="shared" si="1211"/>
        <v>10165.519290155053</v>
      </c>
    </row>
    <row r="127" spans="2:77" customFormat="1" outlineLevel="1" x14ac:dyDescent="0.25">
      <c r="B127" s="1"/>
      <c r="C127" s="50"/>
      <c r="D127" s="37"/>
      <c r="E127" s="1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</row>
    <row r="128" spans="2:77" customFormat="1" outlineLevel="1" x14ac:dyDescent="0.25">
      <c r="B128" s="1"/>
      <c r="C128" s="50" t="s">
        <v>117</v>
      </c>
      <c r="D128" s="37" t="s">
        <v>101</v>
      </c>
      <c r="E128" s="1"/>
      <c r="F128" s="13">
        <f>IF(F$5&gt;$E102,SUM(F124:F126)-F123,0)</f>
        <v>-1474.9376016476417</v>
      </c>
      <c r="G128" s="13">
        <f t="shared" ref="G128:BR128" si="1212">IF(G$5&gt;$E102,SUM(G124:G126)-G123,0)</f>
        <v>-1577.8738235011042</v>
      </c>
      <c r="H128" s="13">
        <f t="shared" si="1212"/>
        <v>-1681.3110926194349</v>
      </c>
      <c r="I128" s="13">
        <f t="shared" si="1212"/>
        <v>-1785.251847875541</v>
      </c>
      <c r="J128" s="13">
        <f t="shared" si="1212"/>
        <v>-1889.6985400136582</v>
      </c>
      <c r="K128" s="13">
        <f t="shared" si="1212"/>
        <v>-1994.6536317071404</v>
      </c>
      <c r="L128" s="13">
        <f t="shared" si="1212"/>
        <v>-1608.3070976165363</v>
      </c>
      <c r="M128" s="13">
        <f t="shared" si="1212"/>
        <v>-1714.2864244479133</v>
      </c>
      <c r="N128" s="13">
        <f t="shared" si="1212"/>
        <v>-1820.7816110115273</v>
      </c>
      <c r="O128" s="13">
        <f t="shared" si="1212"/>
        <v>-1927.7951682807034</v>
      </c>
      <c r="P128" s="13">
        <f t="shared" si="1212"/>
        <v>-2035.3296194510622</v>
      </c>
      <c r="Q128" s="13">
        <f t="shared" si="1212"/>
        <v>-2143.3875000000116</v>
      </c>
      <c r="R128" s="13">
        <f t="shared" si="1212"/>
        <v>-2216.4171049393663</v>
      </c>
      <c r="S128" s="13">
        <f t="shared" si="1212"/>
        <v>-2289.6857898016933</v>
      </c>
      <c r="T128" s="13">
        <f t="shared" si="1212"/>
        <v>-2363.1943372724418</v>
      </c>
      <c r="U128" s="13">
        <f t="shared" si="1212"/>
        <v>-2436.9435325993763</v>
      </c>
      <c r="V128" s="13">
        <f t="shared" si="1212"/>
        <v>-2510.9341636009631</v>
      </c>
      <c r="W128" s="13">
        <f t="shared" si="1212"/>
        <v>-2585.1670206747658</v>
      </c>
      <c r="X128" s="13">
        <f t="shared" si="1212"/>
        <v>0</v>
      </c>
      <c r="Y128" s="13">
        <f t="shared" si="1212"/>
        <v>-44.83181446179151</v>
      </c>
      <c r="Z128" s="13">
        <f t="shared" si="1212"/>
        <v>-89.81039661810064</v>
      </c>
      <c r="AA128" s="13">
        <f t="shared" si="1212"/>
        <v>-134.93622694815713</v>
      </c>
      <c r="AB128" s="13">
        <f t="shared" si="1212"/>
        <v>-180.20978750417271</v>
      </c>
      <c r="AC128" s="13">
        <f t="shared" si="1212"/>
        <v>-225.63156191645976</v>
      </c>
      <c r="AD128" s="13">
        <f t="shared" si="1212"/>
        <v>-259.96204898502401</v>
      </c>
      <c r="AE128" s="13">
        <f t="shared" si="1212"/>
        <v>-317.32064117016489</v>
      </c>
      <c r="AF128" s="13">
        <f t="shared" si="1212"/>
        <v>-374.82069511740337</v>
      </c>
      <c r="AG128" s="13">
        <f t="shared" si="1212"/>
        <v>-432.46255970959464</v>
      </c>
      <c r="AH128" s="13">
        <f t="shared" si="1212"/>
        <v>-490.24658469004862</v>
      </c>
      <c r="AI128" s="13">
        <f t="shared" si="1212"/>
        <v>-548.1731206646291</v>
      </c>
      <c r="AJ128" s="13">
        <f t="shared" si="1212"/>
        <v>-195.41132196139733</v>
      </c>
      <c r="AK128" s="13">
        <f t="shared" si="1212"/>
        <v>-253.62393520273326</v>
      </c>
      <c r="AL128" s="13">
        <f t="shared" si="1212"/>
        <v>-311.98011645247971</v>
      </c>
      <c r="AM128" s="13">
        <f t="shared" si="1212"/>
        <v>-370.48021978806355</v>
      </c>
      <c r="AN128" s="13">
        <f t="shared" si="1212"/>
        <v>-429.12460016018304</v>
      </c>
      <c r="AO128" s="13">
        <f t="shared" si="1212"/>
        <v>-487.91361339493596</v>
      </c>
      <c r="AP128" s="13">
        <f t="shared" si="1212"/>
        <v>-267.76091045459543</v>
      </c>
      <c r="AQ128" s="13">
        <f t="shared" si="1212"/>
        <v>-326.84026040529352</v>
      </c>
      <c r="AR128" s="13">
        <f t="shared" si="1212"/>
        <v>-386.06531597094363</v>
      </c>
      <c r="AS128" s="13">
        <f t="shared" si="1212"/>
        <v>-445.43643650090598</v>
      </c>
      <c r="AT128" s="13">
        <f t="shared" si="1212"/>
        <v>-504.95398223077063</v>
      </c>
      <c r="AU128" s="13">
        <f t="shared" si="1212"/>
        <v>-564.61831428459845</v>
      </c>
      <c r="AV128" s="13">
        <f t="shared" si="1212"/>
        <v>-201.27366162027101</v>
      </c>
      <c r="AW128" s="13">
        <f t="shared" si="1212"/>
        <v>-261.23265325884859</v>
      </c>
      <c r="AX128" s="13">
        <f t="shared" si="1212"/>
        <v>-321.33951994608287</v>
      </c>
      <c r="AY128" s="13">
        <f t="shared" si="1212"/>
        <v>-381.594626381735</v>
      </c>
      <c r="AZ128" s="13">
        <f t="shared" si="1212"/>
        <v>-441.99833816501996</v>
      </c>
      <c r="BA128" s="13">
        <f t="shared" si="1212"/>
        <v>-502.55102179681126</v>
      </c>
      <c r="BB128" s="13">
        <f t="shared" si="1212"/>
        <v>-265.79023529472397</v>
      </c>
      <c r="BC128" s="13">
        <f t="shared" si="1212"/>
        <v>-316.59318635742238</v>
      </c>
      <c r="BD128" s="13">
        <f t="shared" si="1212"/>
        <v>-367.50078318133819</v>
      </c>
      <c r="BE128" s="13">
        <f t="shared" si="1212"/>
        <v>-418.51324131960064</v>
      </c>
      <c r="BF128" s="13">
        <f t="shared" si="1212"/>
        <v>-469.63077676935063</v>
      </c>
      <c r="BG128" s="13">
        <f t="shared" si="1212"/>
        <v>-520.85360597264662</v>
      </c>
      <c r="BH128" s="13">
        <f t="shared" si="1212"/>
        <v>-136.33112876888845</v>
      </c>
      <c r="BI128" s="13">
        <f t="shared" si="1212"/>
        <v>-187.76519658970574</v>
      </c>
      <c r="BJ128" s="13">
        <f t="shared" si="1212"/>
        <v>-239.30521016892453</v>
      </c>
      <c r="BK128" s="13">
        <f t="shared" si="1212"/>
        <v>-290.9513877374593</v>
      </c>
      <c r="BL128" s="13">
        <f t="shared" si="1212"/>
        <v>-342.70394797574772</v>
      </c>
      <c r="BM128" s="13">
        <f t="shared" si="1212"/>
        <v>-394.56311001467111</v>
      </c>
      <c r="BN128" s="13">
        <f t="shared" si="1212"/>
        <v>-150.44600731547325</v>
      </c>
      <c r="BO128" s="13">
        <f t="shared" si="1212"/>
        <v>-202.51903215474522</v>
      </c>
      <c r="BP128" s="13">
        <f t="shared" si="1212"/>
        <v>-254.69931889925647</v>
      </c>
      <c r="BQ128" s="13">
        <f t="shared" si="1212"/>
        <v>-306.98708849097966</v>
      </c>
      <c r="BR128" s="13">
        <f t="shared" si="1212"/>
        <v>-359.38256232696949</v>
      </c>
      <c r="BS128" s="13">
        <f t="shared" ref="BS128:BY128" si="1213">IF(BS$5&gt;$E102,SUM(BS124:BS126)-BS123,0)</f>
        <v>-411.88596226034497</v>
      </c>
      <c r="BT128" s="13">
        <f t="shared" si="1213"/>
        <v>-15.571169041249959</v>
      </c>
      <c r="BU128" s="13">
        <f t="shared" si="1213"/>
        <v>-68.291088557591138</v>
      </c>
      <c r="BV128" s="13">
        <f t="shared" si="1213"/>
        <v>-121.11960247628667</v>
      </c>
      <c r="BW128" s="13">
        <f t="shared" si="1213"/>
        <v>-174.0569344840369</v>
      </c>
      <c r="BX128" s="13">
        <f t="shared" si="1213"/>
        <v>-227.10330872828854</v>
      </c>
      <c r="BY128" s="13">
        <f t="shared" si="1213"/>
        <v>-280.25894981818419</v>
      </c>
    </row>
    <row r="129" spans="2:77" customFormat="1" outlineLevel="1" x14ac:dyDescent="0.25">
      <c r="B129" s="1"/>
      <c r="C129" s="50" t="s">
        <v>25</v>
      </c>
      <c r="D129" s="37" t="s">
        <v>101</v>
      </c>
      <c r="E129" s="1"/>
      <c r="F129" s="62">
        <f>IF(AND(F$5&gt;$E104,F$5&lt;=$E113),-F126,0)</f>
        <v>0</v>
      </c>
      <c r="G129" s="62">
        <f t="shared" ref="G129:BR129" si="1214">IF(AND(G$5&gt;$E104,G$5&lt;=$E113),-G126,0)</f>
        <v>0</v>
      </c>
      <c r="H129" s="62">
        <f t="shared" si="1214"/>
        <v>0</v>
      </c>
      <c r="I129" s="62">
        <f t="shared" si="1214"/>
        <v>0</v>
      </c>
      <c r="J129" s="62">
        <f t="shared" si="1214"/>
        <v>0</v>
      </c>
      <c r="K129" s="62">
        <f t="shared" si="1214"/>
        <v>0</v>
      </c>
      <c r="L129" s="62">
        <f t="shared" si="1214"/>
        <v>0</v>
      </c>
      <c r="M129" s="62">
        <f t="shared" si="1214"/>
        <v>0</v>
      </c>
      <c r="N129" s="62">
        <f t="shared" si="1214"/>
        <v>0</v>
      </c>
      <c r="O129" s="62">
        <f t="shared" si="1214"/>
        <v>0</v>
      </c>
      <c r="P129" s="62">
        <f t="shared" si="1214"/>
        <v>0</v>
      </c>
      <c r="Q129" s="62">
        <f t="shared" si="1214"/>
        <v>0</v>
      </c>
      <c r="R129" s="62">
        <f t="shared" si="1214"/>
        <v>0</v>
      </c>
      <c r="S129" s="62">
        <f t="shared" si="1214"/>
        <v>0</v>
      </c>
      <c r="T129" s="62">
        <f t="shared" si="1214"/>
        <v>0</v>
      </c>
      <c r="U129" s="62">
        <f t="shared" si="1214"/>
        <v>0</v>
      </c>
      <c r="V129" s="62">
        <f t="shared" si="1214"/>
        <v>0</v>
      </c>
      <c r="W129" s="62">
        <f t="shared" si="1214"/>
        <v>0</v>
      </c>
      <c r="X129" s="62">
        <f t="shared" si="1214"/>
        <v>-9129.5821587223672</v>
      </c>
      <c r="Y129" s="62">
        <f t="shared" si="1214"/>
        <v>-9159.4700350302282</v>
      </c>
      <c r="Z129" s="62">
        <f t="shared" si="1214"/>
        <v>-9189.4557564677652</v>
      </c>
      <c r="AA129" s="62">
        <f t="shared" si="1214"/>
        <v>-9219.539643354472</v>
      </c>
      <c r="AB129" s="62">
        <f t="shared" si="1214"/>
        <v>-9249.7220170584806</v>
      </c>
      <c r="AC129" s="62">
        <f t="shared" si="1214"/>
        <v>-9280.0032000000065</v>
      </c>
      <c r="AD129" s="62">
        <f t="shared" si="1214"/>
        <v>0</v>
      </c>
      <c r="AE129" s="62">
        <f t="shared" si="1214"/>
        <v>0</v>
      </c>
      <c r="AF129" s="62">
        <f t="shared" si="1214"/>
        <v>0</v>
      </c>
      <c r="AG129" s="62">
        <f t="shared" si="1214"/>
        <v>0</v>
      </c>
      <c r="AH129" s="62">
        <f t="shared" si="1214"/>
        <v>0</v>
      </c>
      <c r="AI129" s="62">
        <f t="shared" si="1214"/>
        <v>0</v>
      </c>
      <c r="AJ129" s="62">
        <f t="shared" si="1214"/>
        <v>0</v>
      </c>
      <c r="AK129" s="62">
        <f t="shared" si="1214"/>
        <v>0</v>
      </c>
      <c r="AL129" s="62">
        <f t="shared" si="1214"/>
        <v>0</v>
      </c>
      <c r="AM129" s="62">
        <f t="shared" si="1214"/>
        <v>0</v>
      </c>
      <c r="AN129" s="62">
        <f t="shared" si="1214"/>
        <v>0</v>
      </c>
      <c r="AO129" s="62">
        <f t="shared" si="1214"/>
        <v>0</v>
      </c>
      <c r="AP129" s="62">
        <f t="shared" si="1214"/>
        <v>0</v>
      </c>
      <c r="AQ129" s="62">
        <f t="shared" si="1214"/>
        <v>0</v>
      </c>
      <c r="AR129" s="62">
        <f t="shared" si="1214"/>
        <v>0</v>
      </c>
      <c r="AS129" s="62">
        <f t="shared" si="1214"/>
        <v>0</v>
      </c>
      <c r="AT129" s="62">
        <f t="shared" si="1214"/>
        <v>0</v>
      </c>
      <c r="AU129" s="62">
        <f t="shared" si="1214"/>
        <v>0</v>
      </c>
      <c r="AV129" s="62">
        <f t="shared" si="1214"/>
        <v>0</v>
      </c>
      <c r="AW129" s="62">
        <f t="shared" si="1214"/>
        <v>0</v>
      </c>
      <c r="AX129" s="62">
        <f t="shared" si="1214"/>
        <v>0</v>
      </c>
      <c r="AY129" s="62">
        <f t="shared" si="1214"/>
        <v>0</v>
      </c>
      <c r="AZ129" s="62">
        <f t="shared" si="1214"/>
        <v>0</v>
      </c>
      <c r="BA129" s="62">
        <f t="shared" si="1214"/>
        <v>0</v>
      </c>
      <c r="BB129" s="62">
        <f t="shared" si="1214"/>
        <v>0</v>
      </c>
      <c r="BC129" s="62">
        <f t="shared" si="1214"/>
        <v>0</v>
      </c>
      <c r="BD129" s="62">
        <f t="shared" si="1214"/>
        <v>0</v>
      </c>
      <c r="BE129" s="62">
        <f t="shared" si="1214"/>
        <v>0</v>
      </c>
      <c r="BF129" s="62">
        <f t="shared" si="1214"/>
        <v>0</v>
      </c>
      <c r="BG129" s="62">
        <f t="shared" si="1214"/>
        <v>0</v>
      </c>
      <c r="BH129" s="62">
        <f t="shared" si="1214"/>
        <v>0</v>
      </c>
      <c r="BI129" s="62">
        <f t="shared" si="1214"/>
        <v>0</v>
      </c>
      <c r="BJ129" s="62">
        <f t="shared" si="1214"/>
        <v>0</v>
      </c>
      <c r="BK129" s="62">
        <f t="shared" si="1214"/>
        <v>0</v>
      </c>
      <c r="BL129" s="62">
        <f t="shared" si="1214"/>
        <v>0</v>
      </c>
      <c r="BM129" s="62">
        <f t="shared" si="1214"/>
        <v>0</v>
      </c>
      <c r="BN129" s="62">
        <f t="shared" si="1214"/>
        <v>0</v>
      </c>
      <c r="BO129" s="62">
        <f t="shared" si="1214"/>
        <v>0</v>
      </c>
      <c r="BP129" s="62">
        <f t="shared" si="1214"/>
        <v>0</v>
      </c>
      <c r="BQ129" s="62">
        <f t="shared" si="1214"/>
        <v>0</v>
      </c>
      <c r="BR129" s="62">
        <f t="shared" si="1214"/>
        <v>0</v>
      </c>
      <c r="BS129" s="62">
        <f t="shared" ref="BS129:BY129" si="1215">IF(AND(BS$5&gt;$E104,BS$5&lt;=$E113),-BS126,0)</f>
        <v>0</v>
      </c>
      <c r="BT129" s="62">
        <f t="shared" si="1215"/>
        <v>0</v>
      </c>
      <c r="BU129" s="62">
        <f t="shared" si="1215"/>
        <v>0</v>
      </c>
      <c r="BV129" s="62">
        <f t="shared" si="1215"/>
        <v>0</v>
      </c>
      <c r="BW129" s="62">
        <f t="shared" si="1215"/>
        <v>0</v>
      </c>
      <c r="BX129" s="62">
        <f t="shared" si="1215"/>
        <v>0</v>
      </c>
      <c r="BY129" s="62">
        <f t="shared" si="1215"/>
        <v>0</v>
      </c>
    </row>
    <row r="130" spans="2:77" customFormat="1" outlineLevel="1" x14ac:dyDescent="0.25">
      <c r="B130" s="1"/>
      <c r="C130" s="50" t="s">
        <v>26</v>
      </c>
      <c r="D130" s="37" t="s">
        <v>101</v>
      </c>
      <c r="E130" s="1"/>
      <c r="F130" s="62">
        <f t="shared" ref="F130:BQ130" si="1216">IF(AND(F$5&gt;$E102,F$5&lt;=EOMONTH($E102,$E106)),-F124,0)+IF(AND(F$5&gt;$E104,F$5&lt;=EOMONTH($E104,Renewal_Free_Rent_Months)),-F125,0)+IF(AND(F$5&gt;$E113,F$5&lt;=EOMONTH($E113,New_Free_Rent_Months)),-F126,0)</f>
        <v>0</v>
      </c>
      <c r="G130" s="62">
        <f t="shared" si="1216"/>
        <v>0</v>
      </c>
      <c r="H130" s="62">
        <f t="shared" si="1216"/>
        <v>0</v>
      </c>
      <c r="I130" s="62">
        <f t="shared" si="1216"/>
        <v>0</v>
      </c>
      <c r="J130" s="62">
        <f t="shared" si="1216"/>
        <v>0</v>
      </c>
      <c r="K130" s="62">
        <f t="shared" si="1216"/>
        <v>0</v>
      </c>
      <c r="L130" s="62">
        <f t="shared" si="1216"/>
        <v>0</v>
      </c>
      <c r="M130" s="62">
        <f t="shared" si="1216"/>
        <v>0</v>
      </c>
      <c r="N130" s="62">
        <f t="shared" si="1216"/>
        <v>0</v>
      </c>
      <c r="O130" s="62">
        <f t="shared" si="1216"/>
        <v>0</v>
      </c>
      <c r="P130" s="62">
        <f t="shared" si="1216"/>
        <v>0</v>
      </c>
      <c r="Q130" s="62">
        <f t="shared" si="1216"/>
        <v>0</v>
      </c>
      <c r="R130" s="62">
        <f t="shared" si="1216"/>
        <v>0</v>
      </c>
      <c r="S130" s="62">
        <f t="shared" si="1216"/>
        <v>0</v>
      </c>
      <c r="T130" s="62">
        <f t="shared" si="1216"/>
        <v>0</v>
      </c>
      <c r="U130" s="62">
        <f t="shared" si="1216"/>
        <v>0</v>
      </c>
      <c r="V130" s="62">
        <f t="shared" si="1216"/>
        <v>0</v>
      </c>
      <c r="W130" s="62">
        <f t="shared" si="1216"/>
        <v>0</v>
      </c>
      <c r="X130" s="62">
        <f t="shared" si="1216"/>
        <v>-13694.373238083548</v>
      </c>
      <c r="Y130" s="62">
        <f t="shared" si="1216"/>
        <v>-13694.373238083548</v>
      </c>
      <c r="Z130" s="62">
        <f t="shared" si="1216"/>
        <v>0</v>
      </c>
      <c r="AA130" s="62">
        <f t="shared" si="1216"/>
        <v>0</v>
      </c>
      <c r="AB130" s="62">
        <f t="shared" si="1216"/>
        <v>0</v>
      </c>
      <c r="AC130" s="62">
        <f t="shared" si="1216"/>
        <v>0</v>
      </c>
      <c r="AD130" s="62">
        <f t="shared" si="1216"/>
        <v>-9302.8901913790487</v>
      </c>
      <c r="AE130" s="62">
        <f t="shared" si="1216"/>
        <v>-9302.8901913790487</v>
      </c>
      <c r="AF130" s="62">
        <f t="shared" si="1216"/>
        <v>-9302.8901913790487</v>
      </c>
      <c r="AG130" s="62">
        <f t="shared" si="1216"/>
        <v>0</v>
      </c>
      <c r="AH130" s="62">
        <f t="shared" si="1216"/>
        <v>0</v>
      </c>
      <c r="AI130" s="62">
        <f t="shared" si="1216"/>
        <v>0</v>
      </c>
      <c r="AJ130" s="62">
        <f t="shared" si="1216"/>
        <v>0</v>
      </c>
      <c r="AK130" s="62">
        <f t="shared" si="1216"/>
        <v>0</v>
      </c>
      <c r="AL130" s="62">
        <f t="shared" si="1216"/>
        <v>0</v>
      </c>
      <c r="AM130" s="62">
        <f t="shared" si="1216"/>
        <v>0</v>
      </c>
      <c r="AN130" s="62">
        <f t="shared" si="1216"/>
        <v>0</v>
      </c>
      <c r="AO130" s="62">
        <f t="shared" si="1216"/>
        <v>0</v>
      </c>
      <c r="AP130" s="62">
        <f t="shared" si="1216"/>
        <v>0</v>
      </c>
      <c r="AQ130" s="62">
        <f t="shared" si="1216"/>
        <v>0</v>
      </c>
      <c r="AR130" s="62">
        <f t="shared" si="1216"/>
        <v>0</v>
      </c>
      <c r="AS130" s="62">
        <f t="shared" si="1216"/>
        <v>0</v>
      </c>
      <c r="AT130" s="62">
        <f t="shared" si="1216"/>
        <v>0</v>
      </c>
      <c r="AU130" s="62">
        <f t="shared" si="1216"/>
        <v>0</v>
      </c>
      <c r="AV130" s="62">
        <f t="shared" si="1216"/>
        <v>0</v>
      </c>
      <c r="AW130" s="62">
        <f t="shared" si="1216"/>
        <v>0</v>
      </c>
      <c r="AX130" s="62">
        <f t="shared" si="1216"/>
        <v>0</v>
      </c>
      <c r="AY130" s="62">
        <f t="shared" si="1216"/>
        <v>0</v>
      </c>
      <c r="AZ130" s="62">
        <f t="shared" si="1216"/>
        <v>0</v>
      </c>
      <c r="BA130" s="62">
        <f t="shared" si="1216"/>
        <v>0</v>
      </c>
      <c r="BB130" s="62">
        <f t="shared" si="1216"/>
        <v>0</v>
      </c>
      <c r="BC130" s="62">
        <f t="shared" si="1216"/>
        <v>0</v>
      </c>
      <c r="BD130" s="62">
        <f t="shared" si="1216"/>
        <v>0</v>
      </c>
      <c r="BE130" s="62">
        <f t="shared" si="1216"/>
        <v>0</v>
      </c>
      <c r="BF130" s="62">
        <f t="shared" si="1216"/>
        <v>0</v>
      </c>
      <c r="BG130" s="62">
        <f t="shared" si="1216"/>
        <v>0</v>
      </c>
      <c r="BH130" s="62">
        <f t="shared" si="1216"/>
        <v>0</v>
      </c>
      <c r="BI130" s="62">
        <f t="shared" si="1216"/>
        <v>0</v>
      </c>
      <c r="BJ130" s="62">
        <f t="shared" si="1216"/>
        <v>0</v>
      </c>
      <c r="BK130" s="62">
        <f t="shared" si="1216"/>
        <v>0</v>
      </c>
      <c r="BL130" s="62">
        <f t="shared" si="1216"/>
        <v>0</v>
      </c>
      <c r="BM130" s="62">
        <f t="shared" si="1216"/>
        <v>0</v>
      </c>
      <c r="BN130" s="62">
        <f t="shared" si="1216"/>
        <v>0</v>
      </c>
      <c r="BO130" s="62">
        <f t="shared" si="1216"/>
        <v>0</v>
      </c>
      <c r="BP130" s="62">
        <f t="shared" si="1216"/>
        <v>0</v>
      </c>
      <c r="BQ130" s="62">
        <f t="shared" si="1216"/>
        <v>0</v>
      </c>
      <c r="BR130" s="62">
        <f t="shared" ref="BR130:BY130" si="1217">IF(AND(BR$5&gt;$E102,BR$5&lt;=EOMONTH($E102,$E106)),-BR124,0)+IF(AND(BR$5&gt;$E104,BR$5&lt;=EOMONTH($E104,Renewal_Free_Rent_Months)),-BR125,0)+IF(AND(BR$5&gt;$E113,BR$5&lt;=EOMONTH($E113,New_Free_Rent_Months)),-BR126,0)</f>
        <v>0</v>
      </c>
      <c r="BS130" s="62">
        <f t="shared" si="1217"/>
        <v>0</v>
      </c>
      <c r="BT130" s="62">
        <f t="shared" si="1217"/>
        <v>0</v>
      </c>
      <c r="BU130" s="62">
        <f t="shared" si="1217"/>
        <v>0</v>
      </c>
      <c r="BV130" s="62">
        <f t="shared" si="1217"/>
        <v>0</v>
      </c>
      <c r="BW130" s="62">
        <f t="shared" si="1217"/>
        <v>0</v>
      </c>
      <c r="BX130" s="62">
        <f t="shared" si="1217"/>
        <v>0</v>
      </c>
      <c r="BY130" s="62">
        <f t="shared" si="1217"/>
        <v>0</v>
      </c>
    </row>
    <row r="131" spans="2:77" customFormat="1" outlineLevel="1" x14ac:dyDescent="0.25">
      <c r="B131" s="1"/>
      <c r="C131" s="50" t="s">
        <v>27</v>
      </c>
      <c r="D131" s="37" t="s">
        <v>101</v>
      </c>
      <c r="E131" s="1"/>
      <c r="F131" s="62">
        <f t="shared" ref="F131:BQ131" si="1218">IF(F$5=EOMONTH($E102,1),-New_TIs*$E101*F$15,0)+IF(F$5=EOMONTH($E108,1),-Renewal_TIs*$E101*F$15*Renewal_Probability,0)+IF(F$5=EOMONTH($E113,1),-New_TIs*$E101*F$15*(1-Renewal_Probability),0)</f>
        <v>0</v>
      </c>
      <c r="G131" s="62">
        <f t="shared" si="1218"/>
        <v>0</v>
      </c>
      <c r="H131" s="62">
        <f t="shared" si="1218"/>
        <v>0</v>
      </c>
      <c r="I131" s="62">
        <f t="shared" si="1218"/>
        <v>0</v>
      </c>
      <c r="J131" s="62">
        <f t="shared" si="1218"/>
        <v>0</v>
      </c>
      <c r="K131" s="62">
        <f t="shared" si="1218"/>
        <v>0</v>
      </c>
      <c r="L131" s="62">
        <f t="shared" si="1218"/>
        <v>0</v>
      </c>
      <c r="M131" s="62">
        <f t="shared" si="1218"/>
        <v>0</v>
      </c>
      <c r="N131" s="62">
        <f t="shared" si="1218"/>
        <v>0</v>
      </c>
      <c r="O131" s="62">
        <f t="shared" si="1218"/>
        <v>0</v>
      </c>
      <c r="P131" s="62">
        <f t="shared" si="1218"/>
        <v>0</v>
      </c>
      <c r="Q131" s="62">
        <f t="shared" si="1218"/>
        <v>0</v>
      </c>
      <c r="R131" s="62">
        <f t="shared" si="1218"/>
        <v>0</v>
      </c>
      <c r="S131" s="62">
        <f t="shared" si="1218"/>
        <v>0</v>
      </c>
      <c r="T131" s="62">
        <f t="shared" si="1218"/>
        <v>0</v>
      </c>
      <c r="U131" s="62">
        <f t="shared" si="1218"/>
        <v>0</v>
      </c>
      <c r="V131" s="62">
        <f t="shared" si="1218"/>
        <v>0</v>
      </c>
      <c r="W131" s="62">
        <f t="shared" si="1218"/>
        <v>0</v>
      </c>
      <c r="X131" s="62">
        <f t="shared" si="1218"/>
        <v>-69706.826427267762</v>
      </c>
      <c r="Y131" s="62">
        <f t="shared" si="1218"/>
        <v>0</v>
      </c>
      <c r="Z131" s="62">
        <f t="shared" si="1218"/>
        <v>0</v>
      </c>
      <c r="AA131" s="62">
        <f t="shared" si="1218"/>
        <v>0</v>
      </c>
      <c r="AB131" s="62">
        <f t="shared" si="1218"/>
        <v>0</v>
      </c>
      <c r="AC131" s="62">
        <f t="shared" si="1218"/>
        <v>0</v>
      </c>
      <c r="AD131" s="62">
        <f t="shared" si="1218"/>
        <v>-106030.81376387093</v>
      </c>
      <c r="AE131" s="62">
        <f t="shared" si="1218"/>
        <v>0</v>
      </c>
      <c r="AF131" s="62">
        <f t="shared" si="1218"/>
        <v>0</v>
      </c>
      <c r="AG131" s="62">
        <f t="shared" si="1218"/>
        <v>0</v>
      </c>
      <c r="AH131" s="62">
        <f t="shared" si="1218"/>
        <v>0</v>
      </c>
      <c r="AI131" s="62">
        <f t="shared" si="1218"/>
        <v>0</v>
      </c>
      <c r="AJ131" s="62">
        <f t="shared" si="1218"/>
        <v>0</v>
      </c>
      <c r="AK131" s="62">
        <f t="shared" si="1218"/>
        <v>0</v>
      </c>
      <c r="AL131" s="62">
        <f t="shared" si="1218"/>
        <v>0</v>
      </c>
      <c r="AM131" s="62">
        <f t="shared" si="1218"/>
        <v>0</v>
      </c>
      <c r="AN131" s="62">
        <f t="shared" si="1218"/>
        <v>0</v>
      </c>
      <c r="AO131" s="62">
        <f t="shared" si="1218"/>
        <v>0</v>
      </c>
      <c r="AP131" s="62">
        <f t="shared" si="1218"/>
        <v>0</v>
      </c>
      <c r="AQ131" s="62">
        <f t="shared" si="1218"/>
        <v>0</v>
      </c>
      <c r="AR131" s="62">
        <f t="shared" si="1218"/>
        <v>0</v>
      </c>
      <c r="AS131" s="62">
        <f t="shared" si="1218"/>
        <v>0</v>
      </c>
      <c r="AT131" s="62">
        <f t="shared" si="1218"/>
        <v>0</v>
      </c>
      <c r="AU131" s="62">
        <f t="shared" si="1218"/>
        <v>0</v>
      </c>
      <c r="AV131" s="62">
        <f t="shared" si="1218"/>
        <v>0</v>
      </c>
      <c r="AW131" s="62">
        <f t="shared" si="1218"/>
        <v>0</v>
      </c>
      <c r="AX131" s="62">
        <f t="shared" si="1218"/>
        <v>0</v>
      </c>
      <c r="AY131" s="62">
        <f t="shared" si="1218"/>
        <v>0</v>
      </c>
      <c r="AZ131" s="62">
        <f t="shared" si="1218"/>
        <v>0</v>
      </c>
      <c r="BA131" s="62">
        <f t="shared" si="1218"/>
        <v>0</v>
      </c>
      <c r="BB131" s="62">
        <f t="shared" si="1218"/>
        <v>0</v>
      </c>
      <c r="BC131" s="62">
        <f t="shared" si="1218"/>
        <v>0</v>
      </c>
      <c r="BD131" s="62">
        <f t="shared" si="1218"/>
        <v>0</v>
      </c>
      <c r="BE131" s="62">
        <f t="shared" si="1218"/>
        <v>0</v>
      </c>
      <c r="BF131" s="62">
        <f t="shared" si="1218"/>
        <v>0</v>
      </c>
      <c r="BG131" s="62">
        <f t="shared" si="1218"/>
        <v>0</v>
      </c>
      <c r="BH131" s="62">
        <f t="shared" si="1218"/>
        <v>0</v>
      </c>
      <c r="BI131" s="62">
        <f t="shared" si="1218"/>
        <v>0</v>
      </c>
      <c r="BJ131" s="62">
        <f t="shared" si="1218"/>
        <v>0</v>
      </c>
      <c r="BK131" s="62">
        <f t="shared" si="1218"/>
        <v>0</v>
      </c>
      <c r="BL131" s="62">
        <f t="shared" si="1218"/>
        <v>0</v>
      </c>
      <c r="BM131" s="62">
        <f t="shared" si="1218"/>
        <v>0</v>
      </c>
      <c r="BN131" s="62">
        <f t="shared" si="1218"/>
        <v>0</v>
      </c>
      <c r="BO131" s="62">
        <f t="shared" si="1218"/>
        <v>0</v>
      </c>
      <c r="BP131" s="62">
        <f t="shared" si="1218"/>
        <v>0</v>
      </c>
      <c r="BQ131" s="62">
        <f t="shared" si="1218"/>
        <v>0</v>
      </c>
      <c r="BR131" s="62">
        <f t="shared" ref="BR131:BY131" si="1219">IF(BR$5=EOMONTH($E102,1),-New_TIs*$E101*BR$15,0)+IF(BR$5=EOMONTH($E108,1),-Renewal_TIs*$E101*BR$15*Renewal_Probability,0)+IF(BR$5=EOMONTH($E113,1),-New_TIs*$E101*BR$15*(1-Renewal_Probability),0)</f>
        <v>0</v>
      </c>
      <c r="BS131" s="62">
        <f t="shared" si="1219"/>
        <v>0</v>
      </c>
      <c r="BT131" s="62">
        <f t="shared" si="1219"/>
        <v>0</v>
      </c>
      <c r="BU131" s="62">
        <f t="shared" si="1219"/>
        <v>0</v>
      </c>
      <c r="BV131" s="62">
        <f t="shared" si="1219"/>
        <v>0</v>
      </c>
      <c r="BW131" s="62">
        <f t="shared" si="1219"/>
        <v>0</v>
      </c>
      <c r="BX131" s="62">
        <f t="shared" si="1219"/>
        <v>0</v>
      </c>
      <c r="BY131" s="62">
        <f t="shared" si="1219"/>
        <v>0</v>
      </c>
    </row>
    <row r="132" spans="2:77" customFormat="1" outlineLevel="1" x14ac:dyDescent="0.25">
      <c r="B132" s="1"/>
      <c r="C132" s="50" t="s">
        <v>28</v>
      </c>
      <c r="D132" s="37" t="s">
        <v>101</v>
      </c>
      <c r="E132" s="1"/>
      <c r="F132" s="62">
        <f t="shared" ref="F132:BQ132" si="1220">IF(F$5=EOMONTH($E102,1),-New_LC_Pct*FV($E105,$E103,-F119*$E101),0)+IF(F$5=EOMONTH($E108,1),-Renewal_LC_Pct*FV($E111,$E109,-F120*$E101)*Renewal_Probability,0)+IF(F$5=EOMONTH($E113,1),-New_LC_Pct*FV($E116,$E114,-F121*$E101)*(1-Renewal_Probability),0)</f>
        <v>0</v>
      </c>
      <c r="G132" s="62">
        <f t="shared" si="1220"/>
        <v>0</v>
      </c>
      <c r="H132" s="62">
        <f t="shared" si="1220"/>
        <v>0</v>
      </c>
      <c r="I132" s="62">
        <f t="shared" si="1220"/>
        <v>0</v>
      </c>
      <c r="J132" s="62">
        <f t="shared" si="1220"/>
        <v>0</v>
      </c>
      <c r="K132" s="62">
        <f t="shared" si="1220"/>
        <v>0</v>
      </c>
      <c r="L132" s="62">
        <f t="shared" si="1220"/>
        <v>0</v>
      </c>
      <c r="M132" s="62">
        <f t="shared" si="1220"/>
        <v>0</v>
      </c>
      <c r="N132" s="62">
        <f t="shared" si="1220"/>
        <v>0</v>
      </c>
      <c r="O132" s="62">
        <f t="shared" si="1220"/>
        <v>0</v>
      </c>
      <c r="P132" s="62">
        <f t="shared" si="1220"/>
        <v>0</v>
      </c>
      <c r="Q132" s="62">
        <f t="shared" si="1220"/>
        <v>0</v>
      </c>
      <c r="R132" s="62">
        <f t="shared" si="1220"/>
        <v>0</v>
      </c>
      <c r="S132" s="62">
        <f t="shared" si="1220"/>
        <v>0</v>
      </c>
      <c r="T132" s="62">
        <f t="shared" si="1220"/>
        <v>0</v>
      </c>
      <c r="U132" s="62">
        <f t="shared" si="1220"/>
        <v>0</v>
      </c>
      <c r="V132" s="62">
        <f t="shared" si="1220"/>
        <v>0</v>
      </c>
      <c r="W132" s="62">
        <f t="shared" si="1220"/>
        <v>0</v>
      </c>
      <c r="X132" s="62">
        <f t="shared" si="1220"/>
        <v>-26173.903447373388</v>
      </c>
      <c r="Y132" s="62">
        <f t="shared" si="1220"/>
        <v>0</v>
      </c>
      <c r="Z132" s="62">
        <f t="shared" si="1220"/>
        <v>0</v>
      </c>
      <c r="AA132" s="62">
        <f t="shared" si="1220"/>
        <v>0</v>
      </c>
      <c r="AB132" s="62">
        <f t="shared" si="1220"/>
        <v>0</v>
      </c>
      <c r="AC132" s="62">
        <f t="shared" si="1220"/>
        <v>0</v>
      </c>
      <c r="AD132" s="62">
        <f t="shared" si="1220"/>
        <v>-35561.021365114713</v>
      </c>
      <c r="AE132" s="62">
        <f t="shared" si="1220"/>
        <v>0</v>
      </c>
      <c r="AF132" s="62">
        <f t="shared" si="1220"/>
        <v>0</v>
      </c>
      <c r="AG132" s="62">
        <f t="shared" si="1220"/>
        <v>0</v>
      </c>
      <c r="AH132" s="62">
        <f t="shared" si="1220"/>
        <v>0</v>
      </c>
      <c r="AI132" s="62">
        <f t="shared" si="1220"/>
        <v>0</v>
      </c>
      <c r="AJ132" s="62">
        <f t="shared" si="1220"/>
        <v>0</v>
      </c>
      <c r="AK132" s="62">
        <f t="shared" si="1220"/>
        <v>0</v>
      </c>
      <c r="AL132" s="62">
        <f t="shared" si="1220"/>
        <v>0</v>
      </c>
      <c r="AM132" s="62">
        <f t="shared" si="1220"/>
        <v>0</v>
      </c>
      <c r="AN132" s="62">
        <f t="shared" si="1220"/>
        <v>0</v>
      </c>
      <c r="AO132" s="62">
        <f t="shared" si="1220"/>
        <v>0</v>
      </c>
      <c r="AP132" s="62">
        <f t="shared" si="1220"/>
        <v>0</v>
      </c>
      <c r="AQ132" s="62">
        <f t="shared" si="1220"/>
        <v>0</v>
      </c>
      <c r="AR132" s="62">
        <f t="shared" si="1220"/>
        <v>0</v>
      </c>
      <c r="AS132" s="62">
        <f t="shared" si="1220"/>
        <v>0</v>
      </c>
      <c r="AT132" s="62">
        <f t="shared" si="1220"/>
        <v>0</v>
      </c>
      <c r="AU132" s="62">
        <f t="shared" si="1220"/>
        <v>0</v>
      </c>
      <c r="AV132" s="62">
        <f t="shared" si="1220"/>
        <v>0</v>
      </c>
      <c r="AW132" s="62">
        <f t="shared" si="1220"/>
        <v>0</v>
      </c>
      <c r="AX132" s="62">
        <f t="shared" si="1220"/>
        <v>0</v>
      </c>
      <c r="AY132" s="62">
        <f t="shared" si="1220"/>
        <v>0</v>
      </c>
      <c r="AZ132" s="62">
        <f t="shared" si="1220"/>
        <v>0</v>
      </c>
      <c r="BA132" s="62">
        <f t="shared" si="1220"/>
        <v>0</v>
      </c>
      <c r="BB132" s="62">
        <f t="shared" si="1220"/>
        <v>0</v>
      </c>
      <c r="BC132" s="62">
        <f t="shared" si="1220"/>
        <v>0</v>
      </c>
      <c r="BD132" s="62">
        <f t="shared" si="1220"/>
        <v>0</v>
      </c>
      <c r="BE132" s="62">
        <f t="shared" si="1220"/>
        <v>0</v>
      </c>
      <c r="BF132" s="62">
        <f t="shared" si="1220"/>
        <v>0</v>
      </c>
      <c r="BG132" s="62">
        <f t="shared" si="1220"/>
        <v>0</v>
      </c>
      <c r="BH132" s="62">
        <f t="shared" si="1220"/>
        <v>0</v>
      </c>
      <c r="BI132" s="62">
        <f t="shared" si="1220"/>
        <v>0</v>
      </c>
      <c r="BJ132" s="62">
        <f t="shared" si="1220"/>
        <v>0</v>
      </c>
      <c r="BK132" s="62">
        <f t="shared" si="1220"/>
        <v>0</v>
      </c>
      <c r="BL132" s="62">
        <f t="shared" si="1220"/>
        <v>0</v>
      </c>
      <c r="BM132" s="62">
        <f t="shared" si="1220"/>
        <v>0</v>
      </c>
      <c r="BN132" s="62">
        <f t="shared" si="1220"/>
        <v>0</v>
      </c>
      <c r="BO132" s="62">
        <f t="shared" si="1220"/>
        <v>0</v>
      </c>
      <c r="BP132" s="62">
        <f t="shared" si="1220"/>
        <v>0</v>
      </c>
      <c r="BQ132" s="62">
        <f t="shared" si="1220"/>
        <v>0</v>
      </c>
      <c r="BR132" s="62">
        <f t="shared" ref="BR132:BY132" si="1221">IF(BR$5=EOMONTH($E102,1),-New_LC_Pct*FV($E105,$E103,-BR119*$E101),0)+IF(BR$5=EOMONTH($E108,1),-Renewal_LC_Pct*FV($E111,$E109,-BR120*$E101)*Renewal_Probability,0)+IF(BR$5=EOMONTH($E113,1),-New_LC_Pct*FV($E116,$E114,-BR121*$E101)*(1-Renewal_Probability),0)</f>
        <v>0</v>
      </c>
      <c r="BS132" s="62">
        <f t="shared" si="1221"/>
        <v>0</v>
      </c>
      <c r="BT132" s="62">
        <f t="shared" si="1221"/>
        <v>0</v>
      </c>
      <c r="BU132" s="62">
        <f t="shared" si="1221"/>
        <v>0</v>
      </c>
      <c r="BV132" s="62">
        <f t="shared" si="1221"/>
        <v>0</v>
      </c>
      <c r="BW132" s="62">
        <f t="shared" si="1221"/>
        <v>0</v>
      </c>
      <c r="BX132" s="62">
        <f t="shared" si="1221"/>
        <v>0</v>
      </c>
      <c r="BY132" s="62">
        <f t="shared" si="1221"/>
        <v>0</v>
      </c>
    </row>
    <row r="133" spans="2:77" customFormat="1" outlineLevel="1" x14ac:dyDescent="0.25">
      <c r="B133" s="1"/>
      <c r="C133" s="44"/>
      <c r="D133" s="56"/>
      <c r="E133" s="1"/>
      <c r="F133" s="93"/>
      <c r="G133" s="93"/>
      <c r="H133" s="1"/>
      <c r="I133" s="1"/>
      <c r="J133" s="1"/>
      <c r="K133" s="93"/>
      <c r="AP133" s="62"/>
    </row>
    <row r="134" spans="2:77" customFormat="1" outlineLevel="1" x14ac:dyDescent="0.25">
      <c r="B134" s="1"/>
      <c r="C134" s="50" t="s">
        <v>29</v>
      </c>
      <c r="D134" s="37" t="s">
        <v>101</v>
      </c>
      <c r="E134" s="1"/>
      <c r="F134" s="62">
        <f t="shared" ref="F134:BQ134" si="1222">-IF(F$5&gt;$E102,SUM(F$338:F$341)*($E101/Rentable_Sq_Ft)*IF(AND(F$5&gt;$E104,F$5&lt;=$E113),Renewal_Probability,1),0)</f>
        <v>6894.9987766531622</v>
      </c>
      <c r="G134" s="62">
        <f t="shared" si="1222"/>
        <v>6917.571208446504</v>
      </c>
      <c r="H134" s="62">
        <f t="shared" si="1222"/>
        <v>6940.2175365077892</v>
      </c>
      <c r="I134" s="62">
        <f t="shared" si="1222"/>
        <v>6962.9380027541692</v>
      </c>
      <c r="J134" s="62">
        <f t="shared" si="1222"/>
        <v>6985.73284989477</v>
      </c>
      <c r="K134" s="62">
        <f t="shared" si="1222"/>
        <v>7008.6023214332836</v>
      </c>
      <c r="L134" s="62">
        <f t="shared" si="1222"/>
        <v>7031.5466616705735</v>
      </c>
      <c r="M134" s="62">
        <f t="shared" si="1222"/>
        <v>7054.5661157072718</v>
      </c>
      <c r="N134" s="62">
        <f t="shared" si="1222"/>
        <v>7077.6609294464142</v>
      </c>
      <c r="O134" s="62">
        <f t="shared" si="1222"/>
        <v>7100.8313495960574</v>
      </c>
      <c r="P134" s="62">
        <f t="shared" si="1222"/>
        <v>7124.0776236719139</v>
      </c>
      <c r="Q134" s="62">
        <f t="shared" si="1222"/>
        <v>7147.4000000000033</v>
      </c>
      <c r="R134" s="62">
        <f t="shared" si="1222"/>
        <v>7165.0274165705669</v>
      </c>
      <c r="S134" s="62">
        <f t="shared" si="1222"/>
        <v>7182.6983071057812</v>
      </c>
      <c r="T134" s="62">
        <f t="shared" si="1222"/>
        <v>7200.412778824174</v>
      </c>
      <c r="U134" s="62">
        <f t="shared" si="1222"/>
        <v>7218.1709392086968</v>
      </c>
      <c r="V134" s="62">
        <f t="shared" si="1222"/>
        <v>7235.972896007388</v>
      </c>
      <c r="W134" s="62">
        <f t="shared" si="1222"/>
        <v>7253.8187572340194</v>
      </c>
      <c r="X134" s="62">
        <f t="shared" si="1222"/>
        <v>4363.0251787012521</v>
      </c>
      <c r="Y134" s="62">
        <f t="shared" si="1222"/>
        <v>4373.7855758152837</v>
      </c>
      <c r="Z134" s="62">
        <f t="shared" si="1222"/>
        <v>4384.572510971454</v>
      </c>
      <c r="AA134" s="62">
        <f t="shared" si="1222"/>
        <v>4395.3860496197367</v>
      </c>
      <c r="AB134" s="62">
        <f t="shared" si="1222"/>
        <v>4406.2262573715207</v>
      </c>
      <c r="AC134" s="62">
        <f t="shared" si="1222"/>
        <v>4417.0932000000066</v>
      </c>
      <c r="AD134" s="62">
        <f t="shared" si="1222"/>
        <v>7373.9806475632768</v>
      </c>
      <c r="AE134" s="62">
        <f t="shared" si="1222"/>
        <v>7386.1593761215136</v>
      </c>
      <c r="AF134" s="62">
        <f t="shared" si="1222"/>
        <v>7398.3582188401188</v>
      </c>
      <c r="AG134" s="62">
        <f t="shared" si="1222"/>
        <v>7410.5772089392631</v>
      </c>
      <c r="AH134" s="62">
        <f t="shared" si="1222"/>
        <v>7422.8163796939834</v>
      </c>
      <c r="AI134" s="62">
        <f t="shared" si="1222"/>
        <v>7435.075764434273</v>
      </c>
      <c r="AJ134" s="62">
        <f t="shared" si="1222"/>
        <v>7447.355396545172</v>
      </c>
      <c r="AK134" s="62">
        <f t="shared" si="1222"/>
        <v>7459.6553094668607</v>
      </c>
      <c r="AL134" s="62">
        <f t="shared" si="1222"/>
        <v>7471.9755366947475</v>
      </c>
      <c r="AM134" s="62">
        <f t="shared" si="1222"/>
        <v>7484.3161117795571</v>
      </c>
      <c r="AN134" s="62">
        <f t="shared" si="1222"/>
        <v>7496.6770683274317</v>
      </c>
      <c r="AO134" s="62">
        <f t="shared" si="1222"/>
        <v>7509.0584400000153</v>
      </c>
      <c r="AP134" s="62">
        <f t="shared" si="1222"/>
        <v>7521.4602605145456</v>
      </c>
      <c r="AQ134" s="62">
        <f t="shared" si="1222"/>
        <v>7533.8825636439478</v>
      </c>
      <c r="AR134" s="62">
        <f t="shared" si="1222"/>
        <v>7546.3253832169257</v>
      </c>
      <c r="AS134" s="62">
        <f t="shared" si="1222"/>
        <v>7558.7887531180522</v>
      </c>
      <c r="AT134" s="62">
        <f t="shared" si="1222"/>
        <v>7571.2727072878688</v>
      </c>
      <c r="AU134" s="62">
        <f t="shared" si="1222"/>
        <v>7583.7772797229627</v>
      </c>
      <c r="AV134" s="62">
        <f t="shared" si="1222"/>
        <v>7596.3025044760816</v>
      </c>
      <c r="AW134" s="62">
        <f t="shared" si="1222"/>
        <v>7608.8484156562035</v>
      </c>
      <c r="AX134" s="62">
        <f t="shared" si="1222"/>
        <v>7621.4150474286471</v>
      </c>
      <c r="AY134" s="62">
        <f t="shared" si="1222"/>
        <v>7634.002434015154</v>
      </c>
      <c r="AZ134" s="62">
        <f t="shared" si="1222"/>
        <v>7646.6106096939857</v>
      </c>
      <c r="BA134" s="62">
        <f t="shared" si="1222"/>
        <v>7659.2396088000232</v>
      </c>
      <c r="BB134" s="62">
        <f t="shared" si="1222"/>
        <v>7668.7484606916905</v>
      </c>
      <c r="BC134" s="62">
        <f t="shared" si="1222"/>
        <v>7678.2691177061779</v>
      </c>
      <c r="BD134" s="62">
        <f t="shared" si="1222"/>
        <v>7687.8015944994013</v>
      </c>
      <c r="BE134" s="62">
        <f t="shared" si="1222"/>
        <v>7697.345905745472</v>
      </c>
      <c r="BF134" s="62">
        <f t="shared" si="1222"/>
        <v>7706.9020661367149</v>
      </c>
      <c r="BG134" s="62">
        <f t="shared" si="1222"/>
        <v>7716.470090383702</v>
      </c>
      <c r="BH134" s="62">
        <f t="shared" si="1222"/>
        <v>7726.0499932152616</v>
      </c>
      <c r="BI134" s="62">
        <f t="shared" si="1222"/>
        <v>7735.641789378511</v>
      </c>
      <c r="BJ134" s="62">
        <f t="shared" si="1222"/>
        <v>7745.2454936388767</v>
      </c>
      <c r="BK134" s="62">
        <f t="shared" si="1222"/>
        <v>7754.8611207801123</v>
      </c>
      <c r="BL134" s="62">
        <f t="shared" si="1222"/>
        <v>7764.4886856043304</v>
      </c>
      <c r="BM134" s="62">
        <f t="shared" si="1222"/>
        <v>7774.1282029320182</v>
      </c>
      <c r="BN134" s="62">
        <f t="shared" si="1222"/>
        <v>7783.7796876020584</v>
      </c>
      <c r="BO134" s="62">
        <f t="shared" si="1222"/>
        <v>7793.4431544717654</v>
      </c>
      <c r="BP134" s="62">
        <f t="shared" si="1222"/>
        <v>7803.1186184168873</v>
      </c>
      <c r="BQ134" s="62">
        <f t="shared" si="1222"/>
        <v>7812.8060943316495</v>
      </c>
      <c r="BR134" s="62">
        <f t="shared" ref="BR134:BY134" si="1223">-IF(BR$5&gt;$E102,SUM(BR$338:BR$341)*($E101/Rentable_Sq_Ft)*IF(AND(BR$5&gt;$E104,BR$5&lt;=$E113),Renewal_Probability,1),0)</f>
        <v>7822.505597128762</v>
      </c>
      <c r="BS134" s="62">
        <f t="shared" si="1223"/>
        <v>7832.2171417394511</v>
      </c>
      <c r="BT134" s="62">
        <f t="shared" si="1223"/>
        <v>7841.9407431134841</v>
      </c>
      <c r="BU134" s="62">
        <f t="shared" si="1223"/>
        <v>7851.676416219183</v>
      </c>
      <c r="BV134" s="62">
        <f t="shared" si="1223"/>
        <v>7861.4241760434525</v>
      </c>
      <c r="BW134" s="62">
        <f t="shared" si="1223"/>
        <v>7871.1840375918082</v>
      </c>
      <c r="BX134" s="62">
        <f t="shared" si="1223"/>
        <v>7880.9560158883896</v>
      </c>
      <c r="BY134" s="62">
        <f t="shared" si="1223"/>
        <v>7890.7401259759908</v>
      </c>
    </row>
    <row r="135" spans="2:77" customFormat="1" outlineLevel="1" x14ac:dyDescent="0.25">
      <c r="B135" s="1"/>
      <c r="C135" s="50" t="s">
        <v>125</v>
      </c>
      <c r="D135" s="37" t="s">
        <v>101</v>
      </c>
      <c r="E135" s="1"/>
      <c r="F135" s="62">
        <f t="shared" ref="F135:BQ135" si="1224">IF(F$5&lt;=$E102,-F118*$E101/Months,0)</f>
        <v>0</v>
      </c>
      <c r="G135" s="62">
        <f t="shared" si="1224"/>
        <v>0</v>
      </c>
      <c r="H135" s="62">
        <f t="shared" si="1224"/>
        <v>0</v>
      </c>
      <c r="I135" s="62">
        <f t="shared" si="1224"/>
        <v>0</v>
      </c>
      <c r="J135" s="62">
        <f t="shared" si="1224"/>
        <v>0</v>
      </c>
      <c r="K135" s="62">
        <f t="shared" si="1224"/>
        <v>0</v>
      </c>
      <c r="L135" s="62">
        <f t="shared" si="1224"/>
        <v>0</v>
      </c>
      <c r="M135" s="62">
        <f t="shared" si="1224"/>
        <v>0</v>
      </c>
      <c r="N135" s="62">
        <f t="shared" si="1224"/>
        <v>0</v>
      </c>
      <c r="O135" s="62">
        <f t="shared" si="1224"/>
        <v>0</v>
      </c>
      <c r="P135" s="62">
        <f t="shared" si="1224"/>
        <v>0</v>
      </c>
      <c r="Q135" s="62">
        <f t="shared" si="1224"/>
        <v>0</v>
      </c>
      <c r="R135" s="62">
        <f t="shared" si="1224"/>
        <v>0</v>
      </c>
      <c r="S135" s="62">
        <f t="shared" si="1224"/>
        <v>0</v>
      </c>
      <c r="T135" s="62">
        <f t="shared" si="1224"/>
        <v>0</v>
      </c>
      <c r="U135" s="62">
        <f t="shared" si="1224"/>
        <v>0</v>
      </c>
      <c r="V135" s="62">
        <f t="shared" si="1224"/>
        <v>0</v>
      </c>
      <c r="W135" s="62">
        <f t="shared" si="1224"/>
        <v>0</v>
      </c>
      <c r="X135" s="62">
        <f t="shared" si="1224"/>
        <v>0</v>
      </c>
      <c r="Y135" s="62">
        <f t="shared" si="1224"/>
        <v>0</v>
      </c>
      <c r="Z135" s="62">
        <f t="shared" si="1224"/>
        <v>0</v>
      </c>
      <c r="AA135" s="62">
        <f t="shared" si="1224"/>
        <v>0</v>
      </c>
      <c r="AB135" s="62">
        <f t="shared" si="1224"/>
        <v>0</v>
      </c>
      <c r="AC135" s="62">
        <f t="shared" si="1224"/>
        <v>0</v>
      </c>
      <c r="AD135" s="62">
        <f t="shared" si="1224"/>
        <v>0</v>
      </c>
      <c r="AE135" s="62">
        <f t="shared" si="1224"/>
        <v>0</v>
      </c>
      <c r="AF135" s="62">
        <f t="shared" si="1224"/>
        <v>0</v>
      </c>
      <c r="AG135" s="62">
        <f t="shared" si="1224"/>
        <v>0</v>
      </c>
      <c r="AH135" s="62">
        <f t="shared" si="1224"/>
        <v>0</v>
      </c>
      <c r="AI135" s="62">
        <f t="shared" si="1224"/>
        <v>0</v>
      </c>
      <c r="AJ135" s="62">
        <f t="shared" si="1224"/>
        <v>0</v>
      </c>
      <c r="AK135" s="62">
        <f t="shared" si="1224"/>
        <v>0</v>
      </c>
      <c r="AL135" s="62">
        <f t="shared" si="1224"/>
        <v>0</v>
      </c>
      <c r="AM135" s="62">
        <f t="shared" si="1224"/>
        <v>0</v>
      </c>
      <c r="AN135" s="62">
        <f t="shared" si="1224"/>
        <v>0</v>
      </c>
      <c r="AO135" s="62">
        <f t="shared" si="1224"/>
        <v>0</v>
      </c>
      <c r="AP135" s="62">
        <f t="shared" si="1224"/>
        <v>0</v>
      </c>
      <c r="AQ135" s="62">
        <f t="shared" si="1224"/>
        <v>0</v>
      </c>
      <c r="AR135" s="62">
        <f t="shared" si="1224"/>
        <v>0</v>
      </c>
      <c r="AS135" s="62">
        <f t="shared" si="1224"/>
        <v>0</v>
      </c>
      <c r="AT135" s="62">
        <f t="shared" si="1224"/>
        <v>0</v>
      </c>
      <c r="AU135" s="62">
        <f t="shared" si="1224"/>
        <v>0</v>
      </c>
      <c r="AV135" s="62">
        <f t="shared" si="1224"/>
        <v>0</v>
      </c>
      <c r="AW135" s="62">
        <f t="shared" si="1224"/>
        <v>0</v>
      </c>
      <c r="AX135" s="62">
        <f t="shared" si="1224"/>
        <v>0</v>
      </c>
      <c r="AY135" s="62">
        <f t="shared" si="1224"/>
        <v>0</v>
      </c>
      <c r="AZ135" s="62">
        <f t="shared" si="1224"/>
        <v>0</v>
      </c>
      <c r="BA135" s="62">
        <f t="shared" si="1224"/>
        <v>0</v>
      </c>
      <c r="BB135" s="62">
        <f t="shared" si="1224"/>
        <v>0</v>
      </c>
      <c r="BC135" s="62">
        <f t="shared" si="1224"/>
        <v>0</v>
      </c>
      <c r="BD135" s="62">
        <f t="shared" si="1224"/>
        <v>0</v>
      </c>
      <c r="BE135" s="62">
        <f t="shared" si="1224"/>
        <v>0</v>
      </c>
      <c r="BF135" s="62">
        <f t="shared" si="1224"/>
        <v>0</v>
      </c>
      <c r="BG135" s="62">
        <f t="shared" si="1224"/>
        <v>0</v>
      </c>
      <c r="BH135" s="62">
        <f t="shared" si="1224"/>
        <v>0</v>
      </c>
      <c r="BI135" s="62">
        <f t="shared" si="1224"/>
        <v>0</v>
      </c>
      <c r="BJ135" s="62">
        <f t="shared" si="1224"/>
        <v>0</v>
      </c>
      <c r="BK135" s="62">
        <f t="shared" si="1224"/>
        <v>0</v>
      </c>
      <c r="BL135" s="62">
        <f t="shared" si="1224"/>
        <v>0</v>
      </c>
      <c r="BM135" s="62">
        <f t="shared" si="1224"/>
        <v>0</v>
      </c>
      <c r="BN135" s="62">
        <f t="shared" si="1224"/>
        <v>0</v>
      </c>
      <c r="BO135" s="62">
        <f t="shared" si="1224"/>
        <v>0</v>
      </c>
      <c r="BP135" s="62">
        <f t="shared" si="1224"/>
        <v>0</v>
      </c>
      <c r="BQ135" s="62">
        <f t="shared" si="1224"/>
        <v>0</v>
      </c>
      <c r="BR135" s="62">
        <f t="shared" ref="BR135:BY135" si="1225">IF(BR$5&lt;=$E102,-BR118*$E101/Months,0)</f>
        <v>0</v>
      </c>
      <c r="BS135" s="62">
        <f t="shared" si="1225"/>
        <v>0</v>
      </c>
      <c r="BT135" s="62">
        <f t="shared" si="1225"/>
        <v>0</v>
      </c>
      <c r="BU135" s="62">
        <f t="shared" si="1225"/>
        <v>0</v>
      </c>
      <c r="BV135" s="62">
        <f t="shared" si="1225"/>
        <v>0</v>
      </c>
      <c r="BW135" s="62">
        <f t="shared" si="1225"/>
        <v>0</v>
      </c>
      <c r="BX135" s="62">
        <f t="shared" si="1225"/>
        <v>0</v>
      </c>
      <c r="BY135" s="62">
        <f t="shared" si="1225"/>
        <v>0</v>
      </c>
    </row>
    <row r="136" spans="2:77" customFormat="1" outlineLevel="1" x14ac:dyDescent="0.25">
      <c r="B136" s="1"/>
      <c r="C136" s="1"/>
      <c r="D136" s="1"/>
      <c r="E136" s="284"/>
      <c r="F136" s="1"/>
      <c r="G136" s="1"/>
      <c r="H136" s="1"/>
      <c r="I136" s="1"/>
      <c r="J136" s="1"/>
    </row>
    <row r="137" spans="2:77" customFormat="1" outlineLevel="1" x14ac:dyDescent="0.25">
      <c r="B137" s="1"/>
      <c r="C137" s="46" t="s">
        <v>285</v>
      </c>
      <c r="D137" s="47"/>
      <c r="E137" s="48"/>
      <c r="F137" s="48"/>
      <c r="G137" s="48"/>
      <c r="H137" s="48"/>
      <c r="I137" s="48"/>
      <c r="J137" s="48"/>
      <c r="K137" s="48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</row>
    <row r="138" spans="2:77" customFormat="1" outlineLevel="1" x14ac:dyDescent="0.25">
      <c r="B138" s="1"/>
      <c r="C138" s="16" t="s">
        <v>289</v>
      </c>
      <c r="D138" s="38" t="s">
        <v>12</v>
      </c>
      <c r="E138" s="15" t="s">
        <v>291</v>
      </c>
      <c r="F138" s="1"/>
      <c r="G138" s="1"/>
      <c r="H138" s="1"/>
      <c r="I138" s="1"/>
      <c r="J138" s="1"/>
      <c r="P138" s="92"/>
      <c r="Q138" s="92"/>
      <c r="R138" s="92"/>
      <c r="S138" s="92"/>
      <c r="T138" s="92"/>
      <c r="U138" s="92"/>
      <c r="V138" s="92"/>
      <c r="W138" s="92"/>
      <c r="X138" s="92"/>
      <c r="Y138" s="92"/>
    </row>
    <row r="139" spans="2:77" customFormat="1" outlineLevel="1" x14ac:dyDescent="0.25">
      <c r="B139" s="1"/>
      <c r="C139" s="74" t="s">
        <v>114</v>
      </c>
      <c r="D139" s="53" t="s">
        <v>16</v>
      </c>
      <c r="E139" s="11">
        <v>0.125</v>
      </c>
      <c r="F139" s="1"/>
      <c r="G139" s="1"/>
      <c r="H139" s="1"/>
      <c r="I139" s="1"/>
      <c r="J139" s="1"/>
      <c r="P139" s="92"/>
      <c r="Q139" s="92"/>
      <c r="R139" s="92"/>
      <c r="S139" s="92"/>
      <c r="T139" s="92"/>
      <c r="U139" s="92"/>
      <c r="V139" s="92"/>
      <c r="W139" s="92"/>
      <c r="X139" s="92"/>
      <c r="Y139" s="92"/>
    </row>
    <row r="140" spans="2:77" customFormat="1" outlineLevel="1" x14ac:dyDescent="0.25">
      <c r="B140" s="1"/>
      <c r="C140" s="50" t="s">
        <v>115</v>
      </c>
      <c r="D140" s="55" t="s">
        <v>22</v>
      </c>
      <c r="E140" s="146">
        <f>+E139*Rentable_Sq_Ft</f>
        <v>6862.5</v>
      </c>
      <c r="F140" s="1"/>
      <c r="G140" s="1"/>
      <c r="H140" s="1"/>
      <c r="I140" s="1"/>
      <c r="J140" s="1"/>
    </row>
    <row r="141" spans="2:77" customFormat="1" outlineLevel="1" x14ac:dyDescent="0.25">
      <c r="B141" s="1"/>
      <c r="C141" s="50" t="s">
        <v>39</v>
      </c>
      <c r="D141" s="36" t="s">
        <v>13</v>
      </c>
      <c r="E141" s="14">
        <v>42735</v>
      </c>
      <c r="F141" s="1"/>
      <c r="G141" s="1"/>
      <c r="H141" s="1"/>
      <c r="I141" s="1"/>
      <c r="J141" s="1"/>
    </row>
    <row r="142" spans="2:77" customFormat="1" outlineLevel="1" x14ac:dyDescent="0.25">
      <c r="B142" s="1"/>
      <c r="C142" s="50" t="s">
        <v>55</v>
      </c>
      <c r="D142" s="36" t="s">
        <v>17</v>
      </c>
      <c r="E142" s="51">
        <v>6</v>
      </c>
      <c r="F142" s="1"/>
      <c r="G142" s="1"/>
      <c r="H142" s="1"/>
      <c r="I142" s="1"/>
      <c r="J142" s="1"/>
    </row>
    <row r="143" spans="2:77" customFormat="1" outlineLevel="1" x14ac:dyDescent="0.25">
      <c r="B143" s="1"/>
      <c r="C143" s="50" t="s">
        <v>23</v>
      </c>
      <c r="D143" s="36" t="s">
        <v>13</v>
      </c>
      <c r="E143" s="102">
        <f>EOMONTH(E141,E142*Months)</f>
        <v>44926</v>
      </c>
      <c r="F143" s="1"/>
      <c r="G143" s="1"/>
      <c r="H143" s="1"/>
      <c r="I143" s="1"/>
      <c r="J143" s="1"/>
    </row>
    <row r="144" spans="2:77" customFormat="1" outlineLevel="1" x14ac:dyDescent="0.25">
      <c r="B144" s="1"/>
      <c r="C144" s="74" t="s">
        <v>263</v>
      </c>
      <c r="D144" s="38" t="s">
        <v>16</v>
      </c>
      <c r="E144" s="128">
        <v>0.02</v>
      </c>
      <c r="F144" s="105">
        <f>IF(AND(E$5&gt;$E141,F$5&lt;$E143,MONTH(E$5)=MONTH($E141)),$E144,0)</f>
        <v>0</v>
      </c>
      <c r="G144" s="105">
        <f t="shared" ref="G144" si="1226">IF(AND(F$5&gt;$E141,G$5&lt;$E143,MONTH(F$5)=MONTH($E141)),$E144,0)</f>
        <v>0</v>
      </c>
      <c r="H144" s="105">
        <f t="shared" ref="H144" si="1227">IF(AND(G$5&gt;$E141,H$5&lt;$E143,MONTH(G$5)=MONTH($E141)),$E144,0)</f>
        <v>0</v>
      </c>
      <c r="I144" s="105">
        <f t="shared" ref="I144" si="1228">IF(AND(H$5&gt;$E141,I$5&lt;$E143,MONTH(H$5)=MONTH($E141)),$E144,0)</f>
        <v>0</v>
      </c>
      <c r="J144" s="105">
        <f t="shared" ref="J144" si="1229">IF(AND(I$5&gt;$E141,J$5&lt;$E143,MONTH(I$5)=MONTH($E141)),$E144,0)</f>
        <v>0</v>
      </c>
      <c r="K144" s="105">
        <f t="shared" ref="K144" si="1230">IF(AND(J$5&gt;$E141,K$5&lt;$E143,MONTH(J$5)=MONTH($E141)),$E144,0)</f>
        <v>0</v>
      </c>
      <c r="L144" s="105">
        <f t="shared" ref="L144" si="1231">IF(AND(K$5&gt;$E141,L$5&lt;$E143,MONTH(K$5)=MONTH($E141)),$E144,0)</f>
        <v>0</v>
      </c>
      <c r="M144" s="105">
        <f t="shared" ref="M144" si="1232">IF(AND(L$5&gt;$E141,M$5&lt;$E143,MONTH(L$5)=MONTH($E141)),$E144,0)</f>
        <v>0</v>
      </c>
      <c r="N144" s="105">
        <f t="shared" ref="N144" si="1233">IF(AND(M$5&gt;$E141,N$5&lt;$E143,MONTH(M$5)=MONTH($E141)),$E144,0)</f>
        <v>0</v>
      </c>
      <c r="O144" s="105">
        <f t="shared" ref="O144" si="1234">IF(AND(N$5&gt;$E141,O$5&lt;$E143,MONTH(N$5)=MONTH($E141)),$E144,0)</f>
        <v>0</v>
      </c>
      <c r="P144" s="105">
        <f t="shared" ref="P144" si="1235">IF(AND(O$5&gt;$E141,P$5&lt;$E143,MONTH(O$5)=MONTH($E141)),$E144,0)</f>
        <v>0</v>
      </c>
      <c r="Q144" s="105">
        <f t="shared" ref="Q144" si="1236">IF(AND(P$5&gt;$E141,Q$5&lt;$E143,MONTH(P$5)=MONTH($E141)),$E144,0)</f>
        <v>0</v>
      </c>
      <c r="R144" s="105">
        <f t="shared" ref="R144" si="1237">IF(AND(Q$5&gt;$E141,R$5&lt;$E143,MONTH(Q$5)=MONTH($E141)),$E144,0)</f>
        <v>0.02</v>
      </c>
      <c r="S144" s="105">
        <f t="shared" ref="S144" si="1238">IF(AND(R$5&gt;$E141,S$5&lt;$E143,MONTH(R$5)=MONTH($E141)),$E144,0)</f>
        <v>0</v>
      </c>
      <c r="T144" s="105">
        <f t="shared" ref="T144" si="1239">IF(AND(S$5&gt;$E141,T$5&lt;$E143,MONTH(S$5)=MONTH($E141)),$E144,0)</f>
        <v>0</v>
      </c>
      <c r="U144" s="105">
        <f t="shared" ref="U144" si="1240">IF(AND(T$5&gt;$E141,U$5&lt;$E143,MONTH(T$5)=MONTH($E141)),$E144,0)</f>
        <v>0</v>
      </c>
      <c r="V144" s="105">
        <f t="shared" ref="V144" si="1241">IF(AND(U$5&gt;$E141,V$5&lt;$E143,MONTH(U$5)=MONTH($E141)),$E144,0)</f>
        <v>0</v>
      </c>
      <c r="W144" s="105">
        <f t="shared" ref="W144" si="1242">IF(AND(V$5&gt;$E141,W$5&lt;$E143,MONTH(V$5)=MONTH($E141)),$E144,0)</f>
        <v>0</v>
      </c>
      <c r="X144" s="105">
        <f t="shared" ref="X144" si="1243">IF(AND(W$5&gt;$E141,X$5&lt;$E143,MONTH(W$5)=MONTH($E141)),$E144,0)</f>
        <v>0</v>
      </c>
      <c r="Y144" s="105">
        <f t="shared" ref="Y144" si="1244">IF(AND(X$5&gt;$E141,Y$5&lt;$E143,MONTH(X$5)=MONTH($E141)),$E144,0)</f>
        <v>0</v>
      </c>
      <c r="Z144" s="105">
        <f t="shared" ref="Z144" si="1245">IF(AND(Y$5&gt;$E141,Z$5&lt;$E143,MONTH(Y$5)=MONTH($E141)),$E144,0)</f>
        <v>0</v>
      </c>
      <c r="AA144" s="105">
        <f t="shared" ref="AA144" si="1246">IF(AND(Z$5&gt;$E141,AA$5&lt;$E143,MONTH(Z$5)=MONTH($E141)),$E144,0)</f>
        <v>0</v>
      </c>
      <c r="AB144" s="105">
        <f t="shared" ref="AB144" si="1247">IF(AND(AA$5&gt;$E141,AB$5&lt;$E143,MONTH(AA$5)=MONTH($E141)),$E144,0)</f>
        <v>0</v>
      </c>
      <c r="AC144" s="105">
        <f t="shared" ref="AC144" si="1248">IF(AND(AB$5&gt;$E141,AC$5&lt;$E143,MONTH(AB$5)=MONTH($E141)),$E144,0)</f>
        <v>0</v>
      </c>
      <c r="AD144" s="105">
        <f t="shared" ref="AD144" si="1249">IF(AND(AC$5&gt;$E141,AD$5&lt;$E143,MONTH(AC$5)=MONTH($E141)),$E144,0)</f>
        <v>0.02</v>
      </c>
      <c r="AE144" s="105">
        <f t="shared" ref="AE144" si="1250">IF(AND(AD$5&gt;$E141,AE$5&lt;$E143,MONTH(AD$5)=MONTH($E141)),$E144,0)</f>
        <v>0</v>
      </c>
      <c r="AF144" s="105">
        <f t="shared" ref="AF144" si="1251">IF(AND(AE$5&gt;$E141,AF$5&lt;$E143,MONTH(AE$5)=MONTH($E141)),$E144,0)</f>
        <v>0</v>
      </c>
      <c r="AG144" s="105">
        <f t="shared" ref="AG144" si="1252">IF(AND(AF$5&gt;$E141,AG$5&lt;$E143,MONTH(AF$5)=MONTH($E141)),$E144,0)</f>
        <v>0</v>
      </c>
      <c r="AH144" s="105">
        <f t="shared" ref="AH144" si="1253">IF(AND(AG$5&gt;$E141,AH$5&lt;$E143,MONTH(AG$5)=MONTH($E141)),$E144,0)</f>
        <v>0</v>
      </c>
      <c r="AI144" s="105">
        <f t="shared" ref="AI144" si="1254">IF(AND(AH$5&gt;$E141,AI$5&lt;$E143,MONTH(AH$5)=MONTH($E141)),$E144,0)</f>
        <v>0</v>
      </c>
      <c r="AJ144" s="105">
        <f t="shared" ref="AJ144" si="1255">IF(AND(AI$5&gt;$E141,AJ$5&lt;$E143,MONTH(AI$5)=MONTH($E141)),$E144,0)</f>
        <v>0</v>
      </c>
      <c r="AK144" s="105">
        <f t="shared" ref="AK144" si="1256">IF(AND(AJ$5&gt;$E141,AK$5&lt;$E143,MONTH(AJ$5)=MONTH($E141)),$E144,0)</f>
        <v>0</v>
      </c>
      <c r="AL144" s="105">
        <f t="shared" ref="AL144" si="1257">IF(AND(AK$5&gt;$E141,AL$5&lt;$E143,MONTH(AK$5)=MONTH($E141)),$E144,0)</f>
        <v>0</v>
      </c>
      <c r="AM144" s="105">
        <f t="shared" ref="AM144" si="1258">IF(AND(AL$5&gt;$E141,AM$5&lt;$E143,MONTH(AL$5)=MONTH($E141)),$E144,0)</f>
        <v>0</v>
      </c>
      <c r="AN144" s="105">
        <f t="shared" ref="AN144" si="1259">IF(AND(AM$5&gt;$E141,AN$5&lt;$E143,MONTH(AM$5)=MONTH($E141)),$E144,0)</f>
        <v>0</v>
      </c>
      <c r="AO144" s="105">
        <f t="shared" ref="AO144" si="1260">IF(AND(AN$5&gt;$E141,AO$5&lt;$E143,MONTH(AN$5)=MONTH($E141)),$E144,0)</f>
        <v>0</v>
      </c>
      <c r="AP144" s="105">
        <f t="shared" ref="AP144" si="1261">IF(AND(AO$5&gt;$E141,AP$5&lt;$E143,MONTH(AO$5)=MONTH($E141)),$E144,0)</f>
        <v>0.02</v>
      </c>
      <c r="AQ144" s="105">
        <f t="shared" ref="AQ144" si="1262">IF(AND(AP$5&gt;$E141,AQ$5&lt;$E143,MONTH(AP$5)=MONTH($E141)),$E144,0)</f>
        <v>0</v>
      </c>
      <c r="AR144" s="105">
        <f t="shared" ref="AR144" si="1263">IF(AND(AQ$5&gt;$E141,AR$5&lt;$E143,MONTH(AQ$5)=MONTH($E141)),$E144,0)</f>
        <v>0</v>
      </c>
      <c r="AS144" s="105">
        <f t="shared" ref="AS144" si="1264">IF(AND(AR$5&gt;$E141,AS$5&lt;$E143,MONTH(AR$5)=MONTH($E141)),$E144,0)</f>
        <v>0</v>
      </c>
      <c r="AT144" s="105">
        <f t="shared" ref="AT144" si="1265">IF(AND(AS$5&gt;$E141,AT$5&lt;$E143,MONTH(AS$5)=MONTH($E141)),$E144,0)</f>
        <v>0</v>
      </c>
      <c r="AU144" s="105">
        <f t="shared" ref="AU144" si="1266">IF(AND(AT$5&gt;$E141,AU$5&lt;$E143,MONTH(AT$5)=MONTH($E141)),$E144,0)</f>
        <v>0</v>
      </c>
      <c r="AV144" s="105">
        <f t="shared" ref="AV144" si="1267">IF(AND(AU$5&gt;$E141,AV$5&lt;$E143,MONTH(AU$5)=MONTH($E141)),$E144,0)</f>
        <v>0</v>
      </c>
      <c r="AW144" s="105">
        <f t="shared" ref="AW144" si="1268">IF(AND(AV$5&gt;$E141,AW$5&lt;$E143,MONTH(AV$5)=MONTH($E141)),$E144,0)</f>
        <v>0</v>
      </c>
      <c r="AX144" s="105">
        <f t="shared" ref="AX144" si="1269">IF(AND(AW$5&gt;$E141,AX$5&lt;$E143,MONTH(AW$5)=MONTH($E141)),$E144,0)</f>
        <v>0</v>
      </c>
      <c r="AY144" s="105">
        <f t="shared" ref="AY144" si="1270">IF(AND(AX$5&gt;$E141,AY$5&lt;$E143,MONTH(AX$5)=MONTH($E141)),$E144,0)</f>
        <v>0</v>
      </c>
      <c r="AZ144" s="105">
        <f t="shared" ref="AZ144" si="1271">IF(AND(AY$5&gt;$E141,AZ$5&lt;$E143,MONTH(AY$5)=MONTH($E141)),$E144,0)</f>
        <v>0</v>
      </c>
      <c r="BA144" s="105">
        <f t="shared" ref="BA144" si="1272">IF(AND(AZ$5&gt;$E141,BA$5&lt;$E143,MONTH(AZ$5)=MONTH($E141)),$E144,0)</f>
        <v>0</v>
      </c>
      <c r="BB144" s="105">
        <f t="shared" ref="BB144" si="1273">IF(AND(BA$5&gt;$E141,BB$5&lt;$E143,MONTH(BA$5)=MONTH($E141)),$E144,0)</f>
        <v>0.02</v>
      </c>
      <c r="BC144" s="105">
        <f t="shared" ref="BC144" si="1274">IF(AND(BB$5&gt;$E141,BC$5&lt;$E143,MONTH(BB$5)=MONTH($E141)),$E144,0)</f>
        <v>0</v>
      </c>
      <c r="BD144" s="105">
        <f t="shared" ref="BD144" si="1275">IF(AND(BC$5&gt;$E141,BD$5&lt;$E143,MONTH(BC$5)=MONTH($E141)),$E144,0)</f>
        <v>0</v>
      </c>
      <c r="BE144" s="105">
        <f t="shared" ref="BE144" si="1276">IF(AND(BD$5&gt;$E141,BE$5&lt;$E143,MONTH(BD$5)=MONTH($E141)),$E144,0)</f>
        <v>0</v>
      </c>
      <c r="BF144" s="105">
        <f t="shared" ref="BF144" si="1277">IF(AND(BE$5&gt;$E141,BF$5&lt;$E143,MONTH(BE$5)=MONTH($E141)),$E144,0)</f>
        <v>0</v>
      </c>
      <c r="BG144" s="105">
        <f t="shared" ref="BG144" si="1278">IF(AND(BF$5&gt;$E141,BG$5&lt;$E143,MONTH(BF$5)=MONTH($E141)),$E144,0)</f>
        <v>0</v>
      </c>
      <c r="BH144" s="105">
        <f t="shared" ref="BH144" si="1279">IF(AND(BG$5&gt;$E141,BH$5&lt;$E143,MONTH(BG$5)=MONTH($E141)),$E144,0)</f>
        <v>0</v>
      </c>
      <c r="BI144" s="105">
        <f t="shared" ref="BI144" si="1280">IF(AND(BH$5&gt;$E141,BI$5&lt;$E143,MONTH(BH$5)=MONTH($E141)),$E144,0)</f>
        <v>0</v>
      </c>
      <c r="BJ144" s="105">
        <f t="shared" ref="BJ144" si="1281">IF(AND(BI$5&gt;$E141,BJ$5&lt;$E143,MONTH(BI$5)=MONTH($E141)),$E144,0)</f>
        <v>0</v>
      </c>
      <c r="BK144" s="105">
        <f t="shared" ref="BK144" si="1282">IF(AND(BJ$5&gt;$E141,BK$5&lt;$E143,MONTH(BJ$5)=MONTH($E141)),$E144,0)</f>
        <v>0</v>
      </c>
      <c r="BL144" s="105">
        <f t="shared" ref="BL144" si="1283">IF(AND(BK$5&gt;$E141,BL$5&lt;$E143,MONTH(BK$5)=MONTH($E141)),$E144,0)</f>
        <v>0</v>
      </c>
      <c r="BM144" s="105">
        <f t="shared" ref="BM144" si="1284">IF(AND(BL$5&gt;$E141,BM$5&lt;$E143,MONTH(BL$5)=MONTH($E141)),$E144,0)</f>
        <v>0</v>
      </c>
      <c r="BN144" s="105">
        <f t="shared" ref="BN144" si="1285">IF(AND(BM$5&gt;$E141,BN$5&lt;$E143,MONTH(BM$5)=MONTH($E141)),$E144,0)</f>
        <v>0</v>
      </c>
      <c r="BO144" s="105">
        <f t="shared" ref="BO144" si="1286">IF(AND(BN$5&gt;$E141,BO$5&lt;$E143,MONTH(BN$5)=MONTH($E141)),$E144,0)</f>
        <v>0</v>
      </c>
      <c r="BP144" s="105">
        <f t="shared" ref="BP144" si="1287">IF(AND(BO$5&gt;$E141,BP$5&lt;$E143,MONTH(BO$5)=MONTH($E141)),$E144,0)</f>
        <v>0</v>
      </c>
      <c r="BQ144" s="105">
        <f t="shared" ref="BQ144" si="1288">IF(AND(BP$5&gt;$E141,BQ$5&lt;$E143,MONTH(BP$5)=MONTH($E141)),$E144,0)</f>
        <v>0</v>
      </c>
      <c r="BR144" s="105">
        <f t="shared" ref="BR144" si="1289">IF(AND(BQ$5&gt;$E141,BR$5&lt;$E143,MONTH(BQ$5)=MONTH($E141)),$E144,0)</f>
        <v>0</v>
      </c>
      <c r="BS144" s="105">
        <f t="shared" ref="BS144" si="1290">IF(AND(BR$5&gt;$E141,BS$5&lt;$E143,MONTH(BR$5)=MONTH($E141)),$E144,0)</f>
        <v>0</v>
      </c>
      <c r="BT144" s="105">
        <f t="shared" ref="BT144" si="1291">IF(AND(BS$5&gt;$E141,BT$5&lt;$E143,MONTH(BS$5)=MONTH($E141)),$E144,0)</f>
        <v>0</v>
      </c>
      <c r="BU144" s="105">
        <f t="shared" ref="BU144" si="1292">IF(AND(BT$5&gt;$E141,BU$5&lt;$E143,MONTH(BT$5)=MONTH($E141)),$E144,0)</f>
        <v>0</v>
      </c>
      <c r="BV144" s="105">
        <f t="shared" ref="BV144" si="1293">IF(AND(BU$5&gt;$E141,BV$5&lt;$E143,MONTH(BU$5)=MONTH($E141)),$E144,0)</f>
        <v>0</v>
      </c>
      <c r="BW144" s="105">
        <f t="shared" ref="BW144" si="1294">IF(AND(BV$5&gt;$E141,BW$5&lt;$E143,MONTH(BV$5)=MONTH($E141)),$E144,0)</f>
        <v>0</v>
      </c>
      <c r="BX144" s="105">
        <f t="shared" ref="BX144" si="1295">IF(AND(BW$5&gt;$E141,BX$5&lt;$E143,MONTH(BW$5)=MONTH($E141)),$E144,0)</f>
        <v>0</v>
      </c>
      <c r="BY144" s="105">
        <f t="shared" ref="BY144" si="1296">IF(AND(BX$5&gt;$E141,BY$5&lt;$E143,MONTH(BX$5)=MONTH($E141)),$E144,0)</f>
        <v>0</v>
      </c>
    </row>
    <row r="145" spans="2:77" customFormat="1" outlineLevel="1" x14ac:dyDescent="0.25">
      <c r="B145" s="1"/>
      <c r="C145" s="74" t="s">
        <v>264</v>
      </c>
      <c r="D145" s="36" t="s">
        <v>19</v>
      </c>
      <c r="E145" s="51">
        <v>5</v>
      </c>
      <c r="F145" s="1"/>
      <c r="G145" s="1"/>
      <c r="H145" s="1"/>
      <c r="I145" s="1"/>
      <c r="J145" s="1"/>
      <c r="AP145" s="62"/>
    </row>
    <row r="146" spans="2:77" customFormat="1" outlineLevel="1" x14ac:dyDescent="0.25">
      <c r="B146" s="1"/>
      <c r="C146" s="44"/>
      <c r="D146" s="56"/>
      <c r="E146" s="285"/>
      <c r="F146" s="1"/>
      <c r="G146" s="1"/>
      <c r="H146" s="1"/>
      <c r="I146" s="1"/>
      <c r="J146" s="1"/>
      <c r="AP146" s="62"/>
    </row>
    <row r="147" spans="2:77" customFormat="1" outlineLevel="1" x14ac:dyDescent="0.25">
      <c r="B147" s="1"/>
      <c r="C147" s="74" t="s">
        <v>265</v>
      </c>
      <c r="D147" s="36" t="s">
        <v>13</v>
      </c>
      <c r="E147" s="145">
        <f>E143</f>
        <v>44926</v>
      </c>
      <c r="F147" s="1"/>
      <c r="G147" s="1"/>
      <c r="H147" s="1"/>
      <c r="I147" s="1"/>
      <c r="J147" s="1"/>
      <c r="AP147" s="62"/>
    </row>
    <row r="148" spans="2:77" customFormat="1" outlineLevel="1" x14ac:dyDescent="0.25">
      <c r="B148" s="1"/>
      <c r="C148" s="74" t="s">
        <v>266</v>
      </c>
      <c r="D148" s="36" t="s">
        <v>17</v>
      </c>
      <c r="E148" s="295">
        <f>New_Lease_Years</f>
        <v>5</v>
      </c>
      <c r="F148" s="1"/>
      <c r="G148" s="1"/>
      <c r="H148" s="1"/>
      <c r="I148" s="1"/>
      <c r="J148" s="1"/>
      <c r="AP148" s="62"/>
    </row>
    <row r="149" spans="2:77" customFormat="1" outlineLevel="1" x14ac:dyDescent="0.25">
      <c r="B149" s="1"/>
      <c r="C149" s="50" t="s">
        <v>267</v>
      </c>
      <c r="D149" s="36" t="s">
        <v>13</v>
      </c>
      <c r="E149" s="145">
        <f>EOMONTH(E147,E148*Months)</f>
        <v>46752</v>
      </c>
      <c r="F149" s="1"/>
      <c r="G149" s="1"/>
      <c r="H149" s="1"/>
      <c r="I149" s="1"/>
      <c r="J149" s="1"/>
      <c r="AP149" s="62"/>
    </row>
    <row r="150" spans="2:77" customFormat="1" outlineLevel="1" x14ac:dyDescent="0.25">
      <c r="B150" s="1"/>
      <c r="C150" s="74" t="s">
        <v>268</v>
      </c>
      <c r="D150" s="38" t="s">
        <v>16</v>
      </c>
      <c r="E150" s="105">
        <f>INDEX(Annual!$F$65:$K$92,16,INDEX(Monthly!$F$5:$BY$9,5,MATCH(E147,$F$5:$BY$5,0)))</f>
        <v>0.02</v>
      </c>
      <c r="F150" s="105">
        <f>IF(AND(E$5&gt;$E147,F$5&lt;$E149,MONTH(E$5)=MONTH($E147)),$E150,0)</f>
        <v>0</v>
      </c>
      <c r="G150" s="105">
        <f t="shared" ref="G150" si="1297">IF(AND(F$5&gt;$E147,G$5&lt;$E149,MONTH(F$5)=MONTH($E147)),$E150,0)</f>
        <v>0</v>
      </c>
      <c r="H150" s="105">
        <f t="shared" ref="H150" si="1298">IF(AND(G$5&gt;$E147,H$5&lt;$E149,MONTH(G$5)=MONTH($E147)),$E150,0)</f>
        <v>0</v>
      </c>
      <c r="I150" s="105">
        <f t="shared" ref="I150" si="1299">IF(AND(H$5&gt;$E147,I$5&lt;$E149,MONTH(H$5)=MONTH($E147)),$E150,0)</f>
        <v>0</v>
      </c>
      <c r="J150" s="105">
        <f t="shared" ref="J150" si="1300">IF(AND(I$5&gt;$E147,J$5&lt;$E149,MONTH(I$5)=MONTH($E147)),$E150,0)</f>
        <v>0</v>
      </c>
      <c r="K150" s="105">
        <f t="shared" ref="K150" si="1301">IF(AND(J$5&gt;$E147,K$5&lt;$E149,MONTH(J$5)=MONTH($E147)),$E150,0)</f>
        <v>0</v>
      </c>
      <c r="L150" s="105">
        <f t="shared" ref="L150" si="1302">IF(AND(K$5&gt;$E147,L$5&lt;$E149,MONTH(K$5)=MONTH($E147)),$E150,0)</f>
        <v>0</v>
      </c>
      <c r="M150" s="105">
        <f t="shared" ref="M150" si="1303">IF(AND(L$5&gt;$E147,M$5&lt;$E149,MONTH(L$5)=MONTH($E147)),$E150,0)</f>
        <v>0</v>
      </c>
      <c r="N150" s="105">
        <f t="shared" ref="N150" si="1304">IF(AND(M$5&gt;$E147,N$5&lt;$E149,MONTH(M$5)=MONTH($E147)),$E150,0)</f>
        <v>0</v>
      </c>
      <c r="O150" s="105">
        <f t="shared" ref="O150" si="1305">IF(AND(N$5&gt;$E147,O$5&lt;$E149,MONTH(N$5)=MONTH($E147)),$E150,0)</f>
        <v>0</v>
      </c>
      <c r="P150" s="105">
        <f t="shared" ref="P150" si="1306">IF(AND(O$5&gt;$E147,P$5&lt;$E149,MONTH(O$5)=MONTH($E147)),$E150,0)</f>
        <v>0</v>
      </c>
      <c r="Q150" s="105">
        <f t="shared" ref="Q150" si="1307">IF(AND(P$5&gt;$E147,Q$5&lt;$E149,MONTH(P$5)=MONTH($E147)),$E150,0)</f>
        <v>0</v>
      </c>
      <c r="R150" s="105">
        <f t="shared" ref="R150" si="1308">IF(AND(Q$5&gt;$E147,R$5&lt;$E149,MONTH(Q$5)=MONTH($E147)),$E150,0)</f>
        <v>0</v>
      </c>
      <c r="S150" s="105">
        <f t="shared" ref="S150" si="1309">IF(AND(R$5&gt;$E147,S$5&lt;$E149,MONTH(R$5)=MONTH($E147)),$E150,0)</f>
        <v>0</v>
      </c>
      <c r="T150" s="105">
        <f t="shared" ref="T150" si="1310">IF(AND(S$5&gt;$E147,T$5&lt;$E149,MONTH(S$5)=MONTH($E147)),$E150,0)</f>
        <v>0</v>
      </c>
      <c r="U150" s="105">
        <f t="shared" ref="U150" si="1311">IF(AND(T$5&gt;$E147,U$5&lt;$E149,MONTH(T$5)=MONTH($E147)),$E150,0)</f>
        <v>0</v>
      </c>
      <c r="V150" s="105">
        <f t="shared" ref="V150" si="1312">IF(AND(U$5&gt;$E147,V$5&lt;$E149,MONTH(U$5)=MONTH($E147)),$E150,0)</f>
        <v>0</v>
      </c>
      <c r="W150" s="105">
        <f t="shared" ref="W150" si="1313">IF(AND(V$5&gt;$E147,W$5&lt;$E149,MONTH(V$5)=MONTH($E147)),$E150,0)</f>
        <v>0</v>
      </c>
      <c r="X150" s="105">
        <f t="shared" ref="X150" si="1314">IF(AND(W$5&gt;$E147,X$5&lt;$E149,MONTH(W$5)=MONTH($E147)),$E150,0)</f>
        <v>0</v>
      </c>
      <c r="Y150" s="105">
        <f t="shared" ref="Y150" si="1315">IF(AND(X$5&gt;$E147,Y$5&lt;$E149,MONTH(X$5)=MONTH($E147)),$E150,0)</f>
        <v>0</v>
      </c>
      <c r="Z150" s="105">
        <f t="shared" ref="Z150" si="1316">IF(AND(Y$5&gt;$E147,Z$5&lt;$E149,MONTH(Y$5)=MONTH($E147)),$E150,0)</f>
        <v>0</v>
      </c>
      <c r="AA150" s="105">
        <f t="shared" ref="AA150" si="1317">IF(AND(Z$5&gt;$E147,AA$5&lt;$E149,MONTH(Z$5)=MONTH($E147)),$E150,0)</f>
        <v>0</v>
      </c>
      <c r="AB150" s="105">
        <f t="shared" ref="AB150" si="1318">IF(AND(AA$5&gt;$E147,AB$5&lt;$E149,MONTH(AA$5)=MONTH($E147)),$E150,0)</f>
        <v>0</v>
      </c>
      <c r="AC150" s="105">
        <f t="shared" ref="AC150" si="1319">IF(AND(AB$5&gt;$E147,AC$5&lt;$E149,MONTH(AB$5)=MONTH($E147)),$E150,0)</f>
        <v>0</v>
      </c>
      <c r="AD150" s="105">
        <f t="shared" ref="AD150" si="1320">IF(AND(AC$5&gt;$E147,AD$5&lt;$E149,MONTH(AC$5)=MONTH($E147)),$E150,0)</f>
        <v>0</v>
      </c>
      <c r="AE150" s="105">
        <f t="shared" ref="AE150" si="1321">IF(AND(AD$5&gt;$E147,AE$5&lt;$E149,MONTH(AD$5)=MONTH($E147)),$E150,0)</f>
        <v>0</v>
      </c>
      <c r="AF150" s="105">
        <f t="shared" ref="AF150" si="1322">IF(AND(AE$5&gt;$E147,AF$5&lt;$E149,MONTH(AE$5)=MONTH($E147)),$E150,0)</f>
        <v>0</v>
      </c>
      <c r="AG150" s="105">
        <f t="shared" ref="AG150" si="1323">IF(AND(AF$5&gt;$E147,AG$5&lt;$E149,MONTH(AF$5)=MONTH($E147)),$E150,0)</f>
        <v>0</v>
      </c>
      <c r="AH150" s="105">
        <f t="shared" ref="AH150" si="1324">IF(AND(AG$5&gt;$E147,AH$5&lt;$E149,MONTH(AG$5)=MONTH($E147)),$E150,0)</f>
        <v>0</v>
      </c>
      <c r="AI150" s="105">
        <f t="shared" ref="AI150" si="1325">IF(AND(AH$5&gt;$E147,AI$5&lt;$E149,MONTH(AH$5)=MONTH($E147)),$E150,0)</f>
        <v>0</v>
      </c>
      <c r="AJ150" s="105">
        <f t="shared" ref="AJ150" si="1326">IF(AND(AI$5&gt;$E147,AJ$5&lt;$E149,MONTH(AI$5)=MONTH($E147)),$E150,0)</f>
        <v>0</v>
      </c>
      <c r="AK150" s="105">
        <f t="shared" ref="AK150" si="1327">IF(AND(AJ$5&gt;$E147,AK$5&lt;$E149,MONTH(AJ$5)=MONTH($E147)),$E150,0)</f>
        <v>0</v>
      </c>
      <c r="AL150" s="105">
        <f t="shared" ref="AL150" si="1328">IF(AND(AK$5&gt;$E147,AL$5&lt;$E149,MONTH(AK$5)=MONTH($E147)),$E150,0)</f>
        <v>0</v>
      </c>
      <c r="AM150" s="105">
        <f t="shared" ref="AM150" si="1329">IF(AND(AL$5&gt;$E147,AM$5&lt;$E149,MONTH(AL$5)=MONTH($E147)),$E150,0)</f>
        <v>0</v>
      </c>
      <c r="AN150" s="105">
        <f t="shared" ref="AN150" si="1330">IF(AND(AM$5&gt;$E147,AN$5&lt;$E149,MONTH(AM$5)=MONTH($E147)),$E150,0)</f>
        <v>0</v>
      </c>
      <c r="AO150" s="105">
        <f t="shared" ref="AO150" si="1331">IF(AND(AN$5&gt;$E147,AO$5&lt;$E149,MONTH(AN$5)=MONTH($E147)),$E150,0)</f>
        <v>0</v>
      </c>
      <c r="AP150" s="105">
        <f t="shared" ref="AP150" si="1332">IF(AND(AO$5&gt;$E147,AP$5&lt;$E149,MONTH(AO$5)=MONTH($E147)),$E150,0)</f>
        <v>0</v>
      </c>
      <c r="AQ150" s="105">
        <f t="shared" ref="AQ150" si="1333">IF(AND(AP$5&gt;$E147,AQ$5&lt;$E149,MONTH(AP$5)=MONTH($E147)),$E150,0)</f>
        <v>0</v>
      </c>
      <c r="AR150" s="105">
        <f t="shared" ref="AR150" si="1334">IF(AND(AQ$5&gt;$E147,AR$5&lt;$E149,MONTH(AQ$5)=MONTH($E147)),$E150,0)</f>
        <v>0</v>
      </c>
      <c r="AS150" s="105">
        <f t="shared" ref="AS150" si="1335">IF(AND(AR$5&gt;$E147,AS$5&lt;$E149,MONTH(AR$5)=MONTH($E147)),$E150,0)</f>
        <v>0</v>
      </c>
      <c r="AT150" s="105">
        <f t="shared" ref="AT150" si="1336">IF(AND(AS$5&gt;$E147,AT$5&lt;$E149,MONTH(AS$5)=MONTH($E147)),$E150,0)</f>
        <v>0</v>
      </c>
      <c r="AU150" s="105">
        <f t="shared" ref="AU150" si="1337">IF(AND(AT$5&gt;$E147,AU$5&lt;$E149,MONTH(AT$5)=MONTH($E147)),$E150,0)</f>
        <v>0</v>
      </c>
      <c r="AV150" s="105">
        <f t="shared" ref="AV150" si="1338">IF(AND(AU$5&gt;$E147,AV$5&lt;$E149,MONTH(AU$5)=MONTH($E147)),$E150,0)</f>
        <v>0</v>
      </c>
      <c r="AW150" s="105">
        <f t="shared" ref="AW150" si="1339">IF(AND(AV$5&gt;$E147,AW$5&lt;$E149,MONTH(AV$5)=MONTH($E147)),$E150,0)</f>
        <v>0</v>
      </c>
      <c r="AX150" s="105">
        <f t="shared" ref="AX150" si="1340">IF(AND(AW$5&gt;$E147,AX$5&lt;$E149,MONTH(AW$5)=MONTH($E147)),$E150,0)</f>
        <v>0</v>
      </c>
      <c r="AY150" s="105">
        <f t="shared" ref="AY150" si="1341">IF(AND(AX$5&gt;$E147,AY$5&lt;$E149,MONTH(AX$5)=MONTH($E147)),$E150,0)</f>
        <v>0</v>
      </c>
      <c r="AZ150" s="105">
        <f t="shared" ref="AZ150" si="1342">IF(AND(AY$5&gt;$E147,AZ$5&lt;$E149,MONTH(AY$5)=MONTH($E147)),$E150,0)</f>
        <v>0</v>
      </c>
      <c r="BA150" s="105">
        <f t="shared" ref="BA150" si="1343">IF(AND(AZ$5&gt;$E147,BA$5&lt;$E149,MONTH(AZ$5)=MONTH($E147)),$E150,0)</f>
        <v>0</v>
      </c>
      <c r="BB150" s="105">
        <f t="shared" ref="BB150" si="1344">IF(AND(BA$5&gt;$E147,BB$5&lt;$E149,MONTH(BA$5)=MONTH($E147)),$E150,0)</f>
        <v>0</v>
      </c>
      <c r="BC150" s="105">
        <f t="shared" ref="BC150" si="1345">IF(AND(BB$5&gt;$E147,BC$5&lt;$E149,MONTH(BB$5)=MONTH($E147)),$E150,0)</f>
        <v>0</v>
      </c>
      <c r="BD150" s="105">
        <f t="shared" ref="BD150" si="1346">IF(AND(BC$5&gt;$E147,BD$5&lt;$E149,MONTH(BC$5)=MONTH($E147)),$E150,0)</f>
        <v>0</v>
      </c>
      <c r="BE150" s="105">
        <f t="shared" ref="BE150" si="1347">IF(AND(BD$5&gt;$E147,BE$5&lt;$E149,MONTH(BD$5)=MONTH($E147)),$E150,0)</f>
        <v>0</v>
      </c>
      <c r="BF150" s="105">
        <f t="shared" ref="BF150" si="1348">IF(AND(BE$5&gt;$E147,BF$5&lt;$E149,MONTH(BE$5)=MONTH($E147)),$E150,0)</f>
        <v>0</v>
      </c>
      <c r="BG150" s="105">
        <f t="shared" ref="BG150" si="1349">IF(AND(BF$5&gt;$E147,BG$5&lt;$E149,MONTH(BF$5)=MONTH($E147)),$E150,0)</f>
        <v>0</v>
      </c>
      <c r="BH150" s="105">
        <f t="shared" ref="BH150" si="1350">IF(AND(BG$5&gt;$E147,BH$5&lt;$E149,MONTH(BG$5)=MONTH($E147)),$E150,0)</f>
        <v>0</v>
      </c>
      <c r="BI150" s="105">
        <f t="shared" ref="BI150" si="1351">IF(AND(BH$5&gt;$E147,BI$5&lt;$E149,MONTH(BH$5)=MONTH($E147)),$E150,0)</f>
        <v>0</v>
      </c>
      <c r="BJ150" s="105">
        <f t="shared" ref="BJ150" si="1352">IF(AND(BI$5&gt;$E147,BJ$5&lt;$E149,MONTH(BI$5)=MONTH($E147)),$E150,0)</f>
        <v>0</v>
      </c>
      <c r="BK150" s="105">
        <f t="shared" ref="BK150" si="1353">IF(AND(BJ$5&gt;$E147,BK$5&lt;$E149,MONTH(BJ$5)=MONTH($E147)),$E150,0)</f>
        <v>0</v>
      </c>
      <c r="BL150" s="105">
        <f t="shared" ref="BL150" si="1354">IF(AND(BK$5&gt;$E147,BL$5&lt;$E149,MONTH(BK$5)=MONTH($E147)),$E150,0)</f>
        <v>0</v>
      </c>
      <c r="BM150" s="105">
        <f t="shared" ref="BM150" si="1355">IF(AND(BL$5&gt;$E147,BM$5&lt;$E149,MONTH(BL$5)=MONTH($E147)),$E150,0)</f>
        <v>0</v>
      </c>
      <c r="BN150" s="105">
        <f t="shared" ref="BN150" si="1356">IF(AND(BM$5&gt;$E147,BN$5&lt;$E149,MONTH(BM$5)=MONTH($E147)),$E150,0)</f>
        <v>0</v>
      </c>
      <c r="BO150" s="105">
        <f t="shared" ref="BO150" si="1357">IF(AND(BN$5&gt;$E147,BO$5&lt;$E149,MONTH(BN$5)=MONTH($E147)),$E150,0)</f>
        <v>0</v>
      </c>
      <c r="BP150" s="105">
        <f t="shared" ref="BP150" si="1358">IF(AND(BO$5&gt;$E147,BP$5&lt;$E149,MONTH(BO$5)=MONTH($E147)),$E150,0)</f>
        <v>0</v>
      </c>
      <c r="BQ150" s="105">
        <f t="shared" ref="BQ150" si="1359">IF(AND(BP$5&gt;$E147,BQ$5&lt;$E149,MONTH(BP$5)=MONTH($E147)),$E150,0)</f>
        <v>0</v>
      </c>
      <c r="BR150" s="105">
        <f t="shared" ref="BR150" si="1360">IF(AND(BQ$5&gt;$E147,BR$5&lt;$E149,MONTH(BQ$5)=MONTH($E147)),$E150,0)</f>
        <v>0</v>
      </c>
      <c r="BS150" s="105">
        <f t="shared" ref="BS150" si="1361">IF(AND(BR$5&gt;$E147,BS$5&lt;$E149,MONTH(BR$5)=MONTH($E147)),$E150,0)</f>
        <v>0</v>
      </c>
      <c r="BT150" s="105">
        <f t="shared" ref="BT150" si="1362">IF(AND(BS$5&gt;$E147,BT$5&lt;$E149,MONTH(BS$5)=MONTH($E147)),$E150,0)</f>
        <v>0</v>
      </c>
      <c r="BU150" s="105">
        <f t="shared" ref="BU150" si="1363">IF(AND(BT$5&gt;$E147,BU$5&lt;$E149,MONTH(BT$5)=MONTH($E147)),$E150,0)</f>
        <v>0</v>
      </c>
      <c r="BV150" s="105">
        <f t="shared" ref="BV150" si="1364">IF(AND(BU$5&gt;$E147,BV$5&lt;$E149,MONTH(BU$5)=MONTH($E147)),$E150,0)</f>
        <v>0</v>
      </c>
      <c r="BW150" s="105">
        <f t="shared" ref="BW150" si="1365">IF(AND(BV$5&gt;$E147,BW$5&lt;$E149,MONTH(BV$5)=MONTH($E147)),$E150,0)</f>
        <v>0</v>
      </c>
      <c r="BX150" s="105">
        <f t="shared" ref="BX150" si="1366">IF(AND(BW$5&gt;$E147,BX$5&lt;$E149,MONTH(BW$5)=MONTH($E147)),$E150,0)</f>
        <v>0</v>
      </c>
      <c r="BY150" s="105">
        <f t="shared" ref="BY150" si="1367">IF(AND(BX$5&gt;$E147,BY$5&lt;$E149,MONTH(BX$5)=MONTH($E147)),$E150,0)</f>
        <v>0</v>
      </c>
    </row>
    <row r="151" spans="2:77" customFormat="1" outlineLevel="1" x14ac:dyDescent="0.25">
      <c r="B151" s="1"/>
      <c r="C151" s="44"/>
      <c r="D151" s="56"/>
      <c r="E151" s="1"/>
      <c r="F151" s="1"/>
      <c r="G151" s="1"/>
      <c r="H151" s="1"/>
      <c r="I151" s="1"/>
      <c r="J151" s="1"/>
      <c r="AP151" s="62"/>
    </row>
    <row r="152" spans="2:77" customFormat="1" outlineLevel="1" x14ac:dyDescent="0.25">
      <c r="B152" s="1"/>
      <c r="C152" s="74" t="s">
        <v>269</v>
      </c>
      <c r="D152" s="36" t="s">
        <v>13</v>
      </c>
      <c r="E152" s="145">
        <f>EOMONTH(E143,Down_Months)</f>
        <v>45107</v>
      </c>
      <c r="F152" s="1"/>
      <c r="G152" s="1"/>
      <c r="H152" s="1"/>
      <c r="I152" s="1"/>
      <c r="J152" s="1"/>
      <c r="AP152" s="62"/>
    </row>
    <row r="153" spans="2:77" customFormat="1" outlineLevel="1" x14ac:dyDescent="0.25">
      <c r="B153" s="1"/>
      <c r="C153" s="74" t="s">
        <v>270</v>
      </c>
      <c r="D153" s="36" t="s">
        <v>17</v>
      </c>
      <c r="E153" s="295">
        <f>New_Lease_Years</f>
        <v>5</v>
      </c>
      <c r="F153" s="1"/>
      <c r="G153" s="1"/>
      <c r="H153" s="1"/>
      <c r="I153" s="1"/>
      <c r="J153" s="1"/>
      <c r="AP153" s="62"/>
    </row>
    <row r="154" spans="2:77" customFormat="1" outlineLevel="1" x14ac:dyDescent="0.25">
      <c r="B154" s="1"/>
      <c r="C154" s="50" t="s">
        <v>271</v>
      </c>
      <c r="D154" s="36" t="s">
        <v>13</v>
      </c>
      <c r="E154" s="145">
        <f>EOMONTH(E152,E153*Months)</f>
        <v>46934</v>
      </c>
      <c r="F154" s="1"/>
      <c r="G154" s="1"/>
      <c r="H154" s="1"/>
      <c r="I154" s="1"/>
      <c r="J154" s="1"/>
      <c r="AP154" s="62"/>
    </row>
    <row r="155" spans="2:77" customFormat="1" outlineLevel="1" x14ac:dyDescent="0.25">
      <c r="B155" s="1"/>
      <c r="C155" s="74" t="s">
        <v>272</v>
      </c>
      <c r="D155" s="38" t="s">
        <v>16</v>
      </c>
      <c r="E155" s="105">
        <f>INDEX(Annual!$F$65:$K$92,16,INDEX(Monthly!$F$5:$BY$9,5,MATCH(E152,$F$5:$BY$5,0)))</f>
        <v>0.02</v>
      </c>
      <c r="F155" s="105">
        <f>IF(AND(E$5&gt;$E152,F$5&lt;$E154,MONTH(E$5)=MONTH($E152)),$E155,0)</f>
        <v>0</v>
      </c>
      <c r="G155" s="105">
        <f t="shared" ref="G155" si="1368">IF(AND(F$5&gt;$E152,G$5&lt;$E154,MONTH(F$5)=MONTH($E152)),$E155,0)</f>
        <v>0</v>
      </c>
      <c r="H155" s="105">
        <f t="shared" ref="H155" si="1369">IF(AND(G$5&gt;$E152,H$5&lt;$E154,MONTH(G$5)=MONTH($E152)),$E155,0)</f>
        <v>0</v>
      </c>
      <c r="I155" s="105">
        <f t="shared" ref="I155" si="1370">IF(AND(H$5&gt;$E152,I$5&lt;$E154,MONTH(H$5)=MONTH($E152)),$E155,0)</f>
        <v>0</v>
      </c>
      <c r="J155" s="105">
        <f t="shared" ref="J155" si="1371">IF(AND(I$5&gt;$E152,J$5&lt;$E154,MONTH(I$5)=MONTH($E152)),$E155,0)</f>
        <v>0</v>
      </c>
      <c r="K155" s="105">
        <f t="shared" ref="K155" si="1372">IF(AND(J$5&gt;$E152,K$5&lt;$E154,MONTH(J$5)=MONTH($E152)),$E155,0)</f>
        <v>0</v>
      </c>
      <c r="L155" s="105">
        <f t="shared" ref="L155" si="1373">IF(AND(K$5&gt;$E152,L$5&lt;$E154,MONTH(K$5)=MONTH($E152)),$E155,0)</f>
        <v>0</v>
      </c>
      <c r="M155" s="105">
        <f t="shared" ref="M155" si="1374">IF(AND(L$5&gt;$E152,M$5&lt;$E154,MONTH(L$5)=MONTH($E152)),$E155,0)</f>
        <v>0</v>
      </c>
      <c r="N155" s="105">
        <f t="shared" ref="N155" si="1375">IF(AND(M$5&gt;$E152,N$5&lt;$E154,MONTH(M$5)=MONTH($E152)),$E155,0)</f>
        <v>0</v>
      </c>
      <c r="O155" s="105">
        <f t="shared" ref="O155" si="1376">IF(AND(N$5&gt;$E152,O$5&lt;$E154,MONTH(N$5)=MONTH($E152)),$E155,0)</f>
        <v>0</v>
      </c>
      <c r="P155" s="105">
        <f t="shared" ref="P155" si="1377">IF(AND(O$5&gt;$E152,P$5&lt;$E154,MONTH(O$5)=MONTH($E152)),$E155,0)</f>
        <v>0</v>
      </c>
      <c r="Q155" s="105">
        <f t="shared" ref="Q155" si="1378">IF(AND(P$5&gt;$E152,Q$5&lt;$E154,MONTH(P$5)=MONTH($E152)),$E155,0)</f>
        <v>0</v>
      </c>
      <c r="R155" s="105">
        <f t="shared" ref="R155" si="1379">IF(AND(Q$5&gt;$E152,R$5&lt;$E154,MONTH(Q$5)=MONTH($E152)),$E155,0)</f>
        <v>0</v>
      </c>
      <c r="S155" s="105">
        <f t="shared" ref="S155" si="1380">IF(AND(R$5&gt;$E152,S$5&lt;$E154,MONTH(R$5)=MONTH($E152)),$E155,0)</f>
        <v>0</v>
      </c>
      <c r="T155" s="105">
        <f t="shared" ref="T155" si="1381">IF(AND(S$5&gt;$E152,T$5&lt;$E154,MONTH(S$5)=MONTH($E152)),$E155,0)</f>
        <v>0</v>
      </c>
      <c r="U155" s="105">
        <f t="shared" ref="U155" si="1382">IF(AND(T$5&gt;$E152,U$5&lt;$E154,MONTH(T$5)=MONTH($E152)),$E155,0)</f>
        <v>0</v>
      </c>
      <c r="V155" s="105">
        <f t="shared" ref="V155" si="1383">IF(AND(U$5&gt;$E152,V$5&lt;$E154,MONTH(U$5)=MONTH($E152)),$E155,0)</f>
        <v>0</v>
      </c>
      <c r="W155" s="105">
        <f t="shared" ref="W155" si="1384">IF(AND(V$5&gt;$E152,W$5&lt;$E154,MONTH(V$5)=MONTH($E152)),$E155,0)</f>
        <v>0</v>
      </c>
      <c r="X155" s="105">
        <f t="shared" ref="X155" si="1385">IF(AND(W$5&gt;$E152,X$5&lt;$E154,MONTH(W$5)=MONTH($E152)),$E155,0)</f>
        <v>0</v>
      </c>
      <c r="Y155" s="105">
        <f t="shared" ref="Y155" si="1386">IF(AND(X$5&gt;$E152,Y$5&lt;$E154,MONTH(X$5)=MONTH($E152)),$E155,0)</f>
        <v>0</v>
      </c>
      <c r="Z155" s="105">
        <f t="shared" ref="Z155" si="1387">IF(AND(Y$5&gt;$E152,Z$5&lt;$E154,MONTH(Y$5)=MONTH($E152)),$E155,0)</f>
        <v>0</v>
      </c>
      <c r="AA155" s="105">
        <f t="shared" ref="AA155" si="1388">IF(AND(Z$5&gt;$E152,AA$5&lt;$E154,MONTH(Z$5)=MONTH($E152)),$E155,0)</f>
        <v>0</v>
      </c>
      <c r="AB155" s="105">
        <f t="shared" ref="AB155" si="1389">IF(AND(AA$5&gt;$E152,AB$5&lt;$E154,MONTH(AA$5)=MONTH($E152)),$E155,0)</f>
        <v>0</v>
      </c>
      <c r="AC155" s="105">
        <f t="shared" ref="AC155" si="1390">IF(AND(AB$5&gt;$E152,AC$5&lt;$E154,MONTH(AB$5)=MONTH($E152)),$E155,0)</f>
        <v>0</v>
      </c>
      <c r="AD155" s="105">
        <f t="shared" ref="AD155" si="1391">IF(AND(AC$5&gt;$E152,AD$5&lt;$E154,MONTH(AC$5)=MONTH($E152)),$E155,0)</f>
        <v>0</v>
      </c>
      <c r="AE155" s="105">
        <f t="shared" ref="AE155" si="1392">IF(AND(AD$5&gt;$E152,AE$5&lt;$E154,MONTH(AD$5)=MONTH($E152)),$E155,0)</f>
        <v>0</v>
      </c>
      <c r="AF155" s="105">
        <f t="shared" ref="AF155" si="1393">IF(AND(AE$5&gt;$E152,AF$5&lt;$E154,MONTH(AE$5)=MONTH($E152)),$E155,0)</f>
        <v>0</v>
      </c>
      <c r="AG155" s="105">
        <f t="shared" ref="AG155" si="1394">IF(AND(AF$5&gt;$E152,AG$5&lt;$E154,MONTH(AF$5)=MONTH($E152)),$E155,0)</f>
        <v>0</v>
      </c>
      <c r="AH155" s="105">
        <f t="shared" ref="AH155" si="1395">IF(AND(AG$5&gt;$E152,AH$5&lt;$E154,MONTH(AG$5)=MONTH($E152)),$E155,0)</f>
        <v>0</v>
      </c>
      <c r="AI155" s="105">
        <f t="shared" ref="AI155" si="1396">IF(AND(AH$5&gt;$E152,AI$5&lt;$E154,MONTH(AH$5)=MONTH($E152)),$E155,0)</f>
        <v>0</v>
      </c>
      <c r="AJ155" s="105">
        <f t="shared" ref="AJ155" si="1397">IF(AND(AI$5&gt;$E152,AJ$5&lt;$E154,MONTH(AI$5)=MONTH($E152)),$E155,0)</f>
        <v>0</v>
      </c>
      <c r="AK155" s="105">
        <f t="shared" ref="AK155" si="1398">IF(AND(AJ$5&gt;$E152,AK$5&lt;$E154,MONTH(AJ$5)=MONTH($E152)),$E155,0)</f>
        <v>0</v>
      </c>
      <c r="AL155" s="105">
        <f t="shared" ref="AL155" si="1399">IF(AND(AK$5&gt;$E152,AL$5&lt;$E154,MONTH(AK$5)=MONTH($E152)),$E155,0)</f>
        <v>0</v>
      </c>
      <c r="AM155" s="105">
        <f t="shared" ref="AM155" si="1400">IF(AND(AL$5&gt;$E152,AM$5&lt;$E154,MONTH(AL$5)=MONTH($E152)),$E155,0)</f>
        <v>0</v>
      </c>
      <c r="AN155" s="105">
        <f t="shared" ref="AN155" si="1401">IF(AND(AM$5&gt;$E152,AN$5&lt;$E154,MONTH(AM$5)=MONTH($E152)),$E155,0)</f>
        <v>0</v>
      </c>
      <c r="AO155" s="105">
        <f t="shared" ref="AO155" si="1402">IF(AND(AN$5&gt;$E152,AO$5&lt;$E154,MONTH(AN$5)=MONTH($E152)),$E155,0)</f>
        <v>0</v>
      </c>
      <c r="AP155" s="105">
        <f t="shared" ref="AP155" si="1403">IF(AND(AO$5&gt;$E152,AP$5&lt;$E154,MONTH(AO$5)=MONTH($E152)),$E155,0)</f>
        <v>0</v>
      </c>
      <c r="AQ155" s="105">
        <f t="shared" ref="AQ155" si="1404">IF(AND(AP$5&gt;$E152,AQ$5&lt;$E154,MONTH(AP$5)=MONTH($E152)),$E155,0)</f>
        <v>0</v>
      </c>
      <c r="AR155" s="105">
        <f t="shared" ref="AR155" si="1405">IF(AND(AQ$5&gt;$E152,AR$5&lt;$E154,MONTH(AQ$5)=MONTH($E152)),$E155,0)</f>
        <v>0</v>
      </c>
      <c r="AS155" s="105">
        <f t="shared" ref="AS155" si="1406">IF(AND(AR$5&gt;$E152,AS$5&lt;$E154,MONTH(AR$5)=MONTH($E152)),$E155,0)</f>
        <v>0</v>
      </c>
      <c r="AT155" s="105">
        <f t="shared" ref="AT155" si="1407">IF(AND(AS$5&gt;$E152,AT$5&lt;$E154,MONTH(AS$5)=MONTH($E152)),$E155,0)</f>
        <v>0</v>
      </c>
      <c r="AU155" s="105">
        <f t="shared" ref="AU155" si="1408">IF(AND(AT$5&gt;$E152,AU$5&lt;$E154,MONTH(AT$5)=MONTH($E152)),$E155,0)</f>
        <v>0</v>
      </c>
      <c r="AV155" s="105">
        <f t="shared" ref="AV155" si="1409">IF(AND(AU$5&gt;$E152,AV$5&lt;$E154,MONTH(AU$5)=MONTH($E152)),$E155,0)</f>
        <v>0</v>
      </c>
      <c r="AW155" s="105">
        <f t="shared" ref="AW155" si="1410">IF(AND(AV$5&gt;$E152,AW$5&lt;$E154,MONTH(AV$5)=MONTH($E152)),$E155,0)</f>
        <v>0</v>
      </c>
      <c r="AX155" s="105">
        <f t="shared" ref="AX155" si="1411">IF(AND(AW$5&gt;$E152,AX$5&lt;$E154,MONTH(AW$5)=MONTH($E152)),$E155,0)</f>
        <v>0</v>
      </c>
      <c r="AY155" s="105">
        <f t="shared" ref="AY155" si="1412">IF(AND(AX$5&gt;$E152,AY$5&lt;$E154,MONTH(AX$5)=MONTH($E152)),$E155,0)</f>
        <v>0</v>
      </c>
      <c r="AZ155" s="105">
        <f t="shared" ref="AZ155" si="1413">IF(AND(AY$5&gt;$E152,AZ$5&lt;$E154,MONTH(AY$5)=MONTH($E152)),$E155,0)</f>
        <v>0</v>
      </c>
      <c r="BA155" s="105">
        <f t="shared" ref="BA155" si="1414">IF(AND(AZ$5&gt;$E152,BA$5&lt;$E154,MONTH(AZ$5)=MONTH($E152)),$E155,0)</f>
        <v>0</v>
      </c>
      <c r="BB155" s="105">
        <f t="shared" ref="BB155" si="1415">IF(AND(BA$5&gt;$E152,BB$5&lt;$E154,MONTH(BA$5)=MONTH($E152)),$E155,0)</f>
        <v>0</v>
      </c>
      <c r="BC155" s="105">
        <f t="shared" ref="BC155" si="1416">IF(AND(BB$5&gt;$E152,BC$5&lt;$E154,MONTH(BB$5)=MONTH($E152)),$E155,0)</f>
        <v>0</v>
      </c>
      <c r="BD155" s="105">
        <f t="shared" ref="BD155" si="1417">IF(AND(BC$5&gt;$E152,BD$5&lt;$E154,MONTH(BC$5)=MONTH($E152)),$E155,0)</f>
        <v>0</v>
      </c>
      <c r="BE155" s="105">
        <f t="shared" ref="BE155" si="1418">IF(AND(BD$5&gt;$E152,BE$5&lt;$E154,MONTH(BD$5)=MONTH($E152)),$E155,0)</f>
        <v>0</v>
      </c>
      <c r="BF155" s="105">
        <f t="shared" ref="BF155" si="1419">IF(AND(BE$5&gt;$E152,BF$5&lt;$E154,MONTH(BE$5)=MONTH($E152)),$E155,0)</f>
        <v>0</v>
      </c>
      <c r="BG155" s="105">
        <f t="shared" ref="BG155" si="1420">IF(AND(BF$5&gt;$E152,BG$5&lt;$E154,MONTH(BF$5)=MONTH($E152)),$E155,0)</f>
        <v>0</v>
      </c>
      <c r="BH155" s="105">
        <f t="shared" ref="BH155" si="1421">IF(AND(BG$5&gt;$E152,BH$5&lt;$E154,MONTH(BG$5)=MONTH($E152)),$E155,0)</f>
        <v>0</v>
      </c>
      <c r="BI155" s="105">
        <f t="shared" ref="BI155" si="1422">IF(AND(BH$5&gt;$E152,BI$5&lt;$E154,MONTH(BH$5)=MONTH($E152)),$E155,0)</f>
        <v>0</v>
      </c>
      <c r="BJ155" s="105">
        <f t="shared" ref="BJ155" si="1423">IF(AND(BI$5&gt;$E152,BJ$5&lt;$E154,MONTH(BI$5)=MONTH($E152)),$E155,0)</f>
        <v>0</v>
      </c>
      <c r="BK155" s="105">
        <f t="shared" ref="BK155" si="1424">IF(AND(BJ$5&gt;$E152,BK$5&lt;$E154,MONTH(BJ$5)=MONTH($E152)),$E155,0)</f>
        <v>0</v>
      </c>
      <c r="BL155" s="105">
        <f t="shared" ref="BL155" si="1425">IF(AND(BK$5&gt;$E152,BL$5&lt;$E154,MONTH(BK$5)=MONTH($E152)),$E155,0)</f>
        <v>0</v>
      </c>
      <c r="BM155" s="105">
        <f t="shared" ref="BM155" si="1426">IF(AND(BL$5&gt;$E152,BM$5&lt;$E154,MONTH(BL$5)=MONTH($E152)),$E155,0)</f>
        <v>0</v>
      </c>
      <c r="BN155" s="105">
        <f t="shared" ref="BN155" si="1427">IF(AND(BM$5&gt;$E152,BN$5&lt;$E154,MONTH(BM$5)=MONTH($E152)),$E155,0)</f>
        <v>0</v>
      </c>
      <c r="BO155" s="105">
        <f t="shared" ref="BO155" si="1428">IF(AND(BN$5&gt;$E152,BO$5&lt;$E154,MONTH(BN$5)=MONTH($E152)),$E155,0)</f>
        <v>0</v>
      </c>
      <c r="BP155" s="105">
        <f t="shared" ref="BP155" si="1429">IF(AND(BO$5&gt;$E152,BP$5&lt;$E154,MONTH(BO$5)=MONTH($E152)),$E155,0)</f>
        <v>0</v>
      </c>
      <c r="BQ155" s="105">
        <f t="shared" ref="BQ155" si="1430">IF(AND(BP$5&gt;$E152,BQ$5&lt;$E154,MONTH(BP$5)=MONTH($E152)),$E155,0)</f>
        <v>0</v>
      </c>
      <c r="BR155" s="105">
        <f t="shared" ref="BR155" si="1431">IF(AND(BQ$5&gt;$E152,BR$5&lt;$E154,MONTH(BQ$5)=MONTH($E152)),$E155,0)</f>
        <v>0</v>
      </c>
      <c r="BS155" s="105">
        <f t="shared" ref="BS155" si="1432">IF(AND(BR$5&gt;$E152,BS$5&lt;$E154,MONTH(BR$5)=MONTH($E152)),$E155,0)</f>
        <v>0</v>
      </c>
      <c r="BT155" s="105">
        <f t="shared" ref="BT155" si="1433">IF(AND(BS$5&gt;$E152,BT$5&lt;$E154,MONTH(BS$5)=MONTH($E152)),$E155,0)</f>
        <v>0</v>
      </c>
      <c r="BU155" s="105">
        <f t="shared" ref="BU155" si="1434">IF(AND(BT$5&gt;$E152,BU$5&lt;$E154,MONTH(BT$5)=MONTH($E152)),$E155,0)</f>
        <v>0</v>
      </c>
      <c r="BV155" s="105">
        <f t="shared" ref="BV155" si="1435">IF(AND(BU$5&gt;$E152,BV$5&lt;$E154,MONTH(BU$5)=MONTH($E152)),$E155,0)</f>
        <v>0</v>
      </c>
      <c r="BW155" s="105">
        <f t="shared" ref="BW155" si="1436">IF(AND(BV$5&gt;$E152,BW$5&lt;$E154,MONTH(BV$5)=MONTH($E152)),$E155,0)</f>
        <v>0</v>
      </c>
      <c r="BX155" s="105">
        <f t="shared" ref="BX155" si="1437">IF(AND(BW$5&gt;$E152,BX$5&lt;$E154,MONTH(BW$5)=MONTH($E152)),$E155,0)</f>
        <v>0</v>
      </c>
      <c r="BY155" s="105">
        <f t="shared" ref="BY155" si="1438">IF(AND(BX$5&gt;$E152,BY$5&lt;$E154,MONTH(BX$5)=MONTH($E152)),$E155,0)</f>
        <v>0</v>
      </c>
    </row>
    <row r="156" spans="2:77" customFormat="1" outlineLevel="1" x14ac:dyDescent="0.25">
      <c r="B156" s="1"/>
      <c r="C156" s="44"/>
      <c r="D156" s="56"/>
      <c r="E156" s="285"/>
      <c r="F156" s="1"/>
      <c r="G156" s="1"/>
      <c r="H156" s="1"/>
      <c r="I156" s="1"/>
      <c r="J156" s="1"/>
      <c r="AP156" s="62"/>
    </row>
    <row r="157" spans="2:77" customFormat="1" outlineLevel="1" x14ac:dyDescent="0.25">
      <c r="B157" s="1"/>
      <c r="C157" s="74" t="s">
        <v>113</v>
      </c>
      <c r="D157" s="36" t="s">
        <v>116</v>
      </c>
      <c r="E157" s="153">
        <v>48</v>
      </c>
      <c r="F157" s="151">
        <f>+$E157*F$12</f>
        <v>48.233642427136466</v>
      </c>
      <c r="G157" s="151">
        <f t="shared" ref="G157:BR157" si="1439">+$E157*G$12</f>
        <v>48.468422120601232</v>
      </c>
      <c r="H157" s="151">
        <f t="shared" si="1439"/>
        <v>48.704344616095646</v>
      </c>
      <c r="I157" s="151">
        <f t="shared" si="1439"/>
        <v>48.941415476266386</v>
      </c>
      <c r="J157" s="151">
        <f t="shared" si="1439"/>
        <v>49.179640290836566</v>
      </c>
      <c r="K157" s="151">
        <f t="shared" si="1439"/>
        <v>49.4190246767376</v>
      </c>
      <c r="L157" s="151">
        <f t="shared" si="1439"/>
        <v>49.659574278241564</v>
      </c>
      <c r="M157" s="151">
        <f t="shared" si="1439"/>
        <v>49.901294767094306</v>
      </c>
      <c r="N157" s="151">
        <f t="shared" si="1439"/>
        <v>50.144191842649235</v>
      </c>
      <c r="O157" s="151">
        <f t="shared" si="1439"/>
        <v>50.388271232001593</v>
      </c>
      <c r="P157" s="151">
        <f t="shared" si="1439"/>
        <v>50.633538690123579</v>
      </c>
      <c r="Q157" s="151">
        <f t="shared" si="1439"/>
        <v>50.88000000000001</v>
      </c>
      <c r="R157" s="151">
        <f t="shared" si="1439"/>
        <v>51.046567880118289</v>
      </c>
      <c r="S157" s="151">
        <f t="shared" si="1439"/>
        <v>51.21368106013216</v>
      </c>
      <c r="T157" s="151">
        <f t="shared" si="1439"/>
        <v>51.381341325211558</v>
      </c>
      <c r="U157" s="151">
        <f t="shared" si="1439"/>
        <v>51.54955046637064</v>
      </c>
      <c r="V157" s="151">
        <f t="shared" si="1439"/>
        <v>51.718310280486861</v>
      </c>
      <c r="W157" s="151">
        <f t="shared" si="1439"/>
        <v>51.887622570320204</v>
      </c>
      <c r="X157" s="151">
        <f t="shared" si="1439"/>
        <v>52.057489144532383</v>
      </c>
      <c r="Y157" s="151">
        <f t="shared" si="1439"/>
        <v>52.227911817706222</v>
      </c>
      <c r="Z157" s="151">
        <f t="shared" si="1439"/>
        <v>52.398892410365022</v>
      </c>
      <c r="AA157" s="151">
        <f t="shared" si="1439"/>
        <v>52.57043274899199</v>
      </c>
      <c r="AB157" s="151">
        <f t="shared" si="1439"/>
        <v>52.742534666049778</v>
      </c>
      <c r="AC157" s="151">
        <f t="shared" si="1439"/>
        <v>52.915200000000034</v>
      </c>
      <c r="AD157" s="151">
        <f t="shared" si="1439"/>
        <v>53.045703158255435</v>
      </c>
      <c r="AE157" s="151">
        <f t="shared" si="1439"/>
        <v>53.176528172505236</v>
      </c>
      <c r="AF157" s="151">
        <f t="shared" si="1439"/>
        <v>53.307675836533143</v>
      </c>
      <c r="AG157" s="151">
        <f t="shared" si="1439"/>
        <v>53.439146946080548</v>
      </c>
      <c r="AH157" s="151">
        <f t="shared" si="1439"/>
        <v>53.570942298851364</v>
      </c>
      <c r="AI157" s="151">
        <f t="shared" si="1439"/>
        <v>53.703062694516845</v>
      </c>
      <c r="AJ157" s="151">
        <f t="shared" si="1439"/>
        <v>53.835508934720458</v>
      </c>
      <c r="AK157" s="151">
        <f t="shared" si="1439"/>
        <v>53.968281823082741</v>
      </c>
      <c r="AL157" s="151">
        <f t="shared" si="1439"/>
        <v>54.101382165206175</v>
      </c>
      <c r="AM157" s="151">
        <f t="shared" si="1439"/>
        <v>54.234810768680077</v>
      </c>
      <c r="AN157" s="151">
        <f t="shared" si="1439"/>
        <v>54.368568443085479</v>
      </c>
      <c r="AO157" s="151">
        <f t="shared" si="1439"/>
        <v>54.502656000000087</v>
      </c>
      <c r="AP157" s="151">
        <f t="shared" si="1439"/>
        <v>54.637074253003149</v>
      </c>
      <c r="AQ157" s="151">
        <f t="shared" si="1439"/>
        <v>54.771824017680444</v>
      </c>
      <c r="AR157" s="151">
        <f t="shared" si="1439"/>
        <v>54.906906111629183</v>
      </c>
      <c r="AS157" s="151">
        <f t="shared" si="1439"/>
        <v>55.042321354463013</v>
      </c>
      <c r="AT157" s="151">
        <f t="shared" si="1439"/>
        <v>55.17807056781696</v>
      </c>
      <c r="AU157" s="151">
        <f t="shared" si="1439"/>
        <v>55.314154575352404</v>
      </c>
      <c r="AV157" s="151">
        <f t="shared" si="1439"/>
        <v>55.450574202762127</v>
      </c>
      <c r="AW157" s="151">
        <f t="shared" si="1439"/>
        <v>55.58733027777528</v>
      </c>
      <c r="AX157" s="151">
        <f t="shared" si="1439"/>
        <v>55.72442363016242</v>
      </c>
      <c r="AY157" s="151">
        <f t="shared" si="1439"/>
        <v>55.861855091740537</v>
      </c>
      <c r="AZ157" s="151">
        <f t="shared" si="1439"/>
        <v>55.999625496378101</v>
      </c>
      <c r="BA157" s="151">
        <f t="shared" si="1439"/>
        <v>56.137735680000141</v>
      </c>
      <c r="BB157" s="151">
        <f t="shared" si="1439"/>
        <v>56.253370224060646</v>
      </c>
      <c r="BC157" s="151">
        <f t="shared" si="1439"/>
        <v>56.369242956349062</v>
      </c>
      <c r="BD157" s="151">
        <f t="shared" si="1439"/>
        <v>56.485354367494132</v>
      </c>
      <c r="BE157" s="151">
        <f t="shared" si="1439"/>
        <v>56.601704949135218</v>
      </c>
      <c r="BF157" s="151">
        <f t="shared" si="1439"/>
        <v>56.718295193924384</v>
      </c>
      <c r="BG157" s="151">
        <f t="shared" si="1439"/>
        <v>56.835125595528474</v>
      </c>
      <c r="BH157" s="151">
        <f t="shared" si="1439"/>
        <v>56.952196648631208</v>
      </c>
      <c r="BI157" s="151">
        <f t="shared" si="1439"/>
        <v>57.069508848935271</v>
      </c>
      <c r="BJ157" s="151">
        <f t="shared" si="1439"/>
        <v>57.187062693164421</v>
      </c>
      <c r="BK157" s="151">
        <f t="shared" si="1439"/>
        <v>57.304858679065575</v>
      </c>
      <c r="BL157" s="151">
        <f t="shared" si="1439"/>
        <v>57.422897305410928</v>
      </c>
      <c r="BM157" s="151">
        <f t="shared" si="1439"/>
        <v>57.541179072000062</v>
      </c>
      <c r="BN157" s="151">
        <f t="shared" si="1439"/>
        <v>57.659704479662089</v>
      </c>
      <c r="BO157" s="151">
        <f t="shared" si="1439"/>
        <v>57.778474030257712</v>
      </c>
      <c r="BP157" s="151">
        <f t="shared" si="1439"/>
        <v>57.897488226681403</v>
      </c>
      <c r="BQ157" s="151">
        <f t="shared" si="1439"/>
        <v>58.016747572863522</v>
      </c>
      <c r="BR157" s="151">
        <f t="shared" si="1439"/>
        <v>58.136252573772417</v>
      </c>
      <c r="BS157" s="151">
        <f t="shared" ref="BS157:BY157" si="1440">+$E157*BS$12</f>
        <v>58.256003735416613</v>
      </c>
      <c r="BT157" s="151">
        <f t="shared" si="1440"/>
        <v>58.376001564846916</v>
      </c>
      <c r="BU157" s="151">
        <f t="shared" si="1440"/>
        <v>58.49624657015859</v>
      </c>
      <c r="BV157" s="151">
        <f t="shared" si="1440"/>
        <v>58.616739260493461</v>
      </c>
      <c r="BW157" s="151">
        <f t="shared" si="1440"/>
        <v>58.737480146042145</v>
      </c>
      <c r="BX157" s="151">
        <f t="shared" si="1440"/>
        <v>58.858469738046139</v>
      </c>
      <c r="BY157" s="151">
        <f t="shared" si="1440"/>
        <v>58.979708548800005</v>
      </c>
    </row>
    <row r="158" spans="2:77" customFormat="1" outlineLevel="1" x14ac:dyDescent="0.25">
      <c r="B158" s="1"/>
      <c r="C158" s="50" t="s">
        <v>273</v>
      </c>
      <c r="D158" s="36" t="s">
        <v>116</v>
      </c>
      <c r="E158" s="296">
        <v>44</v>
      </c>
      <c r="F158" s="155">
        <f>IF(F$5=EOMONTH($E141,1),F157,IF(AND(F$5&gt;EOMONTH($E141,1),F$5&lt;=$E143),E158*(1+F144),0))</f>
        <v>44</v>
      </c>
      <c r="G158" s="155">
        <f t="shared" ref="G158" si="1441">IF(G$5=EOMONTH($E141,1),G157,IF(AND(G$5&gt;EOMONTH($E141,1),G$5&lt;=$E143),F158*(1+G144),0))</f>
        <v>44</v>
      </c>
      <c r="H158" s="155">
        <f t="shared" ref="H158" si="1442">IF(H$5=EOMONTH($E141,1),H157,IF(AND(H$5&gt;EOMONTH($E141,1),H$5&lt;=$E143),G158*(1+H144),0))</f>
        <v>44</v>
      </c>
      <c r="I158" s="155">
        <f t="shared" ref="I158" si="1443">IF(I$5=EOMONTH($E141,1),I157,IF(AND(I$5&gt;EOMONTH($E141,1),I$5&lt;=$E143),H158*(1+I144),0))</f>
        <v>44</v>
      </c>
      <c r="J158" s="155">
        <f t="shared" ref="J158" si="1444">IF(J$5=EOMONTH($E141,1),J157,IF(AND(J$5&gt;EOMONTH($E141,1),J$5&lt;=$E143),I158*(1+J144),0))</f>
        <v>44</v>
      </c>
      <c r="K158" s="155">
        <f t="shared" ref="K158" si="1445">IF(K$5=EOMONTH($E141,1),K157,IF(AND(K$5&gt;EOMONTH($E141,1),K$5&lt;=$E143),J158*(1+K144),0))</f>
        <v>44</v>
      </c>
      <c r="L158" s="155">
        <f t="shared" ref="L158" si="1446">IF(L$5=EOMONTH($E141,1),L157,IF(AND(L$5&gt;EOMONTH($E141,1),L$5&lt;=$E143),K158*(1+L144),0))</f>
        <v>44</v>
      </c>
      <c r="M158" s="155">
        <f t="shared" ref="M158" si="1447">IF(M$5=EOMONTH($E141,1),M157,IF(AND(M$5&gt;EOMONTH($E141,1),M$5&lt;=$E143),L158*(1+M144),0))</f>
        <v>44</v>
      </c>
      <c r="N158" s="155">
        <f t="shared" ref="N158" si="1448">IF(N$5=EOMONTH($E141,1),N157,IF(AND(N$5&gt;EOMONTH($E141,1),N$5&lt;=$E143),M158*(1+N144),0))</f>
        <v>44</v>
      </c>
      <c r="O158" s="155">
        <f t="shared" ref="O158" si="1449">IF(O$5=EOMONTH($E141,1),O157,IF(AND(O$5&gt;EOMONTH($E141,1),O$5&lt;=$E143),N158*(1+O144),0))</f>
        <v>44</v>
      </c>
      <c r="P158" s="155">
        <f t="shared" ref="P158" si="1450">IF(P$5=EOMONTH($E141,1),P157,IF(AND(P$5&gt;EOMONTH($E141,1),P$5&lt;=$E143),O158*(1+P144),0))</f>
        <v>44</v>
      </c>
      <c r="Q158" s="155">
        <f t="shared" ref="Q158" si="1451">IF(Q$5=EOMONTH($E141,1),Q157,IF(AND(Q$5&gt;EOMONTH($E141,1),Q$5&lt;=$E143),P158*(1+Q144),0))</f>
        <v>44</v>
      </c>
      <c r="R158" s="155">
        <f t="shared" ref="R158" si="1452">IF(R$5=EOMONTH($E141,1),R157,IF(AND(R$5&gt;EOMONTH($E141,1),R$5&lt;=$E143),Q158*(1+R144),0))</f>
        <v>44.88</v>
      </c>
      <c r="S158" s="155">
        <f t="shared" ref="S158" si="1453">IF(S$5=EOMONTH($E141,1),S157,IF(AND(S$5&gt;EOMONTH($E141,1),S$5&lt;=$E143),R158*(1+S144),0))</f>
        <v>44.88</v>
      </c>
      <c r="T158" s="155">
        <f t="shared" ref="T158" si="1454">IF(T$5=EOMONTH($E141,1),T157,IF(AND(T$5&gt;EOMONTH($E141,1),T$5&lt;=$E143),S158*(1+T144),0))</f>
        <v>44.88</v>
      </c>
      <c r="U158" s="155">
        <f t="shared" ref="U158" si="1455">IF(U$5=EOMONTH($E141,1),U157,IF(AND(U$5&gt;EOMONTH($E141,1),U$5&lt;=$E143),T158*(1+U144),0))</f>
        <v>44.88</v>
      </c>
      <c r="V158" s="155">
        <f t="shared" ref="V158" si="1456">IF(V$5=EOMONTH($E141,1),V157,IF(AND(V$5&gt;EOMONTH($E141,1),V$5&lt;=$E143),U158*(1+V144),0))</f>
        <v>44.88</v>
      </c>
      <c r="W158" s="155">
        <f t="shared" ref="W158" si="1457">IF(W$5=EOMONTH($E141,1),W157,IF(AND(W$5&gt;EOMONTH($E141,1),W$5&lt;=$E143),V158*(1+W144),0))</f>
        <v>44.88</v>
      </c>
      <c r="X158" s="155">
        <f t="shared" ref="X158" si="1458">IF(X$5=EOMONTH($E141,1),X157,IF(AND(X$5&gt;EOMONTH($E141,1),X$5&lt;=$E143),W158*(1+X144),0))</f>
        <v>44.88</v>
      </c>
      <c r="Y158" s="155">
        <f t="shared" ref="Y158" si="1459">IF(Y$5=EOMONTH($E141,1),Y157,IF(AND(Y$5&gt;EOMONTH($E141,1),Y$5&lt;=$E143),X158*(1+Y144),0))</f>
        <v>44.88</v>
      </c>
      <c r="Z158" s="155">
        <f t="shared" ref="Z158" si="1460">IF(Z$5=EOMONTH($E141,1),Z157,IF(AND(Z$5&gt;EOMONTH($E141,1),Z$5&lt;=$E143),Y158*(1+Z144),0))</f>
        <v>44.88</v>
      </c>
      <c r="AA158" s="155">
        <f t="shared" ref="AA158" si="1461">IF(AA$5=EOMONTH($E141,1),AA157,IF(AND(AA$5&gt;EOMONTH($E141,1),AA$5&lt;=$E143),Z158*(1+AA144),0))</f>
        <v>44.88</v>
      </c>
      <c r="AB158" s="155">
        <f t="shared" ref="AB158" si="1462">IF(AB$5=EOMONTH($E141,1),AB157,IF(AND(AB$5&gt;EOMONTH($E141,1),AB$5&lt;=$E143),AA158*(1+AB144),0))</f>
        <v>44.88</v>
      </c>
      <c r="AC158" s="155">
        <f t="shared" ref="AC158" si="1463">IF(AC$5=EOMONTH($E141,1),AC157,IF(AND(AC$5&gt;EOMONTH($E141,1),AC$5&lt;=$E143),AB158*(1+AC144),0))</f>
        <v>44.88</v>
      </c>
      <c r="AD158" s="155">
        <f t="shared" ref="AD158" si="1464">IF(AD$5=EOMONTH($E141,1),AD157,IF(AND(AD$5&gt;EOMONTH($E141,1),AD$5&lt;=$E143),AC158*(1+AD144),0))</f>
        <v>45.777600000000007</v>
      </c>
      <c r="AE158" s="155">
        <f t="shared" ref="AE158" si="1465">IF(AE$5=EOMONTH($E141,1),AE157,IF(AND(AE$5&gt;EOMONTH($E141,1),AE$5&lt;=$E143),AD158*(1+AE144),0))</f>
        <v>45.777600000000007</v>
      </c>
      <c r="AF158" s="155">
        <f t="shared" ref="AF158" si="1466">IF(AF$5=EOMONTH($E141,1),AF157,IF(AND(AF$5&gt;EOMONTH($E141,1),AF$5&lt;=$E143),AE158*(1+AF144),0))</f>
        <v>45.777600000000007</v>
      </c>
      <c r="AG158" s="155">
        <f t="shared" ref="AG158" si="1467">IF(AG$5=EOMONTH($E141,1),AG157,IF(AND(AG$5&gt;EOMONTH($E141,1),AG$5&lt;=$E143),AF158*(1+AG144),0))</f>
        <v>45.777600000000007</v>
      </c>
      <c r="AH158" s="155">
        <f t="shared" ref="AH158" si="1468">IF(AH$5=EOMONTH($E141,1),AH157,IF(AND(AH$5&gt;EOMONTH($E141,1),AH$5&lt;=$E143),AG158*(1+AH144),0))</f>
        <v>45.777600000000007</v>
      </c>
      <c r="AI158" s="155">
        <f t="shared" ref="AI158" si="1469">IF(AI$5=EOMONTH($E141,1),AI157,IF(AND(AI$5&gt;EOMONTH($E141,1),AI$5&lt;=$E143),AH158*(1+AI144),0))</f>
        <v>45.777600000000007</v>
      </c>
      <c r="AJ158" s="155">
        <f t="shared" ref="AJ158" si="1470">IF(AJ$5=EOMONTH($E141,1),AJ157,IF(AND(AJ$5&gt;EOMONTH($E141,1),AJ$5&lt;=$E143),AI158*(1+AJ144),0))</f>
        <v>45.777600000000007</v>
      </c>
      <c r="AK158" s="155">
        <f t="shared" ref="AK158" si="1471">IF(AK$5=EOMONTH($E141,1),AK157,IF(AND(AK$5&gt;EOMONTH($E141,1),AK$5&lt;=$E143),AJ158*(1+AK144),0))</f>
        <v>45.777600000000007</v>
      </c>
      <c r="AL158" s="155">
        <f t="shared" ref="AL158" si="1472">IF(AL$5=EOMONTH($E141,1),AL157,IF(AND(AL$5&gt;EOMONTH($E141,1),AL$5&lt;=$E143),AK158*(1+AL144),0))</f>
        <v>45.777600000000007</v>
      </c>
      <c r="AM158" s="155">
        <f t="shared" ref="AM158" si="1473">IF(AM$5=EOMONTH($E141,1),AM157,IF(AND(AM$5&gt;EOMONTH($E141,1),AM$5&lt;=$E143),AL158*(1+AM144),0))</f>
        <v>45.777600000000007</v>
      </c>
      <c r="AN158" s="155">
        <f t="shared" ref="AN158" si="1474">IF(AN$5=EOMONTH($E141,1),AN157,IF(AND(AN$5&gt;EOMONTH($E141,1),AN$5&lt;=$E143),AM158*(1+AN144),0))</f>
        <v>45.777600000000007</v>
      </c>
      <c r="AO158" s="155">
        <f t="shared" ref="AO158" si="1475">IF(AO$5=EOMONTH($E141,1),AO157,IF(AND(AO$5&gt;EOMONTH($E141,1),AO$5&lt;=$E143),AN158*(1+AO144),0))</f>
        <v>45.777600000000007</v>
      </c>
      <c r="AP158" s="155">
        <f t="shared" ref="AP158" si="1476">IF(AP$5=EOMONTH($E141,1),AP157,IF(AND(AP$5&gt;EOMONTH($E141,1),AP$5&lt;=$E143),AO158*(1+AP144),0))</f>
        <v>46.693152000000005</v>
      </c>
      <c r="AQ158" s="155">
        <f t="shared" ref="AQ158" si="1477">IF(AQ$5=EOMONTH($E141,1),AQ157,IF(AND(AQ$5&gt;EOMONTH($E141,1),AQ$5&lt;=$E143),AP158*(1+AQ144),0))</f>
        <v>46.693152000000005</v>
      </c>
      <c r="AR158" s="155">
        <f t="shared" ref="AR158" si="1478">IF(AR$5=EOMONTH($E141,1),AR157,IF(AND(AR$5&gt;EOMONTH($E141,1),AR$5&lt;=$E143),AQ158*(1+AR144),0))</f>
        <v>46.693152000000005</v>
      </c>
      <c r="AS158" s="155">
        <f t="shared" ref="AS158" si="1479">IF(AS$5=EOMONTH($E141,1),AS157,IF(AND(AS$5&gt;EOMONTH($E141,1),AS$5&lt;=$E143),AR158*(1+AS144),0))</f>
        <v>46.693152000000005</v>
      </c>
      <c r="AT158" s="155">
        <f t="shared" ref="AT158" si="1480">IF(AT$5=EOMONTH($E141,1),AT157,IF(AND(AT$5&gt;EOMONTH($E141,1),AT$5&lt;=$E143),AS158*(1+AT144),0))</f>
        <v>46.693152000000005</v>
      </c>
      <c r="AU158" s="155">
        <f t="shared" ref="AU158" si="1481">IF(AU$5=EOMONTH($E141,1),AU157,IF(AND(AU$5&gt;EOMONTH($E141,1),AU$5&lt;=$E143),AT158*(1+AU144),0))</f>
        <v>46.693152000000005</v>
      </c>
      <c r="AV158" s="155">
        <f t="shared" ref="AV158" si="1482">IF(AV$5=EOMONTH($E141,1),AV157,IF(AND(AV$5&gt;EOMONTH($E141,1),AV$5&lt;=$E143),AU158*(1+AV144),0))</f>
        <v>46.693152000000005</v>
      </c>
      <c r="AW158" s="155">
        <f t="shared" ref="AW158" si="1483">IF(AW$5=EOMONTH($E141,1),AW157,IF(AND(AW$5&gt;EOMONTH($E141,1),AW$5&lt;=$E143),AV158*(1+AW144),0))</f>
        <v>46.693152000000005</v>
      </c>
      <c r="AX158" s="155">
        <f t="shared" ref="AX158" si="1484">IF(AX$5=EOMONTH($E141,1),AX157,IF(AND(AX$5&gt;EOMONTH($E141,1),AX$5&lt;=$E143),AW158*(1+AX144),0))</f>
        <v>46.693152000000005</v>
      </c>
      <c r="AY158" s="155">
        <f t="shared" ref="AY158" si="1485">IF(AY$5=EOMONTH($E141,1),AY157,IF(AND(AY$5&gt;EOMONTH($E141,1),AY$5&lt;=$E143),AX158*(1+AY144),0))</f>
        <v>46.693152000000005</v>
      </c>
      <c r="AZ158" s="155">
        <f t="shared" ref="AZ158" si="1486">IF(AZ$5=EOMONTH($E141,1),AZ157,IF(AND(AZ$5&gt;EOMONTH($E141,1),AZ$5&lt;=$E143),AY158*(1+AZ144),0))</f>
        <v>46.693152000000005</v>
      </c>
      <c r="BA158" s="155">
        <f t="shared" ref="BA158" si="1487">IF(BA$5=EOMONTH($E141,1),BA157,IF(AND(BA$5&gt;EOMONTH($E141,1),BA$5&lt;=$E143),AZ158*(1+BA144),0))</f>
        <v>46.693152000000005</v>
      </c>
      <c r="BB158" s="155">
        <f t="shared" ref="BB158" si="1488">IF(BB$5=EOMONTH($E141,1),BB157,IF(AND(BB$5&gt;EOMONTH($E141,1),BB$5&lt;=$E143),BA158*(1+BB144),0))</f>
        <v>47.627015040000003</v>
      </c>
      <c r="BC158" s="155">
        <f t="shared" ref="BC158" si="1489">IF(BC$5=EOMONTH($E141,1),BC157,IF(AND(BC$5&gt;EOMONTH($E141,1),BC$5&lt;=$E143),BB158*(1+BC144),0))</f>
        <v>47.627015040000003</v>
      </c>
      <c r="BD158" s="155">
        <f t="shared" ref="BD158" si="1490">IF(BD$5=EOMONTH($E141,1),BD157,IF(AND(BD$5&gt;EOMONTH($E141,1),BD$5&lt;=$E143),BC158*(1+BD144),0))</f>
        <v>47.627015040000003</v>
      </c>
      <c r="BE158" s="155">
        <f t="shared" ref="BE158" si="1491">IF(BE$5=EOMONTH($E141,1),BE157,IF(AND(BE$5&gt;EOMONTH($E141,1),BE$5&lt;=$E143),BD158*(1+BE144),0))</f>
        <v>47.627015040000003</v>
      </c>
      <c r="BF158" s="155">
        <f t="shared" ref="BF158" si="1492">IF(BF$5=EOMONTH($E141,1),BF157,IF(AND(BF$5&gt;EOMONTH($E141,1),BF$5&lt;=$E143),BE158*(1+BF144),0))</f>
        <v>47.627015040000003</v>
      </c>
      <c r="BG158" s="155">
        <f t="shared" ref="BG158" si="1493">IF(BG$5=EOMONTH($E141,1),BG157,IF(AND(BG$5&gt;EOMONTH($E141,1),BG$5&lt;=$E143),BF158*(1+BG144),0))</f>
        <v>47.627015040000003</v>
      </c>
      <c r="BH158" s="155">
        <f t="shared" ref="BH158" si="1494">IF(BH$5=EOMONTH($E141,1),BH157,IF(AND(BH$5&gt;EOMONTH($E141,1),BH$5&lt;=$E143),BG158*(1+BH144),0))</f>
        <v>47.627015040000003</v>
      </c>
      <c r="BI158" s="155">
        <f t="shared" ref="BI158" si="1495">IF(BI$5=EOMONTH($E141,1),BI157,IF(AND(BI$5&gt;EOMONTH($E141,1),BI$5&lt;=$E143),BH158*(1+BI144),0))</f>
        <v>47.627015040000003</v>
      </c>
      <c r="BJ158" s="155">
        <f t="shared" ref="BJ158" si="1496">IF(BJ$5=EOMONTH($E141,1),BJ157,IF(AND(BJ$5&gt;EOMONTH($E141,1),BJ$5&lt;=$E143),BI158*(1+BJ144),0))</f>
        <v>47.627015040000003</v>
      </c>
      <c r="BK158" s="155">
        <f t="shared" ref="BK158" si="1497">IF(BK$5=EOMONTH($E141,1),BK157,IF(AND(BK$5&gt;EOMONTH($E141,1),BK$5&lt;=$E143),BJ158*(1+BK144),0))</f>
        <v>47.627015040000003</v>
      </c>
      <c r="BL158" s="155">
        <f t="shared" ref="BL158" si="1498">IF(BL$5=EOMONTH($E141,1),BL157,IF(AND(BL$5&gt;EOMONTH($E141,1),BL$5&lt;=$E143),BK158*(1+BL144),0))</f>
        <v>47.627015040000003</v>
      </c>
      <c r="BM158" s="155">
        <f t="shared" ref="BM158" si="1499">IF(BM$5=EOMONTH($E141,1),BM157,IF(AND(BM$5&gt;EOMONTH($E141,1),BM$5&lt;=$E143),BL158*(1+BM144),0))</f>
        <v>47.627015040000003</v>
      </c>
      <c r="BN158" s="155">
        <f t="shared" ref="BN158" si="1500">IF(BN$5=EOMONTH($E141,1),BN157,IF(AND(BN$5&gt;EOMONTH($E141,1),BN$5&lt;=$E143),BM158*(1+BN144),0))</f>
        <v>0</v>
      </c>
      <c r="BO158" s="155">
        <f t="shared" ref="BO158" si="1501">IF(BO$5=EOMONTH($E141,1),BO157,IF(AND(BO$5&gt;EOMONTH($E141,1),BO$5&lt;=$E143),BN158*(1+BO144),0))</f>
        <v>0</v>
      </c>
      <c r="BP158" s="155">
        <f t="shared" ref="BP158" si="1502">IF(BP$5=EOMONTH($E141,1),BP157,IF(AND(BP$5&gt;EOMONTH($E141,1),BP$5&lt;=$E143),BO158*(1+BP144),0))</f>
        <v>0</v>
      </c>
      <c r="BQ158" s="155">
        <f t="shared" ref="BQ158" si="1503">IF(BQ$5=EOMONTH($E141,1),BQ157,IF(AND(BQ$5&gt;EOMONTH($E141,1),BQ$5&lt;=$E143),BP158*(1+BQ144),0))</f>
        <v>0</v>
      </c>
      <c r="BR158" s="155">
        <f t="shared" ref="BR158" si="1504">IF(BR$5=EOMONTH($E141,1),BR157,IF(AND(BR$5&gt;EOMONTH($E141,1),BR$5&lt;=$E143),BQ158*(1+BR144),0))</f>
        <v>0</v>
      </c>
      <c r="BS158" s="155">
        <f t="shared" ref="BS158" si="1505">IF(BS$5=EOMONTH($E141,1),BS157,IF(AND(BS$5&gt;EOMONTH($E141,1),BS$5&lt;=$E143),BR158*(1+BS144),0))</f>
        <v>0</v>
      </c>
      <c r="BT158" s="155">
        <f t="shared" ref="BT158" si="1506">IF(BT$5=EOMONTH($E141,1),BT157,IF(AND(BT$5&gt;EOMONTH($E141,1),BT$5&lt;=$E143),BS158*(1+BT144),0))</f>
        <v>0</v>
      </c>
      <c r="BU158" s="155">
        <f t="shared" ref="BU158" si="1507">IF(BU$5=EOMONTH($E141,1),BU157,IF(AND(BU$5&gt;EOMONTH($E141,1),BU$5&lt;=$E143),BT158*(1+BU144),0))</f>
        <v>0</v>
      </c>
      <c r="BV158" s="155">
        <f t="shared" ref="BV158" si="1508">IF(BV$5=EOMONTH($E141,1),BV157,IF(AND(BV$5&gt;EOMONTH($E141,1),BV$5&lt;=$E143),BU158*(1+BV144),0))</f>
        <v>0</v>
      </c>
      <c r="BW158" s="155">
        <f t="shared" ref="BW158" si="1509">IF(BW$5=EOMONTH($E141,1),BW157,IF(AND(BW$5&gt;EOMONTH($E141,1),BW$5&lt;=$E143),BV158*(1+BW144),0))</f>
        <v>0</v>
      </c>
      <c r="BX158" s="155">
        <f t="shared" ref="BX158" si="1510">IF(BX$5=EOMONTH($E141,1),BX157,IF(AND(BX$5&gt;EOMONTH($E141,1),BX$5&lt;=$E143),BW158*(1+BX144),0))</f>
        <v>0</v>
      </c>
      <c r="BY158" s="155">
        <f t="shared" ref="BY158" si="1511">IF(BY$5=EOMONTH($E141,1),BY157,IF(AND(BY$5&gt;EOMONTH($E141,1),BY$5&lt;=$E143),BX158*(1+BY144),0))</f>
        <v>0</v>
      </c>
    </row>
    <row r="159" spans="2:77" customFormat="1" outlineLevel="1" x14ac:dyDescent="0.25">
      <c r="B159" s="1"/>
      <c r="C159" s="50" t="s">
        <v>274</v>
      </c>
      <c r="D159" s="36" t="s">
        <v>116</v>
      </c>
      <c r="E159" s="1"/>
      <c r="F159" s="155">
        <f>IF(F$5=EOMONTH($E147,1),F157,IF(AND(F$5&gt;EOMONTH($E147,1),F$5&lt;=$E149),E159*(1+F150),0))</f>
        <v>0</v>
      </c>
      <c r="G159" s="155">
        <f t="shared" ref="G159" si="1512">IF(G$5=EOMONTH($E147,1),G157,IF(AND(G$5&gt;EOMONTH($E147,1),G$5&lt;=$E149),F159*(1+G150),0))</f>
        <v>0</v>
      </c>
      <c r="H159" s="155">
        <f t="shared" ref="H159" si="1513">IF(H$5=EOMONTH($E147,1),H157,IF(AND(H$5&gt;EOMONTH($E147,1),H$5&lt;=$E149),G159*(1+H150),0))</f>
        <v>0</v>
      </c>
      <c r="I159" s="155">
        <f t="shared" ref="I159" si="1514">IF(I$5=EOMONTH($E147,1),I157,IF(AND(I$5&gt;EOMONTH($E147,1),I$5&lt;=$E149),H159*(1+I150),0))</f>
        <v>0</v>
      </c>
      <c r="J159" s="155">
        <f t="shared" ref="J159" si="1515">IF(J$5=EOMONTH($E147,1),J157,IF(AND(J$5&gt;EOMONTH($E147,1),J$5&lt;=$E149),I159*(1+J150),0))</f>
        <v>0</v>
      </c>
      <c r="K159" s="155">
        <f t="shared" ref="K159" si="1516">IF(K$5=EOMONTH($E147,1),K157,IF(AND(K$5&gt;EOMONTH($E147,1),K$5&lt;=$E149),J159*(1+K150),0))</f>
        <v>0</v>
      </c>
      <c r="L159" s="155">
        <f t="shared" ref="L159" si="1517">IF(L$5=EOMONTH($E147,1),L157,IF(AND(L$5&gt;EOMONTH($E147,1),L$5&lt;=$E149),K159*(1+L150),0))</f>
        <v>0</v>
      </c>
      <c r="M159" s="155">
        <f t="shared" ref="M159" si="1518">IF(M$5=EOMONTH($E147,1),M157,IF(AND(M$5&gt;EOMONTH($E147,1),M$5&lt;=$E149),L159*(1+M150),0))</f>
        <v>0</v>
      </c>
      <c r="N159" s="155">
        <f t="shared" ref="N159" si="1519">IF(N$5=EOMONTH($E147,1),N157,IF(AND(N$5&gt;EOMONTH($E147,1),N$5&lt;=$E149),M159*(1+N150),0))</f>
        <v>0</v>
      </c>
      <c r="O159" s="155">
        <f t="shared" ref="O159" si="1520">IF(O$5=EOMONTH($E147,1),O157,IF(AND(O$5&gt;EOMONTH($E147,1),O$5&lt;=$E149),N159*(1+O150),0))</f>
        <v>0</v>
      </c>
      <c r="P159" s="155">
        <f t="shared" ref="P159" si="1521">IF(P$5=EOMONTH($E147,1),P157,IF(AND(P$5&gt;EOMONTH($E147,1),P$5&lt;=$E149),O159*(1+P150),0))</f>
        <v>0</v>
      </c>
      <c r="Q159" s="155">
        <f t="shared" ref="Q159" si="1522">IF(Q$5=EOMONTH($E147,1),Q157,IF(AND(Q$5&gt;EOMONTH($E147,1),Q$5&lt;=$E149),P159*(1+Q150),0))</f>
        <v>0</v>
      </c>
      <c r="R159" s="155">
        <f t="shared" ref="R159" si="1523">IF(R$5=EOMONTH($E147,1),R157,IF(AND(R$5&gt;EOMONTH($E147,1),R$5&lt;=$E149),Q159*(1+R150),0))</f>
        <v>0</v>
      </c>
      <c r="S159" s="155">
        <f t="shared" ref="S159" si="1524">IF(S$5=EOMONTH($E147,1),S157,IF(AND(S$5&gt;EOMONTH($E147,1),S$5&lt;=$E149),R159*(1+S150),0))</f>
        <v>0</v>
      </c>
      <c r="T159" s="155">
        <f t="shared" ref="T159" si="1525">IF(T$5=EOMONTH($E147,1),T157,IF(AND(T$5&gt;EOMONTH($E147,1),T$5&lt;=$E149),S159*(1+T150),0))</f>
        <v>0</v>
      </c>
      <c r="U159" s="155">
        <f t="shared" ref="U159" si="1526">IF(U$5=EOMONTH($E147,1),U157,IF(AND(U$5&gt;EOMONTH($E147,1),U$5&lt;=$E149),T159*(1+U150),0))</f>
        <v>0</v>
      </c>
      <c r="V159" s="155">
        <f t="shared" ref="V159" si="1527">IF(V$5=EOMONTH($E147,1),V157,IF(AND(V$5&gt;EOMONTH($E147,1),V$5&lt;=$E149),U159*(1+V150),0))</f>
        <v>0</v>
      </c>
      <c r="W159" s="155">
        <f t="shared" ref="W159" si="1528">IF(W$5=EOMONTH($E147,1),W157,IF(AND(W$5&gt;EOMONTH($E147,1),W$5&lt;=$E149),V159*(1+W150),0))</f>
        <v>0</v>
      </c>
      <c r="X159" s="155">
        <f t="shared" ref="X159" si="1529">IF(X$5=EOMONTH($E147,1),X157,IF(AND(X$5&gt;EOMONTH($E147,1),X$5&lt;=$E149),W159*(1+X150),0))</f>
        <v>0</v>
      </c>
      <c r="Y159" s="155">
        <f t="shared" ref="Y159" si="1530">IF(Y$5=EOMONTH($E147,1),Y157,IF(AND(Y$5&gt;EOMONTH($E147,1),Y$5&lt;=$E149),X159*(1+Y150),0))</f>
        <v>0</v>
      </c>
      <c r="Z159" s="155">
        <f t="shared" ref="Z159" si="1531">IF(Z$5=EOMONTH($E147,1),Z157,IF(AND(Z$5&gt;EOMONTH($E147,1),Z$5&lt;=$E149),Y159*(1+Z150),0))</f>
        <v>0</v>
      </c>
      <c r="AA159" s="155">
        <f t="shared" ref="AA159" si="1532">IF(AA$5=EOMONTH($E147,1),AA157,IF(AND(AA$5&gt;EOMONTH($E147,1),AA$5&lt;=$E149),Z159*(1+AA150),0))</f>
        <v>0</v>
      </c>
      <c r="AB159" s="155">
        <f t="shared" ref="AB159" si="1533">IF(AB$5=EOMONTH($E147,1),AB157,IF(AND(AB$5&gt;EOMONTH($E147,1),AB$5&lt;=$E149),AA159*(1+AB150),0))</f>
        <v>0</v>
      </c>
      <c r="AC159" s="155">
        <f t="shared" ref="AC159" si="1534">IF(AC$5=EOMONTH($E147,1),AC157,IF(AND(AC$5&gt;EOMONTH($E147,1),AC$5&lt;=$E149),AB159*(1+AC150),0))</f>
        <v>0</v>
      </c>
      <c r="AD159" s="155">
        <f t="shared" ref="AD159" si="1535">IF(AD$5=EOMONTH($E147,1),AD157,IF(AND(AD$5&gt;EOMONTH($E147,1),AD$5&lt;=$E149),AC159*(1+AD150),0))</f>
        <v>0</v>
      </c>
      <c r="AE159" s="155">
        <f t="shared" ref="AE159" si="1536">IF(AE$5=EOMONTH($E147,1),AE157,IF(AND(AE$5&gt;EOMONTH($E147,1),AE$5&lt;=$E149),AD159*(1+AE150),0))</f>
        <v>0</v>
      </c>
      <c r="AF159" s="155">
        <f t="shared" ref="AF159" si="1537">IF(AF$5=EOMONTH($E147,1),AF157,IF(AND(AF$5&gt;EOMONTH($E147,1),AF$5&lt;=$E149),AE159*(1+AF150),0))</f>
        <v>0</v>
      </c>
      <c r="AG159" s="155">
        <f t="shared" ref="AG159" si="1538">IF(AG$5=EOMONTH($E147,1),AG157,IF(AND(AG$5&gt;EOMONTH($E147,1),AG$5&lt;=$E149),AF159*(1+AG150),0))</f>
        <v>0</v>
      </c>
      <c r="AH159" s="155">
        <f t="shared" ref="AH159" si="1539">IF(AH$5=EOMONTH($E147,1),AH157,IF(AND(AH$5&gt;EOMONTH($E147,1),AH$5&lt;=$E149),AG159*(1+AH150),0))</f>
        <v>0</v>
      </c>
      <c r="AI159" s="155">
        <f t="shared" ref="AI159" si="1540">IF(AI$5=EOMONTH($E147,1),AI157,IF(AND(AI$5&gt;EOMONTH($E147,1),AI$5&lt;=$E149),AH159*(1+AI150),0))</f>
        <v>0</v>
      </c>
      <c r="AJ159" s="155">
        <f t="shared" ref="AJ159" si="1541">IF(AJ$5=EOMONTH($E147,1),AJ157,IF(AND(AJ$5&gt;EOMONTH($E147,1),AJ$5&lt;=$E149),AI159*(1+AJ150),0))</f>
        <v>0</v>
      </c>
      <c r="AK159" s="155">
        <f t="shared" ref="AK159" si="1542">IF(AK$5=EOMONTH($E147,1),AK157,IF(AND(AK$5&gt;EOMONTH($E147,1),AK$5&lt;=$E149),AJ159*(1+AK150),0))</f>
        <v>0</v>
      </c>
      <c r="AL159" s="155">
        <f t="shared" ref="AL159" si="1543">IF(AL$5=EOMONTH($E147,1),AL157,IF(AND(AL$5&gt;EOMONTH($E147,1),AL$5&lt;=$E149),AK159*(1+AL150),0))</f>
        <v>0</v>
      </c>
      <c r="AM159" s="155">
        <f t="shared" ref="AM159" si="1544">IF(AM$5=EOMONTH($E147,1),AM157,IF(AND(AM$5&gt;EOMONTH($E147,1),AM$5&lt;=$E149),AL159*(1+AM150),0))</f>
        <v>0</v>
      </c>
      <c r="AN159" s="155">
        <f t="shared" ref="AN159" si="1545">IF(AN$5=EOMONTH($E147,1),AN157,IF(AND(AN$5&gt;EOMONTH($E147,1),AN$5&lt;=$E149),AM159*(1+AN150),0))</f>
        <v>0</v>
      </c>
      <c r="AO159" s="155">
        <f t="shared" ref="AO159" si="1546">IF(AO$5=EOMONTH($E147,1),AO157,IF(AND(AO$5&gt;EOMONTH($E147,1),AO$5&lt;=$E149),AN159*(1+AO150),0))</f>
        <v>0</v>
      </c>
      <c r="AP159" s="155">
        <f t="shared" ref="AP159" si="1547">IF(AP$5=EOMONTH($E147,1),AP157,IF(AND(AP$5&gt;EOMONTH($E147,1),AP$5&lt;=$E149),AO159*(1+AP150),0))</f>
        <v>0</v>
      </c>
      <c r="AQ159" s="155">
        <f t="shared" ref="AQ159" si="1548">IF(AQ$5=EOMONTH($E147,1),AQ157,IF(AND(AQ$5&gt;EOMONTH($E147,1),AQ$5&lt;=$E149),AP159*(1+AQ150),0))</f>
        <v>0</v>
      </c>
      <c r="AR159" s="155">
        <f t="shared" ref="AR159" si="1549">IF(AR$5=EOMONTH($E147,1),AR157,IF(AND(AR$5&gt;EOMONTH($E147,1),AR$5&lt;=$E149),AQ159*(1+AR150),0))</f>
        <v>0</v>
      </c>
      <c r="AS159" s="155">
        <f t="shared" ref="AS159" si="1550">IF(AS$5=EOMONTH($E147,1),AS157,IF(AND(AS$5&gt;EOMONTH($E147,1),AS$5&lt;=$E149),AR159*(1+AS150),0))</f>
        <v>0</v>
      </c>
      <c r="AT159" s="155">
        <f t="shared" ref="AT159" si="1551">IF(AT$5=EOMONTH($E147,1),AT157,IF(AND(AT$5&gt;EOMONTH($E147,1),AT$5&lt;=$E149),AS159*(1+AT150),0))</f>
        <v>0</v>
      </c>
      <c r="AU159" s="155">
        <f t="shared" ref="AU159" si="1552">IF(AU$5=EOMONTH($E147,1),AU157,IF(AND(AU$5&gt;EOMONTH($E147,1),AU$5&lt;=$E149),AT159*(1+AU150),0))</f>
        <v>0</v>
      </c>
      <c r="AV159" s="155">
        <f t="shared" ref="AV159" si="1553">IF(AV$5=EOMONTH($E147,1),AV157,IF(AND(AV$5&gt;EOMONTH($E147,1),AV$5&lt;=$E149),AU159*(1+AV150),0))</f>
        <v>0</v>
      </c>
      <c r="AW159" s="155">
        <f t="shared" ref="AW159" si="1554">IF(AW$5=EOMONTH($E147,1),AW157,IF(AND(AW$5&gt;EOMONTH($E147,1),AW$5&lt;=$E149),AV159*(1+AW150),0))</f>
        <v>0</v>
      </c>
      <c r="AX159" s="155">
        <f t="shared" ref="AX159" si="1555">IF(AX$5=EOMONTH($E147,1),AX157,IF(AND(AX$5&gt;EOMONTH($E147,1),AX$5&lt;=$E149),AW159*(1+AX150),0))</f>
        <v>0</v>
      </c>
      <c r="AY159" s="155">
        <f t="shared" ref="AY159" si="1556">IF(AY$5=EOMONTH($E147,1),AY157,IF(AND(AY$5&gt;EOMONTH($E147,1),AY$5&lt;=$E149),AX159*(1+AY150),0))</f>
        <v>0</v>
      </c>
      <c r="AZ159" s="155">
        <f t="shared" ref="AZ159" si="1557">IF(AZ$5=EOMONTH($E147,1),AZ157,IF(AND(AZ$5&gt;EOMONTH($E147,1),AZ$5&lt;=$E149),AY159*(1+AZ150),0))</f>
        <v>0</v>
      </c>
      <c r="BA159" s="155">
        <f t="shared" ref="BA159" si="1558">IF(BA$5=EOMONTH($E147,1),BA157,IF(AND(BA$5&gt;EOMONTH($E147,1),BA$5&lt;=$E149),AZ159*(1+BA150),0))</f>
        <v>0</v>
      </c>
      <c r="BB159" s="155">
        <f t="shared" ref="BB159" si="1559">IF(BB$5=EOMONTH($E147,1),BB157,IF(AND(BB$5&gt;EOMONTH($E147,1),BB$5&lt;=$E149),BA159*(1+BB150),0))</f>
        <v>0</v>
      </c>
      <c r="BC159" s="155">
        <f t="shared" ref="BC159" si="1560">IF(BC$5=EOMONTH($E147,1),BC157,IF(AND(BC$5&gt;EOMONTH($E147,1),BC$5&lt;=$E149),BB159*(1+BC150),0))</f>
        <v>0</v>
      </c>
      <c r="BD159" s="155">
        <f t="shared" ref="BD159" si="1561">IF(BD$5=EOMONTH($E147,1),BD157,IF(AND(BD$5&gt;EOMONTH($E147,1),BD$5&lt;=$E149),BC159*(1+BD150),0))</f>
        <v>0</v>
      </c>
      <c r="BE159" s="155">
        <f t="shared" ref="BE159" si="1562">IF(BE$5=EOMONTH($E147,1),BE157,IF(AND(BE$5&gt;EOMONTH($E147,1),BE$5&lt;=$E149),BD159*(1+BE150),0))</f>
        <v>0</v>
      </c>
      <c r="BF159" s="155">
        <f t="shared" ref="BF159" si="1563">IF(BF$5=EOMONTH($E147,1),BF157,IF(AND(BF$5&gt;EOMONTH($E147,1),BF$5&lt;=$E149),BE159*(1+BF150),0))</f>
        <v>0</v>
      </c>
      <c r="BG159" s="155">
        <f t="shared" ref="BG159" si="1564">IF(BG$5=EOMONTH($E147,1),BG157,IF(AND(BG$5&gt;EOMONTH($E147,1),BG$5&lt;=$E149),BF159*(1+BG150),0))</f>
        <v>0</v>
      </c>
      <c r="BH159" s="155">
        <f t="shared" ref="BH159" si="1565">IF(BH$5=EOMONTH($E147,1),BH157,IF(AND(BH$5&gt;EOMONTH($E147,1),BH$5&lt;=$E149),BG159*(1+BH150),0))</f>
        <v>0</v>
      </c>
      <c r="BI159" s="155">
        <f t="shared" ref="BI159" si="1566">IF(BI$5=EOMONTH($E147,1),BI157,IF(AND(BI$5&gt;EOMONTH($E147,1),BI$5&lt;=$E149),BH159*(1+BI150),0))</f>
        <v>0</v>
      </c>
      <c r="BJ159" s="155">
        <f t="shared" ref="BJ159" si="1567">IF(BJ$5=EOMONTH($E147,1),BJ157,IF(AND(BJ$5&gt;EOMONTH($E147,1),BJ$5&lt;=$E149),BI159*(1+BJ150),0))</f>
        <v>0</v>
      </c>
      <c r="BK159" s="155">
        <f t="shared" ref="BK159" si="1568">IF(BK$5=EOMONTH($E147,1),BK157,IF(AND(BK$5&gt;EOMONTH($E147,1),BK$5&lt;=$E149),BJ159*(1+BK150),0))</f>
        <v>0</v>
      </c>
      <c r="BL159" s="155">
        <f t="shared" ref="BL159" si="1569">IF(BL$5=EOMONTH($E147,1),BL157,IF(AND(BL$5&gt;EOMONTH($E147,1),BL$5&lt;=$E149),BK159*(1+BL150),0))</f>
        <v>0</v>
      </c>
      <c r="BM159" s="155">
        <f t="shared" ref="BM159" si="1570">IF(BM$5=EOMONTH($E147,1),BM157,IF(AND(BM$5&gt;EOMONTH($E147,1),BM$5&lt;=$E149),BL159*(1+BM150),0))</f>
        <v>0</v>
      </c>
      <c r="BN159" s="155">
        <f t="shared" ref="BN159" si="1571">IF(BN$5=EOMONTH($E147,1),BN157,IF(AND(BN$5&gt;EOMONTH($E147,1),BN$5&lt;=$E149),BM159*(1+BN150),0))</f>
        <v>57.659704479662089</v>
      </c>
      <c r="BO159" s="155">
        <f t="shared" ref="BO159" si="1572">IF(BO$5=EOMONTH($E147,1),BO157,IF(AND(BO$5&gt;EOMONTH($E147,1),BO$5&lt;=$E149),BN159*(1+BO150),0))</f>
        <v>57.659704479662089</v>
      </c>
      <c r="BP159" s="155">
        <f t="shared" ref="BP159" si="1573">IF(BP$5=EOMONTH($E147,1),BP157,IF(AND(BP$5&gt;EOMONTH($E147,1),BP$5&lt;=$E149),BO159*(1+BP150),0))</f>
        <v>57.659704479662089</v>
      </c>
      <c r="BQ159" s="155">
        <f t="shared" ref="BQ159" si="1574">IF(BQ$5=EOMONTH($E147,1),BQ157,IF(AND(BQ$5&gt;EOMONTH($E147,1),BQ$5&lt;=$E149),BP159*(1+BQ150),0))</f>
        <v>57.659704479662089</v>
      </c>
      <c r="BR159" s="155">
        <f t="shared" ref="BR159" si="1575">IF(BR$5=EOMONTH($E147,1),BR157,IF(AND(BR$5&gt;EOMONTH($E147,1),BR$5&lt;=$E149),BQ159*(1+BR150),0))</f>
        <v>57.659704479662089</v>
      </c>
      <c r="BS159" s="155">
        <f t="shared" ref="BS159" si="1576">IF(BS$5=EOMONTH($E147,1),BS157,IF(AND(BS$5&gt;EOMONTH($E147,1),BS$5&lt;=$E149),BR159*(1+BS150),0))</f>
        <v>57.659704479662089</v>
      </c>
      <c r="BT159" s="155">
        <f t="shared" ref="BT159" si="1577">IF(BT$5=EOMONTH($E147,1),BT157,IF(AND(BT$5&gt;EOMONTH($E147,1),BT$5&lt;=$E149),BS159*(1+BT150),0))</f>
        <v>57.659704479662089</v>
      </c>
      <c r="BU159" s="155">
        <f t="shared" ref="BU159" si="1578">IF(BU$5=EOMONTH($E147,1),BU157,IF(AND(BU$5&gt;EOMONTH($E147,1),BU$5&lt;=$E149),BT159*(1+BU150),0))</f>
        <v>57.659704479662089</v>
      </c>
      <c r="BV159" s="155">
        <f t="shared" ref="BV159" si="1579">IF(BV$5=EOMONTH($E147,1),BV157,IF(AND(BV$5&gt;EOMONTH($E147,1),BV$5&lt;=$E149),BU159*(1+BV150),0))</f>
        <v>57.659704479662089</v>
      </c>
      <c r="BW159" s="155">
        <f t="shared" ref="BW159" si="1580">IF(BW$5=EOMONTH($E147,1),BW157,IF(AND(BW$5&gt;EOMONTH($E147,1),BW$5&lt;=$E149),BV159*(1+BW150),0))</f>
        <v>57.659704479662089</v>
      </c>
      <c r="BX159" s="155">
        <f t="shared" ref="BX159" si="1581">IF(BX$5=EOMONTH($E147,1),BX157,IF(AND(BX$5&gt;EOMONTH($E147,1),BX$5&lt;=$E149),BW159*(1+BX150),0))</f>
        <v>57.659704479662089</v>
      </c>
      <c r="BY159" s="155">
        <f t="shared" ref="BY159" si="1582">IF(BY$5=EOMONTH($E147,1),BY157,IF(AND(BY$5&gt;EOMONTH($E147,1),BY$5&lt;=$E149),BX159*(1+BY150),0))</f>
        <v>57.659704479662089</v>
      </c>
    </row>
    <row r="160" spans="2:77" customFormat="1" outlineLevel="1" x14ac:dyDescent="0.25">
      <c r="B160" s="1"/>
      <c r="C160" s="50" t="s">
        <v>275</v>
      </c>
      <c r="D160" s="36" t="s">
        <v>116</v>
      </c>
      <c r="E160" s="1"/>
      <c r="F160" s="155">
        <f>IF(F$5=EOMONTH($E152,1),F157,IF(F$5&gt;EOMONTH($E152,1),E160*(1+F155),IF(AND(F$5&gt;$E143,F$5&lt;=$E152),F157,0)))</f>
        <v>0</v>
      </c>
      <c r="G160" s="155">
        <f t="shared" ref="G160" si="1583">IF(G$5=EOMONTH($E152,1),G157,IF(G$5&gt;EOMONTH($E152,1),F160*(1+G155),IF(AND(G$5&gt;$E143,G$5&lt;=$E152),G157,0)))</f>
        <v>0</v>
      </c>
      <c r="H160" s="155">
        <f t="shared" ref="H160" si="1584">IF(H$5=EOMONTH($E152,1),H157,IF(H$5&gt;EOMONTH($E152,1),G160*(1+H155),IF(AND(H$5&gt;$E143,H$5&lt;=$E152),H157,0)))</f>
        <v>0</v>
      </c>
      <c r="I160" s="155">
        <f t="shared" ref="I160" si="1585">IF(I$5=EOMONTH($E152,1),I157,IF(I$5&gt;EOMONTH($E152,1),H160*(1+I155),IF(AND(I$5&gt;$E143,I$5&lt;=$E152),I157,0)))</f>
        <v>0</v>
      </c>
      <c r="J160" s="155">
        <f t="shared" ref="J160" si="1586">IF(J$5=EOMONTH($E152,1),J157,IF(J$5&gt;EOMONTH($E152,1),I160*(1+J155),IF(AND(J$5&gt;$E143,J$5&lt;=$E152),J157,0)))</f>
        <v>0</v>
      </c>
      <c r="K160" s="155">
        <f t="shared" ref="K160" si="1587">IF(K$5=EOMONTH($E152,1),K157,IF(K$5&gt;EOMONTH($E152,1),J160*(1+K155),IF(AND(K$5&gt;$E143,K$5&lt;=$E152),K157,0)))</f>
        <v>0</v>
      </c>
      <c r="L160" s="155">
        <f t="shared" ref="L160" si="1588">IF(L$5=EOMONTH($E152,1),L157,IF(L$5&gt;EOMONTH($E152,1),K160*(1+L155),IF(AND(L$5&gt;$E143,L$5&lt;=$E152),L157,0)))</f>
        <v>0</v>
      </c>
      <c r="M160" s="155">
        <f t="shared" ref="M160" si="1589">IF(M$5=EOMONTH($E152,1),M157,IF(M$5&gt;EOMONTH($E152,1),L160*(1+M155),IF(AND(M$5&gt;$E143,M$5&lt;=$E152),M157,0)))</f>
        <v>0</v>
      </c>
      <c r="N160" s="155">
        <f t="shared" ref="N160" si="1590">IF(N$5=EOMONTH($E152,1),N157,IF(N$5&gt;EOMONTH($E152,1),M160*(1+N155),IF(AND(N$5&gt;$E143,N$5&lt;=$E152),N157,0)))</f>
        <v>0</v>
      </c>
      <c r="O160" s="155">
        <f t="shared" ref="O160" si="1591">IF(O$5=EOMONTH($E152,1),O157,IF(O$5&gt;EOMONTH($E152,1),N160*(1+O155),IF(AND(O$5&gt;$E143,O$5&lt;=$E152),O157,0)))</f>
        <v>0</v>
      </c>
      <c r="P160" s="155">
        <f t="shared" ref="P160" si="1592">IF(P$5=EOMONTH($E152,1),P157,IF(P$5&gt;EOMONTH($E152,1),O160*(1+P155),IF(AND(P$5&gt;$E143,P$5&lt;=$E152),P157,0)))</f>
        <v>0</v>
      </c>
      <c r="Q160" s="155">
        <f t="shared" ref="Q160" si="1593">IF(Q$5=EOMONTH($E152,1),Q157,IF(Q$5&gt;EOMONTH($E152,1),P160*(1+Q155),IF(AND(Q$5&gt;$E143,Q$5&lt;=$E152),Q157,0)))</f>
        <v>0</v>
      </c>
      <c r="R160" s="155">
        <f t="shared" ref="R160" si="1594">IF(R$5=EOMONTH($E152,1),R157,IF(R$5&gt;EOMONTH($E152,1),Q160*(1+R155),IF(AND(R$5&gt;$E143,R$5&lt;=$E152),R157,0)))</f>
        <v>0</v>
      </c>
      <c r="S160" s="155">
        <f t="shared" ref="S160" si="1595">IF(S$5=EOMONTH($E152,1),S157,IF(S$5&gt;EOMONTH($E152,1),R160*(1+S155),IF(AND(S$5&gt;$E143,S$5&lt;=$E152),S157,0)))</f>
        <v>0</v>
      </c>
      <c r="T160" s="155">
        <f t="shared" ref="T160" si="1596">IF(T$5=EOMONTH($E152,1),T157,IF(T$5&gt;EOMONTH($E152,1),S160*(1+T155),IF(AND(T$5&gt;$E143,T$5&lt;=$E152),T157,0)))</f>
        <v>0</v>
      </c>
      <c r="U160" s="155">
        <f t="shared" ref="U160" si="1597">IF(U$5=EOMONTH($E152,1),U157,IF(U$5&gt;EOMONTH($E152,1),T160*(1+U155),IF(AND(U$5&gt;$E143,U$5&lt;=$E152),U157,0)))</f>
        <v>0</v>
      </c>
      <c r="V160" s="155">
        <f t="shared" ref="V160" si="1598">IF(V$5=EOMONTH($E152,1),V157,IF(V$5&gt;EOMONTH($E152,1),U160*(1+V155),IF(AND(V$5&gt;$E143,V$5&lt;=$E152),V157,0)))</f>
        <v>0</v>
      </c>
      <c r="W160" s="155">
        <f t="shared" ref="W160" si="1599">IF(W$5=EOMONTH($E152,1),W157,IF(W$5&gt;EOMONTH($E152,1),V160*(1+W155),IF(AND(W$5&gt;$E143,W$5&lt;=$E152),W157,0)))</f>
        <v>0</v>
      </c>
      <c r="X160" s="155">
        <f t="shared" ref="X160" si="1600">IF(X$5=EOMONTH($E152,1),X157,IF(X$5&gt;EOMONTH($E152,1),W160*(1+X155),IF(AND(X$5&gt;$E143,X$5&lt;=$E152),X157,0)))</f>
        <v>0</v>
      </c>
      <c r="Y160" s="155">
        <f t="shared" ref="Y160" si="1601">IF(Y$5=EOMONTH($E152,1),Y157,IF(Y$5&gt;EOMONTH($E152,1),X160*(1+Y155),IF(AND(Y$5&gt;$E143,Y$5&lt;=$E152),Y157,0)))</f>
        <v>0</v>
      </c>
      <c r="Z160" s="155">
        <f t="shared" ref="Z160" si="1602">IF(Z$5=EOMONTH($E152,1),Z157,IF(Z$5&gt;EOMONTH($E152,1),Y160*(1+Z155),IF(AND(Z$5&gt;$E143,Z$5&lt;=$E152),Z157,0)))</f>
        <v>0</v>
      </c>
      <c r="AA160" s="155">
        <f t="shared" ref="AA160" si="1603">IF(AA$5=EOMONTH($E152,1),AA157,IF(AA$5&gt;EOMONTH($E152,1),Z160*(1+AA155),IF(AND(AA$5&gt;$E143,AA$5&lt;=$E152),AA157,0)))</f>
        <v>0</v>
      </c>
      <c r="AB160" s="155">
        <f t="shared" ref="AB160" si="1604">IF(AB$5=EOMONTH($E152,1),AB157,IF(AB$5&gt;EOMONTH($E152,1),AA160*(1+AB155),IF(AND(AB$5&gt;$E143,AB$5&lt;=$E152),AB157,0)))</f>
        <v>0</v>
      </c>
      <c r="AC160" s="155">
        <f t="shared" ref="AC160" si="1605">IF(AC$5=EOMONTH($E152,1),AC157,IF(AC$5&gt;EOMONTH($E152,1),AB160*(1+AC155),IF(AND(AC$5&gt;$E143,AC$5&lt;=$E152),AC157,0)))</f>
        <v>0</v>
      </c>
      <c r="AD160" s="155">
        <f t="shared" ref="AD160" si="1606">IF(AD$5=EOMONTH($E152,1),AD157,IF(AD$5&gt;EOMONTH($E152,1),AC160*(1+AD155),IF(AND(AD$5&gt;$E143,AD$5&lt;=$E152),AD157,0)))</f>
        <v>0</v>
      </c>
      <c r="AE160" s="155">
        <f t="shared" ref="AE160" si="1607">IF(AE$5=EOMONTH($E152,1),AE157,IF(AE$5&gt;EOMONTH($E152,1),AD160*(1+AE155),IF(AND(AE$5&gt;$E143,AE$5&lt;=$E152),AE157,0)))</f>
        <v>0</v>
      </c>
      <c r="AF160" s="155">
        <f t="shared" ref="AF160" si="1608">IF(AF$5=EOMONTH($E152,1),AF157,IF(AF$5&gt;EOMONTH($E152,1),AE160*(1+AF155),IF(AND(AF$5&gt;$E143,AF$5&lt;=$E152),AF157,0)))</f>
        <v>0</v>
      </c>
      <c r="AG160" s="155">
        <f t="shared" ref="AG160" si="1609">IF(AG$5=EOMONTH($E152,1),AG157,IF(AG$5&gt;EOMONTH($E152,1),AF160*(1+AG155),IF(AND(AG$5&gt;$E143,AG$5&lt;=$E152),AG157,0)))</f>
        <v>0</v>
      </c>
      <c r="AH160" s="155">
        <f t="shared" ref="AH160" si="1610">IF(AH$5=EOMONTH($E152,1),AH157,IF(AH$5&gt;EOMONTH($E152,1),AG160*(1+AH155),IF(AND(AH$5&gt;$E143,AH$5&lt;=$E152),AH157,0)))</f>
        <v>0</v>
      </c>
      <c r="AI160" s="155">
        <f t="shared" ref="AI160" si="1611">IF(AI$5=EOMONTH($E152,1),AI157,IF(AI$5&gt;EOMONTH($E152,1),AH160*(1+AI155),IF(AND(AI$5&gt;$E143,AI$5&lt;=$E152),AI157,0)))</f>
        <v>0</v>
      </c>
      <c r="AJ160" s="155">
        <f t="shared" ref="AJ160" si="1612">IF(AJ$5=EOMONTH($E152,1),AJ157,IF(AJ$5&gt;EOMONTH($E152,1),AI160*(1+AJ155),IF(AND(AJ$5&gt;$E143,AJ$5&lt;=$E152),AJ157,0)))</f>
        <v>0</v>
      </c>
      <c r="AK160" s="155">
        <f t="shared" ref="AK160" si="1613">IF(AK$5=EOMONTH($E152,1),AK157,IF(AK$5&gt;EOMONTH($E152,1),AJ160*(1+AK155),IF(AND(AK$5&gt;$E143,AK$5&lt;=$E152),AK157,0)))</f>
        <v>0</v>
      </c>
      <c r="AL160" s="155">
        <f t="shared" ref="AL160" si="1614">IF(AL$5=EOMONTH($E152,1),AL157,IF(AL$5&gt;EOMONTH($E152,1),AK160*(1+AL155),IF(AND(AL$5&gt;$E143,AL$5&lt;=$E152),AL157,0)))</f>
        <v>0</v>
      </c>
      <c r="AM160" s="155">
        <f t="shared" ref="AM160" si="1615">IF(AM$5=EOMONTH($E152,1),AM157,IF(AM$5&gt;EOMONTH($E152,1),AL160*(1+AM155),IF(AND(AM$5&gt;$E143,AM$5&lt;=$E152),AM157,0)))</f>
        <v>0</v>
      </c>
      <c r="AN160" s="155">
        <f t="shared" ref="AN160" si="1616">IF(AN$5=EOMONTH($E152,1),AN157,IF(AN$5&gt;EOMONTH($E152,1),AM160*(1+AN155),IF(AND(AN$5&gt;$E143,AN$5&lt;=$E152),AN157,0)))</f>
        <v>0</v>
      </c>
      <c r="AO160" s="155">
        <f t="shared" ref="AO160" si="1617">IF(AO$5=EOMONTH($E152,1),AO157,IF(AO$5&gt;EOMONTH($E152,1),AN160*(1+AO155),IF(AND(AO$5&gt;$E143,AO$5&lt;=$E152),AO157,0)))</f>
        <v>0</v>
      </c>
      <c r="AP160" s="155">
        <f t="shared" ref="AP160" si="1618">IF(AP$5=EOMONTH($E152,1),AP157,IF(AP$5&gt;EOMONTH($E152,1),AO160*(1+AP155),IF(AND(AP$5&gt;$E143,AP$5&lt;=$E152),AP157,0)))</f>
        <v>0</v>
      </c>
      <c r="AQ160" s="155">
        <f t="shared" ref="AQ160" si="1619">IF(AQ$5=EOMONTH($E152,1),AQ157,IF(AQ$5&gt;EOMONTH($E152,1),AP160*(1+AQ155),IF(AND(AQ$5&gt;$E143,AQ$5&lt;=$E152),AQ157,0)))</f>
        <v>0</v>
      </c>
      <c r="AR160" s="155">
        <f t="shared" ref="AR160" si="1620">IF(AR$5=EOMONTH($E152,1),AR157,IF(AR$5&gt;EOMONTH($E152,1),AQ160*(1+AR155),IF(AND(AR$5&gt;$E143,AR$5&lt;=$E152),AR157,0)))</f>
        <v>0</v>
      </c>
      <c r="AS160" s="155">
        <f t="shared" ref="AS160" si="1621">IF(AS$5=EOMONTH($E152,1),AS157,IF(AS$5&gt;EOMONTH($E152,1),AR160*(1+AS155),IF(AND(AS$5&gt;$E143,AS$5&lt;=$E152),AS157,0)))</f>
        <v>0</v>
      </c>
      <c r="AT160" s="155">
        <f t="shared" ref="AT160" si="1622">IF(AT$5=EOMONTH($E152,1),AT157,IF(AT$5&gt;EOMONTH($E152,1),AS160*(1+AT155),IF(AND(AT$5&gt;$E143,AT$5&lt;=$E152),AT157,0)))</f>
        <v>0</v>
      </c>
      <c r="AU160" s="155">
        <f t="shared" ref="AU160" si="1623">IF(AU$5=EOMONTH($E152,1),AU157,IF(AU$5&gt;EOMONTH($E152,1),AT160*(1+AU155),IF(AND(AU$5&gt;$E143,AU$5&lt;=$E152),AU157,0)))</f>
        <v>0</v>
      </c>
      <c r="AV160" s="155">
        <f t="shared" ref="AV160" si="1624">IF(AV$5=EOMONTH($E152,1),AV157,IF(AV$5&gt;EOMONTH($E152,1),AU160*(1+AV155),IF(AND(AV$5&gt;$E143,AV$5&lt;=$E152),AV157,0)))</f>
        <v>0</v>
      </c>
      <c r="AW160" s="155">
        <f t="shared" ref="AW160" si="1625">IF(AW$5=EOMONTH($E152,1),AW157,IF(AW$5&gt;EOMONTH($E152,1),AV160*(1+AW155),IF(AND(AW$5&gt;$E143,AW$5&lt;=$E152),AW157,0)))</f>
        <v>0</v>
      </c>
      <c r="AX160" s="155">
        <f t="shared" ref="AX160" si="1626">IF(AX$5=EOMONTH($E152,1),AX157,IF(AX$5&gt;EOMONTH($E152,1),AW160*(1+AX155),IF(AND(AX$5&gt;$E143,AX$5&lt;=$E152),AX157,0)))</f>
        <v>0</v>
      </c>
      <c r="AY160" s="155">
        <f t="shared" ref="AY160" si="1627">IF(AY$5=EOMONTH($E152,1),AY157,IF(AY$5&gt;EOMONTH($E152,1),AX160*(1+AY155),IF(AND(AY$5&gt;$E143,AY$5&lt;=$E152),AY157,0)))</f>
        <v>0</v>
      </c>
      <c r="AZ160" s="155">
        <f t="shared" ref="AZ160" si="1628">IF(AZ$5=EOMONTH($E152,1),AZ157,IF(AZ$5&gt;EOMONTH($E152,1),AY160*(1+AZ155),IF(AND(AZ$5&gt;$E143,AZ$5&lt;=$E152),AZ157,0)))</f>
        <v>0</v>
      </c>
      <c r="BA160" s="155">
        <f t="shared" ref="BA160" si="1629">IF(BA$5=EOMONTH($E152,1),BA157,IF(BA$5&gt;EOMONTH($E152,1),AZ160*(1+BA155),IF(AND(BA$5&gt;$E143,BA$5&lt;=$E152),BA157,0)))</f>
        <v>0</v>
      </c>
      <c r="BB160" s="155">
        <f t="shared" ref="BB160" si="1630">IF(BB$5=EOMONTH($E152,1),BB157,IF(BB$5&gt;EOMONTH($E152,1),BA160*(1+BB155),IF(AND(BB$5&gt;$E143,BB$5&lt;=$E152),BB157,0)))</f>
        <v>0</v>
      </c>
      <c r="BC160" s="155">
        <f t="shared" ref="BC160" si="1631">IF(BC$5=EOMONTH($E152,1),BC157,IF(BC$5&gt;EOMONTH($E152,1),BB160*(1+BC155),IF(AND(BC$5&gt;$E143,BC$5&lt;=$E152),BC157,0)))</f>
        <v>0</v>
      </c>
      <c r="BD160" s="155">
        <f t="shared" ref="BD160" si="1632">IF(BD$5=EOMONTH($E152,1),BD157,IF(BD$5&gt;EOMONTH($E152,1),BC160*(1+BD155),IF(AND(BD$5&gt;$E143,BD$5&lt;=$E152),BD157,0)))</f>
        <v>0</v>
      </c>
      <c r="BE160" s="155">
        <f t="shared" ref="BE160" si="1633">IF(BE$5=EOMONTH($E152,1),BE157,IF(BE$5&gt;EOMONTH($E152,1),BD160*(1+BE155),IF(AND(BE$5&gt;$E143,BE$5&lt;=$E152),BE157,0)))</f>
        <v>0</v>
      </c>
      <c r="BF160" s="155">
        <f t="shared" ref="BF160" si="1634">IF(BF$5=EOMONTH($E152,1),BF157,IF(BF$5&gt;EOMONTH($E152,1),BE160*(1+BF155),IF(AND(BF$5&gt;$E143,BF$5&lt;=$E152),BF157,0)))</f>
        <v>0</v>
      </c>
      <c r="BG160" s="155">
        <f t="shared" ref="BG160" si="1635">IF(BG$5=EOMONTH($E152,1),BG157,IF(BG$5&gt;EOMONTH($E152,1),BF160*(1+BG155),IF(AND(BG$5&gt;$E143,BG$5&lt;=$E152),BG157,0)))</f>
        <v>0</v>
      </c>
      <c r="BH160" s="155">
        <f t="shared" ref="BH160" si="1636">IF(BH$5=EOMONTH($E152,1),BH157,IF(BH$5&gt;EOMONTH($E152,1),BG160*(1+BH155),IF(AND(BH$5&gt;$E143,BH$5&lt;=$E152),BH157,0)))</f>
        <v>0</v>
      </c>
      <c r="BI160" s="155">
        <f t="shared" ref="BI160" si="1637">IF(BI$5=EOMONTH($E152,1),BI157,IF(BI$5&gt;EOMONTH($E152,1),BH160*(1+BI155),IF(AND(BI$5&gt;$E143,BI$5&lt;=$E152),BI157,0)))</f>
        <v>0</v>
      </c>
      <c r="BJ160" s="155">
        <f t="shared" ref="BJ160" si="1638">IF(BJ$5=EOMONTH($E152,1),BJ157,IF(BJ$5&gt;EOMONTH($E152,1),BI160*(1+BJ155),IF(AND(BJ$5&gt;$E143,BJ$5&lt;=$E152),BJ157,0)))</f>
        <v>0</v>
      </c>
      <c r="BK160" s="155">
        <f t="shared" ref="BK160" si="1639">IF(BK$5=EOMONTH($E152,1),BK157,IF(BK$5&gt;EOMONTH($E152,1),BJ160*(1+BK155),IF(AND(BK$5&gt;$E143,BK$5&lt;=$E152),BK157,0)))</f>
        <v>0</v>
      </c>
      <c r="BL160" s="155">
        <f t="shared" ref="BL160" si="1640">IF(BL$5=EOMONTH($E152,1),BL157,IF(BL$5&gt;EOMONTH($E152,1),BK160*(1+BL155),IF(AND(BL$5&gt;$E143,BL$5&lt;=$E152),BL157,0)))</f>
        <v>0</v>
      </c>
      <c r="BM160" s="155">
        <f t="shared" ref="BM160" si="1641">IF(BM$5=EOMONTH($E152,1),BM157,IF(BM$5&gt;EOMONTH($E152,1),BL160*(1+BM155),IF(AND(BM$5&gt;$E143,BM$5&lt;=$E152),BM157,0)))</f>
        <v>0</v>
      </c>
      <c r="BN160" s="155">
        <f t="shared" ref="BN160" si="1642">IF(BN$5=EOMONTH($E152,1),BN157,IF(BN$5&gt;EOMONTH($E152,1),BM160*(1+BN155),IF(AND(BN$5&gt;$E143,BN$5&lt;=$E152),BN157,0)))</f>
        <v>57.659704479662089</v>
      </c>
      <c r="BO160" s="155">
        <f t="shared" ref="BO160" si="1643">IF(BO$5=EOMONTH($E152,1),BO157,IF(BO$5&gt;EOMONTH($E152,1),BN160*(1+BO155),IF(AND(BO$5&gt;$E143,BO$5&lt;=$E152),BO157,0)))</f>
        <v>57.778474030257712</v>
      </c>
      <c r="BP160" s="155">
        <f t="shared" ref="BP160" si="1644">IF(BP$5=EOMONTH($E152,1),BP157,IF(BP$5&gt;EOMONTH($E152,1),BO160*(1+BP155),IF(AND(BP$5&gt;$E143,BP$5&lt;=$E152),BP157,0)))</f>
        <v>57.897488226681403</v>
      </c>
      <c r="BQ160" s="155">
        <f t="shared" ref="BQ160" si="1645">IF(BQ$5=EOMONTH($E152,1),BQ157,IF(BQ$5&gt;EOMONTH($E152,1),BP160*(1+BQ155),IF(AND(BQ$5&gt;$E143,BQ$5&lt;=$E152),BQ157,0)))</f>
        <v>58.016747572863522</v>
      </c>
      <c r="BR160" s="155">
        <f t="shared" ref="BR160" si="1646">IF(BR$5=EOMONTH($E152,1),BR157,IF(BR$5&gt;EOMONTH($E152,1),BQ160*(1+BR155),IF(AND(BR$5&gt;$E143,BR$5&lt;=$E152),BR157,0)))</f>
        <v>58.136252573772417</v>
      </c>
      <c r="BS160" s="155">
        <f t="shared" ref="BS160" si="1647">IF(BS$5=EOMONTH($E152,1),BS157,IF(BS$5&gt;EOMONTH($E152,1),BR160*(1+BS155),IF(AND(BS$5&gt;$E143,BS$5&lt;=$E152),BS157,0)))</f>
        <v>58.256003735416613</v>
      </c>
      <c r="BT160" s="155">
        <f t="shared" ref="BT160" si="1648">IF(BT$5=EOMONTH($E152,1),BT157,IF(BT$5&gt;EOMONTH($E152,1),BS160*(1+BT155),IF(AND(BT$5&gt;$E143,BT$5&lt;=$E152),BT157,0)))</f>
        <v>58.376001564846916</v>
      </c>
      <c r="BU160" s="155">
        <f t="shared" ref="BU160" si="1649">IF(BU$5=EOMONTH($E152,1),BU157,IF(BU$5&gt;EOMONTH($E152,1),BT160*(1+BU155),IF(AND(BU$5&gt;$E143,BU$5&lt;=$E152),BU157,0)))</f>
        <v>58.376001564846916</v>
      </c>
      <c r="BV160" s="155">
        <f t="shared" ref="BV160" si="1650">IF(BV$5=EOMONTH($E152,1),BV157,IF(BV$5&gt;EOMONTH($E152,1),BU160*(1+BV155),IF(AND(BV$5&gt;$E143,BV$5&lt;=$E152),BV157,0)))</f>
        <v>58.376001564846916</v>
      </c>
      <c r="BW160" s="155">
        <f t="shared" ref="BW160" si="1651">IF(BW$5=EOMONTH($E152,1),BW157,IF(BW$5&gt;EOMONTH($E152,1),BV160*(1+BW155),IF(AND(BW$5&gt;$E143,BW$5&lt;=$E152),BW157,0)))</f>
        <v>58.376001564846916</v>
      </c>
      <c r="BX160" s="155">
        <f t="shared" ref="BX160" si="1652">IF(BX$5=EOMONTH($E152,1),BX157,IF(BX$5&gt;EOMONTH($E152,1),BW160*(1+BX155),IF(AND(BX$5&gt;$E143,BX$5&lt;=$E152),BX157,0)))</f>
        <v>58.376001564846916</v>
      </c>
      <c r="BY160" s="155">
        <f t="shared" ref="BY160" si="1653">IF(BY$5=EOMONTH($E152,1),BY157,IF(BY$5&gt;EOMONTH($E152,1),BX160*(1+BY155),IF(AND(BY$5&gt;$E143,BY$5&lt;=$E152),BY157,0)))</f>
        <v>58.376001564846916</v>
      </c>
    </row>
    <row r="161" spans="2:77" customFormat="1" outlineLevel="1" x14ac:dyDescent="0.25">
      <c r="B161" s="1"/>
      <c r="C161" s="44"/>
      <c r="D161" s="56"/>
      <c r="E161" s="1"/>
      <c r="F161" s="1"/>
      <c r="G161" s="1"/>
      <c r="H161" s="1"/>
      <c r="I161" s="1"/>
      <c r="J161" s="1"/>
      <c r="AP161" s="110"/>
      <c r="AQ161" s="110"/>
      <c r="AR161" s="110"/>
      <c r="AS161" s="110"/>
      <c r="AT161" s="110"/>
      <c r="AZ161" s="110"/>
      <c r="BA161" s="110"/>
      <c r="BB161" s="110"/>
    </row>
    <row r="162" spans="2:77" customFormat="1" outlineLevel="1" x14ac:dyDescent="0.25">
      <c r="B162" s="1"/>
      <c r="C162" s="50" t="s">
        <v>276</v>
      </c>
      <c r="D162" s="37" t="s">
        <v>101</v>
      </c>
      <c r="E162" s="1"/>
      <c r="F162" s="156">
        <f t="shared" ref="F162:BQ162" si="1654">+F157*$E140/Months</f>
        <v>27583.614263018666</v>
      </c>
      <c r="G162" s="156">
        <f t="shared" si="1654"/>
        <v>27717.878900218828</v>
      </c>
      <c r="H162" s="156">
        <f t="shared" si="1654"/>
        <v>27852.797077329698</v>
      </c>
      <c r="I162" s="156">
        <f t="shared" si="1654"/>
        <v>27988.371975489837</v>
      </c>
      <c r="J162" s="156">
        <f t="shared" si="1654"/>
        <v>28124.606791322163</v>
      </c>
      <c r="K162" s="156">
        <f t="shared" si="1654"/>
        <v>28261.504737009313</v>
      </c>
      <c r="L162" s="156">
        <f t="shared" si="1654"/>
        <v>28399.069040369392</v>
      </c>
      <c r="M162" s="156">
        <f t="shared" si="1654"/>
        <v>28537.302944932057</v>
      </c>
      <c r="N162" s="156">
        <f t="shared" si="1654"/>
        <v>28676.209710015031</v>
      </c>
      <c r="O162" s="156">
        <f t="shared" si="1654"/>
        <v>28815.792610800912</v>
      </c>
      <c r="P162" s="156">
        <f t="shared" si="1654"/>
        <v>28956.054938414421</v>
      </c>
      <c r="Q162" s="156">
        <f t="shared" si="1654"/>
        <v>29097.000000000004</v>
      </c>
      <c r="R162" s="156">
        <f t="shared" si="1654"/>
        <v>29192.256006442647</v>
      </c>
      <c r="S162" s="156">
        <f t="shared" si="1654"/>
        <v>29287.823856263076</v>
      </c>
      <c r="T162" s="156">
        <f t="shared" si="1654"/>
        <v>29383.704570355359</v>
      </c>
      <c r="U162" s="156">
        <f t="shared" si="1654"/>
        <v>29479.899172955713</v>
      </c>
      <c r="V162" s="156">
        <f t="shared" si="1654"/>
        <v>29576.408691653425</v>
      </c>
      <c r="W162" s="156">
        <f t="shared" si="1654"/>
        <v>29673.234157401865</v>
      </c>
      <c r="X162" s="156">
        <f t="shared" si="1654"/>
        <v>29770.376604529458</v>
      </c>
      <c r="Y162" s="156">
        <f t="shared" si="1654"/>
        <v>29867.837070750746</v>
      </c>
      <c r="Z162" s="156">
        <f t="shared" si="1654"/>
        <v>29965.616597177494</v>
      </c>
      <c r="AA162" s="156">
        <f t="shared" si="1654"/>
        <v>30063.716228329795</v>
      </c>
      <c r="AB162" s="156">
        <f t="shared" si="1654"/>
        <v>30162.137012147217</v>
      </c>
      <c r="AC162" s="156">
        <f t="shared" si="1654"/>
        <v>30260.880000000019</v>
      </c>
      <c r="AD162" s="156">
        <f t="shared" si="1654"/>
        <v>30335.511493627328</v>
      </c>
      <c r="AE162" s="156">
        <f t="shared" si="1654"/>
        <v>30410.327048651434</v>
      </c>
      <c r="AF162" s="156">
        <f t="shared" si="1654"/>
        <v>30485.327119017395</v>
      </c>
      <c r="AG162" s="156">
        <f t="shared" si="1654"/>
        <v>30560.512159789814</v>
      </c>
      <c r="AH162" s="156">
        <f t="shared" si="1654"/>
        <v>30635.882627155621</v>
      </c>
      <c r="AI162" s="156">
        <f t="shared" si="1654"/>
        <v>30711.438978426824</v>
      </c>
      <c r="AJ162" s="156">
        <f t="shared" si="1654"/>
        <v>30787.181672043265</v>
      </c>
      <c r="AK162" s="156">
        <f t="shared" si="1654"/>
        <v>30863.11116757544</v>
      </c>
      <c r="AL162" s="156">
        <f t="shared" si="1654"/>
        <v>30939.227925727278</v>
      </c>
      <c r="AM162" s="156">
        <f t="shared" si="1654"/>
        <v>31015.532408338917</v>
      </c>
      <c r="AN162" s="156">
        <f t="shared" si="1654"/>
        <v>31092.025078389506</v>
      </c>
      <c r="AO162" s="156">
        <f t="shared" si="1654"/>
        <v>31168.70640000005</v>
      </c>
      <c r="AP162" s="156">
        <f t="shared" si="1654"/>
        <v>31245.576838436176</v>
      </c>
      <c r="AQ162" s="156">
        <f t="shared" si="1654"/>
        <v>31322.636860111004</v>
      </c>
      <c r="AR162" s="156">
        <f t="shared" si="1654"/>
        <v>31399.886932587939</v>
      </c>
      <c r="AS162" s="156">
        <f t="shared" si="1654"/>
        <v>31477.327524583536</v>
      </c>
      <c r="AT162" s="156">
        <f t="shared" si="1654"/>
        <v>31554.959105970323</v>
      </c>
      <c r="AU162" s="156">
        <f t="shared" si="1654"/>
        <v>31632.782147779657</v>
      </c>
      <c r="AV162" s="156">
        <f t="shared" si="1654"/>
        <v>31710.797122204589</v>
      </c>
      <c r="AW162" s="156">
        <f t="shared" si="1654"/>
        <v>31789.004502602736</v>
      </c>
      <c r="AX162" s="156">
        <f t="shared" si="1654"/>
        <v>31867.404763499133</v>
      </c>
      <c r="AY162" s="156">
        <f t="shared" si="1654"/>
        <v>31945.998380589121</v>
      </c>
      <c r="AZ162" s="156">
        <f t="shared" si="1654"/>
        <v>32024.785830741224</v>
      </c>
      <c r="BA162" s="156">
        <f t="shared" si="1654"/>
        <v>32103.76759200008</v>
      </c>
      <c r="BB162" s="156">
        <f t="shared" si="1654"/>
        <v>32169.89609688468</v>
      </c>
      <c r="BC162" s="156">
        <f t="shared" si="1654"/>
        <v>32236.160815662119</v>
      </c>
      <c r="BD162" s="156">
        <f t="shared" si="1654"/>
        <v>32302.562028910706</v>
      </c>
      <c r="BE162" s="156">
        <f t="shared" si="1654"/>
        <v>32369.100017786706</v>
      </c>
      <c r="BF162" s="156">
        <f t="shared" si="1654"/>
        <v>32435.775064025507</v>
      </c>
      <c r="BG162" s="156">
        <f t="shared" si="1654"/>
        <v>32502.587449942846</v>
      </c>
      <c r="BH162" s="156">
        <f t="shared" si="1654"/>
        <v>32569.537458435971</v>
      </c>
      <c r="BI162" s="156">
        <f t="shared" si="1654"/>
        <v>32636.625372984858</v>
      </c>
      <c r="BJ162" s="156">
        <f t="shared" si="1654"/>
        <v>32703.851477653403</v>
      </c>
      <c r="BK162" s="156">
        <f t="shared" si="1654"/>
        <v>32771.216057090627</v>
      </c>
      <c r="BL162" s="156">
        <f t="shared" si="1654"/>
        <v>32838.719396531873</v>
      </c>
      <c r="BM162" s="156">
        <f t="shared" si="1654"/>
        <v>32906.361781800035</v>
      </c>
      <c r="BN162" s="156">
        <f t="shared" si="1654"/>
        <v>32974.14349930676</v>
      </c>
      <c r="BO162" s="156">
        <f t="shared" si="1654"/>
        <v>33042.064836053629</v>
      </c>
      <c r="BP162" s="156">
        <f t="shared" si="1654"/>
        <v>33110.126079633432</v>
      </c>
      <c r="BQ162" s="156">
        <f t="shared" si="1654"/>
        <v>33178.32751823133</v>
      </c>
      <c r="BR162" s="156">
        <f t="shared" ref="BR162:BY162" si="1655">+BR157*$E140/Months</f>
        <v>33246.669440626101</v>
      </c>
      <c r="BS162" s="156">
        <f t="shared" si="1655"/>
        <v>33315.152136191376</v>
      </c>
      <c r="BT162" s="156">
        <f t="shared" si="1655"/>
        <v>33383.775894896833</v>
      </c>
      <c r="BU162" s="156">
        <f t="shared" si="1655"/>
        <v>33452.541007309446</v>
      </c>
      <c r="BV162" s="156">
        <f t="shared" si="1655"/>
        <v>33521.447764594697</v>
      </c>
      <c r="BW162" s="156">
        <f t="shared" si="1655"/>
        <v>33590.496458517853</v>
      </c>
      <c r="BX162" s="156">
        <f t="shared" si="1655"/>
        <v>33659.687381445132</v>
      </c>
      <c r="BY162" s="156">
        <f t="shared" si="1655"/>
        <v>33729.020826345004</v>
      </c>
    </row>
    <row r="163" spans="2:77" customFormat="1" outlineLevel="1" x14ac:dyDescent="0.25">
      <c r="B163" s="1"/>
      <c r="C163" s="50" t="s">
        <v>277</v>
      </c>
      <c r="D163" s="37" t="s">
        <v>101</v>
      </c>
      <c r="E163" s="1"/>
      <c r="F163" s="13">
        <f t="shared" ref="F163:BQ163" si="1656">+F158*$E140/Months</f>
        <v>25162.5</v>
      </c>
      <c r="G163" s="13">
        <f t="shared" si="1656"/>
        <v>25162.5</v>
      </c>
      <c r="H163" s="13">
        <f t="shared" si="1656"/>
        <v>25162.5</v>
      </c>
      <c r="I163" s="13">
        <f t="shared" si="1656"/>
        <v>25162.5</v>
      </c>
      <c r="J163" s="13">
        <f t="shared" si="1656"/>
        <v>25162.5</v>
      </c>
      <c r="K163" s="13">
        <f t="shared" si="1656"/>
        <v>25162.5</v>
      </c>
      <c r="L163" s="13">
        <f t="shared" si="1656"/>
        <v>25162.5</v>
      </c>
      <c r="M163" s="13">
        <f t="shared" si="1656"/>
        <v>25162.5</v>
      </c>
      <c r="N163" s="13">
        <f t="shared" si="1656"/>
        <v>25162.5</v>
      </c>
      <c r="O163" s="13">
        <f t="shared" si="1656"/>
        <v>25162.5</v>
      </c>
      <c r="P163" s="13">
        <f t="shared" si="1656"/>
        <v>25162.5</v>
      </c>
      <c r="Q163" s="13">
        <f t="shared" si="1656"/>
        <v>25162.5</v>
      </c>
      <c r="R163" s="13">
        <f t="shared" si="1656"/>
        <v>25665.75</v>
      </c>
      <c r="S163" s="13">
        <f t="shared" si="1656"/>
        <v>25665.75</v>
      </c>
      <c r="T163" s="13">
        <f t="shared" si="1656"/>
        <v>25665.75</v>
      </c>
      <c r="U163" s="13">
        <f t="shared" si="1656"/>
        <v>25665.75</v>
      </c>
      <c r="V163" s="13">
        <f t="shared" si="1656"/>
        <v>25665.75</v>
      </c>
      <c r="W163" s="13">
        <f t="shared" si="1656"/>
        <v>25665.75</v>
      </c>
      <c r="X163" s="13">
        <f t="shared" si="1656"/>
        <v>25665.75</v>
      </c>
      <c r="Y163" s="13">
        <f t="shared" si="1656"/>
        <v>25665.75</v>
      </c>
      <c r="Z163" s="13">
        <f t="shared" si="1656"/>
        <v>25665.75</v>
      </c>
      <c r="AA163" s="13">
        <f t="shared" si="1656"/>
        <v>25665.75</v>
      </c>
      <c r="AB163" s="13">
        <f t="shared" si="1656"/>
        <v>25665.75</v>
      </c>
      <c r="AC163" s="13">
        <f t="shared" si="1656"/>
        <v>25665.75</v>
      </c>
      <c r="AD163" s="13">
        <f t="shared" si="1656"/>
        <v>26179.065000000002</v>
      </c>
      <c r="AE163" s="13">
        <f t="shared" si="1656"/>
        <v>26179.065000000002</v>
      </c>
      <c r="AF163" s="13">
        <f t="shared" si="1656"/>
        <v>26179.065000000002</v>
      </c>
      <c r="AG163" s="13">
        <f t="shared" si="1656"/>
        <v>26179.065000000002</v>
      </c>
      <c r="AH163" s="13">
        <f t="shared" si="1656"/>
        <v>26179.065000000002</v>
      </c>
      <c r="AI163" s="13">
        <f t="shared" si="1656"/>
        <v>26179.065000000002</v>
      </c>
      <c r="AJ163" s="13">
        <f t="shared" si="1656"/>
        <v>26179.065000000002</v>
      </c>
      <c r="AK163" s="13">
        <f t="shared" si="1656"/>
        <v>26179.065000000002</v>
      </c>
      <c r="AL163" s="13">
        <f t="shared" si="1656"/>
        <v>26179.065000000002</v>
      </c>
      <c r="AM163" s="13">
        <f t="shared" si="1656"/>
        <v>26179.065000000002</v>
      </c>
      <c r="AN163" s="13">
        <f t="shared" si="1656"/>
        <v>26179.065000000002</v>
      </c>
      <c r="AO163" s="13">
        <f t="shared" si="1656"/>
        <v>26179.065000000002</v>
      </c>
      <c r="AP163" s="13">
        <f t="shared" si="1656"/>
        <v>26702.646300000004</v>
      </c>
      <c r="AQ163" s="13">
        <f t="shared" si="1656"/>
        <v>26702.646300000004</v>
      </c>
      <c r="AR163" s="13">
        <f t="shared" si="1656"/>
        <v>26702.646300000004</v>
      </c>
      <c r="AS163" s="13">
        <f t="shared" si="1656"/>
        <v>26702.646300000004</v>
      </c>
      <c r="AT163" s="13">
        <f t="shared" si="1656"/>
        <v>26702.646300000004</v>
      </c>
      <c r="AU163" s="13">
        <f t="shared" si="1656"/>
        <v>26702.646300000004</v>
      </c>
      <c r="AV163" s="13">
        <f t="shared" si="1656"/>
        <v>26702.646300000004</v>
      </c>
      <c r="AW163" s="13">
        <f t="shared" si="1656"/>
        <v>26702.646300000004</v>
      </c>
      <c r="AX163" s="13">
        <f t="shared" si="1656"/>
        <v>26702.646300000004</v>
      </c>
      <c r="AY163" s="13">
        <f t="shared" si="1656"/>
        <v>26702.646300000004</v>
      </c>
      <c r="AZ163" s="13">
        <f t="shared" si="1656"/>
        <v>26702.646300000004</v>
      </c>
      <c r="BA163" s="13">
        <f t="shared" si="1656"/>
        <v>26702.646300000004</v>
      </c>
      <c r="BB163" s="13">
        <f t="shared" si="1656"/>
        <v>27236.699226000001</v>
      </c>
      <c r="BC163" s="13">
        <f t="shared" si="1656"/>
        <v>27236.699226000001</v>
      </c>
      <c r="BD163" s="13">
        <f t="shared" si="1656"/>
        <v>27236.699226000001</v>
      </c>
      <c r="BE163" s="13">
        <f t="shared" si="1656"/>
        <v>27236.699226000001</v>
      </c>
      <c r="BF163" s="13">
        <f t="shared" si="1656"/>
        <v>27236.699226000001</v>
      </c>
      <c r="BG163" s="13">
        <f t="shared" si="1656"/>
        <v>27236.699226000001</v>
      </c>
      <c r="BH163" s="13">
        <f t="shared" si="1656"/>
        <v>27236.699226000001</v>
      </c>
      <c r="BI163" s="13">
        <f t="shared" si="1656"/>
        <v>27236.699226000001</v>
      </c>
      <c r="BJ163" s="13">
        <f t="shared" si="1656"/>
        <v>27236.699226000001</v>
      </c>
      <c r="BK163" s="13">
        <f t="shared" si="1656"/>
        <v>27236.699226000001</v>
      </c>
      <c r="BL163" s="13">
        <f t="shared" si="1656"/>
        <v>27236.699226000001</v>
      </c>
      <c r="BM163" s="13">
        <f t="shared" si="1656"/>
        <v>27236.699226000001</v>
      </c>
      <c r="BN163" s="13">
        <f t="shared" si="1656"/>
        <v>0</v>
      </c>
      <c r="BO163" s="13">
        <f t="shared" si="1656"/>
        <v>0</v>
      </c>
      <c r="BP163" s="13">
        <f t="shared" si="1656"/>
        <v>0</v>
      </c>
      <c r="BQ163" s="13">
        <f t="shared" si="1656"/>
        <v>0</v>
      </c>
      <c r="BR163" s="13">
        <f t="shared" ref="BR163:BY163" si="1657">+BR158*$E140/Months</f>
        <v>0</v>
      </c>
      <c r="BS163" s="13">
        <f t="shared" si="1657"/>
        <v>0</v>
      </c>
      <c r="BT163" s="13">
        <f t="shared" si="1657"/>
        <v>0</v>
      </c>
      <c r="BU163" s="13">
        <f t="shared" si="1657"/>
        <v>0</v>
      </c>
      <c r="BV163" s="13">
        <f t="shared" si="1657"/>
        <v>0</v>
      </c>
      <c r="BW163" s="13">
        <f t="shared" si="1657"/>
        <v>0</v>
      </c>
      <c r="BX163" s="13">
        <f t="shared" si="1657"/>
        <v>0</v>
      </c>
      <c r="BY163" s="13">
        <f t="shared" si="1657"/>
        <v>0</v>
      </c>
    </row>
    <row r="164" spans="2:77" customFormat="1" outlineLevel="1" x14ac:dyDescent="0.25">
      <c r="B164" s="1"/>
      <c r="C164" s="50" t="s">
        <v>278</v>
      </c>
      <c r="D164" s="37" t="s">
        <v>101</v>
      </c>
      <c r="E164" s="1"/>
      <c r="F164" s="13">
        <f t="shared" ref="F164:BQ164" si="1658">+F159*$E140/Months*Renewal_Probability</f>
        <v>0</v>
      </c>
      <c r="G164" s="13">
        <f t="shared" si="1658"/>
        <v>0</v>
      </c>
      <c r="H164" s="13">
        <f t="shared" si="1658"/>
        <v>0</v>
      </c>
      <c r="I164" s="13">
        <f t="shared" si="1658"/>
        <v>0</v>
      </c>
      <c r="J164" s="13">
        <f t="shared" si="1658"/>
        <v>0</v>
      </c>
      <c r="K164" s="13">
        <f t="shared" si="1658"/>
        <v>0</v>
      </c>
      <c r="L164" s="13">
        <f t="shared" si="1658"/>
        <v>0</v>
      </c>
      <c r="M164" s="13">
        <f t="shared" si="1658"/>
        <v>0</v>
      </c>
      <c r="N164" s="13">
        <f t="shared" si="1658"/>
        <v>0</v>
      </c>
      <c r="O164" s="13">
        <f t="shared" si="1658"/>
        <v>0</v>
      </c>
      <c r="P164" s="13">
        <f t="shared" si="1658"/>
        <v>0</v>
      </c>
      <c r="Q164" s="13">
        <f t="shared" si="1658"/>
        <v>0</v>
      </c>
      <c r="R164" s="13">
        <f t="shared" si="1658"/>
        <v>0</v>
      </c>
      <c r="S164" s="13">
        <f t="shared" si="1658"/>
        <v>0</v>
      </c>
      <c r="T164" s="13">
        <f t="shared" si="1658"/>
        <v>0</v>
      </c>
      <c r="U164" s="13">
        <f t="shared" si="1658"/>
        <v>0</v>
      </c>
      <c r="V164" s="13">
        <f t="shared" si="1658"/>
        <v>0</v>
      </c>
      <c r="W164" s="13">
        <f t="shared" si="1658"/>
        <v>0</v>
      </c>
      <c r="X164" s="13">
        <f t="shared" si="1658"/>
        <v>0</v>
      </c>
      <c r="Y164" s="13">
        <f t="shared" si="1658"/>
        <v>0</v>
      </c>
      <c r="Z164" s="13">
        <f t="shared" si="1658"/>
        <v>0</v>
      </c>
      <c r="AA164" s="13">
        <f t="shared" si="1658"/>
        <v>0</v>
      </c>
      <c r="AB164" s="13">
        <f t="shared" si="1658"/>
        <v>0</v>
      </c>
      <c r="AC164" s="13">
        <f t="shared" si="1658"/>
        <v>0</v>
      </c>
      <c r="AD164" s="13">
        <f t="shared" si="1658"/>
        <v>0</v>
      </c>
      <c r="AE164" s="13">
        <f t="shared" si="1658"/>
        <v>0</v>
      </c>
      <c r="AF164" s="13">
        <f t="shared" si="1658"/>
        <v>0</v>
      </c>
      <c r="AG164" s="13">
        <f t="shared" si="1658"/>
        <v>0</v>
      </c>
      <c r="AH164" s="13">
        <f t="shared" si="1658"/>
        <v>0</v>
      </c>
      <c r="AI164" s="13">
        <f t="shared" si="1658"/>
        <v>0</v>
      </c>
      <c r="AJ164" s="13">
        <f t="shared" si="1658"/>
        <v>0</v>
      </c>
      <c r="AK164" s="13">
        <f t="shared" si="1658"/>
        <v>0</v>
      </c>
      <c r="AL164" s="13">
        <f t="shared" si="1658"/>
        <v>0</v>
      </c>
      <c r="AM164" s="13">
        <f t="shared" si="1658"/>
        <v>0</v>
      </c>
      <c r="AN164" s="13">
        <f t="shared" si="1658"/>
        <v>0</v>
      </c>
      <c r="AO164" s="13">
        <f t="shared" si="1658"/>
        <v>0</v>
      </c>
      <c r="AP164" s="13">
        <f t="shared" si="1658"/>
        <v>0</v>
      </c>
      <c r="AQ164" s="13">
        <f t="shared" si="1658"/>
        <v>0</v>
      </c>
      <c r="AR164" s="13">
        <f t="shared" si="1658"/>
        <v>0</v>
      </c>
      <c r="AS164" s="13">
        <f t="shared" si="1658"/>
        <v>0</v>
      </c>
      <c r="AT164" s="13">
        <f t="shared" si="1658"/>
        <v>0</v>
      </c>
      <c r="AU164" s="13">
        <f t="shared" si="1658"/>
        <v>0</v>
      </c>
      <c r="AV164" s="13">
        <f t="shared" si="1658"/>
        <v>0</v>
      </c>
      <c r="AW164" s="13">
        <f t="shared" si="1658"/>
        <v>0</v>
      </c>
      <c r="AX164" s="13">
        <f t="shared" si="1658"/>
        <v>0</v>
      </c>
      <c r="AY164" s="13">
        <f t="shared" si="1658"/>
        <v>0</v>
      </c>
      <c r="AZ164" s="13">
        <f t="shared" si="1658"/>
        <v>0</v>
      </c>
      <c r="BA164" s="13">
        <f t="shared" si="1658"/>
        <v>0</v>
      </c>
      <c r="BB164" s="13">
        <f t="shared" si="1658"/>
        <v>0</v>
      </c>
      <c r="BC164" s="13">
        <f t="shared" si="1658"/>
        <v>0</v>
      </c>
      <c r="BD164" s="13">
        <f t="shared" si="1658"/>
        <v>0</v>
      </c>
      <c r="BE164" s="13">
        <f t="shared" si="1658"/>
        <v>0</v>
      </c>
      <c r="BF164" s="13">
        <f t="shared" si="1658"/>
        <v>0</v>
      </c>
      <c r="BG164" s="13">
        <f t="shared" si="1658"/>
        <v>0</v>
      </c>
      <c r="BH164" s="13">
        <f t="shared" si="1658"/>
        <v>0</v>
      </c>
      <c r="BI164" s="13">
        <f t="shared" si="1658"/>
        <v>0</v>
      </c>
      <c r="BJ164" s="13">
        <f t="shared" si="1658"/>
        <v>0</v>
      </c>
      <c r="BK164" s="13">
        <f t="shared" si="1658"/>
        <v>0</v>
      </c>
      <c r="BL164" s="13">
        <f t="shared" si="1658"/>
        <v>0</v>
      </c>
      <c r="BM164" s="13">
        <f t="shared" si="1658"/>
        <v>0</v>
      </c>
      <c r="BN164" s="13">
        <f t="shared" si="1658"/>
        <v>19784.486099584054</v>
      </c>
      <c r="BO164" s="13">
        <f t="shared" si="1658"/>
        <v>19784.486099584054</v>
      </c>
      <c r="BP164" s="13">
        <f t="shared" si="1658"/>
        <v>19784.486099584054</v>
      </c>
      <c r="BQ164" s="13">
        <f t="shared" si="1658"/>
        <v>19784.486099584054</v>
      </c>
      <c r="BR164" s="13">
        <f t="shared" ref="BR164:BY164" si="1659">+BR159*$E140/Months*Renewal_Probability</f>
        <v>19784.486099584054</v>
      </c>
      <c r="BS164" s="13">
        <f t="shared" si="1659"/>
        <v>19784.486099584054</v>
      </c>
      <c r="BT164" s="13">
        <f t="shared" si="1659"/>
        <v>19784.486099584054</v>
      </c>
      <c r="BU164" s="13">
        <f t="shared" si="1659"/>
        <v>19784.486099584054</v>
      </c>
      <c r="BV164" s="13">
        <f t="shared" si="1659"/>
        <v>19784.486099584054</v>
      </c>
      <c r="BW164" s="13">
        <f t="shared" si="1659"/>
        <v>19784.486099584054</v>
      </c>
      <c r="BX164" s="13">
        <f t="shared" si="1659"/>
        <v>19784.486099584054</v>
      </c>
      <c r="BY164" s="13">
        <f t="shared" si="1659"/>
        <v>19784.486099584054</v>
      </c>
    </row>
    <row r="165" spans="2:77" customFormat="1" outlineLevel="1" x14ac:dyDescent="0.25">
      <c r="B165" s="1"/>
      <c r="C165" s="50" t="s">
        <v>279</v>
      </c>
      <c r="D165" s="37" t="s">
        <v>101</v>
      </c>
      <c r="E165" s="1"/>
      <c r="F165" s="13">
        <f t="shared" ref="F165:BQ165" si="1660">+F160*$E140/Months*(1-Renewal_Probability)</f>
        <v>0</v>
      </c>
      <c r="G165" s="13">
        <f t="shared" si="1660"/>
        <v>0</v>
      </c>
      <c r="H165" s="13">
        <f t="shared" si="1660"/>
        <v>0</v>
      </c>
      <c r="I165" s="13">
        <f t="shared" si="1660"/>
        <v>0</v>
      </c>
      <c r="J165" s="13">
        <f t="shared" si="1660"/>
        <v>0</v>
      </c>
      <c r="K165" s="13">
        <f t="shared" si="1660"/>
        <v>0</v>
      </c>
      <c r="L165" s="13">
        <f t="shared" si="1660"/>
        <v>0</v>
      </c>
      <c r="M165" s="13">
        <f t="shared" si="1660"/>
        <v>0</v>
      </c>
      <c r="N165" s="13">
        <f t="shared" si="1660"/>
        <v>0</v>
      </c>
      <c r="O165" s="13">
        <f t="shared" si="1660"/>
        <v>0</v>
      </c>
      <c r="P165" s="13">
        <f t="shared" si="1660"/>
        <v>0</v>
      </c>
      <c r="Q165" s="13">
        <f t="shared" si="1660"/>
        <v>0</v>
      </c>
      <c r="R165" s="13">
        <f t="shared" si="1660"/>
        <v>0</v>
      </c>
      <c r="S165" s="13">
        <f t="shared" si="1660"/>
        <v>0</v>
      </c>
      <c r="T165" s="13">
        <f t="shared" si="1660"/>
        <v>0</v>
      </c>
      <c r="U165" s="13">
        <f t="shared" si="1660"/>
        <v>0</v>
      </c>
      <c r="V165" s="13">
        <f t="shared" si="1660"/>
        <v>0</v>
      </c>
      <c r="W165" s="13">
        <f t="shared" si="1660"/>
        <v>0</v>
      </c>
      <c r="X165" s="13">
        <f t="shared" si="1660"/>
        <v>0</v>
      </c>
      <c r="Y165" s="13">
        <f t="shared" si="1660"/>
        <v>0</v>
      </c>
      <c r="Z165" s="13">
        <f t="shared" si="1660"/>
        <v>0</v>
      </c>
      <c r="AA165" s="13">
        <f t="shared" si="1660"/>
        <v>0</v>
      </c>
      <c r="AB165" s="13">
        <f t="shared" si="1660"/>
        <v>0</v>
      </c>
      <c r="AC165" s="13">
        <f t="shared" si="1660"/>
        <v>0</v>
      </c>
      <c r="AD165" s="13">
        <f t="shared" si="1660"/>
        <v>0</v>
      </c>
      <c r="AE165" s="13">
        <f t="shared" si="1660"/>
        <v>0</v>
      </c>
      <c r="AF165" s="13">
        <f t="shared" si="1660"/>
        <v>0</v>
      </c>
      <c r="AG165" s="13">
        <f t="shared" si="1660"/>
        <v>0</v>
      </c>
      <c r="AH165" s="13">
        <f t="shared" si="1660"/>
        <v>0</v>
      </c>
      <c r="AI165" s="13">
        <f t="shared" si="1660"/>
        <v>0</v>
      </c>
      <c r="AJ165" s="13">
        <f t="shared" si="1660"/>
        <v>0</v>
      </c>
      <c r="AK165" s="13">
        <f t="shared" si="1660"/>
        <v>0</v>
      </c>
      <c r="AL165" s="13">
        <f t="shared" si="1660"/>
        <v>0</v>
      </c>
      <c r="AM165" s="13">
        <f t="shared" si="1660"/>
        <v>0</v>
      </c>
      <c r="AN165" s="13">
        <f t="shared" si="1660"/>
        <v>0</v>
      </c>
      <c r="AO165" s="13">
        <f t="shared" si="1660"/>
        <v>0</v>
      </c>
      <c r="AP165" s="13">
        <f t="shared" si="1660"/>
        <v>0</v>
      </c>
      <c r="AQ165" s="13">
        <f t="shared" si="1660"/>
        <v>0</v>
      </c>
      <c r="AR165" s="13">
        <f t="shared" si="1660"/>
        <v>0</v>
      </c>
      <c r="AS165" s="13">
        <f t="shared" si="1660"/>
        <v>0</v>
      </c>
      <c r="AT165" s="13">
        <f t="shared" si="1660"/>
        <v>0</v>
      </c>
      <c r="AU165" s="13">
        <f t="shared" si="1660"/>
        <v>0</v>
      </c>
      <c r="AV165" s="13">
        <f t="shared" si="1660"/>
        <v>0</v>
      </c>
      <c r="AW165" s="13">
        <f t="shared" si="1660"/>
        <v>0</v>
      </c>
      <c r="AX165" s="13">
        <f t="shared" si="1660"/>
        <v>0</v>
      </c>
      <c r="AY165" s="13">
        <f t="shared" si="1660"/>
        <v>0</v>
      </c>
      <c r="AZ165" s="13">
        <f t="shared" si="1660"/>
        <v>0</v>
      </c>
      <c r="BA165" s="13">
        <f t="shared" si="1660"/>
        <v>0</v>
      </c>
      <c r="BB165" s="13">
        <f t="shared" si="1660"/>
        <v>0</v>
      </c>
      <c r="BC165" s="13">
        <f t="shared" si="1660"/>
        <v>0</v>
      </c>
      <c r="BD165" s="13">
        <f t="shared" si="1660"/>
        <v>0</v>
      </c>
      <c r="BE165" s="13">
        <f t="shared" si="1660"/>
        <v>0</v>
      </c>
      <c r="BF165" s="13">
        <f t="shared" si="1660"/>
        <v>0</v>
      </c>
      <c r="BG165" s="13">
        <f t="shared" si="1660"/>
        <v>0</v>
      </c>
      <c r="BH165" s="13">
        <f t="shared" si="1660"/>
        <v>0</v>
      </c>
      <c r="BI165" s="13">
        <f t="shared" si="1660"/>
        <v>0</v>
      </c>
      <c r="BJ165" s="13">
        <f t="shared" si="1660"/>
        <v>0</v>
      </c>
      <c r="BK165" s="13">
        <f t="shared" si="1660"/>
        <v>0</v>
      </c>
      <c r="BL165" s="13">
        <f t="shared" si="1660"/>
        <v>0</v>
      </c>
      <c r="BM165" s="13">
        <f t="shared" si="1660"/>
        <v>0</v>
      </c>
      <c r="BN165" s="13">
        <f t="shared" si="1660"/>
        <v>13189.657399722704</v>
      </c>
      <c r="BO165" s="13">
        <f t="shared" si="1660"/>
        <v>13216.825934421453</v>
      </c>
      <c r="BP165" s="13">
        <f t="shared" si="1660"/>
        <v>13244.050431853373</v>
      </c>
      <c r="BQ165" s="13">
        <f t="shared" si="1660"/>
        <v>13271.331007292532</v>
      </c>
      <c r="BR165" s="13">
        <f t="shared" ref="BR165:BY165" si="1661">+BR160*$E140/Months*(1-Renewal_Probability)</f>
        <v>13298.667776250441</v>
      </c>
      <c r="BS165" s="13">
        <f t="shared" si="1661"/>
        <v>13326.060854476551</v>
      </c>
      <c r="BT165" s="13">
        <f t="shared" si="1661"/>
        <v>13353.510357958734</v>
      </c>
      <c r="BU165" s="13">
        <f t="shared" si="1661"/>
        <v>13353.510357958734</v>
      </c>
      <c r="BV165" s="13">
        <f t="shared" si="1661"/>
        <v>13353.510357958734</v>
      </c>
      <c r="BW165" s="13">
        <f t="shared" si="1661"/>
        <v>13353.510357958734</v>
      </c>
      <c r="BX165" s="13">
        <f t="shared" si="1661"/>
        <v>13353.510357958734</v>
      </c>
      <c r="BY165" s="13">
        <f t="shared" si="1661"/>
        <v>13353.510357958734</v>
      </c>
    </row>
    <row r="166" spans="2:77" customFormat="1" outlineLevel="1" x14ac:dyDescent="0.25">
      <c r="B166" s="1"/>
      <c r="C166" s="50"/>
      <c r="D166" s="37"/>
      <c r="E166" s="1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</row>
    <row r="167" spans="2:77" customFormat="1" outlineLevel="1" x14ac:dyDescent="0.25">
      <c r="B167" s="1"/>
      <c r="C167" s="50" t="s">
        <v>117</v>
      </c>
      <c r="D167" s="37" t="s">
        <v>101</v>
      </c>
      <c r="E167" s="1"/>
      <c r="F167" s="13">
        <f>IF(F$5&gt;$E141,SUM(F163:F165)-F162,0)</f>
        <v>-2421.114263018666</v>
      </c>
      <c r="G167" s="13">
        <f t="shared" ref="G167:BR167" si="1662">IF(G$5&gt;$E141,SUM(G163:G165)-G162,0)</f>
        <v>-2555.3789002188278</v>
      </c>
      <c r="H167" s="13">
        <f t="shared" si="1662"/>
        <v>-2690.2970773296984</v>
      </c>
      <c r="I167" s="13">
        <f t="shared" si="1662"/>
        <v>-2825.8719754898375</v>
      </c>
      <c r="J167" s="13">
        <f t="shared" si="1662"/>
        <v>-2962.1067913221632</v>
      </c>
      <c r="K167" s="13">
        <f t="shared" si="1662"/>
        <v>-3099.0047370093125</v>
      </c>
      <c r="L167" s="13">
        <f t="shared" si="1662"/>
        <v>-3236.5690403693916</v>
      </c>
      <c r="M167" s="13">
        <f t="shared" si="1662"/>
        <v>-3374.8029449320566</v>
      </c>
      <c r="N167" s="13">
        <f t="shared" si="1662"/>
        <v>-3513.7097100150313</v>
      </c>
      <c r="O167" s="13">
        <f t="shared" si="1662"/>
        <v>-3653.2926108009124</v>
      </c>
      <c r="P167" s="13">
        <f t="shared" si="1662"/>
        <v>-3793.5549384144215</v>
      </c>
      <c r="Q167" s="13">
        <f t="shared" si="1662"/>
        <v>-3934.5000000000036</v>
      </c>
      <c r="R167" s="13">
        <f t="shared" si="1662"/>
        <v>-3526.506006442647</v>
      </c>
      <c r="S167" s="13">
        <f t="shared" si="1662"/>
        <v>-3622.0738562630759</v>
      </c>
      <c r="T167" s="13">
        <f t="shared" si="1662"/>
        <v>-3717.9545703553595</v>
      </c>
      <c r="U167" s="13">
        <f t="shared" si="1662"/>
        <v>-3814.1491729557129</v>
      </c>
      <c r="V167" s="13">
        <f t="shared" si="1662"/>
        <v>-3910.6586916534252</v>
      </c>
      <c r="W167" s="13">
        <f t="shared" si="1662"/>
        <v>-4007.4841574018646</v>
      </c>
      <c r="X167" s="13">
        <f t="shared" si="1662"/>
        <v>-4104.6266045294578</v>
      </c>
      <c r="Y167" s="13">
        <f t="shared" si="1662"/>
        <v>-4202.0870707507456</v>
      </c>
      <c r="Z167" s="13">
        <f t="shared" si="1662"/>
        <v>-4299.8665971774935</v>
      </c>
      <c r="AA167" s="13">
        <f t="shared" si="1662"/>
        <v>-4397.9662283297948</v>
      </c>
      <c r="AB167" s="13">
        <f t="shared" si="1662"/>
        <v>-4496.3870121472173</v>
      </c>
      <c r="AC167" s="13">
        <f t="shared" si="1662"/>
        <v>-4595.1300000000192</v>
      </c>
      <c r="AD167" s="13">
        <f t="shared" si="1662"/>
        <v>-4156.4464936273253</v>
      </c>
      <c r="AE167" s="13">
        <f t="shared" si="1662"/>
        <v>-4231.2620486514315</v>
      </c>
      <c r="AF167" s="13">
        <f t="shared" si="1662"/>
        <v>-4306.2621190173923</v>
      </c>
      <c r="AG167" s="13">
        <f t="shared" si="1662"/>
        <v>-4381.4471597898118</v>
      </c>
      <c r="AH167" s="13">
        <f t="shared" si="1662"/>
        <v>-4456.8176271556185</v>
      </c>
      <c r="AI167" s="13">
        <f t="shared" si="1662"/>
        <v>-4532.3739784268219</v>
      </c>
      <c r="AJ167" s="13">
        <f t="shared" si="1662"/>
        <v>-4608.116672043263</v>
      </c>
      <c r="AK167" s="13">
        <f t="shared" si="1662"/>
        <v>-4684.0461675754377</v>
      </c>
      <c r="AL167" s="13">
        <f t="shared" si="1662"/>
        <v>-4760.1629257272762</v>
      </c>
      <c r="AM167" s="13">
        <f t="shared" si="1662"/>
        <v>-4836.4674083389145</v>
      </c>
      <c r="AN167" s="13">
        <f t="shared" si="1662"/>
        <v>-4912.9600783895039</v>
      </c>
      <c r="AO167" s="13">
        <f t="shared" si="1662"/>
        <v>-4989.6414000000477</v>
      </c>
      <c r="AP167" s="13">
        <f t="shared" si="1662"/>
        <v>-4542.9305384361724</v>
      </c>
      <c r="AQ167" s="13">
        <f t="shared" si="1662"/>
        <v>-4619.9905601110004</v>
      </c>
      <c r="AR167" s="13">
        <f t="shared" si="1662"/>
        <v>-4697.2406325879347</v>
      </c>
      <c r="AS167" s="13">
        <f t="shared" si="1662"/>
        <v>-4774.6812245835317</v>
      </c>
      <c r="AT167" s="13">
        <f t="shared" si="1662"/>
        <v>-4852.3128059703195</v>
      </c>
      <c r="AU167" s="13">
        <f t="shared" si="1662"/>
        <v>-4930.135847779653</v>
      </c>
      <c r="AV167" s="13">
        <f t="shared" si="1662"/>
        <v>-5008.150822204585</v>
      </c>
      <c r="AW167" s="13">
        <f t="shared" si="1662"/>
        <v>-5086.3582026027325</v>
      </c>
      <c r="AX167" s="13">
        <f t="shared" si="1662"/>
        <v>-5164.758463499129</v>
      </c>
      <c r="AY167" s="13">
        <f t="shared" si="1662"/>
        <v>-5243.3520805891167</v>
      </c>
      <c r="AZ167" s="13">
        <f t="shared" si="1662"/>
        <v>-5322.1395307412204</v>
      </c>
      <c r="BA167" s="13">
        <f t="shared" si="1662"/>
        <v>-5401.1212920000762</v>
      </c>
      <c r="BB167" s="13">
        <f t="shared" si="1662"/>
        <v>-4933.1968708846798</v>
      </c>
      <c r="BC167" s="13">
        <f t="shared" si="1662"/>
        <v>-4999.4615896621181</v>
      </c>
      <c r="BD167" s="13">
        <f t="shared" si="1662"/>
        <v>-5065.8628029107058</v>
      </c>
      <c r="BE167" s="13">
        <f t="shared" si="1662"/>
        <v>-5132.4007917867057</v>
      </c>
      <c r="BF167" s="13">
        <f t="shared" si="1662"/>
        <v>-5199.0758380255065</v>
      </c>
      <c r="BG167" s="13">
        <f t="shared" si="1662"/>
        <v>-5265.8882239428458</v>
      </c>
      <c r="BH167" s="13">
        <f t="shared" si="1662"/>
        <v>-5332.83823243597</v>
      </c>
      <c r="BI167" s="13">
        <f t="shared" si="1662"/>
        <v>-5399.926146984857</v>
      </c>
      <c r="BJ167" s="13">
        <f t="shared" si="1662"/>
        <v>-5467.1522516534023</v>
      </c>
      <c r="BK167" s="13">
        <f t="shared" si="1662"/>
        <v>-5534.5168310906265</v>
      </c>
      <c r="BL167" s="13">
        <f t="shared" si="1662"/>
        <v>-5602.0201705318723</v>
      </c>
      <c r="BM167" s="13">
        <f t="shared" si="1662"/>
        <v>-5669.6625558000342</v>
      </c>
      <c r="BN167" s="13">
        <f t="shared" si="1662"/>
        <v>0</v>
      </c>
      <c r="BO167" s="13">
        <f t="shared" si="1662"/>
        <v>-40.752802048125886</v>
      </c>
      <c r="BP167" s="13">
        <f t="shared" si="1662"/>
        <v>-81.589548196003307</v>
      </c>
      <c r="BQ167" s="13">
        <f t="shared" si="1662"/>
        <v>-122.51041135474225</v>
      </c>
      <c r="BR167" s="13">
        <f t="shared" si="1662"/>
        <v>-163.51556479160354</v>
      </c>
      <c r="BS167" s="13">
        <f t="shared" ref="BS167:BY167" si="1663">IF(BS$5&gt;$E141,SUM(BS163:BS165)-BS162,0)</f>
        <v>-204.60518213077012</v>
      </c>
      <c r="BT167" s="13">
        <f t="shared" si="1663"/>
        <v>-245.77943735404551</v>
      </c>
      <c r="BU167" s="13">
        <f t="shared" si="1663"/>
        <v>-314.54454976665875</v>
      </c>
      <c r="BV167" s="13">
        <f t="shared" si="1663"/>
        <v>-383.45130705190968</v>
      </c>
      <c r="BW167" s="13">
        <f t="shared" si="1663"/>
        <v>-452.50000097506563</v>
      </c>
      <c r="BX167" s="13">
        <f t="shared" si="1663"/>
        <v>-521.69092390234437</v>
      </c>
      <c r="BY167" s="13">
        <f t="shared" si="1663"/>
        <v>-591.02436880221649</v>
      </c>
    </row>
    <row r="168" spans="2:77" customFormat="1" outlineLevel="1" x14ac:dyDescent="0.25">
      <c r="B168" s="1"/>
      <c r="C168" s="50" t="s">
        <v>25</v>
      </c>
      <c r="D168" s="37" t="s">
        <v>101</v>
      </c>
      <c r="E168" s="1"/>
      <c r="F168" s="62">
        <f>IF(AND(F$5&gt;$E143,F$5&lt;=$E152),-F165,0)</f>
        <v>0</v>
      </c>
      <c r="G168" s="62">
        <f t="shared" ref="G168:BR168" si="1664">IF(AND(G$5&gt;$E143,G$5&lt;=$E152),-G165,0)</f>
        <v>0</v>
      </c>
      <c r="H168" s="62">
        <f t="shared" si="1664"/>
        <v>0</v>
      </c>
      <c r="I168" s="62">
        <f t="shared" si="1664"/>
        <v>0</v>
      </c>
      <c r="J168" s="62">
        <f t="shared" si="1664"/>
        <v>0</v>
      </c>
      <c r="K168" s="62">
        <f t="shared" si="1664"/>
        <v>0</v>
      </c>
      <c r="L168" s="62">
        <f t="shared" si="1664"/>
        <v>0</v>
      </c>
      <c r="M168" s="62">
        <f t="shared" si="1664"/>
        <v>0</v>
      </c>
      <c r="N168" s="62">
        <f t="shared" si="1664"/>
        <v>0</v>
      </c>
      <c r="O168" s="62">
        <f t="shared" si="1664"/>
        <v>0</v>
      </c>
      <c r="P168" s="62">
        <f t="shared" si="1664"/>
        <v>0</v>
      </c>
      <c r="Q168" s="62">
        <f t="shared" si="1664"/>
        <v>0</v>
      </c>
      <c r="R168" s="62">
        <f t="shared" si="1664"/>
        <v>0</v>
      </c>
      <c r="S168" s="62">
        <f t="shared" si="1664"/>
        <v>0</v>
      </c>
      <c r="T168" s="62">
        <f t="shared" si="1664"/>
        <v>0</v>
      </c>
      <c r="U168" s="62">
        <f t="shared" si="1664"/>
        <v>0</v>
      </c>
      <c r="V168" s="62">
        <f t="shared" si="1664"/>
        <v>0</v>
      </c>
      <c r="W168" s="62">
        <f t="shared" si="1664"/>
        <v>0</v>
      </c>
      <c r="X168" s="62">
        <f t="shared" si="1664"/>
        <v>0</v>
      </c>
      <c r="Y168" s="62">
        <f t="shared" si="1664"/>
        <v>0</v>
      </c>
      <c r="Z168" s="62">
        <f t="shared" si="1664"/>
        <v>0</v>
      </c>
      <c r="AA168" s="62">
        <f t="shared" si="1664"/>
        <v>0</v>
      </c>
      <c r="AB168" s="62">
        <f t="shared" si="1664"/>
        <v>0</v>
      </c>
      <c r="AC168" s="62">
        <f t="shared" si="1664"/>
        <v>0</v>
      </c>
      <c r="AD168" s="62">
        <f t="shared" si="1664"/>
        <v>0</v>
      </c>
      <c r="AE168" s="62">
        <f t="shared" si="1664"/>
        <v>0</v>
      </c>
      <c r="AF168" s="62">
        <f t="shared" si="1664"/>
        <v>0</v>
      </c>
      <c r="AG168" s="62">
        <f t="shared" si="1664"/>
        <v>0</v>
      </c>
      <c r="AH168" s="62">
        <f t="shared" si="1664"/>
        <v>0</v>
      </c>
      <c r="AI168" s="62">
        <f t="shared" si="1664"/>
        <v>0</v>
      </c>
      <c r="AJ168" s="62">
        <f t="shared" si="1664"/>
        <v>0</v>
      </c>
      <c r="AK168" s="62">
        <f t="shared" si="1664"/>
        <v>0</v>
      </c>
      <c r="AL168" s="62">
        <f t="shared" si="1664"/>
        <v>0</v>
      </c>
      <c r="AM168" s="62">
        <f t="shared" si="1664"/>
        <v>0</v>
      </c>
      <c r="AN168" s="62">
        <f t="shared" si="1664"/>
        <v>0</v>
      </c>
      <c r="AO168" s="62">
        <f t="shared" si="1664"/>
        <v>0</v>
      </c>
      <c r="AP168" s="62">
        <f t="shared" si="1664"/>
        <v>0</v>
      </c>
      <c r="AQ168" s="62">
        <f t="shared" si="1664"/>
        <v>0</v>
      </c>
      <c r="AR168" s="62">
        <f t="shared" si="1664"/>
        <v>0</v>
      </c>
      <c r="AS168" s="62">
        <f t="shared" si="1664"/>
        <v>0</v>
      </c>
      <c r="AT168" s="62">
        <f t="shared" si="1664"/>
        <v>0</v>
      </c>
      <c r="AU168" s="62">
        <f t="shared" si="1664"/>
        <v>0</v>
      </c>
      <c r="AV168" s="62">
        <f t="shared" si="1664"/>
        <v>0</v>
      </c>
      <c r="AW168" s="62">
        <f t="shared" si="1664"/>
        <v>0</v>
      </c>
      <c r="AX168" s="62">
        <f t="shared" si="1664"/>
        <v>0</v>
      </c>
      <c r="AY168" s="62">
        <f t="shared" si="1664"/>
        <v>0</v>
      </c>
      <c r="AZ168" s="62">
        <f t="shared" si="1664"/>
        <v>0</v>
      </c>
      <c r="BA168" s="62">
        <f t="shared" si="1664"/>
        <v>0</v>
      </c>
      <c r="BB168" s="62">
        <f t="shared" si="1664"/>
        <v>0</v>
      </c>
      <c r="BC168" s="62">
        <f t="shared" si="1664"/>
        <v>0</v>
      </c>
      <c r="BD168" s="62">
        <f t="shared" si="1664"/>
        <v>0</v>
      </c>
      <c r="BE168" s="62">
        <f t="shared" si="1664"/>
        <v>0</v>
      </c>
      <c r="BF168" s="62">
        <f t="shared" si="1664"/>
        <v>0</v>
      </c>
      <c r="BG168" s="62">
        <f t="shared" si="1664"/>
        <v>0</v>
      </c>
      <c r="BH168" s="62">
        <f t="shared" si="1664"/>
        <v>0</v>
      </c>
      <c r="BI168" s="62">
        <f t="shared" si="1664"/>
        <v>0</v>
      </c>
      <c r="BJ168" s="62">
        <f t="shared" si="1664"/>
        <v>0</v>
      </c>
      <c r="BK168" s="62">
        <f t="shared" si="1664"/>
        <v>0</v>
      </c>
      <c r="BL168" s="62">
        <f t="shared" si="1664"/>
        <v>0</v>
      </c>
      <c r="BM168" s="62">
        <f t="shared" si="1664"/>
        <v>0</v>
      </c>
      <c r="BN168" s="62">
        <f t="shared" si="1664"/>
        <v>-13189.657399722704</v>
      </c>
      <c r="BO168" s="62">
        <f t="shared" si="1664"/>
        <v>-13216.825934421453</v>
      </c>
      <c r="BP168" s="62">
        <f t="shared" si="1664"/>
        <v>-13244.050431853373</v>
      </c>
      <c r="BQ168" s="62">
        <f t="shared" si="1664"/>
        <v>-13271.331007292532</v>
      </c>
      <c r="BR168" s="62">
        <f t="shared" si="1664"/>
        <v>-13298.667776250441</v>
      </c>
      <c r="BS168" s="62">
        <f t="shared" ref="BS168:BY168" si="1665">IF(AND(BS$5&gt;$E143,BS$5&lt;=$E152),-BS165,0)</f>
        <v>-13326.060854476551</v>
      </c>
      <c r="BT168" s="62">
        <f t="shared" si="1665"/>
        <v>0</v>
      </c>
      <c r="BU168" s="62">
        <f t="shared" si="1665"/>
        <v>0</v>
      </c>
      <c r="BV168" s="62">
        <f t="shared" si="1665"/>
        <v>0</v>
      </c>
      <c r="BW168" s="62">
        <f t="shared" si="1665"/>
        <v>0</v>
      </c>
      <c r="BX168" s="62">
        <f t="shared" si="1665"/>
        <v>0</v>
      </c>
      <c r="BY168" s="62">
        <f t="shared" si="1665"/>
        <v>0</v>
      </c>
    </row>
    <row r="169" spans="2:77" customFormat="1" outlineLevel="1" x14ac:dyDescent="0.25">
      <c r="B169" s="1"/>
      <c r="C169" s="50" t="s">
        <v>26</v>
      </c>
      <c r="D169" s="37" t="s">
        <v>101</v>
      </c>
      <c r="E169" s="1"/>
      <c r="F169" s="62">
        <f t="shared" ref="F169:BQ169" si="1666">IF(AND(F$5&gt;$E141,F$5&lt;=EOMONTH($E141,$E145)),-F163,0)+IF(AND(F$5&gt;$E143,F$5&lt;=EOMONTH($E143,Renewal_Free_Rent_Months)),-F164,0)+IF(AND(F$5&gt;$E152,F$5&lt;=EOMONTH($E152,New_Free_Rent_Months)),-F165,0)</f>
        <v>0</v>
      </c>
      <c r="G169" s="62">
        <f t="shared" si="1666"/>
        <v>0</v>
      </c>
      <c r="H169" s="62">
        <f t="shared" si="1666"/>
        <v>0</v>
      </c>
      <c r="I169" s="62">
        <f t="shared" si="1666"/>
        <v>0</v>
      </c>
      <c r="J169" s="62">
        <f t="shared" si="1666"/>
        <v>0</v>
      </c>
      <c r="K169" s="62">
        <f t="shared" si="1666"/>
        <v>0</v>
      </c>
      <c r="L169" s="62">
        <f t="shared" si="1666"/>
        <v>0</v>
      </c>
      <c r="M169" s="62">
        <f t="shared" si="1666"/>
        <v>0</v>
      </c>
      <c r="N169" s="62">
        <f t="shared" si="1666"/>
        <v>0</v>
      </c>
      <c r="O169" s="62">
        <f t="shared" si="1666"/>
        <v>0</v>
      </c>
      <c r="P169" s="62">
        <f t="shared" si="1666"/>
        <v>0</v>
      </c>
      <c r="Q169" s="62">
        <f t="shared" si="1666"/>
        <v>0</v>
      </c>
      <c r="R169" s="62">
        <f t="shared" si="1666"/>
        <v>0</v>
      </c>
      <c r="S169" s="62">
        <f t="shared" si="1666"/>
        <v>0</v>
      </c>
      <c r="T169" s="62">
        <f t="shared" si="1666"/>
        <v>0</v>
      </c>
      <c r="U169" s="62">
        <f t="shared" si="1666"/>
        <v>0</v>
      </c>
      <c r="V169" s="62">
        <f t="shared" si="1666"/>
        <v>0</v>
      </c>
      <c r="W169" s="62">
        <f t="shared" si="1666"/>
        <v>0</v>
      </c>
      <c r="X169" s="62">
        <f t="shared" si="1666"/>
        <v>0</v>
      </c>
      <c r="Y169" s="62">
        <f t="shared" si="1666"/>
        <v>0</v>
      </c>
      <c r="Z169" s="62">
        <f t="shared" si="1666"/>
        <v>0</v>
      </c>
      <c r="AA169" s="62">
        <f t="shared" si="1666"/>
        <v>0</v>
      </c>
      <c r="AB169" s="62">
        <f t="shared" si="1666"/>
        <v>0</v>
      </c>
      <c r="AC169" s="62">
        <f t="shared" si="1666"/>
        <v>0</v>
      </c>
      <c r="AD169" s="62">
        <f t="shared" si="1666"/>
        <v>0</v>
      </c>
      <c r="AE169" s="62">
        <f t="shared" si="1666"/>
        <v>0</v>
      </c>
      <c r="AF169" s="62">
        <f t="shared" si="1666"/>
        <v>0</v>
      </c>
      <c r="AG169" s="62">
        <f t="shared" si="1666"/>
        <v>0</v>
      </c>
      <c r="AH169" s="62">
        <f t="shared" si="1666"/>
        <v>0</v>
      </c>
      <c r="AI169" s="62">
        <f t="shared" si="1666"/>
        <v>0</v>
      </c>
      <c r="AJ169" s="62">
        <f t="shared" si="1666"/>
        <v>0</v>
      </c>
      <c r="AK169" s="62">
        <f t="shared" si="1666"/>
        <v>0</v>
      </c>
      <c r="AL169" s="62">
        <f t="shared" si="1666"/>
        <v>0</v>
      </c>
      <c r="AM169" s="62">
        <f t="shared" si="1666"/>
        <v>0</v>
      </c>
      <c r="AN169" s="62">
        <f t="shared" si="1666"/>
        <v>0</v>
      </c>
      <c r="AO169" s="62">
        <f t="shared" si="1666"/>
        <v>0</v>
      </c>
      <c r="AP169" s="62">
        <f t="shared" si="1666"/>
        <v>0</v>
      </c>
      <c r="AQ169" s="62">
        <f t="shared" si="1666"/>
        <v>0</v>
      </c>
      <c r="AR169" s="62">
        <f t="shared" si="1666"/>
        <v>0</v>
      </c>
      <c r="AS169" s="62">
        <f t="shared" si="1666"/>
        <v>0</v>
      </c>
      <c r="AT169" s="62">
        <f t="shared" si="1666"/>
        <v>0</v>
      </c>
      <c r="AU169" s="62">
        <f t="shared" si="1666"/>
        <v>0</v>
      </c>
      <c r="AV169" s="62">
        <f t="shared" si="1666"/>
        <v>0</v>
      </c>
      <c r="AW169" s="62">
        <f t="shared" si="1666"/>
        <v>0</v>
      </c>
      <c r="AX169" s="62">
        <f t="shared" si="1666"/>
        <v>0</v>
      </c>
      <c r="AY169" s="62">
        <f t="shared" si="1666"/>
        <v>0</v>
      </c>
      <c r="AZ169" s="62">
        <f t="shared" si="1666"/>
        <v>0</v>
      </c>
      <c r="BA169" s="62">
        <f t="shared" si="1666"/>
        <v>0</v>
      </c>
      <c r="BB169" s="62">
        <f t="shared" si="1666"/>
        <v>0</v>
      </c>
      <c r="BC169" s="62">
        <f t="shared" si="1666"/>
        <v>0</v>
      </c>
      <c r="BD169" s="62">
        <f t="shared" si="1666"/>
        <v>0</v>
      </c>
      <c r="BE169" s="62">
        <f t="shared" si="1666"/>
        <v>0</v>
      </c>
      <c r="BF169" s="62">
        <f t="shared" si="1666"/>
        <v>0</v>
      </c>
      <c r="BG169" s="62">
        <f t="shared" si="1666"/>
        <v>0</v>
      </c>
      <c r="BH169" s="62">
        <f t="shared" si="1666"/>
        <v>0</v>
      </c>
      <c r="BI169" s="62">
        <f t="shared" si="1666"/>
        <v>0</v>
      </c>
      <c r="BJ169" s="62">
        <f t="shared" si="1666"/>
        <v>0</v>
      </c>
      <c r="BK169" s="62">
        <f t="shared" si="1666"/>
        <v>0</v>
      </c>
      <c r="BL169" s="62">
        <f t="shared" si="1666"/>
        <v>0</v>
      </c>
      <c r="BM169" s="62">
        <f t="shared" si="1666"/>
        <v>0</v>
      </c>
      <c r="BN169" s="62">
        <f t="shared" si="1666"/>
        <v>-19784.486099584054</v>
      </c>
      <c r="BO169" s="62">
        <f t="shared" si="1666"/>
        <v>-19784.486099584054</v>
      </c>
      <c r="BP169" s="62">
        <f t="shared" si="1666"/>
        <v>0</v>
      </c>
      <c r="BQ169" s="62">
        <f t="shared" si="1666"/>
        <v>0</v>
      </c>
      <c r="BR169" s="62">
        <f t="shared" ref="BR169:BY169" si="1667">IF(AND(BR$5&gt;$E141,BR$5&lt;=EOMONTH($E141,$E145)),-BR163,0)+IF(AND(BR$5&gt;$E143,BR$5&lt;=EOMONTH($E143,Renewal_Free_Rent_Months)),-BR164,0)+IF(AND(BR$5&gt;$E152,BR$5&lt;=EOMONTH($E152,New_Free_Rent_Months)),-BR165,0)</f>
        <v>0</v>
      </c>
      <c r="BS169" s="62">
        <f t="shared" si="1667"/>
        <v>0</v>
      </c>
      <c r="BT169" s="62">
        <f t="shared" si="1667"/>
        <v>-13353.510357958734</v>
      </c>
      <c r="BU169" s="62">
        <f t="shared" si="1667"/>
        <v>-13353.510357958734</v>
      </c>
      <c r="BV169" s="62">
        <f t="shared" si="1667"/>
        <v>-13353.510357958734</v>
      </c>
      <c r="BW169" s="62">
        <f t="shared" si="1667"/>
        <v>0</v>
      </c>
      <c r="BX169" s="62">
        <f t="shared" si="1667"/>
        <v>0</v>
      </c>
      <c r="BY169" s="62">
        <f t="shared" si="1667"/>
        <v>0</v>
      </c>
    </row>
    <row r="170" spans="2:77" customFormat="1" outlineLevel="1" x14ac:dyDescent="0.25">
      <c r="B170" s="1"/>
      <c r="C170" s="50" t="s">
        <v>27</v>
      </c>
      <c r="D170" s="37" t="s">
        <v>101</v>
      </c>
      <c r="E170" s="1"/>
      <c r="F170" s="62">
        <f t="shared" ref="F170:BQ170" si="1668">IF(F$5=EOMONTH($E141,1),-New_TIs*$E140*F$15,0)+IF(F$5=EOMONTH($E147,1),-Renewal_TIs*$E140*F$15*Renewal_Probability,0)+IF(F$5=EOMONTH($E152,1),-New_TIs*$E140*F$15*(1-Renewal_Probability),0)</f>
        <v>0</v>
      </c>
      <c r="G170" s="62">
        <f t="shared" si="1668"/>
        <v>0</v>
      </c>
      <c r="H170" s="62">
        <f t="shared" si="1668"/>
        <v>0</v>
      </c>
      <c r="I170" s="62">
        <f t="shared" si="1668"/>
        <v>0</v>
      </c>
      <c r="J170" s="62">
        <f t="shared" si="1668"/>
        <v>0</v>
      </c>
      <c r="K170" s="62">
        <f t="shared" si="1668"/>
        <v>0</v>
      </c>
      <c r="L170" s="62">
        <f t="shared" si="1668"/>
        <v>0</v>
      </c>
      <c r="M170" s="62">
        <f t="shared" si="1668"/>
        <v>0</v>
      </c>
      <c r="N170" s="62">
        <f t="shared" si="1668"/>
        <v>0</v>
      </c>
      <c r="O170" s="62">
        <f t="shared" si="1668"/>
        <v>0</v>
      </c>
      <c r="P170" s="62">
        <f t="shared" si="1668"/>
        <v>0</v>
      </c>
      <c r="Q170" s="62">
        <f t="shared" si="1668"/>
        <v>0</v>
      </c>
      <c r="R170" s="62">
        <f t="shared" si="1668"/>
        <v>0</v>
      </c>
      <c r="S170" s="62">
        <f t="shared" si="1668"/>
        <v>0</v>
      </c>
      <c r="T170" s="62">
        <f t="shared" si="1668"/>
        <v>0</v>
      </c>
      <c r="U170" s="62">
        <f t="shared" si="1668"/>
        <v>0</v>
      </c>
      <c r="V170" s="62">
        <f t="shared" si="1668"/>
        <v>0</v>
      </c>
      <c r="W170" s="62">
        <f t="shared" si="1668"/>
        <v>0</v>
      </c>
      <c r="X170" s="62">
        <f t="shared" si="1668"/>
        <v>0</v>
      </c>
      <c r="Y170" s="62">
        <f t="shared" si="1668"/>
        <v>0</v>
      </c>
      <c r="Z170" s="62">
        <f t="shared" si="1668"/>
        <v>0</v>
      </c>
      <c r="AA170" s="62">
        <f t="shared" si="1668"/>
        <v>0</v>
      </c>
      <c r="AB170" s="62">
        <f t="shared" si="1668"/>
        <v>0</v>
      </c>
      <c r="AC170" s="62">
        <f t="shared" si="1668"/>
        <v>0</v>
      </c>
      <c r="AD170" s="62">
        <f t="shared" si="1668"/>
        <v>0</v>
      </c>
      <c r="AE170" s="62">
        <f t="shared" si="1668"/>
        <v>0</v>
      </c>
      <c r="AF170" s="62">
        <f t="shared" si="1668"/>
        <v>0</v>
      </c>
      <c r="AG170" s="62">
        <f t="shared" si="1668"/>
        <v>0</v>
      </c>
      <c r="AH170" s="62">
        <f t="shared" si="1668"/>
        <v>0</v>
      </c>
      <c r="AI170" s="62">
        <f t="shared" si="1668"/>
        <v>0</v>
      </c>
      <c r="AJ170" s="62">
        <f t="shared" si="1668"/>
        <v>0</v>
      </c>
      <c r="AK170" s="62">
        <f t="shared" si="1668"/>
        <v>0</v>
      </c>
      <c r="AL170" s="62">
        <f t="shared" si="1668"/>
        <v>0</v>
      </c>
      <c r="AM170" s="62">
        <f t="shared" si="1668"/>
        <v>0</v>
      </c>
      <c r="AN170" s="62">
        <f t="shared" si="1668"/>
        <v>0</v>
      </c>
      <c r="AO170" s="62">
        <f t="shared" si="1668"/>
        <v>0</v>
      </c>
      <c r="AP170" s="62">
        <f t="shared" si="1668"/>
        <v>0</v>
      </c>
      <c r="AQ170" s="62">
        <f t="shared" si="1668"/>
        <v>0</v>
      </c>
      <c r="AR170" s="62">
        <f t="shared" si="1668"/>
        <v>0</v>
      </c>
      <c r="AS170" s="62">
        <f t="shared" si="1668"/>
        <v>0</v>
      </c>
      <c r="AT170" s="62">
        <f t="shared" si="1668"/>
        <v>0</v>
      </c>
      <c r="AU170" s="62">
        <f t="shared" si="1668"/>
        <v>0</v>
      </c>
      <c r="AV170" s="62">
        <f t="shared" si="1668"/>
        <v>0</v>
      </c>
      <c r="AW170" s="62">
        <f t="shared" si="1668"/>
        <v>0</v>
      </c>
      <c r="AX170" s="62">
        <f t="shared" si="1668"/>
        <v>0</v>
      </c>
      <c r="AY170" s="62">
        <f t="shared" si="1668"/>
        <v>0</v>
      </c>
      <c r="AZ170" s="62">
        <f t="shared" si="1668"/>
        <v>0</v>
      </c>
      <c r="BA170" s="62">
        <f t="shared" si="1668"/>
        <v>0</v>
      </c>
      <c r="BB170" s="62">
        <f t="shared" si="1668"/>
        <v>0</v>
      </c>
      <c r="BC170" s="62">
        <f t="shared" si="1668"/>
        <v>0</v>
      </c>
      <c r="BD170" s="62">
        <f t="shared" si="1668"/>
        <v>0</v>
      </c>
      <c r="BE170" s="62">
        <f t="shared" si="1668"/>
        <v>0</v>
      </c>
      <c r="BF170" s="62">
        <f t="shared" si="1668"/>
        <v>0</v>
      </c>
      <c r="BG170" s="62">
        <f t="shared" si="1668"/>
        <v>0</v>
      </c>
      <c r="BH170" s="62">
        <f t="shared" si="1668"/>
        <v>0</v>
      </c>
      <c r="BI170" s="62">
        <f t="shared" si="1668"/>
        <v>0</v>
      </c>
      <c r="BJ170" s="62">
        <f t="shared" si="1668"/>
        <v>0</v>
      </c>
      <c r="BK170" s="62">
        <f t="shared" si="1668"/>
        <v>0</v>
      </c>
      <c r="BL170" s="62">
        <f t="shared" si="1668"/>
        <v>0</v>
      </c>
      <c r="BM170" s="62">
        <f t="shared" si="1668"/>
        <v>0</v>
      </c>
      <c r="BN170" s="62">
        <f t="shared" si="1668"/>
        <v>-93269.444492401555</v>
      </c>
      <c r="BO170" s="62">
        <f t="shared" si="1668"/>
        <v>0</v>
      </c>
      <c r="BP170" s="62">
        <f t="shared" si="1668"/>
        <v>0</v>
      </c>
      <c r="BQ170" s="62">
        <f t="shared" si="1668"/>
        <v>0</v>
      </c>
      <c r="BR170" s="62">
        <f t="shared" ref="BR170:BY170" si="1669">IF(BR$5=EOMONTH($E141,1),-New_TIs*$E140*BR$15,0)+IF(BR$5=EOMONTH($E147,1),-Renewal_TIs*$E140*BR$15*Renewal_Probability,0)+IF(BR$5=EOMONTH($E152,1),-New_TIs*$E140*BR$15*(1-Renewal_Probability),0)</f>
        <v>0</v>
      </c>
      <c r="BS170" s="62">
        <f t="shared" si="1669"/>
        <v>0</v>
      </c>
      <c r="BT170" s="62">
        <f t="shared" si="1669"/>
        <v>-140949.54242169418</v>
      </c>
      <c r="BU170" s="62">
        <f t="shared" si="1669"/>
        <v>0</v>
      </c>
      <c r="BV170" s="62">
        <f t="shared" si="1669"/>
        <v>0</v>
      </c>
      <c r="BW170" s="62">
        <f t="shared" si="1669"/>
        <v>0</v>
      </c>
      <c r="BX170" s="62">
        <f t="shared" si="1669"/>
        <v>0</v>
      </c>
      <c r="BY170" s="62">
        <f t="shared" si="1669"/>
        <v>0</v>
      </c>
    </row>
    <row r="171" spans="2:77" customFormat="1" outlineLevel="1" x14ac:dyDescent="0.25">
      <c r="B171" s="1"/>
      <c r="C171" s="50" t="s">
        <v>28</v>
      </c>
      <c r="D171" s="37" t="s">
        <v>101</v>
      </c>
      <c r="E171" s="1"/>
      <c r="F171" s="62">
        <f t="shared" ref="F171:BQ171" si="1670">IF(F$5=EOMONTH($E141,1),-New_LC_Pct*FV($E144,$E142,-F158*$E140),0)+IF(F$5=EOMONTH($E147,1),-Renewal_LC_Pct*FV($E150,$E148,-F159*$E140)*Renewal_Probability,0)+IF(F$5=EOMONTH($E152,1),-New_LC_Pct*FV($E155,$E153,-F160*$E140)*(1-Renewal_Probability),0)</f>
        <v>0</v>
      </c>
      <c r="G171" s="62">
        <f t="shared" si="1670"/>
        <v>0</v>
      </c>
      <c r="H171" s="62">
        <f t="shared" si="1670"/>
        <v>0</v>
      </c>
      <c r="I171" s="62">
        <f t="shared" si="1670"/>
        <v>0</v>
      </c>
      <c r="J171" s="62">
        <f t="shared" si="1670"/>
        <v>0</v>
      </c>
      <c r="K171" s="62">
        <f t="shared" si="1670"/>
        <v>0</v>
      </c>
      <c r="L171" s="62">
        <f t="shared" si="1670"/>
        <v>0</v>
      </c>
      <c r="M171" s="62">
        <f t="shared" si="1670"/>
        <v>0</v>
      </c>
      <c r="N171" s="62">
        <f t="shared" si="1670"/>
        <v>0</v>
      </c>
      <c r="O171" s="62">
        <f t="shared" si="1670"/>
        <v>0</v>
      </c>
      <c r="P171" s="62">
        <f t="shared" si="1670"/>
        <v>0</v>
      </c>
      <c r="Q171" s="62">
        <f t="shared" si="1670"/>
        <v>0</v>
      </c>
      <c r="R171" s="62">
        <f t="shared" si="1670"/>
        <v>0</v>
      </c>
      <c r="S171" s="62">
        <f t="shared" si="1670"/>
        <v>0</v>
      </c>
      <c r="T171" s="62">
        <f t="shared" si="1670"/>
        <v>0</v>
      </c>
      <c r="U171" s="62">
        <f t="shared" si="1670"/>
        <v>0</v>
      </c>
      <c r="V171" s="62">
        <f t="shared" si="1670"/>
        <v>0</v>
      </c>
      <c r="W171" s="62">
        <f t="shared" si="1670"/>
        <v>0</v>
      </c>
      <c r="X171" s="62">
        <f t="shared" si="1670"/>
        <v>0</v>
      </c>
      <c r="Y171" s="62">
        <f t="shared" si="1670"/>
        <v>0</v>
      </c>
      <c r="Z171" s="62">
        <f t="shared" si="1670"/>
        <v>0</v>
      </c>
      <c r="AA171" s="62">
        <f t="shared" si="1670"/>
        <v>0</v>
      </c>
      <c r="AB171" s="62">
        <f t="shared" si="1670"/>
        <v>0</v>
      </c>
      <c r="AC171" s="62">
        <f t="shared" si="1670"/>
        <v>0</v>
      </c>
      <c r="AD171" s="62">
        <f t="shared" si="1670"/>
        <v>0</v>
      </c>
      <c r="AE171" s="62">
        <f t="shared" si="1670"/>
        <v>0</v>
      </c>
      <c r="AF171" s="62">
        <f t="shared" si="1670"/>
        <v>0</v>
      </c>
      <c r="AG171" s="62">
        <f t="shared" si="1670"/>
        <v>0</v>
      </c>
      <c r="AH171" s="62">
        <f t="shared" si="1670"/>
        <v>0</v>
      </c>
      <c r="AI171" s="62">
        <f t="shared" si="1670"/>
        <v>0</v>
      </c>
      <c r="AJ171" s="62">
        <f t="shared" si="1670"/>
        <v>0</v>
      </c>
      <c r="AK171" s="62">
        <f t="shared" si="1670"/>
        <v>0</v>
      </c>
      <c r="AL171" s="62">
        <f t="shared" si="1670"/>
        <v>0</v>
      </c>
      <c r="AM171" s="62">
        <f t="shared" si="1670"/>
        <v>0</v>
      </c>
      <c r="AN171" s="62">
        <f t="shared" si="1670"/>
        <v>0</v>
      </c>
      <c r="AO171" s="62">
        <f t="shared" si="1670"/>
        <v>0</v>
      </c>
      <c r="AP171" s="62">
        <f t="shared" si="1670"/>
        <v>0</v>
      </c>
      <c r="AQ171" s="62">
        <f t="shared" si="1670"/>
        <v>0</v>
      </c>
      <c r="AR171" s="62">
        <f t="shared" si="1670"/>
        <v>0</v>
      </c>
      <c r="AS171" s="62">
        <f t="shared" si="1670"/>
        <v>0</v>
      </c>
      <c r="AT171" s="62">
        <f t="shared" si="1670"/>
        <v>0</v>
      </c>
      <c r="AU171" s="62">
        <f t="shared" si="1670"/>
        <v>0</v>
      </c>
      <c r="AV171" s="62">
        <f t="shared" si="1670"/>
        <v>0</v>
      </c>
      <c r="AW171" s="62">
        <f t="shared" si="1670"/>
        <v>0</v>
      </c>
      <c r="AX171" s="62">
        <f t="shared" si="1670"/>
        <v>0</v>
      </c>
      <c r="AY171" s="62">
        <f t="shared" si="1670"/>
        <v>0</v>
      </c>
      <c r="AZ171" s="62">
        <f t="shared" si="1670"/>
        <v>0</v>
      </c>
      <c r="BA171" s="62">
        <f t="shared" si="1670"/>
        <v>0</v>
      </c>
      <c r="BB171" s="62">
        <f t="shared" si="1670"/>
        <v>0</v>
      </c>
      <c r="BC171" s="62">
        <f t="shared" si="1670"/>
        <v>0</v>
      </c>
      <c r="BD171" s="62">
        <f t="shared" si="1670"/>
        <v>0</v>
      </c>
      <c r="BE171" s="62">
        <f t="shared" si="1670"/>
        <v>0</v>
      </c>
      <c r="BF171" s="62">
        <f t="shared" si="1670"/>
        <v>0</v>
      </c>
      <c r="BG171" s="62">
        <f t="shared" si="1670"/>
        <v>0</v>
      </c>
      <c r="BH171" s="62">
        <f t="shared" si="1670"/>
        <v>0</v>
      </c>
      <c r="BI171" s="62">
        <f t="shared" si="1670"/>
        <v>0</v>
      </c>
      <c r="BJ171" s="62">
        <f t="shared" si="1670"/>
        <v>0</v>
      </c>
      <c r="BK171" s="62">
        <f t="shared" si="1670"/>
        <v>0</v>
      </c>
      <c r="BL171" s="62">
        <f t="shared" si="1670"/>
        <v>0</v>
      </c>
      <c r="BM171" s="62">
        <f t="shared" si="1670"/>
        <v>0</v>
      </c>
      <c r="BN171" s="62">
        <f t="shared" si="1670"/>
        <v>-37065.333674590991</v>
      </c>
      <c r="BO171" s="62">
        <f t="shared" si="1670"/>
        <v>0</v>
      </c>
      <c r="BP171" s="62">
        <f t="shared" si="1670"/>
        <v>0</v>
      </c>
      <c r="BQ171" s="62">
        <f t="shared" si="1670"/>
        <v>0</v>
      </c>
      <c r="BR171" s="62">
        <f t="shared" ref="BR171:BY171" si="1671">IF(BR$5=EOMONTH($E141,1),-New_LC_Pct*FV($E144,$E142,-BR158*$E140),0)+IF(BR$5=EOMONTH($E147,1),-Renewal_LC_Pct*FV($E150,$E148,-BR159*$E140)*Renewal_Probability,0)+IF(BR$5=EOMONTH($E152,1),-New_LC_Pct*FV($E155,$E153,-BR160*$E140)*(1-Renewal_Probability),0)</f>
        <v>0</v>
      </c>
      <c r="BS171" s="62">
        <f t="shared" si="1671"/>
        <v>0</v>
      </c>
      <c r="BT171" s="62">
        <f t="shared" si="1671"/>
        <v>-50034.387009451129</v>
      </c>
      <c r="BU171" s="62">
        <f t="shared" si="1671"/>
        <v>0</v>
      </c>
      <c r="BV171" s="62">
        <f t="shared" si="1671"/>
        <v>0</v>
      </c>
      <c r="BW171" s="62">
        <f t="shared" si="1671"/>
        <v>0</v>
      </c>
      <c r="BX171" s="62">
        <f t="shared" si="1671"/>
        <v>0</v>
      </c>
      <c r="BY171" s="62">
        <f t="shared" si="1671"/>
        <v>0</v>
      </c>
    </row>
    <row r="172" spans="2:77" customFormat="1" outlineLevel="1" x14ac:dyDescent="0.25">
      <c r="B172" s="1"/>
      <c r="C172" s="44"/>
      <c r="D172" s="56"/>
      <c r="E172" s="1"/>
      <c r="F172" s="93"/>
      <c r="G172" s="93"/>
      <c r="H172" s="1"/>
      <c r="I172" s="1"/>
      <c r="J172" s="1"/>
      <c r="K172" s="93"/>
      <c r="AP172" s="62"/>
    </row>
    <row r="173" spans="2:77" customFormat="1" outlineLevel="1" x14ac:dyDescent="0.25">
      <c r="B173" s="1"/>
      <c r="C173" s="50" t="s">
        <v>29</v>
      </c>
      <c r="D173" s="37" t="s">
        <v>101</v>
      </c>
      <c r="E173" s="1"/>
      <c r="F173" s="62">
        <f t="shared" ref="F173:BQ173" si="1672">-IF(F$5&gt;$E141,SUM(F$338:F$341)*($E140/Rentable_Sq_Ft)*IF(AND(F$5&gt;$E143,F$5&lt;=$E152),Renewal_Probability,1),0)</f>
        <v>8618.748470816452</v>
      </c>
      <c r="G173" s="62">
        <f t="shared" si="1672"/>
        <v>8646.9640105581293</v>
      </c>
      <c r="H173" s="62">
        <f t="shared" si="1672"/>
        <v>8675.2719206347356</v>
      </c>
      <c r="I173" s="62">
        <f t="shared" si="1672"/>
        <v>8703.6725034427109</v>
      </c>
      <c r="J173" s="62">
        <f t="shared" si="1672"/>
        <v>8732.166062368462</v>
      </c>
      <c r="K173" s="62">
        <f t="shared" si="1672"/>
        <v>8760.752901791604</v>
      </c>
      <c r="L173" s="62">
        <f t="shared" si="1672"/>
        <v>8789.4333270882162</v>
      </c>
      <c r="M173" s="62">
        <f t="shared" si="1672"/>
        <v>8818.2076446340889</v>
      </c>
      <c r="N173" s="62">
        <f t="shared" si="1672"/>
        <v>8847.0761618080178</v>
      </c>
      <c r="O173" s="62">
        <f t="shared" si="1672"/>
        <v>8876.0391869950708</v>
      </c>
      <c r="P173" s="62">
        <f t="shared" si="1672"/>
        <v>8905.0970295898915</v>
      </c>
      <c r="Q173" s="62">
        <f t="shared" si="1672"/>
        <v>8934.2500000000036</v>
      </c>
      <c r="R173" s="62">
        <f t="shared" si="1672"/>
        <v>8956.2842707132077</v>
      </c>
      <c r="S173" s="62">
        <f t="shared" si="1672"/>
        <v>8978.3728838822262</v>
      </c>
      <c r="T173" s="62">
        <f t="shared" si="1672"/>
        <v>9000.5159735302168</v>
      </c>
      <c r="U173" s="62">
        <f t="shared" si="1672"/>
        <v>9022.7136740108708</v>
      </c>
      <c r="V173" s="62">
        <f t="shared" si="1672"/>
        <v>9044.9661200092341</v>
      </c>
      <c r="W173" s="62">
        <f t="shared" si="1672"/>
        <v>9067.2734465425237</v>
      </c>
      <c r="X173" s="62">
        <f t="shared" si="1672"/>
        <v>9089.6357889609426</v>
      </c>
      <c r="Y173" s="62">
        <f t="shared" si="1672"/>
        <v>9112.0532829485073</v>
      </c>
      <c r="Z173" s="62">
        <f t="shared" si="1672"/>
        <v>9134.5260645238632</v>
      </c>
      <c r="AA173" s="62">
        <f t="shared" si="1672"/>
        <v>9157.0542700411188</v>
      </c>
      <c r="AB173" s="62">
        <f t="shared" si="1672"/>
        <v>9179.6380361906668</v>
      </c>
      <c r="AC173" s="62">
        <f t="shared" si="1672"/>
        <v>9202.2775000000147</v>
      </c>
      <c r="AD173" s="62">
        <f t="shared" si="1672"/>
        <v>9217.4758094540957</v>
      </c>
      <c r="AE173" s="62">
        <f t="shared" si="1672"/>
        <v>9232.6992201518915</v>
      </c>
      <c r="AF173" s="62">
        <f t="shared" si="1672"/>
        <v>9247.9477735501478</v>
      </c>
      <c r="AG173" s="62">
        <f t="shared" si="1672"/>
        <v>9263.2215111740788</v>
      </c>
      <c r="AH173" s="62">
        <f t="shared" si="1672"/>
        <v>9278.5204746174786</v>
      </c>
      <c r="AI173" s="62">
        <f t="shared" si="1672"/>
        <v>9293.8447055428405</v>
      </c>
      <c r="AJ173" s="62">
        <f t="shared" si="1672"/>
        <v>9309.194245681465</v>
      </c>
      <c r="AK173" s="62">
        <f t="shared" si="1672"/>
        <v>9324.5691368335756</v>
      </c>
      <c r="AL173" s="62">
        <f t="shared" si="1672"/>
        <v>9339.9694208684341</v>
      </c>
      <c r="AM173" s="62">
        <f t="shared" si="1672"/>
        <v>9355.3951397244455</v>
      </c>
      <c r="AN173" s="62">
        <f t="shared" si="1672"/>
        <v>9370.8463354092892</v>
      </c>
      <c r="AO173" s="62">
        <f t="shared" si="1672"/>
        <v>9386.3230500000191</v>
      </c>
      <c r="AP173" s="62">
        <f t="shared" si="1672"/>
        <v>9401.8253256431817</v>
      </c>
      <c r="AQ173" s="62">
        <f t="shared" si="1672"/>
        <v>9417.3532045549346</v>
      </c>
      <c r="AR173" s="62">
        <f t="shared" si="1672"/>
        <v>9432.9067290211569</v>
      </c>
      <c r="AS173" s="62">
        <f t="shared" si="1672"/>
        <v>9448.4859413975646</v>
      </c>
      <c r="AT173" s="62">
        <f t="shared" si="1672"/>
        <v>9464.0908841098353</v>
      </c>
      <c r="AU173" s="62">
        <f t="shared" si="1672"/>
        <v>9479.7215996537034</v>
      </c>
      <c r="AV173" s="62">
        <f t="shared" si="1672"/>
        <v>9495.3781305951015</v>
      </c>
      <c r="AW173" s="62">
        <f t="shared" si="1672"/>
        <v>9511.0605195702537</v>
      </c>
      <c r="AX173" s="62">
        <f t="shared" si="1672"/>
        <v>9526.7688092858079</v>
      </c>
      <c r="AY173" s="62">
        <f t="shared" si="1672"/>
        <v>9542.5030425189416</v>
      </c>
      <c r="AZ173" s="62">
        <f t="shared" si="1672"/>
        <v>9558.2632621174816</v>
      </c>
      <c r="BA173" s="62">
        <f t="shared" si="1672"/>
        <v>9574.0495110000284</v>
      </c>
      <c r="BB173" s="62">
        <f t="shared" si="1672"/>
        <v>9585.9355758646125</v>
      </c>
      <c r="BC173" s="62">
        <f t="shared" si="1672"/>
        <v>9597.8363971327217</v>
      </c>
      <c r="BD173" s="62">
        <f t="shared" si="1672"/>
        <v>9609.7519931242514</v>
      </c>
      <c r="BE173" s="62">
        <f t="shared" si="1672"/>
        <v>9621.6823821818398</v>
      </c>
      <c r="BF173" s="62">
        <f t="shared" si="1672"/>
        <v>9633.6275826708934</v>
      </c>
      <c r="BG173" s="62">
        <f t="shared" si="1672"/>
        <v>9645.587612979627</v>
      </c>
      <c r="BH173" s="62">
        <f t="shared" si="1672"/>
        <v>9657.5624915190765</v>
      </c>
      <c r="BI173" s="62">
        <f t="shared" si="1672"/>
        <v>9669.5522367231388</v>
      </c>
      <c r="BJ173" s="62">
        <f t="shared" si="1672"/>
        <v>9681.5568670485954</v>
      </c>
      <c r="BK173" s="62">
        <f t="shared" si="1672"/>
        <v>9693.5764009751401</v>
      </c>
      <c r="BL173" s="62">
        <f t="shared" si="1672"/>
        <v>9705.610857005413</v>
      </c>
      <c r="BM173" s="62">
        <f t="shared" si="1672"/>
        <v>9717.6602536650225</v>
      </c>
      <c r="BN173" s="62">
        <f t="shared" si="1672"/>
        <v>5837.8347657015438</v>
      </c>
      <c r="BO173" s="62">
        <f t="shared" si="1672"/>
        <v>5845.0823658538238</v>
      </c>
      <c r="BP173" s="62">
        <f t="shared" si="1672"/>
        <v>5852.3389638126646</v>
      </c>
      <c r="BQ173" s="62">
        <f t="shared" si="1672"/>
        <v>5859.6045707487365</v>
      </c>
      <c r="BR173" s="62">
        <f t="shared" ref="BR173:BY173" si="1673">-IF(BR$5&gt;$E141,SUM(BR$338:BR$341)*($E140/Rentable_Sq_Ft)*IF(AND(BR$5&gt;$E143,BR$5&lt;=$E152),Renewal_Probability,1),0)</f>
        <v>5866.8791978465706</v>
      </c>
      <c r="BS173" s="62">
        <f t="shared" si="1673"/>
        <v>5874.1628563045879</v>
      </c>
      <c r="BT173" s="62">
        <f t="shared" si="1673"/>
        <v>9802.4259288918547</v>
      </c>
      <c r="BU173" s="62">
        <f t="shared" si="1673"/>
        <v>9814.5955202739788</v>
      </c>
      <c r="BV173" s="62">
        <f t="shared" si="1673"/>
        <v>9826.7802200543156</v>
      </c>
      <c r="BW173" s="62">
        <f t="shared" si="1673"/>
        <v>9838.98004698976</v>
      </c>
      <c r="BX173" s="62">
        <f t="shared" si="1673"/>
        <v>9851.1950198604864</v>
      </c>
      <c r="BY173" s="62">
        <f t="shared" si="1673"/>
        <v>9863.4251574699883</v>
      </c>
    </row>
    <row r="174" spans="2:77" customFormat="1" outlineLevel="1" x14ac:dyDescent="0.25">
      <c r="B174" s="1"/>
      <c r="C174" s="50" t="s">
        <v>125</v>
      </c>
      <c r="D174" s="37" t="s">
        <v>101</v>
      </c>
      <c r="E174" s="1"/>
      <c r="F174" s="62">
        <f t="shared" ref="F174:BQ174" si="1674">IF(F$5&lt;=$E141,-F157*$E140/Months,0)</f>
        <v>0</v>
      </c>
      <c r="G174" s="62">
        <f t="shared" si="1674"/>
        <v>0</v>
      </c>
      <c r="H174" s="62">
        <f t="shared" si="1674"/>
        <v>0</v>
      </c>
      <c r="I174" s="62">
        <f t="shared" si="1674"/>
        <v>0</v>
      </c>
      <c r="J174" s="62">
        <f t="shared" si="1674"/>
        <v>0</v>
      </c>
      <c r="K174" s="62">
        <f t="shared" si="1674"/>
        <v>0</v>
      </c>
      <c r="L174" s="62">
        <f t="shared" si="1674"/>
        <v>0</v>
      </c>
      <c r="M174" s="62">
        <f t="shared" si="1674"/>
        <v>0</v>
      </c>
      <c r="N174" s="62">
        <f t="shared" si="1674"/>
        <v>0</v>
      </c>
      <c r="O174" s="62">
        <f t="shared" si="1674"/>
        <v>0</v>
      </c>
      <c r="P174" s="62">
        <f t="shared" si="1674"/>
        <v>0</v>
      </c>
      <c r="Q174" s="62">
        <f t="shared" si="1674"/>
        <v>0</v>
      </c>
      <c r="R174" s="62">
        <f t="shared" si="1674"/>
        <v>0</v>
      </c>
      <c r="S174" s="62">
        <f t="shared" si="1674"/>
        <v>0</v>
      </c>
      <c r="T174" s="62">
        <f t="shared" si="1674"/>
        <v>0</v>
      </c>
      <c r="U174" s="62">
        <f t="shared" si="1674"/>
        <v>0</v>
      </c>
      <c r="V174" s="62">
        <f t="shared" si="1674"/>
        <v>0</v>
      </c>
      <c r="W174" s="62">
        <f t="shared" si="1674"/>
        <v>0</v>
      </c>
      <c r="X174" s="62">
        <f t="shared" si="1674"/>
        <v>0</v>
      </c>
      <c r="Y174" s="62">
        <f t="shared" si="1674"/>
        <v>0</v>
      </c>
      <c r="Z174" s="62">
        <f t="shared" si="1674"/>
        <v>0</v>
      </c>
      <c r="AA174" s="62">
        <f t="shared" si="1674"/>
        <v>0</v>
      </c>
      <c r="AB174" s="62">
        <f t="shared" si="1674"/>
        <v>0</v>
      </c>
      <c r="AC174" s="62">
        <f t="shared" si="1674"/>
        <v>0</v>
      </c>
      <c r="AD174" s="62">
        <f t="shared" si="1674"/>
        <v>0</v>
      </c>
      <c r="AE174" s="62">
        <f t="shared" si="1674"/>
        <v>0</v>
      </c>
      <c r="AF174" s="62">
        <f t="shared" si="1674"/>
        <v>0</v>
      </c>
      <c r="AG174" s="62">
        <f t="shared" si="1674"/>
        <v>0</v>
      </c>
      <c r="AH174" s="62">
        <f t="shared" si="1674"/>
        <v>0</v>
      </c>
      <c r="AI174" s="62">
        <f t="shared" si="1674"/>
        <v>0</v>
      </c>
      <c r="AJ174" s="62">
        <f t="shared" si="1674"/>
        <v>0</v>
      </c>
      <c r="AK174" s="62">
        <f t="shared" si="1674"/>
        <v>0</v>
      </c>
      <c r="AL174" s="62">
        <f t="shared" si="1674"/>
        <v>0</v>
      </c>
      <c r="AM174" s="62">
        <f t="shared" si="1674"/>
        <v>0</v>
      </c>
      <c r="AN174" s="62">
        <f t="shared" si="1674"/>
        <v>0</v>
      </c>
      <c r="AO174" s="62">
        <f t="shared" si="1674"/>
        <v>0</v>
      </c>
      <c r="AP174" s="62">
        <f t="shared" si="1674"/>
        <v>0</v>
      </c>
      <c r="AQ174" s="62">
        <f t="shared" si="1674"/>
        <v>0</v>
      </c>
      <c r="AR174" s="62">
        <f t="shared" si="1674"/>
        <v>0</v>
      </c>
      <c r="AS174" s="62">
        <f t="shared" si="1674"/>
        <v>0</v>
      </c>
      <c r="AT174" s="62">
        <f t="shared" si="1674"/>
        <v>0</v>
      </c>
      <c r="AU174" s="62">
        <f t="shared" si="1674"/>
        <v>0</v>
      </c>
      <c r="AV174" s="62">
        <f t="shared" si="1674"/>
        <v>0</v>
      </c>
      <c r="AW174" s="62">
        <f t="shared" si="1674"/>
        <v>0</v>
      </c>
      <c r="AX174" s="62">
        <f t="shared" si="1674"/>
        <v>0</v>
      </c>
      <c r="AY174" s="62">
        <f t="shared" si="1674"/>
        <v>0</v>
      </c>
      <c r="AZ174" s="62">
        <f t="shared" si="1674"/>
        <v>0</v>
      </c>
      <c r="BA174" s="62">
        <f t="shared" si="1674"/>
        <v>0</v>
      </c>
      <c r="BB174" s="62">
        <f t="shared" si="1674"/>
        <v>0</v>
      </c>
      <c r="BC174" s="62">
        <f t="shared" si="1674"/>
        <v>0</v>
      </c>
      <c r="BD174" s="62">
        <f t="shared" si="1674"/>
        <v>0</v>
      </c>
      <c r="BE174" s="62">
        <f t="shared" si="1674"/>
        <v>0</v>
      </c>
      <c r="BF174" s="62">
        <f t="shared" si="1674"/>
        <v>0</v>
      </c>
      <c r="BG174" s="62">
        <f t="shared" si="1674"/>
        <v>0</v>
      </c>
      <c r="BH174" s="62">
        <f t="shared" si="1674"/>
        <v>0</v>
      </c>
      <c r="BI174" s="62">
        <f t="shared" si="1674"/>
        <v>0</v>
      </c>
      <c r="BJ174" s="62">
        <f t="shared" si="1674"/>
        <v>0</v>
      </c>
      <c r="BK174" s="62">
        <f t="shared" si="1674"/>
        <v>0</v>
      </c>
      <c r="BL174" s="62">
        <f t="shared" si="1674"/>
        <v>0</v>
      </c>
      <c r="BM174" s="62">
        <f t="shared" si="1674"/>
        <v>0</v>
      </c>
      <c r="BN174" s="62">
        <f t="shared" si="1674"/>
        <v>0</v>
      </c>
      <c r="BO174" s="62">
        <f t="shared" si="1674"/>
        <v>0</v>
      </c>
      <c r="BP174" s="62">
        <f t="shared" si="1674"/>
        <v>0</v>
      </c>
      <c r="BQ174" s="62">
        <f t="shared" si="1674"/>
        <v>0</v>
      </c>
      <c r="BR174" s="62">
        <f t="shared" ref="BR174:BY174" si="1675">IF(BR$5&lt;=$E141,-BR157*$E140/Months,0)</f>
        <v>0</v>
      </c>
      <c r="BS174" s="62">
        <f t="shared" si="1675"/>
        <v>0</v>
      </c>
      <c r="BT174" s="62">
        <f t="shared" si="1675"/>
        <v>0</v>
      </c>
      <c r="BU174" s="62">
        <f t="shared" si="1675"/>
        <v>0</v>
      </c>
      <c r="BV174" s="62">
        <f t="shared" si="1675"/>
        <v>0</v>
      </c>
      <c r="BW174" s="62">
        <f t="shared" si="1675"/>
        <v>0</v>
      </c>
      <c r="BX174" s="62">
        <f t="shared" si="1675"/>
        <v>0</v>
      </c>
      <c r="BY174" s="62">
        <f t="shared" si="1675"/>
        <v>0</v>
      </c>
    </row>
    <row r="175" spans="2:77" customFormat="1" outlineLevel="1" x14ac:dyDescent="0.25">
      <c r="B175" s="1"/>
      <c r="C175" s="1"/>
      <c r="D175" s="1"/>
      <c r="E175" s="284"/>
      <c r="F175" s="1"/>
      <c r="G175" s="1"/>
      <c r="H175" s="1"/>
      <c r="I175" s="1"/>
      <c r="J175" s="1"/>
    </row>
    <row r="176" spans="2:77" customFormat="1" outlineLevel="1" x14ac:dyDescent="0.25">
      <c r="B176" s="1"/>
      <c r="C176" s="46" t="s">
        <v>286</v>
      </c>
      <c r="D176" s="47"/>
      <c r="E176" s="48"/>
      <c r="F176" s="48"/>
      <c r="G176" s="48"/>
      <c r="H176" s="48"/>
      <c r="I176" s="48"/>
      <c r="J176" s="48"/>
      <c r="K176" s="48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</row>
    <row r="177" spans="2:77" customFormat="1" outlineLevel="1" x14ac:dyDescent="0.25">
      <c r="B177" s="1"/>
      <c r="C177" s="16" t="s">
        <v>289</v>
      </c>
      <c r="D177" s="38" t="s">
        <v>12</v>
      </c>
      <c r="E177" s="15" t="s">
        <v>290</v>
      </c>
      <c r="F177" s="60"/>
      <c r="G177" s="60"/>
      <c r="H177" s="60"/>
      <c r="I177" s="60"/>
      <c r="J177" s="60"/>
      <c r="K177" s="60"/>
      <c r="L177" s="61"/>
      <c r="M177" s="61"/>
      <c r="N177" s="61"/>
    </row>
    <row r="178" spans="2:77" customFormat="1" outlineLevel="1" x14ac:dyDescent="0.25">
      <c r="B178" s="1"/>
      <c r="C178" s="74" t="s">
        <v>114</v>
      </c>
      <c r="D178" s="53" t="s">
        <v>16</v>
      </c>
      <c r="E178" s="11">
        <v>0.2</v>
      </c>
      <c r="F178" s="60"/>
      <c r="G178" s="60"/>
      <c r="H178" s="60"/>
      <c r="I178" s="60"/>
      <c r="J178" s="60"/>
      <c r="K178" s="60"/>
      <c r="L178" s="61"/>
      <c r="M178" s="61"/>
      <c r="N178" s="61"/>
    </row>
    <row r="179" spans="2:77" customFormat="1" outlineLevel="1" x14ac:dyDescent="0.25">
      <c r="B179" s="1"/>
      <c r="C179" s="50" t="s">
        <v>115</v>
      </c>
      <c r="D179" s="55" t="s">
        <v>22</v>
      </c>
      <c r="E179" s="146">
        <f>+E178*Rentable_Sq_Ft</f>
        <v>10980</v>
      </c>
      <c r="F179" s="1"/>
      <c r="G179" s="1"/>
      <c r="H179" s="1"/>
      <c r="I179" s="1"/>
      <c r="J179" s="1"/>
    </row>
    <row r="180" spans="2:77" customFormat="1" outlineLevel="1" x14ac:dyDescent="0.25">
      <c r="B180" s="1"/>
      <c r="C180" s="50" t="s">
        <v>39</v>
      </c>
      <c r="D180" s="36" t="s">
        <v>13</v>
      </c>
      <c r="E180" s="14">
        <v>42551</v>
      </c>
      <c r="F180" s="1"/>
      <c r="G180" s="1"/>
      <c r="H180" s="1"/>
      <c r="I180" s="1"/>
      <c r="J180" s="1"/>
    </row>
    <row r="181" spans="2:77" customFormat="1" outlineLevel="1" x14ac:dyDescent="0.25">
      <c r="B181" s="1"/>
      <c r="C181" s="50" t="s">
        <v>55</v>
      </c>
      <c r="D181" s="36" t="s">
        <v>17</v>
      </c>
      <c r="E181" s="51">
        <v>5</v>
      </c>
      <c r="F181" s="1"/>
      <c r="G181" s="1"/>
      <c r="H181" s="1"/>
      <c r="I181" s="1"/>
      <c r="J181" s="1"/>
    </row>
    <row r="182" spans="2:77" customFormat="1" outlineLevel="1" x14ac:dyDescent="0.25">
      <c r="B182" s="1"/>
      <c r="C182" s="50" t="s">
        <v>23</v>
      </c>
      <c r="D182" s="36" t="s">
        <v>13</v>
      </c>
      <c r="E182" s="102">
        <f>EOMONTH(E180,E181*Months)</f>
        <v>44377</v>
      </c>
      <c r="F182" s="1"/>
      <c r="G182" s="1"/>
      <c r="H182" s="1"/>
      <c r="I182" s="1"/>
      <c r="J182" s="1"/>
    </row>
    <row r="183" spans="2:77" customFormat="1" outlineLevel="1" x14ac:dyDescent="0.25">
      <c r="B183" s="1"/>
      <c r="C183" s="74" t="s">
        <v>263</v>
      </c>
      <c r="D183" s="38" t="s">
        <v>16</v>
      </c>
      <c r="E183" s="128">
        <v>0.03</v>
      </c>
      <c r="F183" s="105">
        <f>IF(AND(E$5&gt;$E180,F$5&lt;$E182,MONTH(E$5)=MONTH($E180)),$E183,0)</f>
        <v>0</v>
      </c>
      <c r="G183" s="105">
        <f t="shared" ref="G183" si="1676">IF(AND(F$5&gt;$E180,G$5&lt;$E182,MONTH(F$5)=MONTH($E180)),$E183,0)</f>
        <v>0</v>
      </c>
      <c r="H183" s="105">
        <f t="shared" ref="H183" si="1677">IF(AND(G$5&gt;$E180,H$5&lt;$E182,MONTH(G$5)=MONTH($E180)),$E183,0)</f>
        <v>0</v>
      </c>
      <c r="I183" s="105">
        <f t="shared" ref="I183" si="1678">IF(AND(H$5&gt;$E180,I$5&lt;$E182,MONTH(H$5)=MONTH($E180)),$E183,0)</f>
        <v>0</v>
      </c>
      <c r="J183" s="105">
        <f t="shared" ref="J183" si="1679">IF(AND(I$5&gt;$E180,J$5&lt;$E182,MONTH(I$5)=MONTH($E180)),$E183,0)</f>
        <v>0</v>
      </c>
      <c r="K183" s="105">
        <f t="shared" ref="K183" si="1680">IF(AND(J$5&gt;$E180,K$5&lt;$E182,MONTH(J$5)=MONTH($E180)),$E183,0)</f>
        <v>0</v>
      </c>
      <c r="L183" s="105">
        <f t="shared" ref="L183" si="1681">IF(AND(K$5&gt;$E180,L$5&lt;$E182,MONTH(K$5)=MONTH($E180)),$E183,0)</f>
        <v>0.03</v>
      </c>
      <c r="M183" s="105">
        <f t="shared" ref="M183" si="1682">IF(AND(L$5&gt;$E180,M$5&lt;$E182,MONTH(L$5)=MONTH($E180)),$E183,0)</f>
        <v>0</v>
      </c>
      <c r="N183" s="105">
        <f t="shared" ref="N183" si="1683">IF(AND(M$5&gt;$E180,N$5&lt;$E182,MONTH(M$5)=MONTH($E180)),$E183,0)</f>
        <v>0</v>
      </c>
      <c r="O183" s="105">
        <f t="shared" ref="O183" si="1684">IF(AND(N$5&gt;$E180,O$5&lt;$E182,MONTH(N$5)=MONTH($E180)),$E183,0)</f>
        <v>0</v>
      </c>
      <c r="P183" s="105">
        <f t="shared" ref="P183" si="1685">IF(AND(O$5&gt;$E180,P$5&lt;$E182,MONTH(O$5)=MONTH($E180)),$E183,0)</f>
        <v>0</v>
      </c>
      <c r="Q183" s="105">
        <f t="shared" ref="Q183" si="1686">IF(AND(P$5&gt;$E180,Q$5&lt;$E182,MONTH(P$5)=MONTH($E180)),$E183,0)</f>
        <v>0</v>
      </c>
      <c r="R183" s="105">
        <f t="shared" ref="R183" si="1687">IF(AND(Q$5&gt;$E180,R$5&lt;$E182,MONTH(Q$5)=MONTH($E180)),$E183,0)</f>
        <v>0</v>
      </c>
      <c r="S183" s="105">
        <f t="shared" ref="S183" si="1688">IF(AND(R$5&gt;$E180,S$5&lt;$E182,MONTH(R$5)=MONTH($E180)),$E183,0)</f>
        <v>0</v>
      </c>
      <c r="T183" s="105">
        <f t="shared" ref="T183" si="1689">IF(AND(S$5&gt;$E180,T$5&lt;$E182,MONTH(S$5)=MONTH($E180)),$E183,0)</f>
        <v>0</v>
      </c>
      <c r="U183" s="105">
        <f t="shared" ref="U183" si="1690">IF(AND(T$5&gt;$E180,U$5&lt;$E182,MONTH(T$5)=MONTH($E180)),$E183,0)</f>
        <v>0</v>
      </c>
      <c r="V183" s="105">
        <f t="shared" ref="V183" si="1691">IF(AND(U$5&gt;$E180,V$5&lt;$E182,MONTH(U$5)=MONTH($E180)),$E183,0)</f>
        <v>0</v>
      </c>
      <c r="W183" s="105">
        <f t="shared" ref="W183" si="1692">IF(AND(V$5&gt;$E180,W$5&lt;$E182,MONTH(V$5)=MONTH($E180)),$E183,0)</f>
        <v>0</v>
      </c>
      <c r="X183" s="105">
        <f t="shared" ref="X183" si="1693">IF(AND(W$5&gt;$E180,X$5&lt;$E182,MONTH(W$5)=MONTH($E180)),$E183,0)</f>
        <v>0.03</v>
      </c>
      <c r="Y183" s="105">
        <f t="shared" ref="Y183" si="1694">IF(AND(X$5&gt;$E180,Y$5&lt;$E182,MONTH(X$5)=MONTH($E180)),$E183,0)</f>
        <v>0</v>
      </c>
      <c r="Z183" s="105">
        <f t="shared" ref="Z183" si="1695">IF(AND(Y$5&gt;$E180,Z$5&lt;$E182,MONTH(Y$5)=MONTH($E180)),$E183,0)</f>
        <v>0</v>
      </c>
      <c r="AA183" s="105">
        <f t="shared" ref="AA183" si="1696">IF(AND(Z$5&gt;$E180,AA$5&lt;$E182,MONTH(Z$5)=MONTH($E180)),$E183,0)</f>
        <v>0</v>
      </c>
      <c r="AB183" s="105">
        <f t="shared" ref="AB183" si="1697">IF(AND(AA$5&gt;$E180,AB$5&lt;$E182,MONTH(AA$5)=MONTH($E180)),$E183,0)</f>
        <v>0</v>
      </c>
      <c r="AC183" s="105">
        <f t="shared" ref="AC183" si="1698">IF(AND(AB$5&gt;$E180,AC$5&lt;$E182,MONTH(AB$5)=MONTH($E180)),$E183,0)</f>
        <v>0</v>
      </c>
      <c r="AD183" s="105">
        <f t="shared" ref="AD183" si="1699">IF(AND(AC$5&gt;$E180,AD$5&lt;$E182,MONTH(AC$5)=MONTH($E180)),$E183,0)</f>
        <v>0</v>
      </c>
      <c r="AE183" s="105">
        <f t="shared" ref="AE183" si="1700">IF(AND(AD$5&gt;$E180,AE$5&lt;$E182,MONTH(AD$5)=MONTH($E180)),$E183,0)</f>
        <v>0</v>
      </c>
      <c r="AF183" s="105">
        <f t="shared" ref="AF183" si="1701">IF(AND(AE$5&gt;$E180,AF$5&lt;$E182,MONTH(AE$5)=MONTH($E180)),$E183,0)</f>
        <v>0</v>
      </c>
      <c r="AG183" s="105">
        <f t="shared" ref="AG183" si="1702">IF(AND(AF$5&gt;$E180,AG$5&lt;$E182,MONTH(AF$5)=MONTH($E180)),$E183,0)</f>
        <v>0</v>
      </c>
      <c r="AH183" s="105">
        <f t="shared" ref="AH183" si="1703">IF(AND(AG$5&gt;$E180,AH$5&lt;$E182,MONTH(AG$5)=MONTH($E180)),$E183,0)</f>
        <v>0</v>
      </c>
      <c r="AI183" s="105">
        <f t="shared" ref="AI183" si="1704">IF(AND(AH$5&gt;$E180,AI$5&lt;$E182,MONTH(AH$5)=MONTH($E180)),$E183,0)</f>
        <v>0</v>
      </c>
      <c r="AJ183" s="105">
        <f t="shared" ref="AJ183" si="1705">IF(AND(AI$5&gt;$E180,AJ$5&lt;$E182,MONTH(AI$5)=MONTH($E180)),$E183,0)</f>
        <v>0.03</v>
      </c>
      <c r="AK183" s="105">
        <f t="shared" ref="AK183" si="1706">IF(AND(AJ$5&gt;$E180,AK$5&lt;$E182,MONTH(AJ$5)=MONTH($E180)),$E183,0)</f>
        <v>0</v>
      </c>
      <c r="AL183" s="105">
        <f t="shared" ref="AL183" si="1707">IF(AND(AK$5&gt;$E180,AL$5&lt;$E182,MONTH(AK$5)=MONTH($E180)),$E183,0)</f>
        <v>0</v>
      </c>
      <c r="AM183" s="105">
        <f t="shared" ref="AM183" si="1708">IF(AND(AL$5&gt;$E180,AM$5&lt;$E182,MONTH(AL$5)=MONTH($E180)),$E183,0)</f>
        <v>0</v>
      </c>
      <c r="AN183" s="105">
        <f t="shared" ref="AN183" si="1709">IF(AND(AM$5&gt;$E180,AN$5&lt;$E182,MONTH(AM$5)=MONTH($E180)),$E183,0)</f>
        <v>0</v>
      </c>
      <c r="AO183" s="105">
        <f t="shared" ref="AO183" si="1710">IF(AND(AN$5&gt;$E180,AO$5&lt;$E182,MONTH(AN$5)=MONTH($E180)),$E183,0)</f>
        <v>0</v>
      </c>
      <c r="AP183" s="105">
        <f t="shared" ref="AP183" si="1711">IF(AND(AO$5&gt;$E180,AP$5&lt;$E182,MONTH(AO$5)=MONTH($E180)),$E183,0)</f>
        <v>0</v>
      </c>
      <c r="AQ183" s="105">
        <f t="shared" ref="AQ183" si="1712">IF(AND(AP$5&gt;$E180,AQ$5&lt;$E182,MONTH(AP$5)=MONTH($E180)),$E183,0)</f>
        <v>0</v>
      </c>
      <c r="AR183" s="105">
        <f t="shared" ref="AR183" si="1713">IF(AND(AQ$5&gt;$E180,AR$5&lt;$E182,MONTH(AQ$5)=MONTH($E180)),$E183,0)</f>
        <v>0</v>
      </c>
      <c r="AS183" s="105">
        <f t="shared" ref="AS183" si="1714">IF(AND(AR$5&gt;$E180,AS$5&lt;$E182,MONTH(AR$5)=MONTH($E180)),$E183,0)</f>
        <v>0</v>
      </c>
      <c r="AT183" s="105">
        <f t="shared" ref="AT183" si="1715">IF(AND(AS$5&gt;$E180,AT$5&lt;$E182,MONTH(AS$5)=MONTH($E180)),$E183,0)</f>
        <v>0</v>
      </c>
      <c r="AU183" s="105">
        <f t="shared" ref="AU183" si="1716">IF(AND(AT$5&gt;$E180,AU$5&lt;$E182,MONTH(AT$5)=MONTH($E180)),$E183,0)</f>
        <v>0</v>
      </c>
      <c r="AV183" s="105">
        <f t="shared" ref="AV183" si="1717">IF(AND(AU$5&gt;$E180,AV$5&lt;$E182,MONTH(AU$5)=MONTH($E180)),$E183,0)</f>
        <v>0</v>
      </c>
      <c r="AW183" s="105">
        <f t="shared" ref="AW183" si="1718">IF(AND(AV$5&gt;$E180,AW$5&lt;$E182,MONTH(AV$5)=MONTH($E180)),$E183,0)</f>
        <v>0</v>
      </c>
      <c r="AX183" s="105">
        <f t="shared" ref="AX183" si="1719">IF(AND(AW$5&gt;$E180,AX$5&lt;$E182,MONTH(AW$5)=MONTH($E180)),$E183,0)</f>
        <v>0</v>
      </c>
      <c r="AY183" s="105">
        <f t="shared" ref="AY183" si="1720">IF(AND(AX$5&gt;$E180,AY$5&lt;$E182,MONTH(AX$5)=MONTH($E180)),$E183,0)</f>
        <v>0</v>
      </c>
      <c r="AZ183" s="105">
        <f t="shared" ref="AZ183" si="1721">IF(AND(AY$5&gt;$E180,AZ$5&lt;$E182,MONTH(AY$5)=MONTH($E180)),$E183,0)</f>
        <v>0</v>
      </c>
      <c r="BA183" s="105">
        <f t="shared" ref="BA183" si="1722">IF(AND(AZ$5&gt;$E180,BA$5&lt;$E182,MONTH(AZ$5)=MONTH($E180)),$E183,0)</f>
        <v>0</v>
      </c>
      <c r="BB183" s="105">
        <f t="shared" ref="BB183" si="1723">IF(AND(BA$5&gt;$E180,BB$5&lt;$E182,MONTH(BA$5)=MONTH($E180)),$E183,0)</f>
        <v>0</v>
      </c>
      <c r="BC183" s="105">
        <f t="shared" ref="BC183" si="1724">IF(AND(BB$5&gt;$E180,BC$5&lt;$E182,MONTH(BB$5)=MONTH($E180)),$E183,0)</f>
        <v>0</v>
      </c>
      <c r="BD183" s="105">
        <f t="shared" ref="BD183" si="1725">IF(AND(BC$5&gt;$E180,BD$5&lt;$E182,MONTH(BC$5)=MONTH($E180)),$E183,0)</f>
        <v>0</v>
      </c>
      <c r="BE183" s="105">
        <f t="shared" ref="BE183" si="1726">IF(AND(BD$5&gt;$E180,BE$5&lt;$E182,MONTH(BD$5)=MONTH($E180)),$E183,0)</f>
        <v>0</v>
      </c>
      <c r="BF183" s="105">
        <f t="shared" ref="BF183" si="1727">IF(AND(BE$5&gt;$E180,BF$5&lt;$E182,MONTH(BE$5)=MONTH($E180)),$E183,0)</f>
        <v>0</v>
      </c>
      <c r="BG183" s="105">
        <f t="shared" ref="BG183" si="1728">IF(AND(BF$5&gt;$E180,BG$5&lt;$E182,MONTH(BF$5)=MONTH($E180)),$E183,0)</f>
        <v>0</v>
      </c>
      <c r="BH183" s="105">
        <f t="shared" ref="BH183" si="1729">IF(AND(BG$5&gt;$E180,BH$5&lt;$E182,MONTH(BG$5)=MONTH($E180)),$E183,0)</f>
        <v>0</v>
      </c>
      <c r="BI183" s="105">
        <f t="shared" ref="BI183" si="1730">IF(AND(BH$5&gt;$E180,BI$5&lt;$E182,MONTH(BH$5)=MONTH($E180)),$E183,0)</f>
        <v>0</v>
      </c>
      <c r="BJ183" s="105">
        <f t="shared" ref="BJ183" si="1731">IF(AND(BI$5&gt;$E180,BJ$5&lt;$E182,MONTH(BI$5)=MONTH($E180)),$E183,0)</f>
        <v>0</v>
      </c>
      <c r="BK183" s="105">
        <f t="shared" ref="BK183" si="1732">IF(AND(BJ$5&gt;$E180,BK$5&lt;$E182,MONTH(BJ$5)=MONTH($E180)),$E183,0)</f>
        <v>0</v>
      </c>
      <c r="BL183" s="105">
        <f t="shared" ref="BL183" si="1733">IF(AND(BK$5&gt;$E180,BL$5&lt;$E182,MONTH(BK$5)=MONTH($E180)),$E183,0)</f>
        <v>0</v>
      </c>
      <c r="BM183" s="105">
        <f t="shared" ref="BM183" si="1734">IF(AND(BL$5&gt;$E180,BM$5&lt;$E182,MONTH(BL$5)=MONTH($E180)),$E183,0)</f>
        <v>0</v>
      </c>
      <c r="BN183" s="105">
        <f t="shared" ref="BN183" si="1735">IF(AND(BM$5&gt;$E180,BN$5&lt;$E182,MONTH(BM$5)=MONTH($E180)),$E183,0)</f>
        <v>0</v>
      </c>
      <c r="BO183" s="105">
        <f t="shared" ref="BO183" si="1736">IF(AND(BN$5&gt;$E180,BO$5&lt;$E182,MONTH(BN$5)=MONTH($E180)),$E183,0)</f>
        <v>0</v>
      </c>
      <c r="BP183" s="105">
        <f t="shared" ref="BP183" si="1737">IF(AND(BO$5&gt;$E180,BP$5&lt;$E182,MONTH(BO$5)=MONTH($E180)),$E183,0)</f>
        <v>0</v>
      </c>
      <c r="BQ183" s="105">
        <f t="shared" ref="BQ183" si="1738">IF(AND(BP$5&gt;$E180,BQ$5&lt;$E182,MONTH(BP$5)=MONTH($E180)),$E183,0)</f>
        <v>0</v>
      </c>
      <c r="BR183" s="105">
        <f t="shared" ref="BR183" si="1739">IF(AND(BQ$5&gt;$E180,BR$5&lt;$E182,MONTH(BQ$5)=MONTH($E180)),$E183,0)</f>
        <v>0</v>
      </c>
      <c r="BS183" s="105">
        <f t="shared" ref="BS183" si="1740">IF(AND(BR$5&gt;$E180,BS$5&lt;$E182,MONTH(BR$5)=MONTH($E180)),$E183,0)</f>
        <v>0</v>
      </c>
      <c r="BT183" s="105">
        <f t="shared" ref="BT183" si="1741">IF(AND(BS$5&gt;$E180,BT$5&lt;$E182,MONTH(BS$5)=MONTH($E180)),$E183,0)</f>
        <v>0</v>
      </c>
      <c r="BU183" s="105">
        <f t="shared" ref="BU183" si="1742">IF(AND(BT$5&gt;$E180,BU$5&lt;$E182,MONTH(BT$5)=MONTH($E180)),$E183,0)</f>
        <v>0</v>
      </c>
      <c r="BV183" s="105">
        <f t="shared" ref="BV183" si="1743">IF(AND(BU$5&gt;$E180,BV$5&lt;$E182,MONTH(BU$5)=MONTH($E180)),$E183,0)</f>
        <v>0</v>
      </c>
      <c r="BW183" s="105">
        <f t="shared" ref="BW183" si="1744">IF(AND(BV$5&gt;$E180,BW$5&lt;$E182,MONTH(BV$5)=MONTH($E180)),$E183,0)</f>
        <v>0</v>
      </c>
      <c r="BX183" s="105">
        <f t="shared" ref="BX183" si="1745">IF(AND(BW$5&gt;$E180,BX$5&lt;$E182,MONTH(BW$5)=MONTH($E180)),$E183,0)</f>
        <v>0</v>
      </c>
      <c r="BY183" s="105">
        <f t="shared" ref="BY183" si="1746">IF(AND(BX$5&gt;$E180,BY$5&lt;$E182,MONTH(BX$5)=MONTH($E180)),$E183,0)</f>
        <v>0</v>
      </c>
    </row>
    <row r="184" spans="2:77" customFormat="1" outlineLevel="1" x14ac:dyDescent="0.25">
      <c r="B184" s="1"/>
      <c r="C184" s="74" t="s">
        <v>264</v>
      </c>
      <c r="D184" s="36" t="s">
        <v>19</v>
      </c>
      <c r="E184" s="51">
        <v>6</v>
      </c>
      <c r="F184" s="1"/>
      <c r="G184" s="1"/>
      <c r="H184" s="1"/>
      <c r="I184" s="1"/>
      <c r="J184" s="1"/>
      <c r="AP184" s="62"/>
    </row>
    <row r="185" spans="2:77" customFormat="1" outlineLevel="1" x14ac:dyDescent="0.25">
      <c r="B185" s="1"/>
      <c r="C185" s="44"/>
      <c r="D185" s="56"/>
      <c r="E185" s="285"/>
      <c r="F185" s="1"/>
      <c r="G185" s="1"/>
      <c r="H185" s="1"/>
      <c r="I185" s="1"/>
      <c r="J185" s="1"/>
      <c r="AP185" s="62"/>
    </row>
    <row r="186" spans="2:77" customFormat="1" outlineLevel="1" x14ac:dyDescent="0.25">
      <c r="B186" s="1"/>
      <c r="C186" s="74" t="s">
        <v>265</v>
      </c>
      <c r="D186" s="36" t="s">
        <v>13</v>
      </c>
      <c r="E186" s="145">
        <f>E182</f>
        <v>44377</v>
      </c>
      <c r="F186" s="1"/>
      <c r="G186" s="1"/>
      <c r="H186" s="1"/>
      <c r="I186" s="1"/>
      <c r="J186" s="1"/>
      <c r="AP186" s="62"/>
    </row>
    <row r="187" spans="2:77" customFormat="1" outlineLevel="1" x14ac:dyDescent="0.25">
      <c r="B187" s="1"/>
      <c r="C187" s="74" t="s">
        <v>266</v>
      </c>
      <c r="D187" s="36" t="s">
        <v>17</v>
      </c>
      <c r="E187" s="295">
        <f>New_Lease_Years</f>
        <v>5</v>
      </c>
      <c r="F187" s="1"/>
      <c r="G187" s="1"/>
      <c r="H187" s="1"/>
      <c r="I187" s="1"/>
      <c r="J187" s="1"/>
      <c r="AP187" s="62"/>
    </row>
    <row r="188" spans="2:77" customFormat="1" outlineLevel="1" x14ac:dyDescent="0.25">
      <c r="B188" s="1"/>
      <c r="C188" s="50" t="s">
        <v>267</v>
      </c>
      <c r="D188" s="36" t="s">
        <v>13</v>
      </c>
      <c r="E188" s="145">
        <f>EOMONTH(E186,E187*Months)</f>
        <v>46203</v>
      </c>
      <c r="F188" s="1"/>
      <c r="G188" s="1"/>
      <c r="H188" s="1"/>
      <c r="I188" s="1"/>
      <c r="J188" s="1"/>
      <c r="AP188" s="62"/>
    </row>
    <row r="189" spans="2:77" customFormat="1" outlineLevel="1" x14ac:dyDescent="0.25">
      <c r="B189" s="1"/>
      <c r="C189" s="74" t="s">
        <v>268</v>
      </c>
      <c r="D189" s="38" t="s">
        <v>16</v>
      </c>
      <c r="E189" s="105">
        <f>INDEX(Annual!$F$65:$K$92,16,INDEX(Monthly!$F$5:$BY$9,5,MATCH(E186,$F$5:$BY$5,0)))</f>
        <v>2.5000000000000001E-2</v>
      </c>
      <c r="F189" s="105">
        <f>IF(AND(E$5&gt;$E186,F$5&lt;$E188,MONTH(E$5)=MONTH($E186)),$E189,0)</f>
        <v>0</v>
      </c>
      <c r="G189" s="105">
        <f t="shared" ref="G189" si="1747">IF(AND(F$5&gt;$E186,G$5&lt;$E188,MONTH(F$5)=MONTH($E186)),$E189,0)</f>
        <v>0</v>
      </c>
      <c r="H189" s="105">
        <f t="shared" ref="H189" si="1748">IF(AND(G$5&gt;$E186,H$5&lt;$E188,MONTH(G$5)=MONTH($E186)),$E189,0)</f>
        <v>0</v>
      </c>
      <c r="I189" s="105">
        <f t="shared" ref="I189" si="1749">IF(AND(H$5&gt;$E186,I$5&lt;$E188,MONTH(H$5)=MONTH($E186)),$E189,0)</f>
        <v>0</v>
      </c>
      <c r="J189" s="105">
        <f t="shared" ref="J189" si="1750">IF(AND(I$5&gt;$E186,J$5&lt;$E188,MONTH(I$5)=MONTH($E186)),$E189,0)</f>
        <v>0</v>
      </c>
      <c r="K189" s="105">
        <f t="shared" ref="K189" si="1751">IF(AND(J$5&gt;$E186,K$5&lt;$E188,MONTH(J$5)=MONTH($E186)),$E189,0)</f>
        <v>0</v>
      </c>
      <c r="L189" s="105">
        <f t="shared" ref="L189" si="1752">IF(AND(K$5&gt;$E186,L$5&lt;$E188,MONTH(K$5)=MONTH($E186)),$E189,0)</f>
        <v>0</v>
      </c>
      <c r="M189" s="105">
        <f t="shared" ref="M189" si="1753">IF(AND(L$5&gt;$E186,M$5&lt;$E188,MONTH(L$5)=MONTH($E186)),$E189,0)</f>
        <v>0</v>
      </c>
      <c r="N189" s="105">
        <f t="shared" ref="N189" si="1754">IF(AND(M$5&gt;$E186,N$5&lt;$E188,MONTH(M$5)=MONTH($E186)),$E189,0)</f>
        <v>0</v>
      </c>
      <c r="O189" s="105">
        <f t="shared" ref="O189" si="1755">IF(AND(N$5&gt;$E186,O$5&lt;$E188,MONTH(N$5)=MONTH($E186)),$E189,0)</f>
        <v>0</v>
      </c>
      <c r="P189" s="105">
        <f t="shared" ref="P189" si="1756">IF(AND(O$5&gt;$E186,P$5&lt;$E188,MONTH(O$5)=MONTH($E186)),$E189,0)</f>
        <v>0</v>
      </c>
      <c r="Q189" s="105">
        <f t="shared" ref="Q189" si="1757">IF(AND(P$5&gt;$E186,Q$5&lt;$E188,MONTH(P$5)=MONTH($E186)),$E189,0)</f>
        <v>0</v>
      </c>
      <c r="R189" s="105">
        <f t="shared" ref="R189" si="1758">IF(AND(Q$5&gt;$E186,R$5&lt;$E188,MONTH(Q$5)=MONTH($E186)),$E189,0)</f>
        <v>0</v>
      </c>
      <c r="S189" s="105">
        <f t="shared" ref="S189" si="1759">IF(AND(R$5&gt;$E186,S$5&lt;$E188,MONTH(R$5)=MONTH($E186)),$E189,0)</f>
        <v>0</v>
      </c>
      <c r="T189" s="105">
        <f t="shared" ref="T189" si="1760">IF(AND(S$5&gt;$E186,T$5&lt;$E188,MONTH(S$5)=MONTH($E186)),$E189,0)</f>
        <v>0</v>
      </c>
      <c r="U189" s="105">
        <f t="shared" ref="U189" si="1761">IF(AND(T$5&gt;$E186,U$5&lt;$E188,MONTH(T$5)=MONTH($E186)),$E189,0)</f>
        <v>0</v>
      </c>
      <c r="V189" s="105">
        <f t="shared" ref="V189" si="1762">IF(AND(U$5&gt;$E186,V$5&lt;$E188,MONTH(U$5)=MONTH($E186)),$E189,0)</f>
        <v>0</v>
      </c>
      <c r="W189" s="105">
        <f t="shared" ref="W189" si="1763">IF(AND(V$5&gt;$E186,W$5&lt;$E188,MONTH(V$5)=MONTH($E186)),$E189,0)</f>
        <v>0</v>
      </c>
      <c r="X189" s="105">
        <f t="shared" ref="X189" si="1764">IF(AND(W$5&gt;$E186,X$5&lt;$E188,MONTH(W$5)=MONTH($E186)),$E189,0)</f>
        <v>0</v>
      </c>
      <c r="Y189" s="105">
        <f t="shared" ref="Y189" si="1765">IF(AND(X$5&gt;$E186,Y$5&lt;$E188,MONTH(X$5)=MONTH($E186)),$E189,0)</f>
        <v>0</v>
      </c>
      <c r="Z189" s="105">
        <f t="shared" ref="Z189" si="1766">IF(AND(Y$5&gt;$E186,Z$5&lt;$E188,MONTH(Y$5)=MONTH($E186)),$E189,0)</f>
        <v>0</v>
      </c>
      <c r="AA189" s="105">
        <f t="shared" ref="AA189" si="1767">IF(AND(Z$5&gt;$E186,AA$5&lt;$E188,MONTH(Z$5)=MONTH($E186)),$E189,0)</f>
        <v>0</v>
      </c>
      <c r="AB189" s="105">
        <f t="shared" ref="AB189" si="1768">IF(AND(AA$5&gt;$E186,AB$5&lt;$E188,MONTH(AA$5)=MONTH($E186)),$E189,0)</f>
        <v>0</v>
      </c>
      <c r="AC189" s="105">
        <f t="shared" ref="AC189" si="1769">IF(AND(AB$5&gt;$E186,AC$5&lt;$E188,MONTH(AB$5)=MONTH($E186)),$E189,0)</f>
        <v>0</v>
      </c>
      <c r="AD189" s="105">
        <f t="shared" ref="AD189" si="1770">IF(AND(AC$5&gt;$E186,AD$5&lt;$E188,MONTH(AC$5)=MONTH($E186)),$E189,0)</f>
        <v>0</v>
      </c>
      <c r="AE189" s="105">
        <f t="shared" ref="AE189" si="1771">IF(AND(AD$5&gt;$E186,AE$5&lt;$E188,MONTH(AD$5)=MONTH($E186)),$E189,0)</f>
        <v>0</v>
      </c>
      <c r="AF189" s="105">
        <f t="shared" ref="AF189" si="1772">IF(AND(AE$5&gt;$E186,AF$5&lt;$E188,MONTH(AE$5)=MONTH($E186)),$E189,0)</f>
        <v>0</v>
      </c>
      <c r="AG189" s="105">
        <f t="shared" ref="AG189" si="1773">IF(AND(AF$5&gt;$E186,AG$5&lt;$E188,MONTH(AF$5)=MONTH($E186)),$E189,0)</f>
        <v>0</v>
      </c>
      <c r="AH189" s="105">
        <f t="shared" ref="AH189" si="1774">IF(AND(AG$5&gt;$E186,AH$5&lt;$E188,MONTH(AG$5)=MONTH($E186)),$E189,0)</f>
        <v>0</v>
      </c>
      <c r="AI189" s="105">
        <f t="shared" ref="AI189" si="1775">IF(AND(AH$5&gt;$E186,AI$5&lt;$E188,MONTH(AH$5)=MONTH($E186)),$E189,0)</f>
        <v>0</v>
      </c>
      <c r="AJ189" s="105">
        <f t="shared" ref="AJ189" si="1776">IF(AND(AI$5&gt;$E186,AJ$5&lt;$E188,MONTH(AI$5)=MONTH($E186)),$E189,0)</f>
        <v>0</v>
      </c>
      <c r="AK189" s="105">
        <f t="shared" ref="AK189" si="1777">IF(AND(AJ$5&gt;$E186,AK$5&lt;$E188,MONTH(AJ$5)=MONTH($E186)),$E189,0)</f>
        <v>0</v>
      </c>
      <c r="AL189" s="105">
        <f t="shared" ref="AL189" si="1778">IF(AND(AK$5&gt;$E186,AL$5&lt;$E188,MONTH(AK$5)=MONTH($E186)),$E189,0)</f>
        <v>0</v>
      </c>
      <c r="AM189" s="105">
        <f t="shared" ref="AM189" si="1779">IF(AND(AL$5&gt;$E186,AM$5&lt;$E188,MONTH(AL$5)=MONTH($E186)),$E189,0)</f>
        <v>0</v>
      </c>
      <c r="AN189" s="105">
        <f t="shared" ref="AN189" si="1780">IF(AND(AM$5&gt;$E186,AN$5&lt;$E188,MONTH(AM$5)=MONTH($E186)),$E189,0)</f>
        <v>0</v>
      </c>
      <c r="AO189" s="105">
        <f t="shared" ref="AO189" si="1781">IF(AND(AN$5&gt;$E186,AO$5&lt;$E188,MONTH(AN$5)=MONTH($E186)),$E189,0)</f>
        <v>0</v>
      </c>
      <c r="AP189" s="105">
        <f t="shared" ref="AP189" si="1782">IF(AND(AO$5&gt;$E186,AP$5&lt;$E188,MONTH(AO$5)=MONTH($E186)),$E189,0)</f>
        <v>0</v>
      </c>
      <c r="AQ189" s="105">
        <f t="shared" ref="AQ189" si="1783">IF(AND(AP$5&gt;$E186,AQ$5&lt;$E188,MONTH(AP$5)=MONTH($E186)),$E189,0)</f>
        <v>0</v>
      </c>
      <c r="AR189" s="105">
        <f t="shared" ref="AR189" si="1784">IF(AND(AQ$5&gt;$E186,AR$5&lt;$E188,MONTH(AQ$5)=MONTH($E186)),$E189,0)</f>
        <v>0</v>
      </c>
      <c r="AS189" s="105">
        <f t="shared" ref="AS189" si="1785">IF(AND(AR$5&gt;$E186,AS$5&lt;$E188,MONTH(AR$5)=MONTH($E186)),$E189,0)</f>
        <v>0</v>
      </c>
      <c r="AT189" s="105">
        <f t="shared" ref="AT189" si="1786">IF(AND(AS$5&gt;$E186,AT$5&lt;$E188,MONTH(AS$5)=MONTH($E186)),$E189,0)</f>
        <v>0</v>
      </c>
      <c r="AU189" s="105">
        <f t="shared" ref="AU189" si="1787">IF(AND(AT$5&gt;$E186,AU$5&lt;$E188,MONTH(AT$5)=MONTH($E186)),$E189,0)</f>
        <v>0</v>
      </c>
      <c r="AV189" s="105">
        <f t="shared" ref="AV189" si="1788">IF(AND(AU$5&gt;$E186,AV$5&lt;$E188,MONTH(AU$5)=MONTH($E186)),$E189,0)</f>
        <v>0</v>
      </c>
      <c r="AW189" s="105">
        <f t="shared" ref="AW189" si="1789">IF(AND(AV$5&gt;$E186,AW$5&lt;$E188,MONTH(AV$5)=MONTH($E186)),$E189,0)</f>
        <v>0</v>
      </c>
      <c r="AX189" s="105">
        <f t="shared" ref="AX189" si="1790">IF(AND(AW$5&gt;$E186,AX$5&lt;$E188,MONTH(AW$5)=MONTH($E186)),$E189,0)</f>
        <v>0</v>
      </c>
      <c r="AY189" s="105">
        <f t="shared" ref="AY189" si="1791">IF(AND(AX$5&gt;$E186,AY$5&lt;$E188,MONTH(AX$5)=MONTH($E186)),$E189,0)</f>
        <v>0</v>
      </c>
      <c r="AZ189" s="105">
        <f t="shared" ref="AZ189" si="1792">IF(AND(AY$5&gt;$E186,AZ$5&lt;$E188,MONTH(AY$5)=MONTH($E186)),$E189,0)</f>
        <v>0</v>
      </c>
      <c r="BA189" s="105">
        <f t="shared" ref="BA189" si="1793">IF(AND(AZ$5&gt;$E186,BA$5&lt;$E188,MONTH(AZ$5)=MONTH($E186)),$E189,0)</f>
        <v>0</v>
      </c>
      <c r="BB189" s="105">
        <f t="shared" ref="BB189" si="1794">IF(AND(BA$5&gt;$E186,BB$5&lt;$E188,MONTH(BA$5)=MONTH($E186)),$E189,0)</f>
        <v>0</v>
      </c>
      <c r="BC189" s="105">
        <f t="shared" ref="BC189" si="1795">IF(AND(BB$5&gt;$E186,BC$5&lt;$E188,MONTH(BB$5)=MONTH($E186)),$E189,0)</f>
        <v>0</v>
      </c>
      <c r="BD189" s="105">
        <f t="shared" ref="BD189" si="1796">IF(AND(BC$5&gt;$E186,BD$5&lt;$E188,MONTH(BC$5)=MONTH($E186)),$E189,0)</f>
        <v>0</v>
      </c>
      <c r="BE189" s="105">
        <f t="shared" ref="BE189" si="1797">IF(AND(BD$5&gt;$E186,BE$5&lt;$E188,MONTH(BD$5)=MONTH($E186)),$E189,0)</f>
        <v>0</v>
      </c>
      <c r="BF189" s="105">
        <f t="shared" ref="BF189" si="1798">IF(AND(BE$5&gt;$E186,BF$5&lt;$E188,MONTH(BE$5)=MONTH($E186)),$E189,0)</f>
        <v>0</v>
      </c>
      <c r="BG189" s="105">
        <f t="shared" ref="BG189" si="1799">IF(AND(BF$5&gt;$E186,BG$5&lt;$E188,MONTH(BF$5)=MONTH($E186)),$E189,0)</f>
        <v>0</v>
      </c>
      <c r="BH189" s="105">
        <f t="shared" ref="BH189" si="1800">IF(AND(BG$5&gt;$E186,BH$5&lt;$E188,MONTH(BG$5)=MONTH($E186)),$E189,0)</f>
        <v>2.5000000000000001E-2</v>
      </c>
      <c r="BI189" s="105">
        <f t="shared" ref="BI189" si="1801">IF(AND(BH$5&gt;$E186,BI$5&lt;$E188,MONTH(BH$5)=MONTH($E186)),$E189,0)</f>
        <v>0</v>
      </c>
      <c r="BJ189" s="105">
        <f t="shared" ref="BJ189" si="1802">IF(AND(BI$5&gt;$E186,BJ$5&lt;$E188,MONTH(BI$5)=MONTH($E186)),$E189,0)</f>
        <v>0</v>
      </c>
      <c r="BK189" s="105">
        <f t="shared" ref="BK189" si="1803">IF(AND(BJ$5&gt;$E186,BK$5&lt;$E188,MONTH(BJ$5)=MONTH($E186)),$E189,0)</f>
        <v>0</v>
      </c>
      <c r="BL189" s="105">
        <f t="shared" ref="BL189" si="1804">IF(AND(BK$5&gt;$E186,BL$5&lt;$E188,MONTH(BK$5)=MONTH($E186)),$E189,0)</f>
        <v>0</v>
      </c>
      <c r="BM189" s="105">
        <f t="shared" ref="BM189" si="1805">IF(AND(BL$5&gt;$E186,BM$5&lt;$E188,MONTH(BL$5)=MONTH($E186)),$E189,0)</f>
        <v>0</v>
      </c>
      <c r="BN189" s="105">
        <f t="shared" ref="BN189" si="1806">IF(AND(BM$5&gt;$E186,BN$5&lt;$E188,MONTH(BM$5)=MONTH($E186)),$E189,0)</f>
        <v>0</v>
      </c>
      <c r="BO189" s="105">
        <f t="shared" ref="BO189" si="1807">IF(AND(BN$5&gt;$E186,BO$5&lt;$E188,MONTH(BN$5)=MONTH($E186)),$E189,0)</f>
        <v>0</v>
      </c>
      <c r="BP189" s="105">
        <f t="shared" ref="BP189" si="1808">IF(AND(BO$5&gt;$E186,BP$5&lt;$E188,MONTH(BO$5)=MONTH($E186)),$E189,0)</f>
        <v>0</v>
      </c>
      <c r="BQ189" s="105">
        <f t="shared" ref="BQ189" si="1809">IF(AND(BP$5&gt;$E186,BQ$5&lt;$E188,MONTH(BP$5)=MONTH($E186)),$E189,0)</f>
        <v>0</v>
      </c>
      <c r="BR189" s="105">
        <f t="shared" ref="BR189" si="1810">IF(AND(BQ$5&gt;$E186,BR$5&lt;$E188,MONTH(BQ$5)=MONTH($E186)),$E189,0)</f>
        <v>0</v>
      </c>
      <c r="BS189" s="105">
        <f t="shared" ref="BS189" si="1811">IF(AND(BR$5&gt;$E186,BS$5&lt;$E188,MONTH(BR$5)=MONTH($E186)),$E189,0)</f>
        <v>0</v>
      </c>
      <c r="BT189" s="105">
        <f t="shared" ref="BT189" si="1812">IF(AND(BS$5&gt;$E186,BT$5&lt;$E188,MONTH(BS$5)=MONTH($E186)),$E189,0)</f>
        <v>2.5000000000000001E-2</v>
      </c>
      <c r="BU189" s="105">
        <f t="shared" ref="BU189" si="1813">IF(AND(BT$5&gt;$E186,BU$5&lt;$E188,MONTH(BT$5)=MONTH($E186)),$E189,0)</f>
        <v>0</v>
      </c>
      <c r="BV189" s="105">
        <f t="shared" ref="BV189" si="1814">IF(AND(BU$5&gt;$E186,BV$5&lt;$E188,MONTH(BU$5)=MONTH($E186)),$E189,0)</f>
        <v>0</v>
      </c>
      <c r="BW189" s="105">
        <f t="shared" ref="BW189" si="1815">IF(AND(BV$5&gt;$E186,BW$5&lt;$E188,MONTH(BV$5)=MONTH($E186)),$E189,0)</f>
        <v>0</v>
      </c>
      <c r="BX189" s="105">
        <f t="shared" ref="BX189" si="1816">IF(AND(BW$5&gt;$E186,BX$5&lt;$E188,MONTH(BW$5)=MONTH($E186)),$E189,0)</f>
        <v>0</v>
      </c>
      <c r="BY189" s="105">
        <f t="shared" ref="BY189" si="1817">IF(AND(BX$5&gt;$E186,BY$5&lt;$E188,MONTH(BX$5)=MONTH($E186)),$E189,0)</f>
        <v>0</v>
      </c>
    </row>
    <row r="190" spans="2:77" customFormat="1" outlineLevel="1" x14ac:dyDescent="0.25">
      <c r="B190" s="1"/>
      <c r="C190" s="44"/>
      <c r="D190" s="56"/>
      <c r="E190" s="1"/>
      <c r="F190" s="1"/>
      <c r="G190" s="1"/>
      <c r="H190" s="1"/>
      <c r="I190" s="1"/>
      <c r="J190" s="1"/>
      <c r="AP190" s="62"/>
    </row>
    <row r="191" spans="2:77" customFormat="1" outlineLevel="1" x14ac:dyDescent="0.25">
      <c r="B191" s="1"/>
      <c r="C191" s="74" t="s">
        <v>269</v>
      </c>
      <c r="D191" s="36" t="s">
        <v>13</v>
      </c>
      <c r="E191" s="145">
        <f>EOMONTH(E182,Down_Months)</f>
        <v>44561</v>
      </c>
      <c r="F191" s="1"/>
      <c r="G191" s="1"/>
      <c r="H191" s="1"/>
      <c r="I191" s="1"/>
      <c r="J191" s="1"/>
      <c r="AP191" s="62"/>
    </row>
    <row r="192" spans="2:77" customFormat="1" outlineLevel="1" x14ac:dyDescent="0.25">
      <c r="B192" s="1"/>
      <c r="C192" s="74" t="s">
        <v>270</v>
      </c>
      <c r="D192" s="36" t="s">
        <v>17</v>
      </c>
      <c r="E192" s="295">
        <f>New_Lease_Years</f>
        <v>5</v>
      </c>
      <c r="F192" s="1"/>
      <c r="G192" s="1"/>
      <c r="H192" s="1"/>
      <c r="I192" s="1"/>
      <c r="J192" s="1"/>
      <c r="AP192" s="62"/>
    </row>
    <row r="193" spans="2:77" customFormat="1" outlineLevel="1" x14ac:dyDescent="0.25">
      <c r="B193" s="1"/>
      <c r="C193" s="50" t="s">
        <v>271</v>
      </c>
      <c r="D193" s="36" t="s">
        <v>13</v>
      </c>
      <c r="E193" s="145">
        <f>EOMONTH(E191,E192*Months)</f>
        <v>46387</v>
      </c>
      <c r="F193" s="1"/>
      <c r="G193" s="1"/>
      <c r="H193" s="1"/>
      <c r="I193" s="1"/>
      <c r="J193" s="1"/>
      <c r="AP193" s="62"/>
    </row>
    <row r="194" spans="2:77" customFormat="1" outlineLevel="1" x14ac:dyDescent="0.25">
      <c r="B194" s="1"/>
      <c r="C194" s="74" t="s">
        <v>272</v>
      </c>
      <c r="D194" s="38" t="s">
        <v>16</v>
      </c>
      <c r="E194" s="105">
        <f>INDEX(Annual!$F$65:$K$92,16,INDEX(Monthly!$F$5:$BY$9,5,MATCH(E191,$F$5:$BY$5,0)))</f>
        <v>2.5000000000000001E-2</v>
      </c>
      <c r="F194" s="105">
        <f>IF(AND(E$5&gt;$E191,F$5&lt;$E193,MONTH(E$5)=MONTH($E191)),$E194,0)</f>
        <v>0</v>
      </c>
      <c r="G194" s="105">
        <f t="shared" ref="G194" si="1818">IF(AND(F$5&gt;$E191,G$5&lt;$E193,MONTH(F$5)=MONTH($E191)),$E194,0)</f>
        <v>0</v>
      </c>
      <c r="H194" s="105">
        <f t="shared" ref="H194" si="1819">IF(AND(G$5&gt;$E191,H$5&lt;$E193,MONTH(G$5)=MONTH($E191)),$E194,0)</f>
        <v>0</v>
      </c>
      <c r="I194" s="105">
        <f t="shared" ref="I194" si="1820">IF(AND(H$5&gt;$E191,I$5&lt;$E193,MONTH(H$5)=MONTH($E191)),$E194,0)</f>
        <v>0</v>
      </c>
      <c r="J194" s="105">
        <f t="shared" ref="J194" si="1821">IF(AND(I$5&gt;$E191,J$5&lt;$E193,MONTH(I$5)=MONTH($E191)),$E194,0)</f>
        <v>0</v>
      </c>
      <c r="K194" s="105">
        <f t="shared" ref="K194" si="1822">IF(AND(J$5&gt;$E191,K$5&lt;$E193,MONTH(J$5)=MONTH($E191)),$E194,0)</f>
        <v>0</v>
      </c>
      <c r="L194" s="105">
        <f t="shared" ref="L194" si="1823">IF(AND(K$5&gt;$E191,L$5&lt;$E193,MONTH(K$5)=MONTH($E191)),$E194,0)</f>
        <v>0</v>
      </c>
      <c r="M194" s="105">
        <f t="shared" ref="M194" si="1824">IF(AND(L$5&gt;$E191,M$5&lt;$E193,MONTH(L$5)=MONTH($E191)),$E194,0)</f>
        <v>0</v>
      </c>
      <c r="N194" s="105">
        <f t="shared" ref="N194" si="1825">IF(AND(M$5&gt;$E191,N$5&lt;$E193,MONTH(M$5)=MONTH($E191)),$E194,0)</f>
        <v>0</v>
      </c>
      <c r="O194" s="105">
        <f t="shared" ref="O194" si="1826">IF(AND(N$5&gt;$E191,O$5&lt;$E193,MONTH(N$5)=MONTH($E191)),$E194,0)</f>
        <v>0</v>
      </c>
      <c r="P194" s="105">
        <f t="shared" ref="P194" si="1827">IF(AND(O$5&gt;$E191,P$5&lt;$E193,MONTH(O$5)=MONTH($E191)),$E194,0)</f>
        <v>0</v>
      </c>
      <c r="Q194" s="105">
        <f t="shared" ref="Q194" si="1828">IF(AND(P$5&gt;$E191,Q$5&lt;$E193,MONTH(P$5)=MONTH($E191)),$E194,0)</f>
        <v>0</v>
      </c>
      <c r="R194" s="105">
        <f t="shared" ref="R194" si="1829">IF(AND(Q$5&gt;$E191,R$5&lt;$E193,MONTH(Q$5)=MONTH($E191)),$E194,0)</f>
        <v>0</v>
      </c>
      <c r="S194" s="105">
        <f t="shared" ref="S194" si="1830">IF(AND(R$5&gt;$E191,S$5&lt;$E193,MONTH(R$5)=MONTH($E191)),$E194,0)</f>
        <v>0</v>
      </c>
      <c r="T194" s="105">
        <f t="shared" ref="T194" si="1831">IF(AND(S$5&gt;$E191,T$5&lt;$E193,MONTH(S$5)=MONTH($E191)),$E194,0)</f>
        <v>0</v>
      </c>
      <c r="U194" s="105">
        <f t="shared" ref="U194" si="1832">IF(AND(T$5&gt;$E191,U$5&lt;$E193,MONTH(T$5)=MONTH($E191)),$E194,0)</f>
        <v>0</v>
      </c>
      <c r="V194" s="105">
        <f t="shared" ref="V194" si="1833">IF(AND(U$5&gt;$E191,V$5&lt;$E193,MONTH(U$5)=MONTH($E191)),$E194,0)</f>
        <v>0</v>
      </c>
      <c r="W194" s="105">
        <f t="shared" ref="W194" si="1834">IF(AND(V$5&gt;$E191,W$5&lt;$E193,MONTH(V$5)=MONTH($E191)),$E194,0)</f>
        <v>0</v>
      </c>
      <c r="X194" s="105">
        <f t="shared" ref="X194" si="1835">IF(AND(W$5&gt;$E191,X$5&lt;$E193,MONTH(W$5)=MONTH($E191)),$E194,0)</f>
        <v>0</v>
      </c>
      <c r="Y194" s="105">
        <f t="shared" ref="Y194" si="1836">IF(AND(X$5&gt;$E191,Y$5&lt;$E193,MONTH(X$5)=MONTH($E191)),$E194,0)</f>
        <v>0</v>
      </c>
      <c r="Z194" s="105">
        <f t="shared" ref="Z194" si="1837">IF(AND(Y$5&gt;$E191,Z$5&lt;$E193,MONTH(Y$5)=MONTH($E191)),$E194,0)</f>
        <v>0</v>
      </c>
      <c r="AA194" s="105">
        <f t="shared" ref="AA194" si="1838">IF(AND(Z$5&gt;$E191,AA$5&lt;$E193,MONTH(Z$5)=MONTH($E191)),$E194,0)</f>
        <v>0</v>
      </c>
      <c r="AB194" s="105">
        <f t="shared" ref="AB194" si="1839">IF(AND(AA$5&gt;$E191,AB$5&lt;$E193,MONTH(AA$5)=MONTH($E191)),$E194,0)</f>
        <v>0</v>
      </c>
      <c r="AC194" s="105">
        <f t="shared" ref="AC194" si="1840">IF(AND(AB$5&gt;$E191,AC$5&lt;$E193,MONTH(AB$5)=MONTH($E191)),$E194,0)</f>
        <v>0</v>
      </c>
      <c r="AD194" s="105">
        <f t="shared" ref="AD194" si="1841">IF(AND(AC$5&gt;$E191,AD$5&lt;$E193,MONTH(AC$5)=MONTH($E191)),$E194,0)</f>
        <v>0</v>
      </c>
      <c r="AE194" s="105">
        <f t="shared" ref="AE194" si="1842">IF(AND(AD$5&gt;$E191,AE$5&lt;$E193,MONTH(AD$5)=MONTH($E191)),$E194,0)</f>
        <v>0</v>
      </c>
      <c r="AF194" s="105">
        <f t="shared" ref="AF194" si="1843">IF(AND(AE$5&gt;$E191,AF$5&lt;$E193,MONTH(AE$5)=MONTH($E191)),$E194,0)</f>
        <v>0</v>
      </c>
      <c r="AG194" s="105">
        <f t="shared" ref="AG194" si="1844">IF(AND(AF$5&gt;$E191,AG$5&lt;$E193,MONTH(AF$5)=MONTH($E191)),$E194,0)</f>
        <v>0</v>
      </c>
      <c r="AH194" s="105">
        <f t="shared" ref="AH194" si="1845">IF(AND(AG$5&gt;$E191,AH$5&lt;$E193,MONTH(AG$5)=MONTH($E191)),$E194,0)</f>
        <v>0</v>
      </c>
      <c r="AI194" s="105">
        <f t="shared" ref="AI194" si="1846">IF(AND(AH$5&gt;$E191,AI$5&lt;$E193,MONTH(AH$5)=MONTH($E191)),$E194,0)</f>
        <v>0</v>
      </c>
      <c r="AJ194" s="105">
        <f t="shared" ref="AJ194" si="1847">IF(AND(AI$5&gt;$E191,AJ$5&lt;$E193,MONTH(AI$5)=MONTH($E191)),$E194,0)</f>
        <v>0</v>
      </c>
      <c r="AK194" s="105">
        <f t="shared" ref="AK194" si="1848">IF(AND(AJ$5&gt;$E191,AK$5&lt;$E193,MONTH(AJ$5)=MONTH($E191)),$E194,0)</f>
        <v>0</v>
      </c>
      <c r="AL194" s="105">
        <f t="shared" ref="AL194" si="1849">IF(AND(AK$5&gt;$E191,AL$5&lt;$E193,MONTH(AK$5)=MONTH($E191)),$E194,0)</f>
        <v>0</v>
      </c>
      <c r="AM194" s="105">
        <f t="shared" ref="AM194" si="1850">IF(AND(AL$5&gt;$E191,AM$5&lt;$E193,MONTH(AL$5)=MONTH($E191)),$E194,0)</f>
        <v>0</v>
      </c>
      <c r="AN194" s="105">
        <f t="shared" ref="AN194" si="1851">IF(AND(AM$5&gt;$E191,AN$5&lt;$E193,MONTH(AM$5)=MONTH($E191)),$E194,0)</f>
        <v>0</v>
      </c>
      <c r="AO194" s="105">
        <f t="shared" ref="AO194" si="1852">IF(AND(AN$5&gt;$E191,AO$5&lt;$E193,MONTH(AN$5)=MONTH($E191)),$E194,0)</f>
        <v>0</v>
      </c>
      <c r="AP194" s="105">
        <f t="shared" ref="AP194" si="1853">IF(AND(AO$5&gt;$E191,AP$5&lt;$E193,MONTH(AO$5)=MONTH($E191)),$E194,0)</f>
        <v>0</v>
      </c>
      <c r="AQ194" s="105">
        <f t="shared" ref="AQ194" si="1854">IF(AND(AP$5&gt;$E191,AQ$5&lt;$E193,MONTH(AP$5)=MONTH($E191)),$E194,0)</f>
        <v>0</v>
      </c>
      <c r="AR194" s="105">
        <f t="shared" ref="AR194" si="1855">IF(AND(AQ$5&gt;$E191,AR$5&lt;$E193,MONTH(AQ$5)=MONTH($E191)),$E194,0)</f>
        <v>0</v>
      </c>
      <c r="AS194" s="105">
        <f t="shared" ref="AS194" si="1856">IF(AND(AR$5&gt;$E191,AS$5&lt;$E193,MONTH(AR$5)=MONTH($E191)),$E194,0)</f>
        <v>0</v>
      </c>
      <c r="AT194" s="105">
        <f t="shared" ref="AT194" si="1857">IF(AND(AS$5&gt;$E191,AT$5&lt;$E193,MONTH(AS$5)=MONTH($E191)),$E194,0)</f>
        <v>0</v>
      </c>
      <c r="AU194" s="105">
        <f t="shared" ref="AU194" si="1858">IF(AND(AT$5&gt;$E191,AU$5&lt;$E193,MONTH(AT$5)=MONTH($E191)),$E194,0)</f>
        <v>0</v>
      </c>
      <c r="AV194" s="105">
        <f t="shared" ref="AV194" si="1859">IF(AND(AU$5&gt;$E191,AV$5&lt;$E193,MONTH(AU$5)=MONTH($E191)),$E194,0)</f>
        <v>0</v>
      </c>
      <c r="AW194" s="105">
        <f t="shared" ref="AW194" si="1860">IF(AND(AV$5&gt;$E191,AW$5&lt;$E193,MONTH(AV$5)=MONTH($E191)),$E194,0)</f>
        <v>0</v>
      </c>
      <c r="AX194" s="105">
        <f t="shared" ref="AX194" si="1861">IF(AND(AW$5&gt;$E191,AX$5&lt;$E193,MONTH(AW$5)=MONTH($E191)),$E194,0)</f>
        <v>0</v>
      </c>
      <c r="AY194" s="105">
        <f t="shared" ref="AY194" si="1862">IF(AND(AX$5&gt;$E191,AY$5&lt;$E193,MONTH(AX$5)=MONTH($E191)),$E194,0)</f>
        <v>0</v>
      </c>
      <c r="AZ194" s="105">
        <f t="shared" ref="AZ194" si="1863">IF(AND(AY$5&gt;$E191,AZ$5&lt;$E193,MONTH(AY$5)=MONTH($E191)),$E194,0)</f>
        <v>0</v>
      </c>
      <c r="BA194" s="105">
        <f t="shared" ref="BA194" si="1864">IF(AND(AZ$5&gt;$E191,BA$5&lt;$E193,MONTH(AZ$5)=MONTH($E191)),$E194,0)</f>
        <v>0</v>
      </c>
      <c r="BB194" s="105">
        <f t="shared" ref="BB194" si="1865">IF(AND(BA$5&gt;$E191,BB$5&lt;$E193,MONTH(BA$5)=MONTH($E191)),$E194,0)</f>
        <v>0</v>
      </c>
      <c r="BC194" s="105">
        <f t="shared" ref="BC194" si="1866">IF(AND(BB$5&gt;$E191,BC$5&lt;$E193,MONTH(BB$5)=MONTH($E191)),$E194,0)</f>
        <v>0</v>
      </c>
      <c r="BD194" s="105">
        <f t="shared" ref="BD194" si="1867">IF(AND(BC$5&gt;$E191,BD$5&lt;$E193,MONTH(BC$5)=MONTH($E191)),$E194,0)</f>
        <v>0</v>
      </c>
      <c r="BE194" s="105">
        <f t="shared" ref="BE194" si="1868">IF(AND(BD$5&gt;$E191,BE$5&lt;$E193,MONTH(BD$5)=MONTH($E191)),$E194,0)</f>
        <v>0</v>
      </c>
      <c r="BF194" s="105">
        <f t="shared" ref="BF194" si="1869">IF(AND(BE$5&gt;$E191,BF$5&lt;$E193,MONTH(BE$5)=MONTH($E191)),$E194,0)</f>
        <v>0</v>
      </c>
      <c r="BG194" s="105">
        <f t="shared" ref="BG194" si="1870">IF(AND(BF$5&gt;$E191,BG$5&lt;$E193,MONTH(BF$5)=MONTH($E191)),$E194,0)</f>
        <v>0</v>
      </c>
      <c r="BH194" s="105">
        <f t="shared" ref="BH194" si="1871">IF(AND(BG$5&gt;$E191,BH$5&lt;$E193,MONTH(BG$5)=MONTH($E191)),$E194,0)</f>
        <v>0</v>
      </c>
      <c r="BI194" s="105">
        <f t="shared" ref="BI194" si="1872">IF(AND(BH$5&gt;$E191,BI$5&lt;$E193,MONTH(BH$5)=MONTH($E191)),$E194,0)</f>
        <v>0</v>
      </c>
      <c r="BJ194" s="105">
        <f t="shared" ref="BJ194" si="1873">IF(AND(BI$5&gt;$E191,BJ$5&lt;$E193,MONTH(BI$5)=MONTH($E191)),$E194,0)</f>
        <v>0</v>
      </c>
      <c r="BK194" s="105">
        <f t="shared" ref="BK194" si="1874">IF(AND(BJ$5&gt;$E191,BK$5&lt;$E193,MONTH(BJ$5)=MONTH($E191)),$E194,0)</f>
        <v>0</v>
      </c>
      <c r="BL194" s="105">
        <f t="shared" ref="BL194" si="1875">IF(AND(BK$5&gt;$E191,BL$5&lt;$E193,MONTH(BK$5)=MONTH($E191)),$E194,0)</f>
        <v>0</v>
      </c>
      <c r="BM194" s="105">
        <f t="shared" ref="BM194" si="1876">IF(AND(BL$5&gt;$E191,BM$5&lt;$E193,MONTH(BL$5)=MONTH($E191)),$E194,0)</f>
        <v>0</v>
      </c>
      <c r="BN194" s="105">
        <f t="shared" ref="BN194" si="1877">IF(AND(BM$5&gt;$E191,BN$5&lt;$E193,MONTH(BM$5)=MONTH($E191)),$E194,0)</f>
        <v>2.5000000000000001E-2</v>
      </c>
      <c r="BO194" s="105">
        <f t="shared" ref="BO194" si="1878">IF(AND(BN$5&gt;$E191,BO$5&lt;$E193,MONTH(BN$5)=MONTH($E191)),$E194,0)</f>
        <v>0</v>
      </c>
      <c r="BP194" s="105">
        <f t="shared" ref="BP194" si="1879">IF(AND(BO$5&gt;$E191,BP$5&lt;$E193,MONTH(BO$5)=MONTH($E191)),$E194,0)</f>
        <v>0</v>
      </c>
      <c r="BQ194" s="105">
        <f t="shared" ref="BQ194" si="1880">IF(AND(BP$5&gt;$E191,BQ$5&lt;$E193,MONTH(BP$5)=MONTH($E191)),$E194,0)</f>
        <v>0</v>
      </c>
      <c r="BR194" s="105">
        <f t="shared" ref="BR194" si="1881">IF(AND(BQ$5&gt;$E191,BR$5&lt;$E193,MONTH(BQ$5)=MONTH($E191)),$E194,0)</f>
        <v>0</v>
      </c>
      <c r="BS194" s="105">
        <f t="shared" ref="BS194" si="1882">IF(AND(BR$5&gt;$E191,BS$5&lt;$E193,MONTH(BR$5)=MONTH($E191)),$E194,0)</f>
        <v>0</v>
      </c>
      <c r="BT194" s="105">
        <f t="shared" ref="BT194" si="1883">IF(AND(BS$5&gt;$E191,BT$5&lt;$E193,MONTH(BS$5)=MONTH($E191)),$E194,0)</f>
        <v>0</v>
      </c>
      <c r="BU194" s="105">
        <f t="shared" ref="BU194" si="1884">IF(AND(BT$5&gt;$E191,BU$5&lt;$E193,MONTH(BT$5)=MONTH($E191)),$E194,0)</f>
        <v>0</v>
      </c>
      <c r="BV194" s="105">
        <f t="shared" ref="BV194" si="1885">IF(AND(BU$5&gt;$E191,BV$5&lt;$E193,MONTH(BU$5)=MONTH($E191)),$E194,0)</f>
        <v>0</v>
      </c>
      <c r="BW194" s="105">
        <f t="shared" ref="BW194" si="1886">IF(AND(BV$5&gt;$E191,BW$5&lt;$E193,MONTH(BV$5)=MONTH($E191)),$E194,0)</f>
        <v>0</v>
      </c>
      <c r="BX194" s="105">
        <f t="shared" ref="BX194" si="1887">IF(AND(BW$5&gt;$E191,BX$5&lt;$E193,MONTH(BW$5)=MONTH($E191)),$E194,0)</f>
        <v>0</v>
      </c>
      <c r="BY194" s="105">
        <f t="shared" ref="BY194" si="1888">IF(AND(BX$5&gt;$E191,BY$5&lt;$E193,MONTH(BX$5)=MONTH($E191)),$E194,0)</f>
        <v>0</v>
      </c>
    </row>
    <row r="195" spans="2:77" customFormat="1" outlineLevel="1" x14ac:dyDescent="0.25">
      <c r="B195" s="1"/>
      <c r="C195" s="44"/>
      <c r="D195" s="56"/>
      <c r="E195" s="285"/>
      <c r="F195" s="1"/>
      <c r="G195" s="1"/>
      <c r="H195" s="1"/>
      <c r="I195" s="1"/>
      <c r="J195" s="1"/>
      <c r="AP195" s="62"/>
    </row>
    <row r="196" spans="2:77" customFormat="1" outlineLevel="1" x14ac:dyDescent="0.25">
      <c r="B196" s="1"/>
      <c r="C196" s="74" t="s">
        <v>113</v>
      </c>
      <c r="D196" s="36" t="s">
        <v>116</v>
      </c>
      <c r="E196" s="153">
        <v>48</v>
      </c>
      <c r="F196" s="151">
        <f>+$E196*F$12</f>
        <v>48.233642427136466</v>
      </c>
      <c r="G196" s="151">
        <f t="shared" ref="G196:BR196" si="1889">+$E196*G$12</f>
        <v>48.468422120601232</v>
      </c>
      <c r="H196" s="151">
        <f t="shared" si="1889"/>
        <v>48.704344616095646</v>
      </c>
      <c r="I196" s="151">
        <f t="shared" si="1889"/>
        <v>48.941415476266386</v>
      </c>
      <c r="J196" s="151">
        <f t="shared" si="1889"/>
        <v>49.179640290836566</v>
      </c>
      <c r="K196" s="151">
        <f t="shared" si="1889"/>
        <v>49.4190246767376</v>
      </c>
      <c r="L196" s="151">
        <f t="shared" si="1889"/>
        <v>49.659574278241564</v>
      </c>
      <c r="M196" s="151">
        <f t="shared" si="1889"/>
        <v>49.901294767094306</v>
      </c>
      <c r="N196" s="151">
        <f t="shared" si="1889"/>
        <v>50.144191842649235</v>
      </c>
      <c r="O196" s="151">
        <f t="shared" si="1889"/>
        <v>50.388271232001593</v>
      </c>
      <c r="P196" s="151">
        <f t="shared" si="1889"/>
        <v>50.633538690123579</v>
      </c>
      <c r="Q196" s="151">
        <f t="shared" si="1889"/>
        <v>50.88000000000001</v>
      </c>
      <c r="R196" s="151">
        <f t="shared" si="1889"/>
        <v>51.046567880118289</v>
      </c>
      <c r="S196" s="151">
        <f t="shared" si="1889"/>
        <v>51.21368106013216</v>
      </c>
      <c r="T196" s="151">
        <f t="shared" si="1889"/>
        <v>51.381341325211558</v>
      </c>
      <c r="U196" s="151">
        <f t="shared" si="1889"/>
        <v>51.54955046637064</v>
      </c>
      <c r="V196" s="151">
        <f t="shared" si="1889"/>
        <v>51.718310280486861</v>
      </c>
      <c r="W196" s="151">
        <f t="shared" si="1889"/>
        <v>51.887622570320204</v>
      </c>
      <c r="X196" s="151">
        <f t="shared" si="1889"/>
        <v>52.057489144532383</v>
      </c>
      <c r="Y196" s="151">
        <f t="shared" si="1889"/>
        <v>52.227911817706222</v>
      </c>
      <c r="Z196" s="151">
        <f t="shared" si="1889"/>
        <v>52.398892410365022</v>
      </c>
      <c r="AA196" s="151">
        <f t="shared" si="1889"/>
        <v>52.57043274899199</v>
      </c>
      <c r="AB196" s="151">
        <f t="shared" si="1889"/>
        <v>52.742534666049778</v>
      </c>
      <c r="AC196" s="151">
        <f t="shared" si="1889"/>
        <v>52.915200000000034</v>
      </c>
      <c r="AD196" s="151">
        <f t="shared" si="1889"/>
        <v>53.045703158255435</v>
      </c>
      <c r="AE196" s="151">
        <f t="shared" si="1889"/>
        <v>53.176528172505236</v>
      </c>
      <c r="AF196" s="151">
        <f t="shared" si="1889"/>
        <v>53.307675836533143</v>
      </c>
      <c r="AG196" s="151">
        <f t="shared" si="1889"/>
        <v>53.439146946080548</v>
      </c>
      <c r="AH196" s="151">
        <f t="shared" si="1889"/>
        <v>53.570942298851364</v>
      </c>
      <c r="AI196" s="151">
        <f t="shared" si="1889"/>
        <v>53.703062694516845</v>
      </c>
      <c r="AJ196" s="151">
        <f t="shared" si="1889"/>
        <v>53.835508934720458</v>
      </c>
      <c r="AK196" s="151">
        <f t="shared" si="1889"/>
        <v>53.968281823082741</v>
      </c>
      <c r="AL196" s="151">
        <f t="shared" si="1889"/>
        <v>54.101382165206175</v>
      </c>
      <c r="AM196" s="151">
        <f t="shared" si="1889"/>
        <v>54.234810768680077</v>
      </c>
      <c r="AN196" s="151">
        <f t="shared" si="1889"/>
        <v>54.368568443085479</v>
      </c>
      <c r="AO196" s="151">
        <f t="shared" si="1889"/>
        <v>54.502656000000087</v>
      </c>
      <c r="AP196" s="151">
        <f t="shared" si="1889"/>
        <v>54.637074253003149</v>
      </c>
      <c r="AQ196" s="151">
        <f t="shared" si="1889"/>
        <v>54.771824017680444</v>
      </c>
      <c r="AR196" s="151">
        <f t="shared" si="1889"/>
        <v>54.906906111629183</v>
      </c>
      <c r="AS196" s="151">
        <f t="shared" si="1889"/>
        <v>55.042321354463013</v>
      </c>
      <c r="AT196" s="151">
        <f t="shared" si="1889"/>
        <v>55.17807056781696</v>
      </c>
      <c r="AU196" s="151">
        <f t="shared" si="1889"/>
        <v>55.314154575352404</v>
      </c>
      <c r="AV196" s="151">
        <f t="shared" si="1889"/>
        <v>55.450574202762127</v>
      </c>
      <c r="AW196" s="151">
        <f t="shared" si="1889"/>
        <v>55.58733027777528</v>
      </c>
      <c r="AX196" s="151">
        <f t="shared" si="1889"/>
        <v>55.72442363016242</v>
      </c>
      <c r="AY196" s="151">
        <f t="shared" si="1889"/>
        <v>55.861855091740537</v>
      </c>
      <c r="AZ196" s="151">
        <f t="shared" si="1889"/>
        <v>55.999625496378101</v>
      </c>
      <c r="BA196" s="151">
        <f t="shared" si="1889"/>
        <v>56.137735680000141</v>
      </c>
      <c r="BB196" s="151">
        <f t="shared" si="1889"/>
        <v>56.253370224060646</v>
      </c>
      <c r="BC196" s="151">
        <f t="shared" si="1889"/>
        <v>56.369242956349062</v>
      </c>
      <c r="BD196" s="151">
        <f t="shared" si="1889"/>
        <v>56.485354367494132</v>
      </c>
      <c r="BE196" s="151">
        <f t="shared" si="1889"/>
        <v>56.601704949135218</v>
      </c>
      <c r="BF196" s="151">
        <f t="shared" si="1889"/>
        <v>56.718295193924384</v>
      </c>
      <c r="BG196" s="151">
        <f t="shared" si="1889"/>
        <v>56.835125595528474</v>
      </c>
      <c r="BH196" s="151">
        <f t="shared" si="1889"/>
        <v>56.952196648631208</v>
      </c>
      <c r="BI196" s="151">
        <f t="shared" si="1889"/>
        <v>57.069508848935271</v>
      </c>
      <c r="BJ196" s="151">
        <f t="shared" si="1889"/>
        <v>57.187062693164421</v>
      </c>
      <c r="BK196" s="151">
        <f t="shared" si="1889"/>
        <v>57.304858679065575</v>
      </c>
      <c r="BL196" s="151">
        <f t="shared" si="1889"/>
        <v>57.422897305410928</v>
      </c>
      <c r="BM196" s="151">
        <f t="shared" si="1889"/>
        <v>57.541179072000062</v>
      </c>
      <c r="BN196" s="151">
        <f t="shared" si="1889"/>
        <v>57.659704479662089</v>
      </c>
      <c r="BO196" s="151">
        <f t="shared" si="1889"/>
        <v>57.778474030257712</v>
      </c>
      <c r="BP196" s="151">
        <f t="shared" si="1889"/>
        <v>57.897488226681403</v>
      </c>
      <c r="BQ196" s="151">
        <f t="shared" si="1889"/>
        <v>58.016747572863522</v>
      </c>
      <c r="BR196" s="151">
        <f t="shared" si="1889"/>
        <v>58.136252573772417</v>
      </c>
      <c r="BS196" s="151">
        <f t="shared" ref="BS196:BY196" si="1890">+$E196*BS$12</f>
        <v>58.256003735416613</v>
      </c>
      <c r="BT196" s="151">
        <f t="shared" si="1890"/>
        <v>58.376001564846916</v>
      </c>
      <c r="BU196" s="151">
        <f t="shared" si="1890"/>
        <v>58.49624657015859</v>
      </c>
      <c r="BV196" s="151">
        <f t="shared" si="1890"/>
        <v>58.616739260493461</v>
      </c>
      <c r="BW196" s="151">
        <f t="shared" si="1890"/>
        <v>58.737480146042145</v>
      </c>
      <c r="BX196" s="151">
        <f t="shared" si="1890"/>
        <v>58.858469738046139</v>
      </c>
      <c r="BY196" s="151">
        <f t="shared" si="1890"/>
        <v>58.979708548800005</v>
      </c>
    </row>
    <row r="197" spans="2:77" customFormat="1" outlineLevel="1" x14ac:dyDescent="0.25">
      <c r="B197" s="1"/>
      <c r="C197" s="50" t="s">
        <v>273</v>
      </c>
      <c r="D197" s="36" t="s">
        <v>116</v>
      </c>
      <c r="E197" s="154">
        <v>42</v>
      </c>
      <c r="F197" s="155">
        <f>IF(F$5=EOMONTH($E180,1),F196,IF(AND(F$5&gt;EOMONTH($E180,1),F$5&lt;=$E182),E197*(1+F183),0))</f>
        <v>42</v>
      </c>
      <c r="G197" s="155">
        <f t="shared" ref="G197" si="1891">IF(G$5=EOMONTH($E180,1),G196,IF(AND(G$5&gt;EOMONTH($E180,1),G$5&lt;=$E182),F197*(1+G183),0))</f>
        <v>42</v>
      </c>
      <c r="H197" s="155">
        <f t="shared" ref="H197" si="1892">IF(H$5=EOMONTH($E180,1),H196,IF(AND(H$5&gt;EOMONTH($E180,1),H$5&lt;=$E182),G197*(1+H183),0))</f>
        <v>42</v>
      </c>
      <c r="I197" s="155">
        <f t="shared" ref="I197" si="1893">IF(I$5=EOMONTH($E180,1),I196,IF(AND(I$5&gt;EOMONTH($E180,1),I$5&lt;=$E182),H197*(1+I183),0))</f>
        <v>42</v>
      </c>
      <c r="J197" s="155">
        <f t="shared" ref="J197" si="1894">IF(J$5=EOMONTH($E180,1),J196,IF(AND(J$5&gt;EOMONTH($E180,1),J$5&lt;=$E182),I197*(1+J183),0))</f>
        <v>42</v>
      </c>
      <c r="K197" s="155">
        <f t="shared" ref="K197" si="1895">IF(K$5=EOMONTH($E180,1),K196,IF(AND(K$5&gt;EOMONTH($E180,1),K$5&lt;=$E182),J197*(1+K183),0))</f>
        <v>42</v>
      </c>
      <c r="L197" s="155">
        <f t="shared" ref="L197" si="1896">IF(L$5=EOMONTH($E180,1),L196,IF(AND(L$5&gt;EOMONTH($E180,1),L$5&lt;=$E182),K197*(1+L183),0))</f>
        <v>43.26</v>
      </c>
      <c r="M197" s="155">
        <f t="shared" ref="M197" si="1897">IF(M$5=EOMONTH($E180,1),M196,IF(AND(M$5&gt;EOMONTH($E180,1),M$5&lt;=$E182),L197*(1+M183),0))</f>
        <v>43.26</v>
      </c>
      <c r="N197" s="155">
        <f t="shared" ref="N197" si="1898">IF(N$5=EOMONTH($E180,1),N196,IF(AND(N$5&gt;EOMONTH($E180,1),N$5&lt;=$E182),M197*(1+N183),0))</f>
        <v>43.26</v>
      </c>
      <c r="O197" s="155">
        <f t="shared" ref="O197" si="1899">IF(O$5=EOMONTH($E180,1),O196,IF(AND(O$5&gt;EOMONTH($E180,1),O$5&lt;=$E182),N197*(1+O183),0))</f>
        <v>43.26</v>
      </c>
      <c r="P197" s="155">
        <f t="shared" ref="P197" si="1900">IF(P$5=EOMONTH($E180,1),P196,IF(AND(P$5&gt;EOMONTH($E180,1),P$5&lt;=$E182),O197*(1+P183),0))</f>
        <v>43.26</v>
      </c>
      <c r="Q197" s="155">
        <f t="shared" ref="Q197" si="1901">IF(Q$5=EOMONTH($E180,1),Q196,IF(AND(Q$5&gt;EOMONTH($E180,1),Q$5&lt;=$E182),P197*(1+Q183),0))</f>
        <v>43.26</v>
      </c>
      <c r="R197" s="155">
        <f t="shared" ref="R197" si="1902">IF(R$5=EOMONTH($E180,1),R196,IF(AND(R$5&gt;EOMONTH($E180,1),R$5&lt;=$E182),Q197*(1+R183),0))</f>
        <v>43.26</v>
      </c>
      <c r="S197" s="155">
        <f t="shared" ref="S197" si="1903">IF(S$5=EOMONTH($E180,1),S196,IF(AND(S$5&gt;EOMONTH($E180,1),S$5&lt;=$E182),R197*(1+S183),0))</f>
        <v>43.26</v>
      </c>
      <c r="T197" s="155">
        <f t="shared" ref="T197" si="1904">IF(T$5=EOMONTH($E180,1),T196,IF(AND(T$5&gt;EOMONTH($E180,1),T$5&lt;=$E182),S197*(1+T183),0))</f>
        <v>43.26</v>
      </c>
      <c r="U197" s="155">
        <f t="shared" ref="U197" si="1905">IF(U$5=EOMONTH($E180,1),U196,IF(AND(U$5&gt;EOMONTH($E180,1),U$5&lt;=$E182),T197*(1+U183),0))</f>
        <v>43.26</v>
      </c>
      <c r="V197" s="155">
        <f t="shared" ref="V197" si="1906">IF(V$5=EOMONTH($E180,1),V196,IF(AND(V$5&gt;EOMONTH($E180,1),V$5&lt;=$E182),U197*(1+V183),0))</f>
        <v>43.26</v>
      </c>
      <c r="W197" s="155">
        <f t="shared" ref="W197" si="1907">IF(W$5=EOMONTH($E180,1),W196,IF(AND(W$5&gt;EOMONTH($E180,1),W$5&lt;=$E182),V197*(1+W183),0))</f>
        <v>43.26</v>
      </c>
      <c r="X197" s="155">
        <f t="shared" ref="X197" si="1908">IF(X$5=EOMONTH($E180,1),X196,IF(AND(X$5&gt;EOMONTH($E180,1),X$5&lt;=$E182),W197*(1+X183),0))</f>
        <v>44.5578</v>
      </c>
      <c r="Y197" s="155">
        <f t="shared" ref="Y197" si="1909">IF(Y$5=EOMONTH($E180,1),Y196,IF(AND(Y$5&gt;EOMONTH($E180,1),Y$5&lt;=$E182),X197*(1+Y183),0))</f>
        <v>44.5578</v>
      </c>
      <c r="Z197" s="155">
        <f t="shared" ref="Z197" si="1910">IF(Z$5=EOMONTH($E180,1),Z196,IF(AND(Z$5&gt;EOMONTH($E180,1),Z$5&lt;=$E182),Y197*(1+Z183),0))</f>
        <v>44.5578</v>
      </c>
      <c r="AA197" s="155">
        <f t="shared" ref="AA197" si="1911">IF(AA$5=EOMONTH($E180,1),AA196,IF(AND(AA$5&gt;EOMONTH($E180,1),AA$5&lt;=$E182),Z197*(1+AA183),0))</f>
        <v>44.5578</v>
      </c>
      <c r="AB197" s="155">
        <f t="shared" ref="AB197" si="1912">IF(AB$5=EOMONTH($E180,1),AB196,IF(AND(AB$5&gt;EOMONTH($E180,1),AB$5&lt;=$E182),AA197*(1+AB183),0))</f>
        <v>44.5578</v>
      </c>
      <c r="AC197" s="155">
        <f t="shared" ref="AC197" si="1913">IF(AC$5=EOMONTH($E180,1),AC196,IF(AND(AC$5&gt;EOMONTH($E180,1),AC$5&lt;=$E182),AB197*(1+AC183),0))</f>
        <v>44.5578</v>
      </c>
      <c r="AD197" s="155">
        <f t="shared" ref="AD197" si="1914">IF(AD$5=EOMONTH($E180,1),AD196,IF(AND(AD$5&gt;EOMONTH($E180,1),AD$5&lt;=$E182),AC197*(1+AD183),0))</f>
        <v>44.5578</v>
      </c>
      <c r="AE197" s="155">
        <f t="shared" ref="AE197" si="1915">IF(AE$5=EOMONTH($E180,1),AE196,IF(AND(AE$5&gt;EOMONTH($E180,1),AE$5&lt;=$E182),AD197*(1+AE183),0))</f>
        <v>44.5578</v>
      </c>
      <c r="AF197" s="155">
        <f t="shared" ref="AF197" si="1916">IF(AF$5=EOMONTH($E180,1),AF196,IF(AND(AF$5&gt;EOMONTH($E180,1),AF$5&lt;=$E182),AE197*(1+AF183),0))</f>
        <v>44.5578</v>
      </c>
      <c r="AG197" s="155">
        <f t="shared" ref="AG197" si="1917">IF(AG$5=EOMONTH($E180,1),AG196,IF(AND(AG$5&gt;EOMONTH($E180,1),AG$5&lt;=$E182),AF197*(1+AG183),0))</f>
        <v>44.5578</v>
      </c>
      <c r="AH197" s="155">
        <f t="shared" ref="AH197" si="1918">IF(AH$5=EOMONTH($E180,1),AH196,IF(AND(AH$5&gt;EOMONTH($E180,1),AH$5&lt;=$E182),AG197*(1+AH183),0))</f>
        <v>44.5578</v>
      </c>
      <c r="AI197" s="155">
        <f t="shared" ref="AI197" si="1919">IF(AI$5=EOMONTH($E180,1),AI196,IF(AND(AI$5&gt;EOMONTH($E180,1),AI$5&lt;=$E182),AH197*(1+AI183),0))</f>
        <v>44.5578</v>
      </c>
      <c r="AJ197" s="155">
        <f t="shared" ref="AJ197" si="1920">IF(AJ$5=EOMONTH($E180,1),AJ196,IF(AND(AJ$5&gt;EOMONTH($E180,1),AJ$5&lt;=$E182),AI197*(1+AJ183),0))</f>
        <v>45.894534</v>
      </c>
      <c r="AK197" s="155">
        <f t="shared" ref="AK197" si="1921">IF(AK$5=EOMONTH($E180,1),AK196,IF(AND(AK$5&gt;EOMONTH($E180,1),AK$5&lt;=$E182),AJ197*(1+AK183),0))</f>
        <v>45.894534</v>
      </c>
      <c r="AL197" s="155">
        <f t="shared" ref="AL197" si="1922">IF(AL$5=EOMONTH($E180,1),AL196,IF(AND(AL$5&gt;EOMONTH($E180,1),AL$5&lt;=$E182),AK197*(1+AL183),0))</f>
        <v>45.894534</v>
      </c>
      <c r="AM197" s="155">
        <f t="shared" ref="AM197" si="1923">IF(AM$5=EOMONTH($E180,1),AM196,IF(AND(AM$5&gt;EOMONTH($E180,1),AM$5&lt;=$E182),AL197*(1+AM183),0))</f>
        <v>45.894534</v>
      </c>
      <c r="AN197" s="155">
        <f t="shared" ref="AN197" si="1924">IF(AN$5=EOMONTH($E180,1),AN196,IF(AND(AN$5&gt;EOMONTH($E180,1),AN$5&lt;=$E182),AM197*(1+AN183),0))</f>
        <v>45.894534</v>
      </c>
      <c r="AO197" s="155">
        <f t="shared" ref="AO197" si="1925">IF(AO$5=EOMONTH($E180,1),AO196,IF(AND(AO$5&gt;EOMONTH($E180,1),AO$5&lt;=$E182),AN197*(1+AO183),0))</f>
        <v>45.894534</v>
      </c>
      <c r="AP197" s="155">
        <f t="shared" ref="AP197" si="1926">IF(AP$5=EOMONTH($E180,1),AP196,IF(AND(AP$5&gt;EOMONTH($E180,1),AP$5&lt;=$E182),AO197*(1+AP183),0))</f>
        <v>45.894534</v>
      </c>
      <c r="AQ197" s="155">
        <f t="shared" ref="AQ197" si="1927">IF(AQ$5=EOMONTH($E180,1),AQ196,IF(AND(AQ$5&gt;EOMONTH($E180,1),AQ$5&lt;=$E182),AP197*(1+AQ183),0))</f>
        <v>45.894534</v>
      </c>
      <c r="AR197" s="155">
        <f t="shared" ref="AR197" si="1928">IF(AR$5=EOMONTH($E180,1),AR196,IF(AND(AR$5&gt;EOMONTH($E180,1),AR$5&lt;=$E182),AQ197*(1+AR183),0))</f>
        <v>45.894534</v>
      </c>
      <c r="AS197" s="155">
        <f t="shared" ref="AS197" si="1929">IF(AS$5=EOMONTH($E180,1),AS196,IF(AND(AS$5&gt;EOMONTH($E180,1),AS$5&lt;=$E182),AR197*(1+AS183),0))</f>
        <v>45.894534</v>
      </c>
      <c r="AT197" s="155">
        <f t="shared" ref="AT197" si="1930">IF(AT$5=EOMONTH($E180,1),AT196,IF(AND(AT$5&gt;EOMONTH($E180,1),AT$5&lt;=$E182),AS197*(1+AT183),0))</f>
        <v>45.894534</v>
      </c>
      <c r="AU197" s="155">
        <f t="shared" ref="AU197" si="1931">IF(AU$5=EOMONTH($E180,1),AU196,IF(AND(AU$5&gt;EOMONTH($E180,1),AU$5&lt;=$E182),AT197*(1+AU183),0))</f>
        <v>45.894534</v>
      </c>
      <c r="AV197" s="155">
        <f t="shared" ref="AV197" si="1932">IF(AV$5=EOMONTH($E180,1),AV196,IF(AND(AV$5&gt;EOMONTH($E180,1),AV$5&lt;=$E182),AU197*(1+AV183),0))</f>
        <v>0</v>
      </c>
      <c r="AW197" s="155">
        <f t="shared" ref="AW197" si="1933">IF(AW$5=EOMONTH($E180,1),AW196,IF(AND(AW$5&gt;EOMONTH($E180,1),AW$5&lt;=$E182),AV197*(1+AW183),0))</f>
        <v>0</v>
      </c>
      <c r="AX197" s="155">
        <f t="shared" ref="AX197" si="1934">IF(AX$5=EOMONTH($E180,1),AX196,IF(AND(AX$5&gt;EOMONTH($E180,1),AX$5&lt;=$E182),AW197*(1+AX183),0))</f>
        <v>0</v>
      </c>
      <c r="AY197" s="155">
        <f t="shared" ref="AY197" si="1935">IF(AY$5=EOMONTH($E180,1),AY196,IF(AND(AY$5&gt;EOMONTH($E180,1),AY$5&lt;=$E182),AX197*(1+AY183),0))</f>
        <v>0</v>
      </c>
      <c r="AZ197" s="155">
        <f t="shared" ref="AZ197" si="1936">IF(AZ$5=EOMONTH($E180,1),AZ196,IF(AND(AZ$5&gt;EOMONTH($E180,1),AZ$5&lt;=$E182),AY197*(1+AZ183),0))</f>
        <v>0</v>
      </c>
      <c r="BA197" s="155">
        <f t="shared" ref="BA197" si="1937">IF(BA$5=EOMONTH($E180,1),BA196,IF(AND(BA$5&gt;EOMONTH($E180,1),BA$5&lt;=$E182),AZ197*(1+BA183),0))</f>
        <v>0</v>
      </c>
      <c r="BB197" s="155">
        <f t="shared" ref="BB197" si="1938">IF(BB$5=EOMONTH($E180,1),BB196,IF(AND(BB$5&gt;EOMONTH($E180,1),BB$5&lt;=$E182),BA197*(1+BB183),0))</f>
        <v>0</v>
      </c>
      <c r="BC197" s="155">
        <f t="shared" ref="BC197" si="1939">IF(BC$5=EOMONTH($E180,1),BC196,IF(AND(BC$5&gt;EOMONTH($E180,1),BC$5&lt;=$E182),BB197*(1+BC183),0))</f>
        <v>0</v>
      </c>
      <c r="BD197" s="155">
        <f t="shared" ref="BD197" si="1940">IF(BD$5=EOMONTH($E180,1),BD196,IF(AND(BD$5&gt;EOMONTH($E180,1),BD$5&lt;=$E182),BC197*(1+BD183),0))</f>
        <v>0</v>
      </c>
      <c r="BE197" s="155">
        <f t="shared" ref="BE197" si="1941">IF(BE$5=EOMONTH($E180,1),BE196,IF(AND(BE$5&gt;EOMONTH($E180,1),BE$5&lt;=$E182),BD197*(1+BE183),0))</f>
        <v>0</v>
      </c>
      <c r="BF197" s="155">
        <f t="shared" ref="BF197" si="1942">IF(BF$5=EOMONTH($E180,1),BF196,IF(AND(BF$5&gt;EOMONTH($E180,1),BF$5&lt;=$E182),BE197*(1+BF183),0))</f>
        <v>0</v>
      </c>
      <c r="BG197" s="155">
        <f t="shared" ref="BG197" si="1943">IF(BG$5=EOMONTH($E180,1),BG196,IF(AND(BG$5&gt;EOMONTH($E180,1),BG$5&lt;=$E182),BF197*(1+BG183),0))</f>
        <v>0</v>
      </c>
      <c r="BH197" s="155">
        <f t="shared" ref="BH197" si="1944">IF(BH$5=EOMONTH($E180,1),BH196,IF(AND(BH$5&gt;EOMONTH($E180,1),BH$5&lt;=$E182),BG197*(1+BH183),0))</f>
        <v>0</v>
      </c>
      <c r="BI197" s="155">
        <f t="shared" ref="BI197" si="1945">IF(BI$5=EOMONTH($E180,1),BI196,IF(AND(BI$5&gt;EOMONTH($E180,1),BI$5&lt;=$E182),BH197*(1+BI183),0))</f>
        <v>0</v>
      </c>
      <c r="BJ197" s="155">
        <f t="shared" ref="BJ197" si="1946">IF(BJ$5=EOMONTH($E180,1),BJ196,IF(AND(BJ$5&gt;EOMONTH($E180,1),BJ$5&lt;=$E182),BI197*(1+BJ183),0))</f>
        <v>0</v>
      </c>
      <c r="BK197" s="155">
        <f t="shared" ref="BK197" si="1947">IF(BK$5=EOMONTH($E180,1),BK196,IF(AND(BK$5&gt;EOMONTH($E180,1),BK$5&lt;=$E182),BJ197*(1+BK183),0))</f>
        <v>0</v>
      </c>
      <c r="BL197" s="155">
        <f t="shared" ref="BL197" si="1948">IF(BL$5=EOMONTH($E180,1),BL196,IF(AND(BL$5&gt;EOMONTH($E180,1),BL$5&lt;=$E182),BK197*(1+BL183),0))</f>
        <v>0</v>
      </c>
      <c r="BM197" s="155">
        <f t="shared" ref="BM197" si="1949">IF(BM$5=EOMONTH($E180,1),BM196,IF(AND(BM$5&gt;EOMONTH($E180,1),BM$5&lt;=$E182),BL197*(1+BM183),0))</f>
        <v>0</v>
      </c>
      <c r="BN197" s="155">
        <f t="shared" ref="BN197" si="1950">IF(BN$5=EOMONTH($E180,1),BN196,IF(AND(BN$5&gt;EOMONTH($E180,1),BN$5&lt;=$E182),BM197*(1+BN183),0))</f>
        <v>0</v>
      </c>
      <c r="BO197" s="155">
        <f t="shared" ref="BO197" si="1951">IF(BO$5=EOMONTH($E180,1),BO196,IF(AND(BO$5&gt;EOMONTH($E180,1),BO$5&lt;=$E182),BN197*(1+BO183),0))</f>
        <v>0</v>
      </c>
      <c r="BP197" s="155">
        <f t="shared" ref="BP197" si="1952">IF(BP$5=EOMONTH($E180,1),BP196,IF(AND(BP$5&gt;EOMONTH($E180,1),BP$5&lt;=$E182),BO197*(1+BP183),0))</f>
        <v>0</v>
      </c>
      <c r="BQ197" s="155">
        <f t="shared" ref="BQ197" si="1953">IF(BQ$5=EOMONTH($E180,1),BQ196,IF(AND(BQ$5&gt;EOMONTH($E180,1),BQ$5&lt;=$E182),BP197*(1+BQ183),0))</f>
        <v>0</v>
      </c>
      <c r="BR197" s="155">
        <f t="shared" ref="BR197" si="1954">IF(BR$5=EOMONTH($E180,1),BR196,IF(AND(BR$5&gt;EOMONTH($E180,1),BR$5&lt;=$E182),BQ197*(1+BR183),0))</f>
        <v>0</v>
      </c>
      <c r="BS197" s="155">
        <f t="shared" ref="BS197" si="1955">IF(BS$5=EOMONTH($E180,1),BS196,IF(AND(BS$5&gt;EOMONTH($E180,1),BS$5&lt;=$E182),BR197*(1+BS183),0))</f>
        <v>0</v>
      </c>
      <c r="BT197" s="155">
        <f t="shared" ref="BT197" si="1956">IF(BT$5=EOMONTH($E180,1),BT196,IF(AND(BT$5&gt;EOMONTH($E180,1),BT$5&lt;=$E182),BS197*(1+BT183),0))</f>
        <v>0</v>
      </c>
      <c r="BU197" s="155">
        <f t="shared" ref="BU197" si="1957">IF(BU$5=EOMONTH($E180,1),BU196,IF(AND(BU$5&gt;EOMONTH($E180,1),BU$5&lt;=$E182),BT197*(1+BU183),0))</f>
        <v>0</v>
      </c>
      <c r="BV197" s="155">
        <f t="shared" ref="BV197" si="1958">IF(BV$5=EOMONTH($E180,1),BV196,IF(AND(BV$5&gt;EOMONTH($E180,1),BV$5&lt;=$E182),BU197*(1+BV183),0))</f>
        <v>0</v>
      </c>
      <c r="BW197" s="155">
        <f t="shared" ref="BW197" si="1959">IF(BW$5=EOMONTH($E180,1),BW196,IF(AND(BW$5&gt;EOMONTH($E180,1),BW$5&lt;=$E182),BV197*(1+BW183),0))</f>
        <v>0</v>
      </c>
      <c r="BX197" s="155">
        <f t="shared" ref="BX197" si="1960">IF(BX$5=EOMONTH($E180,1),BX196,IF(AND(BX$5&gt;EOMONTH($E180,1),BX$5&lt;=$E182),BW197*(1+BX183),0))</f>
        <v>0</v>
      </c>
      <c r="BY197" s="155">
        <f t="shared" ref="BY197" si="1961">IF(BY$5=EOMONTH($E180,1),BY196,IF(AND(BY$5&gt;EOMONTH($E180,1),BY$5&lt;=$E182),BX197*(1+BY183),0))</f>
        <v>0</v>
      </c>
    </row>
    <row r="198" spans="2:77" customFormat="1" outlineLevel="1" x14ac:dyDescent="0.25">
      <c r="B198" s="1"/>
      <c r="C198" s="50" t="s">
        <v>274</v>
      </c>
      <c r="D198" s="36" t="s">
        <v>116</v>
      </c>
      <c r="E198" s="1"/>
      <c r="F198" s="155">
        <f>IF(F$5=EOMONTH($E186,1),F196,IF(AND(F$5&gt;EOMONTH($E186,1),F$5&lt;=$E188),E198*(1+F189),0))</f>
        <v>0</v>
      </c>
      <c r="G198" s="155">
        <f t="shared" ref="G198" si="1962">IF(G$5=EOMONTH($E186,1),G196,IF(AND(G$5&gt;EOMONTH($E186,1),G$5&lt;=$E188),F198*(1+G189),0))</f>
        <v>0</v>
      </c>
      <c r="H198" s="155">
        <f t="shared" ref="H198" si="1963">IF(H$5=EOMONTH($E186,1),H196,IF(AND(H$5&gt;EOMONTH($E186,1),H$5&lt;=$E188),G198*(1+H189),0))</f>
        <v>0</v>
      </c>
      <c r="I198" s="155">
        <f t="shared" ref="I198" si="1964">IF(I$5=EOMONTH($E186,1),I196,IF(AND(I$5&gt;EOMONTH($E186,1),I$5&lt;=$E188),H198*(1+I189),0))</f>
        <v>0</v>
      </c>
      <c r="J198" s="155">
        <f t="shared" ref="J198" si="1965">IF(J$5=EOMONTH($E186,1),J196,IF(AND(J$5&gt;EOMONTH($E186,1),J$5&lt;=$E188),I198*(1+J189),0))</f>
        <v>0</v>
      </c>
      <c r="K198" s="155">
        <f t="shared" ref="K198" si="1966">IF(K$5=EOMONTH($E186,1),K196,IF(AND(K$5&gt;EOMONTH($E186,1),K$5&lt;=$E188),J198*(1+K189),0))</f>
        <v>0</v>
      </c>
      <c r="L198" s="155">
        <f t="shared" ref="L198" si="1967">IF(L$5=EOMONTH($E186,1),L196,IF(AND(L$5&gt;EOMONTH($E186,1),L$5&lt;=$E188),K198*(1+L189),0))</f>
        <v>0</v>
      </c>
      <c r="M198" s="155">
        <f t="shared" ref="M198" si="1968">IF(M$5=EOMONTH($E186,1),M196,IF(AND(M$5&gt;EOMONTH($E186,1),M$5&lt;=$E188),L198*(1+M189),0))</f>
        <v>0</v>
      </c>
      <c r="N198" s="155">
        <f t="shared" ref="N198" si="1969">IF(N$5=EOMONTH($E186,1),N196,IF(AND(N$5&gt;EOMONTH($E186,1),N$5&lt;=$E188),M198*(1+N189),0))</f>
        <v>0</v>
      </c>
      <c r="O198" s="155">
        <f t="shared" ref="O198" si="1970">IF(O$5=EOMONTH($E186,1),O196,IF(AND(O$5&gt;EOMONTH($E186,1),O$5&lt;=$E188),N198*(1+O189),0))</f>
        <v>0</v>
      </c>
      <c r="P198" s="155">
        <f t="shared" ref="P198" si="1971">IF(P$5=EOMONTH($E186,1),P196,IF(AND(P$5&gt;EOMONTH($E186,1),P$5&lt;=$E188),O198*(1+P189),0))</f>
        <v>0</v>
      </c>
      <c r="Q198" s="155">
        <f t="shared" ref="Q198" si="1972">IF(Q$5=EOMONTH($E186,1),Q196,IF(AND(Q$5&gt;EOMONTH($E186,1),Q$5&lt;=$E188),P198*(1+Q189),0))</f>
        <v>0</v>
      </c>
      <c r="R198" s="155">
        <f t="shared" ref="R198" si="1973">IF(R$5=EOMONTH($E186,1),R196,IF(AND(R$5&gt;EOMONTH($E186,1),R$5&lt;=$E188),Q198*(1+R189),0))</f>
        <v>0</v>
      </c>
      <c r="S198" s="155">
        <f t="shared" ref="S198" si="1974">IF(S$5=EOMONTH($E186,1),S196,IF(AND(S$5&gt;EOMONTH($E186,1),S$5&lt;=$E188),R198*(1+S189),0))</f>
        <v>0</v>
      </c>
      <c r="T198" s="155">
        <f t="shared" ref="T198" si="1975">IF(T$5=EOMONTH($E186,1),T196,IF(AND(T$5&gt;EOMONTH($E186,1),T$5&lt;=$E188),S198*(1+T189),0))</f>
        <v>0</v>
      </c>
      <c r="U198" s="155">
        <f t="shared" ref="U198" si="1976">IF(U$5=EOMONTH($E186,1),U196,IF(AND(U$5&gt;EOMONTH($E186,1),U$5&lt;=$E188),T198*(1+U189),0))</f>
        <v>0</v>
      </c>
      <c r="V198" s="155">
        <f t="shared" ref="V198" si="1977">IF(V$5=EOMONTH($E186,1),V196,IF(AND(V$5&gt;EOMONTH($E186,1),V$5&lt;=$E188),U198*(1+V189),0))</f>
        <v>0</v>
      </c>
      <c r="W198" s="155">
        <f t="shared" ref="W198" si="1978">IF(W$5=EOMONTH($E186,1),W196,IF(AND(W$5&gt;EOMONTH($E186,1),W$5&lt;=$E188),V198*(1+W189),0))</f>
        <v>0</v>
      </c>
      <c r="X198" s="155">
        <f t="shared" ref="X198" si="1979">IF(X$5=EOMONTH($E186,1),X196,IF(AND(X$5&gt;EOMONTH($E186,1),X$5&lt;=$E188),W198*(1+X189),0))</f>
        <v>0</v>
      </c>
      <c r="Y198" s="155">
        <f t="shared" ref="Y198" si="1980">IF(Y$5=EOMONTH($E186,1),Y196,IF(AND(Y$5&gt;EOMONTH($E186,1),Y$5&lt;=$E188),X198*(1+Y189),0))</f>
        <v>0</v>
      </c>
      <c r="Z198" s="155">
        <f t="shared" ref="Z198" si="1981">IF(Z$5=EOMONTH($E186,1),Z196,IF(AND(Z$5&gt;EOMONTH($E186,1),Z$5&lt;=$E188),Y198*(1+Z189),0))</f>
        <v>0</v>
      </c>
      <c r="AA198" s="155">
        <f t="shared" ref="AA198" si="1982">IF(AA$5=EOMONTH($E186,1),AA196,IF(AND(AA$5&gt;EOMONTH($E186,1),AA$5&lt;=$E188),Z198*(1+AA189),0))</f>
        <v>0</v>
      </c>
      <c r="AB198" s="155">
        <f t="shared" ref="AB198" si="1983">IF(AB$5=EOMONTH($E186,1),AB196,IF(AND(AB$5&gt;EOMONTH($E186,1),AB$5&lt;=$E188),AA198*(1+AB189),0))</f>
        <v>0</v>
      </c>
      <c r="AC198" s="155">
        <f t="shared" ref="AC198" si="1984">IF(AC$5=EOMONTH($E186,1),AC196,IF(AND(AC$5&gt;EOMONTH($E186,1),AC$5&lt;=$E188),AB198*(1+AC189),0))</f>
        <v>0</v>
      </c>
      <c r="AD198" s="155">
        <f t="shared" ref="AD198" si="1985">IF(AD$5=EOMONTH($E186,1),AD196,IF(AND(AD$5&gt;EOMONTH($E186,1),AD$5&lt;=$E188),AC198*(1+AD189),0))</f>
        <v>0</v>
      </c>
      <c r="AE198" s="155">
        <f t="shared" ref="AE198" si="1986">IF(AE$5=EOMONTH($E186,1),AE196,IF(AND(AE$5&gt;EOMONTH($E186,1),AE$5&lt;=$E188),AD198*(1+AE189),0))</f>
        <v>0</v>
      </c>
      <c r="AF198" s="155">
        <f t="shared" ref="AF198" si="1987">IF(AF$5=EOMONTH($E186,1),AF196,IF(AND(AF$5&gt;EOMONTH($E186,1),AF$5&lt;=$E188),AE198*(1+AF189),0))</f>
        <v>0</v>
      </c>
      <c r="AG198" s="155">
        <f t="shared" ref="AG198" si="1988">IF(AG$5=EOMONTH($E186,1),AG196,IF(AND(AG$5&gt;EOMONTH($E186,1),AG$5&lt;=$E188),AF198*(1+AG189),0))</f>
        <v>0</v>
      </c>
      <c r="AH198" s="155">
        <f t="shared" ref="AH198" si="1989">IF(AH$5=EOMONTH($E186,1),AH196,IF(AND(AH$5&gt;EOMONTH($E186,1),AH$5&lt;=$E188),AG198*(1+AH189),0))</f>
        <v>0</v>
      </c>
      <c r="AI198" s="155">
        <f t="shared" ref="AI198" si="1990">IF(AI$5=EOMONTH($E186,1),AI196,IF(AND(AI$5&gt;EOMONTH($E186,1),AI$5&lt;=$E188),AH198*(1+AI189),0))</f>
        <v>0</v>
      </c>
      <c r="AJ198" s="155">
        <f t="shared" ref="AJ198" si="1991">IF(AJ$5=EOMONTH($E186,1),AJ196,IF(AND(AJ$5&gt;EOMONTH($E186,1),AJ$5&lt;=$E188),AI198*(1+AJ189),0))</f>
        <v>0</v>
      </c>
      <c r="AK198" s="155">
        <f t="shared" ref="AK198" si="1992">IF(AK$5=EOMONTH($E186,1),AK196,IF(AND(AK$5&gt;EOMONTH($E186,1),AK$5&lt;=$E188),AJ198*(1+AK189),0))</f>
        <v>0</v>
      </c>
      <c r="AL198" s="155">
        <f t="shared" ref="AL198" si="1993">IF(AL$5=EOMONTH($E186,1),AL196,IF(AND(AL$5&gt;EOMONTH($E186,1),AL$5&lt;=$E188),AK198*(1+AL189),0))</f>
        <v>0</v>
      </c>
      <c r="AM198" s="155">
        <f t="shared" ref="AM198" si="1994">IF(AM$5=EOMONTH($E186,1),AM196,IF(AND(AM$5&gt;EOMONTH($E186,1),AM$5&lt;=$E188),AL198*(1+AM189),0))</f>
        <v>0</v>
      </c>
      <c r="AN198" s="155">
        <f t="shared" ref="AN198" si="1995">IF(AN$5=EOMONTH($E186,1),AN196,IF(AND(AN$5&gt;EOMONTH($E186,1),AN$5&lt;=$E188),AM198*(1+AN189),0))</f>
        <v>0</v>
      </c>
      <c r="AO198" s="155">
        <f t="shared" ref="AO198" si="1996">IF(AO$5=EOMONTH($E186,1),AO196,IF(AND(AO$5&gt;EOMONTH($E186,1),AO$5&lt;=$E188),AN198*(1+AO189),0))</f>
        <v>0</v>
      </c>
      <c r="AP198" s="155">
        <f t="shared" ref="AP198" si="1997">IF(AP$5=EOMONTH($E186,1),AP196,IF(AND(AP$5&gt;EOMONTH($E186,1),AP$5&lt;=$E188),AO198*(1+AP189),0))</f>
        <v>0</v>
      </c>
      <c r="AQ198" s="155">
        <f t="shared" ref="AQ198" si="1998">IF(AQ$5=EOMONTH($E186,1),AQ196,IF(AND(AQ$5&gt;EOMONTH($E186,1),AQ$5&lt;=$E188),AP198*(1+AQ189),0))</f>
        <v>0</v>
      </c>
      <c r="AR198" s="155">
        <f t="shared" ref="AR198" si="1999">IF(AR$5=EOMONTH($E186,1),AR196,IF(AND(AR$5&gt;EOMONTH($E186,1),AR$5&lt;=$E188),AQ198*(1+AR189),0))</f>
        <v>0</v>
      </c>
      <c r="AS198" s="155">
        <f t="shared" ref="AS198" si="2000">IF(AS$5=EOMONTH($E186,1),AS196,IF(AND(AS$5&gt;EOMONTH($E186,1),AS$5&lt;=$E188),AR198*(1+AS189),0))</f>
        <v>0</v>
      </c>
      <c r="AT198" s="155">
        <f t="shared" ref="AT198" si="2001">IF(AT$5=EOMONTH($E186,1),AT196,IF(AND(AT$5&gt;EOMONTH($E186,1),AT$5&lt;=$E188),AS198*(1+AT189),0))</f>
        <v>0</v>
      </c>
      <c r="AU198" s="155">
        <f t="shared" ref="AU198" si="2002">IF(AU$5=EOMONTH($E186,1),AU196,IF(AND(AU$5&gt;EOMONTH($E186,1),AU$5&lt;=$E188),AT198*(1+AU189),0))</f>
        <v>0</v>
      </c>
      <c r="AV198" s="155">
        <f t="shared" ref="AV198" si="2003">IF(AV$5=EOMONTH($E186,1),AV196,IF(AND(AV$5&gt;EOMONTH($E186,1),AV$5&lt;=$E188),AU198*(1+AV189),0))</f>
        <v>55.450574202762127</v>
      </c>
      <c r="AW198" s="155">
        <f t="shared" ref="AW198" si="2004">IF(AW$5=EOMONTH($E186,1),AW196,IF(AND(AW$5&gt;EOMONTH($E186,1),AW$5&lt;=$E188),AV198*(1+AW189),0))</f>
        <v>55.450574202762127</v>
      </c>
      <c r="AX198" s="155">
        <f t="shared" ref="AX198" si="2005">IF(AX$5=EOMONTH($E186,1),AX196,IF(AND(AX$5&gt;EOMONTH($E186,1),AX$5&lt;=$E188),AW198*(1+AX189),0))</f>
        <v>55.450574202762127</v>
      </c>
      <c r="AY198" s="155">
        <f t="shared" ref="AY198" si="2006">IF(AY$5=EOMONTH($E186,1),AY196,IF(AND(AY$5&gt;EOMONTH($E186,1),AY$5&lt;=$E188),AX198*(1+AY189),0))</f>
        <v>55.450574202762127</v>
      </c>
      <c r="AZ198" s="155">
        <f t="shared" ref="AZ198" si="2007">IF(AZ$5=EOMONTH($E186,1),AZ196,IF(AND(AZ$5&gt;EOMONTH($E186,1),AZ$5&lt;=$E188),AY198*(1+AZ189),0))</f>
        <v>55.450574202762127</v>
      </c>
      <c r="BA198" s="155">
        <f t="shared" ref="BA198" si="2008">IF(BA$5=EOMONTH($E186,1),BA196,IF(AND(BA$5&gt;EOMONTH($E186,1),BA$5&lt;=$E188),AZ198*(1+BA189),0))</f>
        <v>55.450574202762127</v>
      </c>
      <c r="BB198" s="155">
        <f t="shared" ref="BB198" si="2009">IF(BB$5=EOMONTH($E186,1),BB196,IF(AND(BB$5&gt;EOMONTH($E186,1),BB$5&lt;=$E188),BA198*(1+BB189),0))</f>
        <v>55.450574202762127</v>
      </c>
      <c r="BC198" s="155">
        <f t="shared" ref="BC198" si="2010">IF(BC$5=EOMONTH($E186,1),BC196,IF(AND(BC$5&gt;EOMONTH($E186,1),BC$5&lt;=$E188),BB198*(1+BC189),0))</f>
        <v>55.450574202762127</v>
      </c>
      <c r="BD198" s="155">
        <f t="shared" ref="BD198" si="2011">IF(BD$5=EOMONTH($E186,1),BD196,IF(AND(BD$5&gt;EOMONTH($E186,1),BD$5&lt;=$E188),BC198*(1+BD189),0))</f>
        <v>55.450574202762127</v>
      </c>
      <c r="BE198" s="155">
        <f t="shared" ref="BE198" si="2012">IF(BE$5=EOMONTH($E186,1),BE196,IF(AND(BE$5&gt;EOMONTH($E186,1),BE$5&lt;=$E188),BD198*(1+BE189),0))</f>
        <v>55.450574202762127</v>
      </c>
      <c r="BF198" s="155">
        <f t="shared" ref="BF198" si="2013">IF(BF$5=EOMONTH($E186,1),BF196,IF(AND(BF$5&gt;EOMONTH($E186,1),BF$5&lt;=$E188),BE198*(1+BF189),0))</f>
        <v>55.450574202762127</v>
      </c>
      <c r="BG198" s="155">
        <f t="shared" ref="BG198" si="2014">IF(BG$5=EOMONTH($E186,1),BG196,IF(AND(BG$5&gt;EOMONTH($E186,1),BG$5&lt;=$E188),BF198*(1+BG189),0))</f>
        <v>55.450574202762127</v>
      </c>
      <c r="BH198" s="155">
        <f t="shared" ref="BH198" si="2015">IF(BH$5=EOMONTH($E186,1),BH196,IF(AND(BH$5&gt;EOMONTH($E186,1),BH$5&lt;=$E188),BG198*(1+BH189),0))</f>
        <v>56.836838557831172</v>
      </c>
      <c r="BI198" s="155">
        <f t="shared" ref="BI198" si="2016">IF(BI$5=EOMONTH($E186,1),BI196,IF(AND(BI$5&gt;EOMONTH($E186,1),BI$5&lt;=$E188),BH198*(1+BI189),0))</f>
        <v>56.836838557831172</v>
      </c>
      <c r="BJ198" s="155">
        <f t="shared" ref="BJ198" si="2017">IF(BJ$5=EOMONTH($E186,1),BJ196,IF(AND(BJ$5&gt;EOMONTH($E186,1),BJ$5&lt;=$E188),BI198*(1+BJ189),0))</f>
        <v>56.836838557831172</v>
      </c>
      <c r="BK198" s="155">
        <f t="shared" ref="BK198" si="2018">IF(BK$5=EOMONTH($E186,1),BK196,IF(AND(BK$5&gt;EOMONTH($E186,1),BK$5&lt;=$E188),BJ198*(1+BK189),0))</f>
        <v>56.836838557831172</v>
      </c>
      <c r="BL198" s="155">
        <f t="shared" ref="BL198" si="2019">IF(BL$5=EOMONTH($E186,1),BL196,IF(AND(BL$5&gt;EOMONTH($E186,1),BL$5&lt;=$E188),BK198*(1+BL189),0))</f>
        <v>56.836838557831172</v>
      </c>
      <c r="BM198" s="155">
        <f t="shared" ref="BM198" si="2020">IF(BM$5=EOMONTH($E186,1),BM196,IF(AND(BM$5&gt;EOMONTH($E186,1),BM$5&lt;=$E188),BL198*(1+BM189),0))</f>
        <v>56.836838557831172</v>
      </c>
      <c r="BN198" s="155">
        <f t="shared" ref="BN198" si="2021">IF(BN$5=EOMONTH($E186,1),BN196,IF(AND(BN$5&gt;EOMONTH($E186,1),BN$5&lt;=$E188),BM198*(1+BN189),0))</f>
        <v>56.836838557831172</v>
      </c>
      <c r="BO198" s="155">
        <f t="shared" ref="BO198" si="2022">IF(BO$5=EOMONTH($E186,1),BO196,IF(AND(BO$5&gt;EOMONTH($E186,1),BO$5&lt;=$E188),BN198*(1+BO189),0))</f>
        <v>56.836838557831172</v>
      </c>
      <c r="BP198" s="155">
        <f t="shared" ref="BP198" si="2023">IF(BP$5=EOMONTH($E186,1),BP196,IF(AND(BP$5&gt;EOMONTH($E186,1),BP$5&lt;=$E188),BO198*(1+BP189),0))</f>
        <v>56.836838557831172</v>
      </c>
      <c r="BQ198" s="155">
        <f t="shared" ref="BQ198" si="2024">IF(BQ$5=EOMONTH($E186,1),BQ196,IF(AND(BQ$5&gt;EOMONTH($E186,1),BQ$5&lt;=$E188),BP198*(1+BQ189),0))</f>
        <v>56.836838557831172</v>
      </c>
      <c r="BR198" s="155">
        <f t="shared" ref="BR198" si="2025">IF(BR$5=EOMONTH($E186,1),BR196,IF(AND(BR$5&gt;EOMONTH($E186,1),BR$5&lt;=$E188),BQ198*(1+BR189),0))</f>
        <v>56.836838557831172</v>
      </c>
      <c r="BS198" s="155">
        <f t="shared" ref="BS198" si="2026">IF(BS$5=EOMONTH($E186,1),BS196,IF(AND(BS$5&gt;EOMONTH($E186,1),BS$5&lt;=$E188),BR198*(1+BS189),0))</f>
        <v>56.836838557831172</v>
      </c>
      <c r="BT198" s="155">
        <f t="shared" ref="BT198" si="2027">IF(BT$5=EOMONTH($E186,1),BT196,IF(AND(BT$5&gt;EOMONTH($E186,1),BT$5&lt;=$E188),BS198*(1+BT189),0))</f>
        <v>58.257759521776947</v>
      </c>
      <c r="BU198" s="155">
        <f t="shared" ref="BU198" si="2028">IF(BU$5=EOMONTH($E186,1),BU196,IF(AND(BU$5&gt;EOMONTH($E186,1),BU$5&lt;=$E188),BT198*(1+BU189),0))</f>
        <v>58.257759521776947</v>
      </c>
      <c r="BV198" s="155">
        <f t="shared" ref="BV198" si="2029">IF(BV$5=EOMONTH($E186,1),BV196,IF(AND(BV$5&gt;EOMONTH($E186,1),BV$5&lt;=$E188),BU198*(1+BV189),0))</f>
        <v>58.257759521776947</v>
      </c>
      <c r="BW198" s="155">
        <f t="shared" ref="BW198" si="2030">IF(BW$5=EOMONTH($E186,1),BW196,IF(AND(BW$5&gt;EOMONTH($E186,1),BW$5&lt;=$E188),BV198*(1+BW189),0))</f>
        <v>58.257759521776947</v>
      </c>
      <c r="BX198" s="155">
        <f t="shared" ref="BX198" si="2031">IF(BX$5=EOMONTH($E186,1),BX196,IF(AND(BX$5&gt;EOMONTH($E186,1),BX$5&lt;=$E188),BW198*(1+BX189),0))</f>
        <v>58.257759521776947</v>
      </c>
      <c r="BY198" s="155">
        <f t="shared" ref="BY198" si="2032">IF(BY$5=EOMONTH($E186,1),BY196,IF(AND(BY$5&gt;EOMONTH($E186,1),BY$5&lt;=$E188),BX198*(1+BY189),0))</f>
        <v>58.257759521776947</v>
      </c>
    </row>
    <row r="199" spans="2:77" customFormat="1" outlineLevel="1" x14ac:dyDescent="0.25">
      <c r="B199" s="1"/>
      <c r="C199" s="50" t="s">
        <v>275</v>
      </c>
      <c r="D199" s="36" t="s">
        <v>116</v>
      </c>
      <c r="E199" s="1"/>
      <c r="F199" s="155">
        <f>IF(F$5=EOMONTH($E191,1),F196,IF(F$5&gt;EOMONTH($E191,1),E199*(1+F194),IF(AND(F$5&gt;$E182,F$5&lt;=$E191),F196,0)))</f>
        <v>0</v>
      </c>
      <c r="G199" s="155">
        <f t="shared" ref="G199" si="2033">IF(G$5=EOMONTH($E191,1),G196,IF(G$5&gt;EOMONTH($E191,1),F199*(1+G194),IF(AND(G$5&gt;$E182,G$5&lt;=$E191),G196,0)))</f>
        <v>0</v>
      </c>
      <c r="H199" s="155">
        <f t="shared" ref="H199" si="2034">IF(H$5=EOMONTH($E191,1),H196,IF(H$5&gt;EOMONTH($E191,1),G199*(1+H194),IF(AND(H$5&gt;$E182,H$5&lt;=$E191),H196,0)))</f>
        <v>0</v>
      </c>
      <c r="I199" s="155">
        <f t="shared" ref="I199" si="2035">IF(I$5=EOMONTH($E191,1),I196,IF(I$5&gt;EOMONTH($E191,1),H199*(1+I194),IF(AND(I$5&gt;$E182,I$5&lt;=$E191),I196,0)))</f>
        <v>0</v>
      </c>
      <c r="J199" s="155">
        <f t="shared" ref="J199" si="2036">IF(J$5=EOMONTH($E191,1),J196,IF(J$5&gt;EOMONTH($E191,1),I199*(1+J194),IF(AND(J$5&gt;$E182,J$5&lt;=$E191),J196,0)))</f>
        <v>0</v>
      </c>
      <c r="K199" s="155">
        <f t="shared" ref="K199" si="2037">IF(K$5=EOMONTH($E191,1),K196,IF(K$5&gt;EOMONTH($E191,1),J199*(1+K194),IF(AND(K$5&gt;$E182,K$5&lt;=$E191),K196,0)))</f>
        <v>0</v>
      </c>
      <c r="L199" s="155">
        <f t="shared" ref="L199" si="2038">IF(L$5=EOMONTH($E191,1),L196,IF(L$5&gt;EOMONTH($E191,1),K199*(1+L194),IF(AND(L$5&gt;$E182,L$5&lt;=$E191),L196,0)))</f>
        <v>0</v>
      </c>
      <c r="M199" s="155">
        <f t="shared" ref="M199" si="2039">IF(M$5=EOMONTH($E191,1),M196,IF(M$5&gt;EOMONTH($E191,1),L199*(1+M194),IF(AND(M$5&gt;$E182,M$5&lt;=$E191),M196,0)))</f>
        <v>0</v>
      </c>
      <c r="N199" s="155">
        <f t="shared" ref="N199" si="2040">IF(N$5=EOMONTH($E191,1),N196,IF(N$5&gt;EOMONTH($E191,1),M199*(1+N194),IF(AND(N$5&gt;$E182,N$5&lt;=$E191),N196,0)))</f>
        <v>0</v>
      </c>
      <c r="O199" s="155">
        <f t="shared" ref="O199" si="2041">IF(O$5=EOMONTH($E191,1),O196,IF(O$5&gt;EOMONTH($E191,1),N199*(1+O194),IF(AND(O$5&gt;$E182,O$5&lt;=$E191),O196,0)))</f>
        <v>0</v>
      </c>
      <c r="P199" s="155">
        <f t="shared" ref="P199" si="2042">IF(P$5=EOMONTH($E191,1),P196,IF(P$5&gt;EOMONTH($E191,1),O199*(1+P194),IF(AND(P$5&gt;$E182,P$5&lt;=$E191),P196,0)))</f>
        <v>0</v>
      </c>
      <c r="Q199" s="155">
        <f t="shared" ref="Q199" si="2043">IF(Q$5=EOMONTH($E191,1),Q196,IF(Q$5&gt;EOMONTH($E191,1),P199*(1+Q194),IF(AND(Q$5&gt;$E182,Q$5&lt;=$E191),Q196,0)))</f>
        <v>0</v>
      </c>
      <c r="R199" s="155">
        <f t="shared" ref="R199" si="2044">IF(R$5=EOMONTH($E191,1),R196,IF(R$5&gt;EOMONTH($E191,1),Q199*(1+R194),IF(AND(R$5&gt;$E182,R$5&lt;=$E191),R196,0)))</f>
        <v>0</v>
      </c>
      <c r="S199" s="155">
        <f t="shared" ref="S199" si="2045">IF(S$5=EOMONTH($E191,1),S196,IF(S$5&gt;EOMONTH($E191,1),R199*(1+S194),IF(AND(S$5&gt;$E182,S$5&lt;=$E191),S196,0)))</f>
        <v>0</v>
      </c>
      <c r="T199" s="155">
        <f t="shared" ref="T199" si="2046">IF(T$5=EOMONTH($E191,1),T196,IF(T$5&gt;EOMONTH($E191,1),S199*(1+T194),IF(AND(T$5&gt;$E182,T$5&lt;=$E191),T196,0)))</f>
        <v>0</v>
      </c>
      <c r="U199" s="155">
        <f t="shared" ref="U199" si="2047">IF(U$5=EOMONTH($E191,1),U196,IF(U$5&gt;EOMONTH($E191,1),T199*(1+U194),IF(AND(U$5&gt;$E182,U$5&lt;=$E191),U196,0)))</f>
        <v>0</v>
      </c>
      <c r="V199" s="155">
        <f t="shared" ref="V199" si="2048">IF(V$5=EOMONTH($E191,1),V196,IF(V$5&gt;EOMONTH($E191,1),U199*(1+V194),IF(AND(V$5&gt;$E182,V$5&lt;=$E191),V196,0)))</f>
        <v>0</v>
      </c>
      <c r="W199" s="155">
        <f t="shared" ref="W199" si="2049">IF(W$5=EOMONTH($E191,1),W196,IF(W$5&gt;EOMONTH($E191,1),V199*(1+W194),IF(AND(W$5&gt;$E182,W$5&lt;=$E191),W196,0)))</f>
        <v>0</v>
      </c>
      <c r="X199" s="155">
        <f t="shared" ref="X199" si="2050">IF(X$5=EOMONTH($E191,1),X196,IF(X$5&gt;EOMONTH($E191,1),W199*(1+X194),IF(AND(X$5&gt;$E182,X$5&lt;=$E191),X196,0)))</f>
        <v>0</v>
      </c>
      <c r="Y199" s="155">
        <f t="shared" ref="Y199" si="2051">IF(Y$5=EOMONTH($E191,1),Y196,IF(Y$5&gt;EOMONTH($E191,1),X199*(1+Y194),IF(AND(Y$5&gt;$E182,Y$5&lt;=$E191),Y196,0)))</f>
        <v>0</v>
      </c>
      <c r="Z199" s="155">
        <f t="shared" ref="Z199" si="2052">IF(Z$5=EOMONTH($E191,1),Z196,IF(Z$5&gt;EOMONTH($E191,1),Y199*(1+Z194),IF(AND(Z$5&gt;$E182,Z$5&lt;=$E191),Z196,0)))</f>
        <v>0</v>
      </c>
      <c r="AA199" s="155">
        <f t="shared" ref="AA199" si="2053">IF(AA$5=EOMONTH($E191,1),AA196,IF(AA$5&gt;EOMONTH($E191,1),Z199*(1+AA194),IF(AND(AA$5&gt;$E182,AA$5&lt;=$E191),AA196,0)))</f>
        <v>0</v>
      </c>
      <c r="AB199" s="155">
        <f t="shared" ref="AB199" si="2054">IF(AB$5=EOMONTH($E191,1),AB196,IF(AB$5&gt;EOMONTH($E191,1),AA199*(1+AB194),IF(AND(AB$5&gt;$E182,AB$5&lt;=$E191),AB196,0)))</f>
        <v>0</v>
      </c>
      <c r="AC199" s="155">
        <f t="shared" ref="AC199" si="2055">IF(AC$5=EOMONTH($E191,1),AC196,IF(AC$5&gt;EOMONTH($E191,1),AB199*(1+AC194),IF(AND(AC$5&gt;$E182,AC$5&lt;=$E191),AC196,0)))</f>
        <v>0</v>
      </c>
      <c r="AD199" s="155">
        <f t="shared" ref="AD199" si="2056">IF(AD$5=EOMONTH($E191,1),AD196,IF(AD$5&gt;EOMONTH($E191,1),AC199*(1+AD194),IF(AND(AD$5&gt;$E182,AD$5&lt;=$E191),AD196,0)))</f>
        <v>0</v>
      </c>
      <c r="AE199" s="155">
        <f t="shared" ref="AE199" si="2057">IF(AE$5=EOMONTH($E191,1),AE196,IF(AE$5&gt;EOMONTH($E191,1),AD199*(1+AE194),IF(AND(AE$5&gt;$E182,AE$5&lt;=$E191),AE196,0)))</f>
        <v>0</v>
      </c>
      <c r="AF199" s="155">
        <f t="shared" ref="AF199" si="2058">IF(AF$5=EOMONTH($E191,1),AF196,IF(AF$5&gt;EOMONTH($E191,1),AE199*(1+AF194),IF(AND(AF$5&gt;$E182,AF$5&lt;=$E191),AF196,0)))</f>
        <v>0</v>
      </c>
      <c r="AG199" s="155">
        <f t="shared" ref="AG199" si="2059">IF(AG$5=EOMONTH($E191,1),AG196,IF(AG$5&gt;EOMONTH($E191,1),AF199*(1+AG194),IF(AND(AG$5&gt;$E182,AG$5&lt;=$E191),AG196,0)))</f>
        <v>0</v>
      </c>
      <c r="AH199" s="155">
        <f t="shared" ref="AH199" si="2060">IF(AH$5=EOMONTH($E191,1),AH196,IF(AH$5&gt;EOMONTH($E191,1),AG199*(1+AH194),IF(AND(AH$5&gt;$E182,AH$5&lt;=$E191),AH196,0)))</f>
        <v>0</v>
      </c>
      <c r="AI199" s="155">
        <f t="shared" ref="AI199" si="2061">IF(AI$5=EOMONTH($E191,1),AI196,IF(AI$5&gt;EOMONTH($E191,1),AH199*(1+AI194),IF(AND(AI$5&gt;$E182,AI$5&lt;=$E191),AI196,0)))</f>
        <v>0</v>
      </c>
      <c r="AJ199" s="155">
        <f t="shared" ref="AJ199" si="2062">IF(AJ$5=EOMONTH($E191,1),AJ196,IF(AJ$5&gt;EOMONTH($E191,1),AI199*(1+AJ194),IF(AND(AJ$5&gt;$E182,AJ$5&lt;=$E191),AJ196,0)))</f>
        <v>0</v>
      </c>
      <c r="AK199" s="155">
        <f t="shared" ref="AK199" si="2063">IF(AK$5=EOMONTH($E191,1),AK196,IF(AK$5&gt;EOMONTH($E191,1),AJ199*(1+AK194),IF(AND(AK$5&gt;$E182,AK$5&lt;=$E191),AK196,0)))</f>
        <v>0</v>
      </c>
      <c r="AL199" s="155">
        <f t="shared" ref="AL199" si="2064">IF(AL$5=EOMONTH($E191,1),AL196,IF(AL$5&gt;EOMONTH($E191,1),AK199*(1+AL194),IF(AND(AL$5&gt;$E182,AL$5&lt;=$E191),AL196,0)))</f>
        <v>0</v>
      </c>
      <c r="AM199" s="155">
        <f t="shared" ref="AM199" si="2065">IF(AM$5=EOMONTH($E191,1),AM196,IF(AM$5&gt;EOMONTH($E191,1),AL199*(1+AM194),IF(AND(AM$5&gt;$E182,AM$5&lt;=$E191),AM196,0)))</f>
        <v>0</v>
      </c>
      <c r="AN199" s="155">
        <f t="shared" ref="AN199" si="2066">IF(AN$5=EOMONTH($E191,1),AN196,IF(AN$5&gt;EOMONTH($E191,1),AM199*(1+AN194),IF(AND(AN$5&gt;$E182,AN$5&lt;=$E191),AN196,0)))</f>
        <v>0</v>
      </c>
      <c r="AO199" s="155">
        <f t="shared" ref="AO199" si="2067">IF(AO$5=EOMONTH($E191,1),AO196,IF(AO$5&gt;EOMONTH($E191,1),AN199*(1+AO194),IF(AND(AO$5&gt;$E182,AO$5&lt;=$E191),AO196,0)))</f>
        <v>0</v>
      </c>
      <c r="AP199" s="155">
        <f t="shared" ref="AP199" si="2068">IF(AP$5=EOMONTH($E191,1),AP196,IF(AP$5&gt;EOMONTH($E191,1),AO199*(1+AP194),IF(AND(AP$5&gt;$E182,AP$5&lt;=$E191),AP196,0)))</f>
        <v>0</v>
      </c>
      <c r="AQ199" s="155">
        <f t="shared" ref="AQ199" si="2069">IF(AQ$5=EOMONTH($E191,1),AQ196,IF(AQ$5&gt;EOMONTH($E191,1),AP199*(1+AQ194),IF(AND(AQ$5&gt;$E182,AQ$5&lt;=$E191),AQ196,0)))</f>
        <v>0</v>
      </c>
      <c r="AR199" s="155">
        <f t="shared" ref="AR199" si="2070">IF(AR$5=EOMONTH($E191,1),AR196,IF(AR$5&gt;EOMONTH($E191,1),AQ199*(1+AR194),IF(AND(AR$5&gt;$E182,AR$5&lt;=$E191),AR196,0)))</f>
        <v>0</v>
      </c>
      <c r="AS199" s="155">
        <f t="shared" ref="AS199" si="2071">IF(AS$5=EOMONTH($E191,1),AS196,IF(AS$5&gt;EOMONTH($E191,1),AR199*(1+AS194),IF(AND(AS$5&gt;$E182,AS$5&lt;=$E191),AS196,0)))</f>
        <v>0</v>
      </c>
      <c r="AT199" s="155">
        <f t="shared" ref="AT199" si="2072">IF(AT$5=EOMONTH($E191,1),AT196,IF(AT$5&gt;EOMONTH($E191,1),AS199*(1+AT194),IF(AND(AT$5&gt;$E182,AT$5&lt;=$E191),AT196,0)))</f>
        <v>0</v>
      </c>
      <c r="AU199" s="155">
        <f t="shared" ref="AU199" si="2073">IF(AU$5=EOMONTH($E191,1),AU196,IF(AU$5&gt;EOMONTH($E191,1),AT199*(1+AU194),IF(AND(AU$5&gt;$E182,AU$5&lt;=$E191),AU196,0)))</f>
        <v>0</v>
      </c>
      <c r="AV199" s="155">
        <f t="shared" ref="AV199" si="2074">IF(AV$5=EOMONTH($E191,1),AV196,IF(AV$5&gt;EOMONTH($E191,1),AU199*(1+AV194),IF(AND(AV$5&gt;$E182,AV$5&lt;=$E191),AV196,0)))</f>
        <v>55.450574202762127</v>
      </c>
      <c r="AW199" s="155">
        <f t="shared" ref="AW199" si="2075">IF(AW$5=EOMONTH($E191,1),AW196,IF(AW$5&gt;EOMONTH($E191,1),AV199*(1+AW194),IF(AND(AW$5&gt;$E182,AW$5&lt;=$E191),AW196,0)))</f>
        <v>55.58733027777528</v>
      </c>
      <c r="AX199" s="155">
        <f t="shared" ref="AX199" si="2076">IF(AX$5=EOMONTH($E191,1),AX196,IF(AX$5&gt;EOMONTH($E191,1),AW199*(1+AX194),IF(AND(AX$5&gt;$E182,AX$5&lt;=$E191),AX196,0)))</f>
        <v>55.72442363016242</v>
      </c>
      <c r="AY199" s="155">
        <f t="shared" ref="AY199" si="2077">IF(AY$5=EOMONTH($E191,1),AY196,IF(AY$5&gt;EOMONTH($E191,1),AX199*(1+AY194),IF(AND(AY$5&gt;$E182,AY$5&lt;=$E191),AY196,0)))</f>
        <v>55.861855091740537</v>
      </c>
      <c r="AZ199" s="155">
        <f t="shared" ref="AZ199" si="2078">IF(AZ$5=EOMONTH($E191,1),AZ196,IF(AZ$5&gt;EOMONTH($E191,1),AY199*(1+AZ194),IF(AND(AZ$5&gt;$E182,AZ$5&lt;=$E191),AZ196,0)))</f>
        <v>55.999625496378101</v>
      </c>
      <c r="BA199" s="155">
        <f t="shared" ref="BA199" si="2079">IF(BA$5=EOMONTH($E191,1),BA196,IF(BA$5&gt;EOMONTH($E191,1),AZ199*(1+BA194),IF(AND(BA$5&gt;$E182,BA$5&lt;=$E191),BA196,0)))</f>
        <v>56.137735680000141</v>
      </c>
      <c r="BB199" s="155">
        <f t="shared" ref="BB199" si="2080">IF(BB$5=EOMONTH($E191,1),BB196,IF(BB$5&gt;EOMONTH($E191,1),BA199*(1+BB194),IF(AND(BB$5&gt;$E182,BB$5&lt;=$E191),BB196,0)))</f>
        <v>56.253370224060646</v>
      </c>
      <c r="BC199" s="155">
        <f t="shared" ref="BC199" si="2081">IF(BC$5=EOMONTH($E191,1),BC196,IF(BC$5&gt;EOMONTH($E191,1),BB199*(1+BC194),IF(AND(BC$5&gt;$E182,BC$5&lt;=$E191),BC196,0)))</f>
        <v>56.253370224060646</v>
      </c>
      <c r="BD199" s="155">
        <f t="shared" ref="BD199" si="2082">IF(BD$5=EOMONTH($E191,1),BD196,IF(BD$5&gt;EOMONTH($E191,1),BC199*(1+BD194),IF(AND(BD$5&gt;$E182,BD$5&lt;=$E191),BD196,0)))</f>
        <v>56.253370224060646</v>
      </c>
      <c r="BE199" s="155">
        <f t="shared" ref="BE199" si="2083">IF(BE$5=EOMONTH($E191,1),BE196,IF(BE$5&gt;EOMONTH($E191,1),BD199*(1+BE194),IF(AND(BE$5&gt;$E182,BE$5&lt;=$E191),BE196,0)))</f>
        <v>56.253370224060646</v>
      </c>
      <c r="BF199" s="155">
        <f t="shared" ref="BF199" si="2084">IF(BF$5=EOMONTH($E191,1),BF196,IF(BF$5&gt;EOMONTH($E191,1),BE199*(1+BF194),IF(AND(BF$5&gt;$E182,BF$5&lt;=$E191),BF196,0)))</f>
        <v>56.253370224060646</v>
      </c>
      <c r="BG199" s="155">
        <f t="shared" ref="BG199" si="2085">IF(BG$5=EOMONTH($E191,1),BG196,IF(BG$5&gt;EOMONTH($E191,1),BF199*(1+BG194),IF(AND(BG$5&gt;$E182,BG$5&lt;=$E191),BG196,0)))</f>
        <v>56.253370224060646</v>
      </c>
      <c r="BH199" s="155">
        <f t="shared" ref="BH199" si="2086">IF(BH$5=EOMONTH($E191,1),BH196,IF(BH$5&gt;EOMONTH($E191,1),BG199*(1+BH194),IF(AND(BH$5&gt;$E182,BH$5&lt;=$E191),BH196,0)))</f>
        <v>56.253370224060646</v>
      </c>
      <c r="BI199" s="155">
        <f t="shared" ref="BI199" si="2087">IF(BI$5=EOMONTH($E191,1),BI196,IF(BI$5&gt;EOMONTH($E191,1),BH199*(1+BI194),IF(AND(BI$5&gt;$E182,BI$5&lt;=$E191),BI196,0)))</f>
        <v>56.253370224060646</v>
      </c>
      <c r="BJ199" s="155">
        <f t="shared" ref="BJ199" si="2088">IF(BJ$5=EOMONTH($E191,1),BJ196,IF(BJ$5&gt;EOMONTH($E191,1),BI199*(1+BJ194),IF(AND(BJ$5&gt;$E182,BJ$5&lt;=$E191),BJ196,0)))</f>
        <v>56.253370224060646</v>
      </c>
      <c r="BK199" s="155">
        <f t="shared" ref="BK199" si="2089">IF(BK$5=EOMONTH($E191,1),BK196,IF(BK$5&gt;EOMONTH($E191,1),BJ199*(1+BK194),IF(AND(BK$5&gt;$E182,BK$5&lt;=$E191),BK196,0)))</f>
        <v>56.253370224060646</v>
      </c>
      <c r="BL199" s="155">
        <f t="shared" ref="BL199" si="2090">IF(BL$5=EOMONTH($E191,1),BL196,IF(BL$5&gt;EOMONTH($E191,1),BK199*(1+BL194),IF(AND(BL$5&gt;$E182,BL$5&lt;=$E191),BL196,0)))</f>
        <v>56.253370224060646</v>
      </c>
      <c r="BM199" s="155">
        <f t="shared" ref="BM199" si="2091">IF(BM$5=EOMONTH($E191,1),BM196,IF(BM$5&gt;EOMONTH($E191,1),BL199*(1+BM194),IF(AND(BM$5&gt;$E182,BM$5&lt;=$E191),BM196,0)))</f>
        <v>56.253370224060646</v>
      </c>
      <c r="BN199" s="155">
        <f t="shared" ref="BN199" si="2092">IF(BN$5=EOMONTH($E191,1),BN196,IF(BN$5&gt;EOMONTH($E191,1),BM199*(1+BN194),IF(AND(BN$5&gt;$E182,BN$5&lt;=$E191),BN196,0)))</f>
        <v>57.65970447966216</v>
      </c>
      <c r="BO199" s="155">
        <f t="shared" ref="BO199" si="2093">IF(BO$5=EOMONTH($E191,1),BO196,IF(BO$5&gt;EOMONTH($E191,1),BN199*(1+BO194),IF(AND(BO$5&gt;$E182,BO$5&lt;=$E191),BO196,0)))</f>
        <v>57.65970447966216</v>
      </c>
      <c r="BP199" s="155">
        <f t="shared" ref="BP199" si="2094">IF(BP$5=EOMONTH($E191,1),BP196,IF(BP$5&gt;EOMONTH($E191,1),BO199*(1+BP194),IF(AND(BP$5&gt;$E182,BP$5&lt;=$E191),BP196,0)))</f>
        <v>57.65970447966216</v>
      </c>
      <c r="BQ199" s="155">
        <f t="shared" ref="BQ199" si="2095">IF(BQ$5=EOMONTH($E191,1),BQ196,IF(BQ$5&gt;EOMONTH($E191,1),BP199*(1+BQ194),IF(AND(BQ$5&gt;$E182,BQ$5&lt;=$E191),BQ196,0)))</f>
        <v>57.65970447966216</v>
      </c>
      <c r="BR199" s="155">
        <f t="shared" ref="BR199" si="2096">IF(BR$5=EOMONTH($E191,1),BR196,IF(BR$5&gt;EOMONTH($E191,1),BQ199*(1+BR194),IF(AND(BR$5&gt;$E182,BR$5&lt;=$E191),BR196,0)))</f>
        <v>57.65970447966216</v>
      </c>
      <c r="BS199" s="155">
        <f t="shared" ref="BS199" si="2097">IF(BS$5=EOMONTH($E191,1),BS196,IF(BS$5&gt;EOMONTH($E191,1),BR199*(1+BS194),IF(AND(BS$5&gt;$E182,BS$5&lt;=$E191),BS196,0)))</f>
        <v>57.65970447966216</v>
      </c>
      <c r="BT199" s="155">
        <f t="shared" ref="BT199" si="2098">IF(BT$5=EOMONTH($E191,1),BT196,IF(BT$5&gt;EOMONTH($E191,1),BS199*(1+BT194),IF(AND(BT$5&gt;$E182,BT$5&lt;=$E191),BT196,0)))</f>
        <v>57.65970447966216</v>
      </c>
      <c r="BU199" s="155">
        <f t="shared" ref="BU199" si="2099">IF(BU$5=EOMONTH($E191,1),BU196,IF(BU$5&gt;EOMONTH($E191,1),BT199*(1+BU194),IF(AND(BU$5&gt;$E182,BU$5&lt;=$E191),BU196,0)))</f>
        <v>57.65970447966216</v>
      </c>
      <c r="BV199" s="155">
        <f t="shared" ref="BV199" si="2100">IF(BV$5=EOMONTH($E191,1),BV196,IF(BV$5&gt;EOMONTH($E191,1),BU199*(1+BV194),IF(AND(BV$5&gt;$E182,BV$5&lt;=$E191),BV196,0)))</f>
        <v>57.65970447966216</v>
      </c>
      <c r="BW199" s="155">
        <f t="shared" ref="BW199" si="2101">IF(BW$5=EOMONTH($E191,1),BW196,IF(BW$5&gt;EOMONTH($E191,1),BV199*(1+BW194),IF(AND(BW$5&gt;$E182,BW$5&lt;=$E191),BW196,0)))</f>
        <v>57.65970447966216</v>
      </c>
      <c r="BX199" s="155">
        <f t="shared" ref="BX199" si="2102">IF(BX$5=EOMONTH($E191,1),BX196,IF(BX$5&gt;EOMONTH($E191,1),BW199*(1+BX194),IF(AND(BX$5&gt;$E182,BX$5&lt;=$E191),BX196,0)))</f>
        <v>57.65970447966216</v>
      </c>
      <c r="BY199" s="155">
        <f t="shared" ref="BY199" si="2103">IF(BY$5=EOMONTH($E191,1),BY196,IF(BY$5&gt;EOMONTH($E191,1),BX199*(1+BY194),IF(AND(BY$5&gt;$E182,BY$5&lt;=$E191),BY196,0)))</f>
        <v>57.65970447966216</v>
      </c>
    </row>
    <row r="200" spans="2:77" customFormat="1" outlineLevel="1" x14ac:dyDescent="0.25">
      <c r="B200" s="1"/>
      <c r="C200" s="44"/>
      <c r="D200" s="56"/>
      <c r="E200" s="1"/>
      <c r="F200" s="1"/>
      <c r="G200" s="1"/>
      <c r="H200" s="1"/>
      <c r="I200" s="1"/>
      <c r="J200" s="1"/>
      <c r="AP200" s="110"/>
      <c r="AQ200" s="110"/>
      <c r="AR200" s="110"/>
      <c r="AS200" s="110"/>
      <c r="AT200" s="110"/>
      <c r="AZ200" s="110"/>
      <c r="BA200" s="110"/>
      <c r="BB200" s="110"/>
    </row>
    <row r="201" spans="2:77" customFormat="1" outlineLevel="1" x14ac:dyDescent="0.25">
      <c r="B201" s="1"/>
      <c r="C201" s="50" t="s">
        <v>24</v>
      </c>
      <c r="D201" s="37" t="s">
        <v>101</v>
      </c>
      <c r="E201" s="1"/>
      <c r="F201" s="156">
        <f t="shared" ref="F201:BQ201" si="2104">+F196*$E179/Months</f>
        <v>44133.782820829867</v>
      </c>
      <c r="G201" s="156">
        <f t="shared" si="2104"/>
        <v>44348.606240350135</v>
      </c>
      <c r="H201" s="156">
        <f t="shared" si="2104"/>
        <v>44564.475323727522</v>
      </c>
      <c r="I201" s="156">
        <f t="shared" si="2104"/>
        <v>44781.395160783744</v>
      </c>
      <c r="J201" s="156">
        <f t="shared" si="2104"/>
        <v>44999.37086611546</v>
      </c>
      <c r="K201" s="156">
        <f t="shared" si="2104"/>
        <v>45218.407579214901</v>
      </c>
      <c r="L201" s="156">
        <f t="shared" si="2104"/>
        <v>45438.510464591032</v>
      </c>
      <c r="M201" s="156">
        <f t="shared" si="2104"/>
        <v>45659.684711891292</v>
      </c>
      <c r="N201" s="156">
        <f t="shared" si="2104"/>
        <v>45881.935536024052</v>
      </c>
      <c r="O201" s="156">
        <f t="shared" si="2104"/>
        <v>46105.268177281454</v>
      </c>
      <c r="P201" s="156">
        <f t="shared" si="2104"/>
        <v>46329.687901463076</v>
      </c>
      <c r="Q201" s="156">
        <f t="shared" si="2104"/>
        <v>46555.200000000012</v>
      </c>
      <c r="R201" s="156">
        <f t="shared" si="2104"/>
        <v>46707.609610308231</v>
      </c>
      <c r="S201" s="156">
        <f t="shared" si="2104"/>
        <v>46860.518170020929</v>
      </c>
      <c r="T201" s="156">
        <f t="shared" si="2104"/>
        <v>47013.92731256858</v>
      </c>
      <c r="U201" s="156">
        <f t="shared" si="2104"/>
        <v>47167.83867672913</v>
      </c>
      <c r="V201" s="156">
        <f t="shared" si="2104"/>
        <v>47322.253906645485</v>
      </c>
      <c r="W201" s="156">
        <f t="shared" si="2104"/>
        <v>47477.174651842994</v>
      </c>
      <c r="X201" s="156">
        <f t="shared" si="2104"/>
        <v>47632.602567247137</v>
      </c>
      <c r="Y201" s="156">
        <f t="shared" si="2104"/>
        <v>47788.539313201189</v>
      </c>
      <c r="Z201" s="156">
        <f t="shared" si="2104"/>
        <v>47944.986555484</v>
      </c>
      <c r="AA201" s="156">
        <f t="shared" si="2104"/>
        <v>48101.945965327672</v>
      </c>
      <c r="AB201" s="156">
        <f t="shared" si="2104"/>
        <v>48259.419219435549</v>
      </c>
      <c r="AC201" s="156">
        <f t="shared" si="2104"/>
        <v>48417.408000000032</v>
      </c>
      <c r="AD201" s="156">
        <f t="shared" si="2104"/>
        <v>48536.818389803724</v>
      </c>
      <c r="AE201" s="156">
        <f t="shared" si="2104"/>
        <v>48656.523277842294</v>
      </c>
      <c r="AF201" s="156">
        <f t="shared" si="2104"/>
        <v>48776.523390427821</v>
      </c>
      <c r="AG201" s="156">
        <f t="shared" si="2104"/>
        <v>48896.819455663703</v>
      </c>
      <c r="AH201" s="156">
        <f t="shared" si="2104"/>
        <v>49017.412203448999</v>
      </c>
      <c r="AI201" s="156">
        <f t="shared" si="2104"/>
        <v>49138.302365482908</v>
      </c>
      <c r="AJ201" s="156">
        <f t="shared" si="2104"/>
        <v>49259.490675269219</v>
      </c>
      <c r="AK201" s="156">
        <f t="shared" si="2104"/>
        <v>49380.97786812071</v>
      </c>
      <c r="AL201" s="156">
        <f t="shared" si="2104"/>
        <v>49502.764681163651</v>
      </c>
      <c r="AM201" s="156">
        <f t="shared" si="2104"/>
        <v>49624.851853342268</v>
      </c>
      <c r="AN201" s="156">
        <f t="shared" si="2104"/>
        <v>49747.24012542321</v>
      </c>
      <c r="AO201" s="156">
        <f t="shared" si="2104"/>
        <v>49869.930240000082</v>
      </c>
      <c r="AP201" s="156">
        <f t="shared" si="2104"/>
        <v>49992.922941497884</v>
      </c>
      <c r="AQ201" s="156">
        <f t="shared" si="2104"/>
        <v>50116.218976177603</v>
      </c>
      <c r="AR201" s="156">
        <f t="shared" si="2104"/>
        <v>50239.819092140708</v>
      </c>
      <c r="AS201" s="156">
        <f t="shared" si="2104"/>
        <v>50363.724039333661</v>
      </c>
      <c r="AT201" s="156">
        <f t="shared" si="2104"/>
        <v>50487.934569552519</v>
      </c>
      <c r="AU201" s="156">
        <f t="shared" si="2104"/>
        <v>50612.451436447445</v>
      </c>
      <c r="AV201" s="156">
        <f t="shared" si="2104"/>
        <v>50737.275395527344</v>
      </c>
      <c r="AW201" s="156">
        <f t="shared" si="2104"/>
        <v>50862.407204164374</v>
      </c>
      <c r="AX201" s="156">
        <f t="shared" si="2104"/>
        <v>50987.847621598608</v>
      </c>
      <c r="AY201" s="156">
        <f t="shared" si="2104"/>
        <v>51113.597408942587</v>
      </c>
      <c r="AZ201" s="156">
        <f t="shared" si="2104"/>
        <v>51239.65732918596</v>
      </c>
      <c r="BA201" s="156">
        <f t="shared" si="2104"/>
        <v>51366.02814720013</v>
      </c>
      <c r="BB201" s="156">
        <f t="shared" si="2104"/>
        <v>51471.83375501549</v>
      </c>
      <c r="BC201" s="156">
        <f t="shared" si="2104"/>
        <v>51577.857305059391</v>
      </c>
      <c r="BD201" s="156">
        <f t="shared" si="2104"/>
        <v>51684.09924625713</v>
      </c>
      <c r="BE201" s="156">
        <f t="shared" si="2104"/>
        <v>51790.56002845872</v>
      </c>
      <c r="BF201" s="156">
        <f t="shared" si="2104"/>
        <v>51897.24010244081</v>
      </c>
      <c r="BG201" s="156">
        <f t="shared" si="2104"/>
        <v>52004.13991990855</v>
      </c>
      <c r="BH201" s="156">
        <f t="shared" si="2104"/>
        <v>52111.259933497553</v>
      </c>
      <c r="BI201" s="156">
        <f t="shared" si="2104"/>
        <v>52218.600596775774</v>
      </c>
      <c r="BJ201" s="156">
        <f t="shared" si="2104"/>
        <v>52326.162364245443</v>
      </c>
      <c r="BK201" s="156">
        <f t="shared" si="2104"/>
        <v>52433.945691344998</v>
      </c>
      <c r="BL201" s="156">
        <f t="shared" si="2104"/>
        <v>52541.951034450998</v>
      </c>
      <c r="BM201" s="156">
        <f t="shared" si="2104"/>
        <v>52650.17885088006</v>
      </c>
      <c r="BN201" s="156">
        <f t="shared" si="2104"/>
        <v>52758.62959889081</v>
      </c>
      <c r="BO201" s="156">
        <f t="shared" si="2104"/>
        <v>52867.303737685805</v>
      </c>
      <c r="BP201" s="156">
        <f t="shared" si="2104"/>
        <v>52976.201727413485</v>
      </c>
      <c r="BQ201" s="156">
        <f t="shared" si="2104"/>
        <v>53085.324029170122</v>
      </c>
      <c r="BR201" s="156">
        <f t="shared" ref="BR201:BY201" si="2105">+BR196*$E179/Months</f>
        <v>53194.671105001762</v>
      </c>
      <c r="BS201" s="156">
        <f t="shared" si="2105"/>
        <v>53304.243417906197</v>
      </c>
      <c r="BT201" s="156">
        <f t="shared" si="2105"/>
        <v>53414.041431834929</v>
      </c>
      <c r="BU201" s="156">
        <f t="shared" si="2105"/>
        <v>53524.065611695114</v>
      </c>
      <c r="BV201" s="156">
        <f t="shared" si="2105"/>
        <v>53634.31642335152</v>
      </c>
      <c r="BW201" s="156">
        <f t="shared" si="2105"/>
        <v>53744.794333628561</v>
      </c>
      <c r="BX201" s="156">
        <f t="shared" si="2105"/>
        <v>53855.499810312213</v>
      </c>
      <c r="BY201" s="156">
        <f t="shared" si="2105"/>
        <v>53966.433322152006</v>
      </c>
    </row>
    <row r="202" spans="2:77" customFormat="1" outlineLevel="1" x14ac:dyDescent="0.25">
      <c r="B202" s="1"/>
      <c r="C202" s="50" t="s">
        <v>277</v>
      </c>
      <c r="D202" s="37" t="s">
        <v>101</v>
      </c>
      <c r="E202" s="1"/>
      <c r="F202" s="13">
        <f t="shared" ref="F202:BQ202" si="2106">+F197*$E179/Months</f>
        <v>38430</v>
      </c>
      <c r="G202" s="13">
        <f t="shared" si="2106"/>
        <v>38430</v>
      </c>
      <c r="H202" s="13">
        <f t="shared" si="2106"/>
        <v>38430</v>
      </c>
      <c r="I202" s="13">
        <f t="shared" si="2106"/>
        <v>38430</v>
      </c>
      <c r="J202" s="13">
        <f t="shared" si="2106"/>
        <v>38430</v>
      </c>
      <c r="K202" s="13">
        <f t="shared" si="2106"/>
        <v>38430</v>
      </c>
      <c r="L202" s="13">
        <f t="shared" si="2106"/>
        <v>39582.9</v>
      </c>
      <c r="M202" s="13">
        <f t="shared" si="2106"/>
        <v>39582.9</v>
      </c>
      <c r="N202" s="13">
        <f t="shared" si="2106"/>
        <v>39582.9</v>
      </c>
      <c r="O202" s="13">
        <f t="shared" si="2106"/>
        <v>39582.9</v>
      </c>
      <c r="P202" s="13">
        <f t="shared" si="2106"/>
        <v>39582.9</v>
      </c>
      <c r="Q202" s="13">
        <f t="shared" si="2106"/>
        <v>39582.9</v>
      </c>
      <c r="R202" s="13">
        <f t="shared" si="2106"/>
        <v>39582.9</v>
      </c>
      <c r="S202" s="13">
        <f t="shared" si="2106"/>
        <v>39582.9</v>
      </c>
      <c r="T202" s="13">
        <f t="shared" si="2106"/>
        <v>39582.9</v>
      </c>
      <c r="U202" s="13">
        <f t="shared" si="2106"/>
        <v>39582.9</v>
      </c>
      <c r="V202" s="13">
        <f t="shared" si="2106"/>
        <v>39582.9</v>
      </c>
      <c r="W202" s="13">
        <f t="shared" si="2106"/>
        <v>39582.9</v>
      </c>
      <c r="X202" s="13">
        <f t="shared" si="2106"/>
        <v>40770.387000000002</v>
      </c>
      <c r="Y202" s="13">
        <f t="shared" si="2106"/>
        <v>40770.387000000002</v>
      </c>
      <c r="Z202" s="13">
        <f t="shared" si="2106"/>
        <v>40770.387000000002</v>
      </c>
      <c r="AA202" s="13">
        <f t="shared" si="2106"/>
        <v>40770.387000000002</v>
      </c>
      <c r="AB202" s="13">
        <f t="shared" si="2106"/>
        <v>40770.387000000002</v>
      </c>
      <c r="AC202" s="13">
        <f t="shared" si="2106"/>
        <v>40770.387000000002</v>
      </c>
      <c r="AD202" s="13">
        <f t="shared" si="2106"/>
        <v>40770.387000000002</v>
      </c>
      <c r="AE202" s="13">
        <f t="shared" si="2106"/>
        <v>40770.387000000002</v>
      </c>
      <c r="AF202" s="13">
        <f t="shared" si="2106"/>
        <v>40770.387000000002</v>
      </c>
      <c r="AG202" s="13">
        <f t="shared" si="2106"/>
        <v>40770.387000000002</v>
      </c>
      <c r="AH202" s="13">
        <f t="shared" si="2106"/>
        <v>40770.387000000002</v>
      </c>
      <c r="AI202" s="13">
        <f t="shared" si="2106"/>
        <v>40770.387000000002</v>
      </c>
      <c r="AJ202" s="13">
        <f t="shared" si="2106"/>
        <v>41993.498610000002</v>
      </c>
      <c r="AK202" s="13">
        <f t="shared" si="2106"/>
        <v>41993.498610000002</v>
      </c>
      <c r="AL202" s="13">
        <f t="shared" si="2106"/>
        <v>41993.498610000002</v>
      </c>
      <c r="AM202" s="13">
        <f t="shared" si="2106"/>
        <v>41993.498610000002</v>
      </c>
      <c r="AN202" s="13">
        <f t="shared" si="2106"/>
        <v>41993.498610000002</v>
      </c>
      <c r="AO202" s="13">
        <f t="shared" si="2106"/>
        <v>41993.498610000002</v>
      </c>
      <c r="AP202" s="13">
        <f t="shared" si="2106"/>
        <v>41993.498610000002</v>
      </c>
      <c r="AQ202" s="13">
        <f t="shared" si="2106"/>
        <v>41993.498610000002</v>
      </c>
      <c r="AR202" s="13">
        <f t="shared" si="2106"/>
        <v>41993.498610000002</v>
      </c>
      <c r="AS202" s="13">
        <f t="shared" si="2106"/>
        <v>41993.498610000002</v>
      </c>
      <c r="AT202" s="13">
        <f t="shared" si="2106"/>
        <v>41993.498610000002</v>
      </c>
      <c r="AU202" s="13">
        <f t="shared" si="2106"/>
        <v>41993.498610000002</v>
      </c>
      <c r="AV202" s="13">
        <f t="shared" si="2106"/>
        <v>0</v>
      </c>
      <c r="AW202" s="13">
        <f t="shared" si="2106"/>
        <v>0</v>
      </c>
      <c r="AX202" s="13">
        <f t="shared" si="2106"/>
        <v>0</v>
      </c>
      <c r="AY202" s="13">
        <f t="shared" si="2106"/>
        <v>0</v>
      </c>
      <c r="AZ202" s="13">
        <f t="shared" si="2106"/>
        <v>0</v>
      </c>
      <c r="BA202" s="13">
        <f t="shared" si="2106"/>
        <v>0</v>
      </c>
      <c r="BB202" s="13">
        <f t="shared" si="2106"/>
        <v>0</v>
      </c>
      <c r="BC202" s="13">
        <f t="shared" si="2106"/>
        <v>0</v>
      </c>
      <c r="BD202" s="13">
        <f t="shared" si="2106"/>
        <v>0</v>
      </c>
      <c r="BE202" s="13">
        <f t="shared" si="2106"/>
        <v>0</v>
      </c>
      <c r="BF202" s="13">
        <f t="shared" si="2106"/>
        <v>0</v>
      </c>
      <c r="BG202" s="13">
        <f t="shared" si="2106"/>
        <v>0</v>
      </c>
      <c r="BH202" s="13">
        <f t="shared" si="2106"/>
        <v>0</v>
      </c>
      <c r="BI202" s="13">
        <f t="shared" si="2106"/>
        <v>0</v>
      </c>
      <c r="BJ202" s="13">
        <f t="shared" si="2106"/>
        <v>0</v>
      </c>
      <c r="BK202" s="13">
        <f t="shared" si="2106"/>
        <v>0</v>
      </c>
      <c r="BL202" s="13">
        <f t="shared" si="2106"/>
        <v>0</v>
      </c>
      <c r="BM202" s="13">
        <f t="shared" si="2106"/>
        <v>0</v>
      </c>
      <c r="BN202" s="13">
        <f t="shared" si="2106"/>
        <v>0</v>
      </c>
      <c r="BO202" s="13">
        <f t="shared" si="2106"/>
        <v>0</v>
      </c>
      <c r="BP202" s="13">
        <f t="shared" si="2106"/>
        <v>0</v>
      </c>
      <c r="BQ202" s="13">
        <f t="shared" si="2106"/>
        <v>0</v>
      </c>
      <c r="BR202" s="13">
        <f t="shared" ref="BR202:BY202" si="2107">+BR197*$E179/Months</f>
        <v>0</v>
      </c>
      <c r="BS202" s="13">
        <f t="shared" si="2107"/>
        <v>0</v>
      </c>
      <c r="BT202" s="13">
        <f t="shared" si="2107"/>
        <v>0</v>
      </c>
      <c r="BU202" s="13">
        <f t="shared" si="2107"/>
        <v>0</v>
      </c>
      <c r="BV202" s="13">
        <f t="shared" si="2107"/>
        <v>0</v>
      </c>
      <c r="BW202" s="13">
        <f t="shared" si="2107"/>
        <v>0</v>
      </c>
      <c r="BX202" s="13">
        <f t="shared" si="2107"/>
        <v>0</v>
      </c>
      <c r="BY202" s="13">
        <f t="shared" si="2107"/>
        <v>0</v>
      </c>
    </row>
    <row r="203" spans="2:77" customFormat="1" outlineLevel="1" x14ac:dyDescent="0.25">
      <c r="B203" s="1"/>
      <c r="C203" s="50" t="s">
        <v>278</v>
      </c>
      <c r="D203" s="37" t="s">
        <v>101</v>
      </c>
      <c r="E203" s="1"/>
      <c r="F203" s="13">
        <f t="shared" ref="F203:BQ203" si="2108">+F198*$E179/Months*Renewal_Probability</f>
        <v>0</v>
      </c>
      <c r="G203" s="13">
        <f t="shared" si="2108"/>
        <v>0</v>
      </c>
      <c r="H203" s="13">
        <f t="shared" si="2108"/>
        <v>0</v>
      </c>
      <c r="I203" s="13">
        <f t="shared" si="2108"/>
        <v>0</v>
      </c>
      <c r="J203" s="13">
        <f t="shared" si="2108"/>
        <v>0</v>
      </c>
      <c r="K203" s="13">
        <f t="shared" si="2108"/>
        <v>0</v>
      </c>
      <c r="L203" s="13">
        <f t="shared" si="2108"/>
        <v>0</v>
      </c>
      <c r="M203" s="13">
        <f t="shared" si="2108"/>
        <v>0</v>
      </c>
      <c r="N203" s="13">
        <f t="shared" si="2108"/>
        <v>0</v>
      </c>
      <c r="O203" s="13">
        <f t="shared" si="2108"/>
        <v>0</v>
      </c>
      <c r="P203" s="13">
        <f t="shared" si="2108"/>
        <v>0</v>
      </c>
      <c r="Q203" s="13">
        <f t="shared" si="2108"/>
        <v>0</v>
      </c>
      <c r="R203" s="13">
        <f t="shared" si="2108"/>
        <v>0</v>
      </c>
      <c r="S203" s="13">
        <f t="shared" si="2108"/>
        <v>0</v>
      </c>
      <c r="T203" s="13">
        <f t="shared" si="2108"/>
        <v>0</v>
      </c>
      <c r="U203" s="13">
        <f t="shared" si="2108"/>
        <v>0</v>
      </c>
      <c r="V203" s="13">
        <f t="shared" si="2108"/>
        <v>0</v>
      </c>
      <c r="W203" s="13">
        <f t="shared" si="2108"/>
        <v>0</v>
      </c>
      <c r="X203" s="13">
        <f t="shared" si="2108"/>
        <v>0</v>
      </c>
      <c r="Y203" s="13">
        <f t="shared" si="2108"/>
        <v>0</v>
      </c>
      <c r="Z203" s="13">
        <f t="shared" si="2108"/>
        <v>0</v>
      </c>
      <c r="AA203" s="13">
        <f t="shared" si="2108"/>
        <v>0</v>
      </c>
      <c r="AB203" s="13">
        <f t="shared" si="2108"/>
        <v>0</v>
      </c>
      <c r="AC203" s="13">
        <f t="shared" si="2108"/>
        <v>0</v>
      </c>
      <c r="AD203" s="13">
        <f t="shared" si="2108"/>
        <v>0</v>
      </c>
      <c r="AE203" s="13">
        <f t="shared" si="2108"/>
        <v>0</v>
      </c>
      <c r="AF203" s="13">
        <f t="shared" si="2108"/>
        <v>0</v>
      </c>
      <c r="AG203" s="13">
        <f t="shared" si="2108"/>
        <v>0</v>
      </c>
      <c r="AH203" s="13">
        <f t="shared" si="2108"/>
        <v>0</v>
      </c>
      <c r="AI203" s="13">
        <f t="shared" si="2108"/>
        <v>0</v>
      </c>
      <c r="AJ203" s="13">
        <f t="shared" si="2108"/>
        <v>0</v>
      </c>
      <c r="AK203" s="13">
        <f t="shared" si="2108"/>
        <v>0</v>
      </c>
      <c r="AL203" s="13">
        <f t="shared" si="2108"/>
        <v>0</v>
      </c>
      <c r="AM203" s="13">
        <f t="shared" si="2108"/>
        <v>0</v>
      </c>
      <c r="AN203" s="13">
        <f t="shared" si="2108"/>
        <v>0</v>
      </c>
      <c r="AO203" s="13">
        <f t="shared" si="2108"/>
        <v>0</v>
      </c>
      <c r="AP203" s="13">
        <f t="shared" si="2108"/>
        <v>0</v>
      </c>
      <c r="AQ203" s="13">
        <f t="shared" si="2108"/>
        <v>0</v>
      </c>
      <c r="AR203" s="13">
        <f t="shared" si="2108"/>
        <v>0</v>
      </c>
      <c r="AS203" s="13">
        <f t="shared" si="2108"/>
        <v>0</v>
      </c>
      <c r="AT203" s="13">
        <f t="shared" si="2108"/>
        <v>0</v>
      </c>
      <c r="AU203" s="13">
        <f t="shared" si="2108"/>
        <v>0</v>
      </c>
      <c r="AV203" s="13">
        <f t="shared" si="2108"/>
        <v>30442.365237316404</v>
      </c>
      <c r="AW203" s="13">
        <f t="shared" si="2108"/>
        <v>30442.365237316404</v>
      </c>
      <c r="AX203" s="13">
        <f t="shared" si="2108"/>
        <v>30442.365237316404</v>
      </c>
      <c r="AY203" s="13">
        <f t="shared" si="2108"/>
        <v>30442.365237316404</v>
      </c>
      <c r="AZ203" s="13">
        <f t="shared" si="2108"/>
        <v>30442.365237316404</v>
      </c>
      <c r="BA203" s="13">
        <f t="shared" si="2108"/>
        <v>30442.365237316404</v>
      </c>
      <c r="BB203" s="13">
        <f t="shared" si="2108"/>
        <v>30442.365237316404</v>
      </c>
      <c r="BC203" s="13">
        <f t="shared" si="2108"/>
        <v>30442.365237316404</v>
      </c>
      <c r="BD203" s="13">
        <f t="shared" si="2108"/>
        <v>30442.365237316404</v>
      </c>
      <c r="BE203" s="13">
        <f t="shared" si="2108"/>
        <v>30442.365237316404</v>
      </c>
      <c r="BF203" s="13">
        <f t="shared" si="2108"/>
        <v>30442.365237316404</v>
      </c>
      <c r="BG203" s="13">
        <f t="shared" si="2108"/>
        <v>30442.365237316404</v>
      </c>
      <c r="BH203" s="13">
        <f t="shared" si="2108"/>
        <v>31203.424368249311</v>
      </c>
      <c r="BI203" s="13">
        <f t="shared" si="2108"/>
        <v>31203.424368249311</v>
      </c>
      <c r="BJ203" s="13">
        <f t="shared" si="2108"/>
        <v>31203.424368249311</v>
      </c>
      <c r="BK203" s="13">
        <f t="shared" si="2108"/>
        <v>31203.424368249311</v>
      </c>
      <c r="BL203" s="13">
        <f t="shared" si="2108"/>
        <v>31203.424368249311</v>
      </c>
      <c r="BM203" s="13">
        <f t="shared" si="2108"/>
        <v>31203.424368249311</v>
      </c>
      <c r="BN203" s="13">
        <f t="shared" si="2108"/>
        <v>31203.424368249311</v>
      </c>
      <c r="BO203" s="13">
        <f t="shared" si="2108"/>
        <v>31203.424368249311</v>
      </c>
      <c r="BP203" s="13">
        <f t="shared" si="2108"/>
        <v>31203.424368249311</v>
      </c>
      <c r="BQ203" s="13">
        <f t="shared" si="2108"/>
        <v>31203.424368249311</v>
      </c>
      <c r="BR203" s="13">
        <f t="shared" ref="BR203:BY203" si="2109">+BR198*$E179/Months*Renewal_Probability</f>
        <v>31203.424368249311</v>
      </c>
      <c r="BS203" s="13">
        <f t="shared" si="2109"/>
        <v>31203.424368249311</v>
      </c>
      <c r="BT203" s="13">
        <f t="shared" si="2109"/>
        <v>31983.509977455542</v>
      </c>
      <c r="BU203" s="13">
        <f t="shared" si="2109"/>
        <v>31983.509977455542</v>
      </c>
      <c r="BV203" s="13">
        <f t="shared" si="2109"/>
        <v>31983.509977455542</v>
      </c>
      <c r="BW203" s="13">
        <f t="shared" si="2109"/>
        <v>31983.509977455542</v>
      </c>
      <c r="BX203" s="13">
        <f t="shared" si="2109"/>
        <v>31983.509977455542</v>
      </c>
      <c r="BY203" s="13">
        <f t="shared" si="2109"/>
        <v>31983.509977455542</v>
      </c>
    </row>
    <row r="204" spans="2:77" customFormat="1" outlineLevel="1" x14ac:dyDescent="0.25">
      <c r="B204" s="1"/>
      <c r="C204" s="50" t="s">
        <v>279</v>
      </c>
      <c r="D204" s="37" t="s">
        <v>101</v>
      </c>
      <c r="E204" s="1"/>
      <c r="F204" s="13">
        <f t="shared" ref="F204:BQ204" si="2110">+F199*$E179/Months*(1-Renewal_Probability)</f>
        <v>0</v>
      </c>
      <c r="G204" s="13">
        <f t="shared" si="2110"/>
        <v>0</v>
      </c>
      <c r="H204" s="13">
        <f t="shared" si="2110"/>
        <v>0</v>
      </c>
      <c r="I204" s="13">
        <f t="shared" si="2110"/>
        <v>0</v>
      </c>
      <c r="J204" s="13">
        <f t="shared" si="2110"/>
        <v>0</v>
      </c>
      <c r="K204" s="13">
        <f t="shared" si="2110"/>
        <v>0</v>
      </c>
      <c r="L204" s="13">
        <f t="shared" si="2110"/>
        <v>0</v>
      </c>
      <c r="M204" s="13">
        <f t="shared" si="2110"/>
        <v>0</v>
      </c>
      <c r="N204" s="13">
        <f t="shared" si="2110"/>
        <v>0</v>
      </c>
      <c r="O204" s="13">
        <f t="shared" si="2110"/>
        <v>0</v>
      </c>
      <c r="P204" s="13">
        <f t="shared" si="2110"/>
        <v>0</v>
      </c>
      <c r="Q204" s="13">
        <f t="shared" si="2110"/>
        <v>0</v>
      </c>
      <c r="R204" s="13">
        <f t="shared" si="2110"/>
        <v>0</v>
      </c>
      <c r="S204" s="13">
        <f t="shared" si="2110"/>
        <v>0</v>
      </c>
      <c r="T204" s="13">
        <f t="shared" si="2110"/>
        <v>0</v>
      </c>
      <c r="U204" s="13">
        <f t="shared" si="2110"/>
        <v>0</v>
      </c>
      <c r="V204" s="13">
        <f t="shared" si="2110"/>
        <v>0</v>
      </c>
      <c r="W204" s="13">
        <f t="shared" si="2110"/>
        <v>0</v>
      </c>
      <c r="X204" s="13">
        <f t="shared" si="2110"/>
        <v>0</v>
      </c>
      <c r="Y204" s="13">
        <f t="shared" si="2110"/>
        <v>0</v>
      </c>
      <c r="Z204" s="13">
        <f t="shared" si="2110"/>
        <v>0</v>
      </c>
      <c r="AA204" s="13">
        <f t="shared" si="2110"/>
        <v>0</v>
      </c>
      <c r="AB204" s="13">
        <f t="shared" si="2110"/>
        <v>0</v>
      </c>
      <c r="AC204" s="13">
        <f t="shared" si="2110"/>
        <v>0</v>
      </c>
      <c r="AD204" s="13">
        <f t="shared" si="2110"/>
        <v>0</v>
      </c>
      <c r="AE204" s="13">
        <f t="shared" si="2110"/>
        <v>0</v>
      </c>
      <c r="AF204" s="13">
        <f t="shared" si="2110"/>
        <v>0</v>
      </c>
      <c r="AG204" s="13">
        <f t="shared" si="2110"/>
        <v>0</v>
      </c>
      <c r="AH204" s="13">
        <f t="shared" si="2110"/>
        <v>0</v>
      </c>
      <c r="AI204" s="13">
        <f t="shared" si="2110"/>
        <v>0</v>
      </c>
      <c r="AJ204" s="13">
        <f t="shared" si="2110"/>
        <v>0</v>
      </c>
      <c r="AK204" s="13">
        <f t="shared" si="2110"/>
        <v>0</v>
      </c>
      <c r="AL204" s="13">
        <f t="shared" si="2110"/>
        <v>0</v>
      </c>
      <c r="AM204" s="13">
        <f t="shared" si="2110"/>
        <v>0</v>
      </c>
      <c r="AN204" s="13">
        <f t="shared" si="2110"/>
        <v>0</v>
      </c>
      <c r="AO204" s="13">
        <f t="shared" si="2110"/>
        <v>0</v>
      </c>
      <c r="AP204" s="13">
        <f t="shared" si="2110"/>
        <v>0</v>
      </c>
      <c r="AQ204" s="13">
        <f t="shared" si="2110"/>
        <v>0</v>
      </c>
      <c r="AR204" s="13">
        <f t="shared" si="2110"/>
        <v>0</v>
      </c>
      <c r="AS204" s="13">
        <f t="shared" si="2110"/>
        <v>0</v>
      </c>
      <c r="AT204" s="13">
        <f t="shared" si="2110"/>
        <v>0</v>
      </c>
      <c r="AU204" s="13">
        <f t="shared" si="2110"/>
        <v>0</v>
      </c>
      <c r="AV204" s="13">
        <f t="shared" si="2110"/>
        <v>20294.91015821094</v>
      </c>
      <c r="AW204" s="13">
        <f t="shared" si="2110"/>
        <v>20344.96288166575</v>
      </c>
      <c r="AX204" s="13">
        <f t="shared" si="2110"/>
        <v>20395.139048639445</v>
      </c>
      <c r="AY204" s="13">
        <f t="shared" si="2110"/>
        <v>20445.438963577035</v>
      </c>
      <c r="AZ204" s="13">
        <f t="shared" si="2110"/>
        <v>20495.862931674386</v>
      </c>
      <c r="BA204" s="13">
        <f t="shared" si="2110"/>
        <v>20546.411258880053</v>
      </c>
      <c r="BB204" s="13">
        <f t="shared" si="2110"/>
        <v>20588.733502006198</v>
      </c>
      <c r="BC204" s="13">
        <f t="shared" si="2110"/>
        <v>20588.733502006198</v>
      </c>
      <c r="BD204" s="13">
        <f t="shared" si="2110"/>
        <v>20588.733502006198</v>
      </c>
      <c r="BE204" s="13">
        <f t="shared" si="2110"/>
        <v>20588.733502006198</v>
      </c>
      <c r="BF204" s="13">
        <f t="shared" si="2110"/>
        <v>20588.733502006198</v>
      </c>
      <c r="BG204" s="13">
        <f t="shared" si="2110"/>
        <v>20588.733502006198</v>
      </c>
      <c r="BH204" s="13">
        <f t="shared" si="2110"/>
        <v>20588.733502006198</v>
      </c>
      <c r="BI204" s="13">
        <f t="shared" si="2110"/>
        <v>20588.733502006198</v>
      </c>
      <c r="BJ204" s="13">
        <f t="shared" si="2110"/>
        <v>20588.733502006198</v>
      </c>
      <c r="BK204" s="13">
        <f t="shared" si="2110"/>
        <v>20588.733502006198</v>
      </c>
      <c r="BL204" s="13">
        <f t="shared" si="2110"/>
        <v>20588.733502006198</v>
      </c>
      <c r="BM204" s="13">
        <f t="shared" si="2110"/>
        <v>20588.733502006198</v>
      </c>
      <c r="BN204" s="13">
        <f t="shared" si="2110"/>
        <v>21103.45183955635</v>
      </c>
      <c r="BO204" s="13">
        <f t="shared" si="2110"/>
        <v>21103.45183955635</v>
      </c>
      <c r="BP204" s="13">
        <f t="shared" si="2110"/>
        <v>21103.45183955635</v>
      </c>
      <c r="BQ204" s="13">
        <f t="shared" si="2110"/>
        <v>21103.45183955635</v>
      </c>
      <c r="BR204" s="13">
        <f t="shared" ref="BR204:BY204" si="2111">+BR199*$E179/Months*(1-Renewal_Probability)</f>
        <v>21103.45183955635</v>
      </c>
      <c r="BS204" s="13">
        <f t="shared" si="2111"/>
        <v>21103.45183955635</v>
      </c>
      <c r="BT204" s="13">
        <f t="shared" si="2111"/>
        <v>21103.45183955635</v>
      </c>
      <c r="BU204" s="13">
        <f t="shared" si="2111"/>
        <v>21103.45183955635</v>
      </c>
      <c r="BV204" s="13">
        <f t="shared" si="2111"/>
        <v>21103.45183955635</v>
      </c>
      <c r="BW204" s="13">
        <f t="shared" si="2111"/>
        <v>21103.45183955635</v>
      </c>
      <c r="BX204" s="13">
        <f t="shared" si="2111"/>
        <v>21103.45183955635</v>
      </c>
      <c r="BY204" s="13">
        <f t="shared" si="2111"/>
        <v>21103.45183955635</v>
      </c>
    </row>
    <row r="205" spans="2:77" customFormat="1" outlineLevel="1" x14ac:dyDescent="0.25">
      <c r="B205" s="1"/>
      <c r="C205" s="50"/>
      <c r="D205" s="37"/>
      <c r="E205" s="1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</row>
    <row r="206" spans="2:77" customFormat="1" outlineLevel="1" x14ac:dyDescent="0.25">
      <c r="B206" s="1"/>
      <c r="C206" s="50" t="s">
        <v>117</v>
      </c>
      <c r="D206" s="37" t="s">
        <v>101</v>
      </c>
      <c r="E206" s="1"/>
      <c r="F206" s="13">
        <f>IF(F$5&gt;$E180,SUM(F202:F204)-F201,0)</f>
        <v>-5703.782820829867</v>
      </c>
      <c r="G206" s="13">
        <f t="shared" ref="G206:BR206" si="2112">IF(G$5&gt;$E180,SUM(G202:G204)-G201,0)</f>
        <v>-5918.6062403501346</v>
      </c>
      <c r="H206" s="13">
        <f t="shared" si="2112"/>
        <v>-6134.4753237275218</v>
      </c>
      <c r="I206" s="13">
        <f t="shared" si="2112"/>
        <v>-6351.3951607837444</v>
      </c>
      <c r="J206" s="13">
        <f t="shared" si="2112"/>
        <v>-6569.3708661154596</v>
      </c>
      <c r="K206" s="13">
        <f t="shared" si="2112"/>
        <v>-6788.4075792149015</v>
      </c>
      <c r="L206" s="13">
        <f t="shared" si="2112"/>
        <v>-5855.6104645910309</v>
      </c>
      <c r="M206" s="13">
        <f t="shared" si="2112"/>
        <v>-6076.7847118912905</v>
      </c>
      <c r="N206" s="13">
        <f t="shared" si="2112"/>
        <v>-6299.0355360240501</v>
      </c>
      <c r="O206" s="13">
        <f t="shared" si="2112"/>
        <v>-6522.3681772814525</v>
      </c>
      <c r="P206" s="13">
        <f t="shared" si="2112"/>
        <v>-6746.7879014630744</v>
      </c>
      <c r="Q206" s="13">
        <f t="shared" si="2112"/>
        <v>-6972.3000000000102</v>
      </c>
      <c r="R206" s="13">
        <f t="shared" si="2112"/>
        <v>-7124.7096103082295</v>
      </c>
      <c r="S206" s="13">
        <f t="shared" si="2112"/>
        <v>-7277.6181700209272</v>
      </c>
      <c r="T206" s="13">
        <f t="shared" si="2112"/>
        <v>-7431.0273125685781</v>
      </c>
      <c r="U206" s="13">
        <f t="shared" si="2112"/>
        <v>-7584.9386767291289</v>
      </c>
      <c r="V206" s="13">
        <f t="shared" si="2112"/>
        <v>-7739.3539066454832</v>
      </c>
      <c r="W206" s="13">
        <f t="shared" si="2112"/>
        <v>-7894.2746518429922</v>
      </c>
      <c r="X206" s="13">
        <f t="shared" si="2112"/>
        <v>-6862.2155672471345</v>
      </c>
      <c r="Y206" s="13">
        <f t="shared" si="2112"/>
        <v>-7018.1523132011862</v>
      </c>
      <c r="Z206" s="13">
        <f t="shared" si="2112"/>
        <v>-7174.5995554839974</v>
      </c>
      <c r="AA206" s="13">
        <f t="shared" si="2112"/>
        <v>-7331.5589653276693</v>
      </c>
      <c r="AB206" s="13">
        <f t="shared" si="2112"/>
        <v>-7489.0322194355467</v>
      </c>
      <c r="AC206" s="13">
        <f t="shared" si="2112"/>
        <v>-7647.0210000000297</v>
      </c>
      <c r="AD206" s="13">
        <f t="shared" si="2112"/>
        <v>-7766.4313898037217</v>
      </c>
      <c r="AE206" s="13">
        <f t="shared" si="2112"/>
        <v>-7886.1362778422917</v>
      </c>
      <c r="AF206" s="13">
        <f t="shared" si="2112"/>
        <v>-8006.1363904278187</v>
      </c>
      <c r="AG206" s="13">
        <f t="shared" si="2112"/>
        <v>-8126.4324556637002</v>
      </c>
      <c r="AH206" s="13">
        <f t="shared" si="2112"/>
        <v>-8247.0252034489968</v>
      </c>
      <c r="AI206" s="13">
        <f t="shared" si="2112"/>
        <v>-8367.9153654829061</v>
      </c>
      <c r="AJ206" s="13">
        <f t="shared" si="2112"/>
        <v>-7265.9920652692163</v>
      </c>
      <c r="AK206" s="13">
        <f t="shared" si="2112"/>
        <v>-7387.4792581207075</v>
      </c>
      <c r="AL206" s="13">
        <f t="shared" si="2112"/>
        <v>-7509.266071163649</v>
      </c>
      <c r="AM206" s="13">
        <f t="shared" si="2112"/>
        <v>-7631.3532433422661</v>
      </c>
      <c r="AN206" s="13">
        <f t="shared" si="2112"/>
        <v>-7753.7415154232076</v>
      </c>
      <c r="AO206" s="13">
        <f t="shared" si="2112"/>
        <v>-7876.4316300000792</v>
      </c>
      <c r="AP206" s="13">
        <f t="shared" si="2112"/>
        <v>-7999.4243314978812</v>
      </c>
      <c r="AQ206" s="13">
        <f t="shared" si="2112"/>
        <v>-8122.7203661776002</v>
      </c>
      <c r="AR206" s="13">
        <f t="shared" si="2112"/>
        <v>-8246.3204821407053</v>
      </c>
      <c r="AS206" s="13">
        <f t="shared" si="2112"/>
        <v>-8370.2254293336591</v>
      </c>
      <c r="AT206" s="13">
        <f t="shared" si="2112"/>
        <v>-8494.4359595525166</v>
      </c>
      <c r="AU206" s="13">
        <f t="shared" si="2112"/>
        <v>-8618.9528264474429</v>
      </c>
      <c r="AV206" s="13">
        <f t="shared" si="2112"/>
        <v>0</v>
      </c>
      <c r="AW206" s="13">
        <f t="shared" si="2112"/>
        <v>-75.079085182216659</v>
      </c>
      <c r="AX206" s="13">
        <f t="shared" si="2112"/>
        <v>-150.34333564276312</v>
      </c>
      <c r="AY206" s="13">
        <f t="shared" si="2112"/>
        <v>-225.7932080491446</v>
      </c>
      <c r="AZ206" s="13">
        <f t="shared" si="2112"/>
        <v>-301.42916019516997</v>
      </c>
      <c r="BA206" s="13">
        <f t="shared" si="2112"/>
        <v>-377.25165100367303</v>
      </c>
      <c r="BB206" s="13">
        <f t="shared" si="2112"/>
        <v>-440.73501569288783</v>
      </c>
      <c r="BC206" s="13">
        <f t="shared" si="2112"/>
        <v>-546.75856573678902</v>
      </c>
      <c r="BD206" s="13">
        <f t="shared" si="2112"/>
        <v>-653.00050693452795</v>
      </c>
      <c r="BE206" s="13">
        <f t="shared" si="2112"/>
        <v>-759.46128913611756</v>
      </c>
      <c r="BF206" s="13">
        <f t="shared" si="2112"/>
        <v>-866.14136311820766</v>
      </c>
      <c r="BG206" s="13">
        <f t="shared" si="2112"/>
        <v>-973.04118058594759</v>
      </c>
      <c r="BH206" s="13">
        <f t="shared" si="2112"/>
        <v>-319.10206324204046</v>
      </c>
      <c r="BI206" s="13">
        <f t="shared" si="2112"/>
        <v>-426.4427265202612</v>
      </c>
      <c r="BJ206" s="13">
        <f t="shared" si="2112"/>
        <v>-534.00449398993078</v>
      </c>
      <c r="BK206" s="13">
        <f t="shared" si="2112"/>
        <v>-641.78782108948508</v>
      </c>
      <c r="BL206" s="13">
        <f t="shared" si="2112"/>
        <v>-749.79316419548559</v>
      </c>
      <c r="BM206" s="13">
        <f t="shared" si="2112"/>
        <v>-858.02098062454752</v>
      </c>
      <c r="BN206" s="13">
        <f t="shared" si="2112"/>
        <v>-451.75339108514891</v>
      </c>
      <c r="BO206" s="13">
        <f t="shared" si="2112"/>
        <v>-560.42752988014399</v>
      </c>
      <c r="BP206" s="13">
        <f t="shared" si="2112"/>
        <v>-669.32551960782439</v>
      </c>
      <c r="BQ206" s="13">
        <f t="shared" si="2112"/>
        <v>-778.44782136446156</v>
      </c>
      <c r="BR206" s="13">
        <f t="shared" si="2112"/>
        <v>-887.79489719610137</v>
      </c>
      <c r="BS206" s="13">
        <f t="shared" ref="BS206:BY206" si="2113">IF(BS$5&gt;$E180,SUM(BS202:BS204)-BS201,0)</f>
        <v>-997.36721010053589</v>
      </c>
      <c r="BT206" s="13">
        <f t="shared" si="2113"/>
        <v>-327.07961482303654</v>
      </c>
      <c r="BU206" s="13">
        <f t="shared" si="2113"/>
        <v>-437.10379468322208</v>
      </c>
      <c r="BV206" s="13">
        <f t="shared" si="2113"/>
        <v>-547.35460633962794</v>
      </c>
      <c r="BW206" s="13">
        <f t="shared" si="2113"/>
        <v>-657.83251661666873</v>
      </c>
      <c r="BX206" s="13">
        <f t="shared" si="2113"/>
        <v>-768.53799330032052</v>
      </c>
      <c r="BY206" s="13">
        <f t="shared" si="2113"/>
        <v>-879.47150514011446</v>
      </c>
    </row>
    <row r="207" spans="2:77" customFormat="1" outlineLevel="1" x14ac:dyDescent="0.25">
      <c r="B207" s="1"/>
      <c r="C207" s="50" t="s">
        <v>25</v>
      </c>
      <c r="D207" s="37" t="s">
        <v>101</v>
      </c>
      <c r="E207" s="1"/>
      <c r="F207" s="62">
        <f>IF(AND(F$5&gt;$E182,F$5&lt;=$E191),-F204,0)</f>
        <v>0</v>
      </c>
      <c r="G207" s="62">
        <f t="shared" ref="G207:BR207" si="2114">IF(AND(G$5&gt;$E182,G$5&lt;=$E191),-G204,0)</f>
        <v>0</v>
      </c>
      <c r="H207" s="62">
        <f t="shared" si="2114"/>
        <v>0</v>
      </c>
      <c r="I207" s="62">
        <f t="shared" si="2114"/>
        <v>0</v>
      </c>
      <c r="J207" s="62">
        <f t="shared" si="2114"/>
        <v>0</v>
      </c>
      <c r="K207" s="62">
        <f t="shared" si="2114"/>
        <v>0</v>
      </c>
      <c r="L207" s="62">
        <f t="shared" si="2114"/>
        <v>0</v>
      </c>
      <c r="M207" s="62">
        <f t="shared" si="2114"/>
        <v>0</v>
      </c>
      <c r="N207" s="62">
        <f t="shared" si="2114"/>
        <v>0</v>
      </c>
      <c r="O207" s="62">
        <f t="shared" si="2114"/>
        <v>0</v>
      </c>
      <c r="P207" s="62">
        <f t="shared" si="2114"/>
        <v>0</v>
      </c>
      <c r="Q207" s="62">
        <f t="shared" si="2114"/>
        <v>0</v>
      </c>
      <c r="R207" s="62">
        <f t="shared" si="2114"/>
        <v>0</v>
      </c>
      <c r="S207" s="62">
        <f t="shared" si="2114"/>
        <v>0</v>
      </c>
      <c r="T207" s="62">
        <f t="shared" si="2114"/>
        <v>0</v>
      </c>
      <c r="U207" s="62">
        <f t="shared" si="2114"/>
        <v>0</v>
      </c>
      <c r="V207" s="62">
        <f t="shared" si="2114"/>
        <v>0</v>
      </c>
      <c r="W207" s="62">
        <f t="shared" si="2114"/>
        <v>0</v>
      </c>
      <c r="X207" s="62">
        <f t="shared" si="2114"/>
        <v>0</v>
      </c>
      <c r="Y207" s="62">
        <f t="shared" si="2114"/>
        <v>0</v>
      </c>
      <c r="Z207" s="62">
        <f t="shared" si="2114"/>
        <v>0</v>
      </c>
      <c r="AA207" s="62">
        <f t="shared" si="2114"/>
        <v>0</v>
      </c>
      <c r="AB207" s="62">
        <f t="shared" si="2114"/>
        <v>0</v>
      </c>
      <c r="AC207" s="62">
        <f t="shared" si="2114"/>
        <v>0</v>
      </c>
      <c r="AD207" s="62">
        <f t="shared" si="2114"/>
        <v>0</v>
      </c>
      <c r="AE207" s="62">
        <f t="shared" si="2114"/>
        <v>0</v>
      </c>
      <c r="AF207" s="62">
        <f t="shared" si="2114"/>
        <v>0</v>
      </c>
      <c r="AG207" s="62">
        <f t="shared" si="2114"/>
        <v>0</v>
      </c>
      <c r="AH207" s="62">
        <f t="shared" si="2114"/>
        <v>0</v>
      </c>
      <c r="AI207" s="62">
        <f t="shared" si="2114"/>
        <v>0</v>
      </c>
      <c r="AJ207" s="62">
        <f t="shared" si="2114"/>
        <v>0</v>
      </c>
      <c r="AK207" s="62">
        <f t="shared" si="2114"/>
        <v>0</v>
      </c>
      <c r="AL207" s="62">
        <f t="shared" si="2114"/>
        <v>0</v>
      </c>
      <c r="AM207" s="62">
        <f t="shared" si="2114"/>
        <v>0</v>
      </c>
      <c r="AN207" s="62">
        <f t="shared" si="2114"/>
        <v>0</v>
      </c>
      <c r="AO207" s="62">
        <f t="shared" si="2114"/>
        <v>0</v>
      </c>
      <c r="AP207" s="62">
        <f t="shared" si="2114"/>
        <v>0</v>
      </c>
      <c r="AQ207" s="62">
        <f t="shared" si="2114"/>
        <v>0</v>
      </c>
      <c r="AR207" s="62">
        <f t="shared" si="2114"/>
        <v>0</v>
      </c>
      <c r="AS207" s="62">
        <f t="shared" si="2114"/>
        <v>0</v>
      </c>
      <c r="AT207" s="62">
        <f t="shared" si="2114"/>
        <v>0</v>
      </c>
      <c r="AU207" s="62">
        <f t="shared" si="2114"/>
        <v>0</v>
      </c>
      <c r="AV207" s="62">
        <f t="shared" si="2114"/>
        <v>-20294.91015821094</v>
      </c>
      <c r="AW207" s="62">
        <f t="shared" si="2114"/>
        <v>-20344.96288166575</v>
      </c>
      <c r="AX207" s="62">
        <f t="shared" si="2114"/>
        <v>-20395.139048639445</v>
      </c>
      <c r="AY207" s="62">
        <f t="shared" si="2114"/>
        <v>-20445.438963577035</v>
      </c>
      <c r="AZ207" s="62">
        <f t="shared" si="2114"/>
        <v>-20495.862931674386</v>
      </c>
      <c r="BA207" s="62">
        <f t="shared" si="2114"/>
        <v>-20546.411258880053</v>
      </c>
      <c r="BB207" s="62">
        <f t="shared" si="2114"/>
        <v>0</v>
      </c>
      <c r="BC207" s="62">
        <f t="shared" si="2114"/>
        <v>0</v>
      </c>
      <c r="BD207" s="62">
        <f t="shared" si="2114"/>
        <v>0</v>
      </c>
      <c r="BE207" s="62">
        <f t="shared" si="2114"/>
        <v>0</v>
      </c>
      <c r="BF207" s="62">
        <f t="shared" si="2114"/>
        <v>0</v>
      </c>
      <c r="BG207" s="62">
        <f t="shared" si="2114"/>
        <v>0</v>
      </c>
      <c r="BH207" s="62">
        <f t="shared" si="2114"/>
        <v>0</v>
      </c>
      <c r="BI207" s="62">
        <f t="shared" si="2114"/>
        <v>0</v>
      </c>
      <c r="BJ207" s="62">
        <f t="shared" si="2114"/>
        <v>0</v>
      </c>
      <c r="BK207" s="62">
        <f t="shared" si="2114"/>
        <v>0</v>
      </c>
      <c r="BL207" s="62">
        <f t="shared" si="2114"/>
        <v>0</v>
      </c>
      <c r="BM207" s="62">
        <f t="shared" si="2114"/>
        <v>0</v>
      </c>
      <c r="BN207" s="62">
        <f t="shared" si="2114"/>
        <v>0</v>
      </c>
      <c r="BO207" s="62">
        <f t="shared" si="2114"/>
        <v>0</v>
      </c>
      <c r="BP207" s="62">
        <f t="shared" si="2114"/>
        <v>0</v>
      </c>
      <c r="BQ207" s="62">
        <f t="shared" si="2114"/>
        <v>0</v>
      </c>
      <c r="BR207" s="62">
        <f t="shared" si="2114"/>
        <v>0</v>
      </c>
      <c r="BS207" s="62">
        <f t="shared" ref="BS207:BY207" si="2115">IF(AND(BS$5&gt;$E182,BS$5&lt;=$E191),-BS204,0)</f>
        <v>0</v>
      </c>
      <c r="BT207" s="62">
        <f t="shared" si="2115"/>
        <v>0</v>
      </c>
      <c r="BU207" s="62">
        <f t="shared" si="2115"/>
        <v>0</v>
      </c>
      <c r="BV207" s="62">
        <f t="shared" si="2115"/>
        <v>0</v>
      </c>
      <c r="BW207" s="62">
        <f t="shared" si="2115"/>
        <v>0</v>
      </c>
      <c r="BX207" s="62">
        <f t="shared" si="2115"/>
        <v>0</v>
      </c>
      <c r="BY207" s="62">
        <f t="shared" si="2115"/>
        <v>0</v>
      </c>
    </row>
    <row r="208" spans="2:77" customFormat="1" outlineLevel="1" x14ac:dyDescent="0.25">
      <c r="B208" s="1"/>
      <c r="C208" s="50" t="s">
        <v>26</v>
      </c>
      <c r="D208" s="37" t="s">
        <v>101</v>
      </c>
      <c r="E208" s="1"/>
      <c r="F208" s="62">
        <f t="shared" ref="F208:BQ208" si="2116">IF(AND(F$5&gt;$E180,F$5&lt;=EOMONTH($E180,$E184)),-F202,0)+IF(AND(F$5&gt;$E182,F$5&lt;=EOMONTH($E182,Renewal_Free_Rent_Months)),-F203,0)+IF(AND(F$5&gt;$E191,F$5&lt;=EOMONTH($E191,New_Free_Rent_Months)),-F204,0)</f>
        <v>0</v>
      </c>
      <c r="G208" s="62">
        <f t="shared" si="2116"/>
        <v>0</v>
      </c>
      <c r="H208" s="62">
        <f t="shared" si="2116"/>
        <v>0</v>
      </c>
      <c r="I208" s="62">
        <f t="shared" si="2116"/>
        <v>0</v>
      </c>
      <c r="J208" s="62">
        <f t="shared" si="2116"/>
        <v>0</v>
      </c>
      <c r="K208" s="62">
        <f t="shared" si="2116"/>
        <v>0</v>
      </c>
      <c r="L208" s="62">
        <f t="shared" si="2116"/>
        <v>0</v>
      </c>
      <c r="M208" s="62">
        <f t="shared" si="2116"/>
        <v>0</v>
      </c>
      <c r="N208" s="62">
        <f t="shared" si="2116"/>
        <v>0</v>
      </c>
      <c r="O208" s="62">
        <f t="shared" si="2116"/>
        <v>0</v>
      </c>
      <c r="P208" s="62">
        <f t="shared" si="2116"/>
        <v>0</v>
      </c>
      <c r="Q208" s="62">
        <f t="shared" si="2116"/>
        <v>0</v>
      </c>
      <c r="R208" s="62">
        <f t="shared" si="2116"/>
        <v>0</v>
      </c>
      <c r="S208" s="62">
        <f t="shared" si="2116"/>
        <v>0</v>
      </c>
      <c r="T208" s="62">
        <f t="shared" si="2116"/>
        <v>0</v>
      </c>
      <c r="U208" s="62">
        <f t="shared" si="2116"/>
        <v>0</v>
      </c>
      <c r="V208" s="62">
        <f t="shared" si="2116"/>
        <v>0</v>
      </c>
      <c r="W208" s="62">
        <f t="shared" si="2116"/>
        <v>0</v>
      </c>
      <c r="X208" s="62">
        <f t="shared" si="2116"/>
        <v>0</v>
      </c>
      <c r="Y208" s="62">
        <f t="shared" si="2116"/>
        <v>0</v>
      </c>
      <c r="Z208" s="62">
        <f t="shared" si="2116"/>
        <v>0</v>
      </c>
      <c r="AA208" s="62">
        <f t="shared" si="2116"/>
        <v>0</v>
      </c>
      <c r="AB208" s="62">
        <f t="shared" si="2116"/>
        <v>0</v>
      </c>
      <c r="AC208" s="62">
        <f t="shared" si="2116"/>
        <v>0</v>
      </c>
      <c r="AD208" s="62">
        <f t="shared" si="2116"/>
        <v>0</v>
      </c>
      <c r="AE208" s="62">
        <f t="shared" si="2116"/>
        <v>0</v>
      </c>
      <c r="AF208" s="62">
        <f t="shared" si="2116"/>
        <v>0</v>
      </c>
      <c r="AG208" s="62">
        <f t="shared" si="2116"/>
        <v>0</v>
      </c>
      <c r="AH208" s="62">
        <f t="shared" si="2116"/>
        <v>0</v>
      </c>
      <c r="AI208" s="62">
        <f t="shared" si="2116"/>
        <v>0</v>
      </c>
      <c r="AJ208" s="62">
        <f t="shared" si="2116"/>
        <v>0</v>
      </c>
      <c r="AK208" s="62">
        <f t="shared" si="2116"/>
        <v>0</v>
      </c>
      <c r="AL208" s="62">
        <f t="shared" si="2116"/>
        <v>0</v>
      </c>
      <c r="AM208" s="62">
        <f t="shared" si="2116"/>
        <v>0</v>
      </c>
      <c r="AN208" s="62">
        <f t="shared" si="2116"/>
        <v>0</v>
      </c>
      <c r="AO208" s="62">
        <f t="shared" si="2116"/>
        <v>0</v>
      </c>
      <c r="AP208" s="62">
        <f t="shared" si="2116"/>
        <v>0</v>
      </c>
      <c r="AQ208" s="62">
        <f t="shared" si="2116"/>
        <v>0</v>
      </c>
      <c r="AR208" s="62">
        <f t="shared" si="2116"/>
        <v>0</v>
      </c>
      <c r="AS208" s="62">
        <f t="shared" si="2116"/>
        <v>0</v>
      </c>
      <c r="AT208" s="62">
        <f t="shared" si="2116"/>
        <v>0</v>
      </c>
      <c r="AU208" s="62">
        <f t="shared" si="2116"/>
        <v>0</v>
      </c>
      <c r="AV208" s="62">
        <f t="shared" si="2116"/>
        <v>-30442.365237316404</v>
      </c>
      <c r="AW208" s="62">
        <f t="shared" si="2116"/>
        <v>-30442.365237316404</v>
      </c>
      <c r="AX208" s="62">
        <f t="shared" si="2116"/>
        <v>0</v>
      </c>
      <c r="AY208" s="62">
        <f t="shared" si="2116"/>
        <v>0</v>
      </c>
      <c r="AZ208" s="62">
        <f t="shared" si="2116"/>
        <v>0</v>
      </c>
      <c r="BA208" s="62">
        <f t="shared" si="2116"/>
        <v>0</v>
      </c>
      <c r="BB208" s="62">
        <f t="shared" si="2116"/>
        <v>-20588.733502006198</v>
      </c>
      <c r="BC208" s="62">
        <f t="shared" si="2116"/>
        <v>-20588.733502006198</v>
      </c>
      <c r="BD208" s="62">
        <f t="shared" si="2116"/>
        <v>-20588.733502006198</v>
      </c>
      <c r="BE208" s="62">
        <f t="shared" si="2116"/>
        <v>0</v>
      </c>
      <c r="BF208" s="62">
        <f t="shared" si="2116"/>
        <v>0</v>
      </c>
      <c r="BG208" s="62">
        <f t="shared" si="2116"/>
        <v>0</v>
      </c>
      <c r="BH208" s="62">
        <f t="shared" si="2116"/>
        <v>0</v>
      </c>
      <c r="BI208" s="62">
        <f t="shared" si="2116"/>
        <v>0</v>
      </c>
      <c r="BJ208" s="62">
        <f t="shared" si="2116"/>
        <v>0</v>
      </c>
      <c r="BK208" s="62">
        <f t="shared" si="2116"/>
        <v>0</v>
      </c>
      <c r="BL208" s="62">
        <f t="shared" si="2116"/>
        <v>0</v>
      </c>
      <c r="BM208" s="62">
        <f t="shared" si="2116"/>
        <v>0</v>
      </c>
      <c r="BN208" s="62">
        <f t="shared" si="2116"/>
        <v>0</v>
      </c>
      <c r="BO208" s="62">
        <f t="shared" si="2116"/>
        <v>0</v>
      </c>
      <c r="BP208" s="62">
        <f t="shared" si="2116"/>
        <v>0</v>
      </c>
      <c r="BQ208" s="62">
        <f t="shared" si="2116"/>
        <v>0</v>
      </c>
      <c r="BR208" s="62">
        <f t="shared" ref="BR208:BY208" si="2117">IF(AND(BR$5&gt;$E180,BR$5&lt;=EOMONTH($E180,$E184)),-BR202,0)+IF(AND(BR$5&gt;$E182,BR$5&lt;=EOMONTH($E182,Renewal_Free_Rent_Months)),-BR203,0)+IF(AND(BR$5&gt;$E191,BR$5&lt;=EOMONTH($E191,New_Free_Rent_Months)),-BR204,0)</f>
        <v>0</v>
      </c>
      <c r="BS208" s="62">
        <f t="shared" si="2117"/>
        <v>0</v>
      </c>
      <c r="BT208" s="62">
        <f t="shared" si="2117"/>
        <v>0</v>
      </c>
      <c r="BU208" s="62">
        <f t="shared" si="2117"/>
        <v>0</v>
      </c>
      <c r="BV208" s="62">
        <f t="shared" si="2117"/>
        <v>0</v>
      </c>
      <c r="BW208" s="62">
        <f t="shared" si="2117"/>
        <v>0</v>
      </c>
      <c r="BX208" s="62">
        <f t="shared" si="2117"/>
        <v>0</v>
      </c>
      <c r="BY208" s="62">
        <f t="shared" si="2117"/>
        <v>0</v>
      </c>
    </row>
    <row r="209" spans="2:79" customFormat="1" outlineLevel="1" x14ac:dyDescent="0.25">
      <c r="B209" s="1"/>
      <c r="C209" s="50" t="s">
        <v>27</v>
      </c>
      <c r="D209" s="37" t="s">
        <v>101</v>
      </c>
      <c r="E209" s="1"/>
      <c r="F209" s="62">
        <f t="shared" ref="F209:BQ209" si="2118">IF(F$5=EOMONTH($E180,1),-New_TIs*$E179*F$15,0)+IF(F$5=EOMONTH($E186,1),-Renewal_TIs*$E179*F$15*Renewal_Probability,0)+IF(F$5=EOMONTH($E191,1),-New_TIs*$E179*F$15*(1-Renewal_Probability),0)</f>
        <v>0</v>
      </c>
      <c r="G209" s="62">
        <f t="shared" si="2118"/>
        <v>0</v>
      </c>
      <c r="H209" s="62">
        <f t="shared" si="2118"/>
        <v>0</v>
      </c>
      <c r="I209" s="62">
        <f t="shared" si="2118"/>
        <v>0</v>
      </c>
      <c r="J209" s="62">
        <f t="shared" si="2118"/>
        <v>0</v>
      </c>
      <c r="K209" s="62">
        <f t="shared" si="2118"/>
        <v>0</v>
      </c>
      <c r="L209" s="62">
        <f t="shared" si="2118"/>
        <v>0</v>
      </c>
      <c r="M209" s="62">
        <f t="shared" si="2118"/>
        <v>0</v>
      </c>
      <c r="N209" s="62">
        <f t="shared" si="2118"/>
        <v>0</v>
      </c>
      <c r="O209" s="62">
        <f t="shared" si="2118"/>
        <v>0</v>
      </c>
      <c r="P209" s="62">
        <f t="shared" si="2118"/>
        <v>0</v>
      </c>
      <c r="Q209" s="62">
        <f t="shared" si="2118"/>
        <v>0</v>
      </c>
      <c r="R209" s="62">
        <f t="shared" si="2118"/>
        <v>0</v>
      </c>
      <c r="S209" s="62">
        <f t="shared" si="2118"/>
        <v>0</v>
      </c>
      <c r="T209" s="62">
        <f t="shared" si="2118"/>
        <v>0</v>
      </c>
      <c r="U209" s="62">
        <f t="shared" si="2118"/>
        <v>0</v>
      </c>
      <c r="V209" s="62">
        <f t="shared" si="2118"/>
        <v>0</v>
      </c>
      <c r="W209" s="62">
        <f t="shared" si="2118"/>
        <v>0</v>
      </c>
      <c r="X209" s="62">
        <f t="shared" si="2118"/>
        <v>0</v>
      </c>
      <c r="Y209" s="62">
        <f t="shared" si="2118"/>
        <v>0</v>
      </c>
      <c r="Z209" s="62">
        <f t="shared" si="2118"/>
        <v>0</v>
      </c>
      <c r="AA209" s="62">
        <f t="shared" si="2118"/>
        <v>0</v>
      </c>
      <c r="AB209" s="62">
        <f t="shared" si="2118"/>
        <v>0</v>
      </c>
      <c r="AC209" s="62">
        <f t="shared" si="2118"/>
        <v>0</v>
      </c>
      <c r="AD209" s="62">
        <f t="shared" si="2118"/>
        <v>0</v>
      </c>
      <c r="AE209" s="62">
        <f t="shared" si="2118"/>
        <v>0</v>
      </c>
      <c r="AF209" s="62">
        <f t="shared" si="2118"/>
        <v>0</v>
      </c>
      <c r="AG209" s="62">
        <f t="shared" si="2118"/>
        <v>0</v>
      </c>
      <c r="AH209" s="62">
        <f t="shared" si="2118"/>
        <v>0</v>
      </c>
      <c r="AI209" s="62">
        <f t="shared" si="2118"/>
        <v>0</v>
      </c>
      <c r="AJ209" s="62">
        <f t="shared" si="2118"/>
        <v>0</v>
      </c>
      <c r="AK209" s="62">
        <f t="shared" si="2118"/>
        <v>0</v>
      </c>
      <c r="AL209" s="62">
        <f t="shared" si="2118"/>
        <v>0</v>
      </c>
      <c r="AM209" s="62">
        <f t="shared" si="2118"/>
        <v>0</v>
      </c>
      <c r="AN209" s="62">
        <f t="shared" si="2118"/>
        <v>0</v>
      </c>
      <c r="AO209" s="62">
        <f t="shared" si="2118"/>
        <v>0</v>
      </c>
      <c r="AP209" s="62">
        <f t="shared" si="2118"/>
        <v>0</v>
      </c>
      <c r="AQ209" s="62">
        <f t="shared" si="2118"/>
        <v>0</v>
      </c>
      <c r="AR209" s="62">
        <f t="shared" si="2118"/>
        <v>0</v>
      </c>
      <c r="AS209" s="62">
        <f t="shared" si="2118"/>
        <v>0</v>
      </c>
      <c r="AT209" s="62">
        <f t="shared" si="2118"/>
        <v>0</v>
      </c>
      <c r="AU209" s="62">
        <f t="shared" si="2118"/>
        <v>0</v>
      </c>
      <c r="AV209" s="62">
        <f t="shared" si="2118"/>
        <v>-145636.78690284007</v>
      </c>
      <c r="AW209" s="62">
        <f t="shared" si="2118"/>
        <v>0</v>
      </c>
      <c r="AX209" s="62">
        <f t="shared" si="2118"/>
        <v>0</v>
      </c>
      <c r="AY209" s="62">
        <f t="shared" si="2118"/>
        <v>0</v>
      </c>
      <c r="AZ209" s="62">
        <f t="shared" si="2118"/>
        <v>0</v>
      </c>
      <c r="BA209" s="62">
        <f t="shared" si="2118"/>
        <v>0</v>
      </c>
      <c r="BB209" s="62">
        <f t="shared" si="2118"/>
        <v>-220538.58796232898</v>
      </c>
      <c r="BC209" s="62">
        <f t="shared" si="2118"/>
        <v>0</v>
      </c>
      <c r="BD209" s="62">
        <f t="shared" si="2118"/>
        <v>0</v>
      </c>
      <c r="BE209" s="62">
        <f t="shared" si="2118"/>
        <v>0</v>
      </c>
      <c r="BF209" s="62">
        <f t="shared" si="2118"/>
        <v>0</v>
      </c>
      <c r="BG209" s="62">
        <f t="shared" si="2118"/>
        <v>0</v>
      </c>
      <c r="BH209" s="62">
        <f t="shared" si="2118"/>
        <v>0</v>
      </c>
      <c r="BI209" s="62">
        <f t="shared" si="2118"/>
        <v>0</v>
      </c>
      <c r="BJ209" s="62">
        <f t="shared" si="2118"/>
        <v>0</v>
      </c>
      <c r="BK209" s="62">
        <f t="shared" si="2118"/>
        <v>0</v>
      </c>
      <c r="BL209" s="62">
        <f t="shared" si="2118"/>
        <v>0</v>
      </c>
      <c r="BM209" s="62">
        <f t="shared" si="2118"/>
        <v>0</v>
      </c>
      <c r="BN209" s="62">
        <f t="shared" si="2118"/>
        <v>0</v>
      </c>
      <c r="BO209" s="62">
        <f t="shared" si="2118"/>
        <v>0</v>
      </c>
      <c r="BP209" s="62">
        <f t="shared" si="2118"/>
        <v>0</v>
      </c>
      <c r="BQ209" s="62">
        <f t="shared" si="2118"/>
        <v>0</v>
      </c>
      <c r="BR209" s="62">
        <f t="shared" ref="BR209:BY209" si="2119">IF(BR$5=EOMONTH($E180,1),-New_TIs*$E179*BR$15,0)+IF(BR$5=EOMONTH($E186,1),-Renewal_TIs*$E179*BR$15*Renewal_Probability,0)+IF(BR$5=EOMONTH($E191,1),-New_TIs*$E179*BR$15*(1-Renewal_Probability),0)</f>
        <v>0</v>
      </c>
      <c r="BS209" s="62">
        <f t="shared" si="2119"/>
        <v>0</v>
      </c>
      <c r="BT209" s="62">
        <f t="shared" si="2119"/>
        <v>0</v>
      </c>
      <c r="BU209" s="62">
        <f t="shared" si="2119"/>
        <v>0</v>
      </c>
      <c r="BV209" s="62">
        <f t="shared" si="2119"/>
        <v>0</v>
      </c>
      <c r="BW209" s="62">
        <f t="shared" si="2119"/>
        <v>0</v>
      </c>
      <c r="BX209" s="62">
        <f t="shared" si="2119"/>
        <v>0</v>
      </c>
      <c r="BY209" s="62">
        <f t="shared" si="2119"/>
        <v>0</v>
      </c>
    </row>
    <row r="210" spans="2:79" customFormat="1" outlineLevel="1" x14ac:dyDescent="0.25">
      <c r="B210" s="1"/>
      <c r="C210" s="50" t="s">
        <v>28</v>
      </c>
      <c r="D210" s="37" t="s">
        <v>101</v>
      </c>
      <c r="E210" s="1"/>
      <c r="F210" s="62">
        <f t="shared" ref="F210:BQ210" si="2120">IF(F$5=EOMONTH($E180,1),-New_LC_Pct*FV($E183,$E181,-F197*$E179),0)+IF(F$5=EOMONTH($E186,1),-Renewal_LC_Pct*FV($E189,$E187,-F198*$E179)*Renewal_Probability,0)+IF(F$5=EOMONTH($E191,1),-New_LC_Pct*FV($E194,$E192,-F199*$E179)*(1-Renewal_Probability),0)</f>
        <v>0</v>
      </c>
      <c r="G210" s="62">
        <f t="shared" si="2120"/>
        <v>0</v>
      </c>
      <c r="H210" s="62">
        <f t="shared" si="2120"/>
        <v>0</v>
      </c>
      <c r="I210" s="62">
        <f t="shared" si="2120"/>
        <v>0</v>
      </c>
      <c r="J210" s="62">
        <f t="shared" si="2120"/>
        <v>0</v>
      </c>
      <c r="K210" s="62">
        <f t="shared" si="2120"/>
        <v>0</v>
      </c>
      <c r="L210" s="62">
        <f t="shared" si="2120"/>
        <v>0</v>
      </c>
      <c r="M210" s="62">
        <f t="shared" si="2120"/>
        <v>0</v>
      </c>
      <c r="N210" s="62">
        <f t="shared" si="2120"/>
        <v>0</v>
      </c>
      <c r="O210" s="62">
        <f t="shared" si="2120"/>
        <v>0</v>
      </c>
      <c r="P210" s="62">
        <f t="shared" si="2120"/>
        <v>0</v>
      </c>
      <c r="Q210" s="62">
        <f t="shared" si="2120"/>
        <v>0</v>
      </c>
      <c r="R210" s="62">
        <f t="shared" si="2120"/>
        <v>0</v>
      </c>
      <c r="S210" s="62">
        <f t="shared" si="2120"/>
        <v>0</v>
      </c>
      <c r="T210" s="62">
        <f t="shared" si="2120"/>
        <v>0</v>
      </c>
      <c r="U210" s="62">
        <f t="shared" si="2120"/>
        <v>0</v>
      </c>
      <c r="V210" s="62">
        <f t="shared" si="2120"/>
        <v>0</v>
      </c>
      <c r="W210" s="62">
        <f t="shared" si="2120"/>
        <v>0</v>
      </c>
      <c r="X210" s="62">
        <f t="shared" si="2120"/>
        <v>0</v>
      </c>
      <c r="Y210" s="62">
        <f t="shared" si="2120"/>
        <v>0</v>
      </c>
      <c r="Z210" s="62">
        <f t="shared" si="2120"/>
        <v>0</v>
      </c>
      <c r="AA210" s="62">
        <f t="shared" si="2120"/>
        <v>0</v>
      </c>
      <c r="AB210" s="62">
        <f t="shared" si="2120"/>
        <v>0</v>
      </c>
      <c r="AC210" s="62">
        <f t="shared" si="2120"/>
        <v>0</v>
      </c>
      <c r="AD210" s="62">
        <f t="shared" si="2120"/>
        <v>0</v>
      </c>
      <c r="AE210" s="62">
        <f t="shared" si="2120"/>
        <v>0</v>
      </c>
      <c r="AF210" s="62">
        <f t="shared" si="2120"/>
        <v>0</v>
      </c>
      <c r="AG210" s="62">
        <f t="shared" si="2120"/>
        <v>0</v>
      </c>
      <c r="AH210" s="62">
        <f t="shared" si="2120"/>
        <v>0</v>
      </c>
      <c r="AI210" s="62">
        <f t="shared" si="2120"/>
        <v>0</v>
      </c>
      <c r="AJ210" s="62">
        <f t="shared" si="2120"/>
        <v>0</v>
      </c>
      <c r="AK210" s="62">
        <f t="shared" si="2120"/>
        <v>0</v>
      </c>
      <c r="AL210" s="62">
        <f t="shared" si="2120"/>
        <v>0</v>
      </c>
      <c r="AM210" s="62">
        <f t="shared" si="2120"/>
        <v>0</v>
      </c>
      <c r="AN210" s="62">
        <f t="shared" si="2120"/>
        <v>0</v>
      </c>
      <c r="AO210" s="62">
        <f t="shared" si="2120"/>
        <v>0</v>
      </c>
      <c r="AP210" s="62">
        <f t="shared" si="2120"/>
        <v>0</v>
      </c>
      <c r="AQ210" s="62">
        <f t="shared" si="2120"/>
        <v>0</v>
      </c>
      <c r="AR210" s="62">
        <f t="shared" si="2120"/>
        <v>0</v>
      </c>
      <c r="AS210" s="62">
        <f t="shared" si="2120"/>
        <v>0</v>
      </c>
      <c r="AT210" s="62">
        <f t="shared" si="2120"/>
        <v>0</v>
      </c>
      <c r="AU210" s="62">
        <f t="shared" si="2120"/>
        <v>0</v>
      </c>
      <c r="AV210" s="62">
        <f t="shared" si="2120"/>
        <v>-57605.426092791728</v>
      </c>
      <c r="AW210" s="62">
        <f t="shared" si="2120"/>
        <v>0</v>
      </c>
      <c r="AX210" s="62">
        <f t="shared" si="2120"/>
        <v>0</v>
      </c>
      <c r="AY210" s="62">
        <f t="shared" si="2120"/>
        <v>0</v>
      </c>
      <c r="AZ210" s="62">
        <f t="shared" si="2120"/>
        <v>0</v>
      </c>
      <c r="BA210" s="62">
        <f t="shared" si="2120"/>
        <v>0</v>
      </c>
      <c r="BB210" s="62">
        <f t="shared" si="2120"/>
        <v>-77919.225845183042</v>
      </c>
      <c r="BC210" s="62">
        <f t="shared" si="2120"/>
        <v>0</v>
      </c>
      <c r="BD210" s="62">
        <f t="shared" si="2120"/>
        <v>0</v>
      </c>
      <c r="BE210" s="62">
        <f t="shared" si="2120"/>
        <v>0</v>
      </c>
      <c r="BF210" s="62">
        <f t="shared" si="2120"/>
        <v>0</v>
      </c>
      <c r="BG210" s="62">
        <f t="shared" si="2120"/>
        <v>0</v>
      </c>
      <c r="BH210" s="62">
        <f t="shared" si="2120"/>
        <v>0</v>
      </c>
      <c r="BI210" s="62">
        <f t="shared" si="2120"/>
        <v>0</v>
      </c>
      <c r="BJ210" s="62">
        <f t="shared" si="2120"/>
        <v>0</v>
      </c>
      <c r="BK210" s="62">
        <f t="shared" si="2120"/>
        <v>0</v>
      </c>
      <c r="BL210" s="62">
        <f t="shared" si="2120"/>
        <v>0</v>
      </c>
      <c r="BM210" s="62">
        <f t="shared" si="2120"/>
        <v>0</v>
      </c>
      <c r="BN210" s="62">
        <f t="shared" si="2120"/>
        <v>0</v>
      </c>
      <c r="BO210" s="62">
        <f t="shared" si="2120"/>
        <v>0</v>
      </c>
      <c r="BP210" s="62">
        <f t="shared" si="2120"/>
        <v>0</v>
      </c>
      <c r="BQ210" s="62">
        <f t="shared" si="2120"/>
        <v>0</v>
      </c>
      <c r="BR210" s="62">
        <f t="shared" ref="BR210:BY210" si="2121">IF(BR$5=EOMONTH($E180,1),-New_LC_Pct*FV($E183,$E181,-BR197*$E179),0)+IF(BR$5=EOMONTH($E186,1),-Renewal_LC_Pct*FV($E189,$E187,-BR198*$E179)*Renewal_Probability,0)+IF(BR$5=EOMONTH($E191,1),-New_LC_Pct*FV($E194,$E192,-BR199*$E179)*(1-Renewal_Probability),0)</f>
        <v>0</v>
      </c>
      <c r="BS210" s="62">
        <f t="shared" si="2121"/>
        <v>0</v>
      </c>
      <c r="BT210" s="62">
        <f t="shared" si="2121"/>
        <v>0</v>
      </c>
      <c r="BU210" s="62">
        <f t="shared" si="2121"/>
        <v>0</v>
      </c>
      <c r="BV210" s="62">
        <f t="shared" si="2121"/>
        <v>0</v>
      </c>
      <c r="BW210" s="62">
        <f t="shared" si="2121"/>
        <v>0</v>
      </c>
      <c r="BX210" s="62">
        <f t="shared" si="2121"/>
        <v>0</v>
      </c>
      <c r="BY210" s="62">
        <f t="shared" si="2121"/>
        <v>0</v>
      </c>
    </row>
    <row r="211" spans="2:79" customFormat="1" outlineLevel="1" x14ac:dyDescent="0.25">
      <c r="B211" s="1"/>
      <c r="C211" s="44"/>
      <c r="D211" s="56"/>
      <c r="E211" s="1"/>
      <c r="F211" s="93"/>
      <c r="G211" s="93"/>
      <c r="H211" s="1"/>
      <c r="I211" s="1"/>
      <c r="J211" s="1"/>
      <c r="K211" s="93"/>
      <c r="AP211" s="62"/>
    </row>
    <row r="212" spans="2:79" customFormat="1" outlineLevel="1" x14ac:dyDescent="0.25">
      <c r="B212" s="1"/>
      <c r="C212" s="50" t="s">
        <v>29</v>
      </c>
      <c r="D212" s="37" t="s">
        <v>101</v>
      </c>
      <c r="E212" s="1"/>
      <c r="F212" s="62">
        <f t="shared" ref="F212:BQ212" si="2122">-IF(F$5&gt;$E180,SUM(F$338:F$341)*($E179/Rentable_Sq_Ft)*IF(AND(F$5&gt;$E182,F$5&lt;=$E191),Renewal_Probability,1),0)</f>
        <v>13789.997553306324</v>
      </c>
      <c r="G212" s="62">
        <f t="shared" si="2122"/>
        <v>13835.142416893008</v>
      </c>
      <c r="H212" s="62">
        <f t="shared" si="2122"/>
        <v>13880.435073015578</v>
      </c>
      <c r="I212" s="62">
        <f t="shared" si="2122"/>
        <v>13925.876005508338</v>
      </c>
      <c r="J212" s="62">
        <f t="shared" si="2122"/>
        <v>13971.46569978954</v>
      </c>
      <c r="K212" s="62">
        <f t="shared" si="2122"/>
        <v>14017.204642866567</v>
      </c>
      <c r="L212" s="62">
        <f t="shared" si="2122"/>
        <v>14063.093323341147</v>
      </c>
      <c r="M212" s="62">
        <f t="shared" si="2122"/>
        <v>14109.132231414544</v>
      </c>
      <c r="N212" s="62">
        <f t="shared" si="2122"/>
        <v>14155.321858892828</v>
      </c>
      <c r="O212" s="62">
        <f t="shared" si="2122"/>
        <v>14201.662699192115</v>
      </c>
      <c r="P212" s="62">
        <f t="shared" si="2122"/>
        <v>14248.155247343828</v>
      </c>
      <c r="Q212" s="62">
        <f t="shared" si="2122"/>
        <v>14294.800000000007</v>
      </c>
      <c r="R212" s="62">
        <f t="shared" si="2122"/>
        <v>14330.054833141134</v>
      </c>
      <c r="S212" s="62">
        <f t="shared" si="2122"/>
        <v>14365.396614211562</v>
      </c>
      <c r="T212" s="62">
        <f t="shared" si="2122"/>
        <v>14400.825557648348</v>
      </c>
      <c r="U212" s="62">
        <f t="shared" si="2122"/>
        <v>14436.341878417394</v>
      </c>
      <c r="V212" s="62">
        <f t="shared" si="2122"/>
        <v>14471.945792014776</v>
      </c>
      <c r="W212" s="62">
        <f t="shared" si="2122"/>
        <v>14507.637514468039</v>
      </c>
      <c r="X212" s="62">
        <f t="shared" si="2122"/>
        <v>14543.417262337509</v>
      </c>
      <c r="Y212" s="62">
        <f t="shared" si="2122"/>
        <v>14579.285252717613</v>
      </c>
      <c r="Z212" s="62">
        <f t="shared" si="2122"/>
        <v>14615.241703238182</v>
      </c>
      <c r="AA212" s="62">
        <f t="shared" si="2122"/>
        <v>14651.286832065791</v>
      </c>
      <c r="AB212" s="62">
        <f t="shared" si="2122"/>
        <v>14687.420857905068</v>
      </c>
      <c r="AC212" s="62">
        <f t="shared" si="2122"/>
        <v>14723.644000000024</v>
      </c>
      <c r="AD212" s="62">
        <f t="shared" si="2122"/>
        <v>14747.961295126554</v>
      </c>
      <c r="AE212" s="62">
        <f t="shared" si="2122"/>
        <v>14772.318752243027</v>
      </c>
      <c r="AF212" s="62">
        <f t="shared" si="2122"/>
        <v>14796.716437680238</v>
      </c>
      <c r="AG212" s="62">
        <f t="shared" si="2122"/>
        <v>14821.154417878526</v>
      </c>
      <c r="AH212" s="62">
        <f t="shared" si="2122"/>
        <v>14845.632759387967</v>
      </c>
      <c r="AI212" s="62">
        <f t="shared" si="2122"/>
        <v>14870.151528868546</v>
      </c>
      <c r="AJ212" s="62">
        <f t="shared" si="2122"/>
        <v>14894.710793090344</v>
      </c>
      <c r="AK212" s="62">
        <f t="shared" si="2122"/>
        <v>14919.310618933721</v>
      </c>
      <c r="AL212" s="62">
        <f t="shared" si="2122"/>
        <v>14943.951073389495</v>
      </c>
      <c r="AM212" s="62">
        <f t="shared" si="2122"/>
        <v>14968.632223559114</v>
      </c>
      <c r="AN212" s="62">
        <f t="shared" si="2122"/>
        <v>14993.354136654863</v>
      </c>
      <c r="AO212" s="62">
        <f t="shared" si="2122"/>
        <v>15018.116880000031</v>
      </c>
      <c r="AP212" s="62">
        <f t="shared" si="2122"/>
        <v>15042.920521029091</v>
      </c>
      <c r="AQ212" s="62">
        <f t="shared" si="2122"/>
        <v>15067.765127287896</v>
      </c>
      <c r="AR212" s="62">
        <f t="shared" si="2122"/>
        <v>15092.650766433851</v>
      </c>
      <c r="AS212" s="62">
        <f t="shared" si="2122"/>
        <v>15117.577506236104</v>
      </c>
      <c r="AT212" s="62">
        <f t="shared" si="2122"/>
        <v>15142.545414575738</v>
      </c>
      <c r="AU212" s="62">
        <f t="shared" si="2122"/>
        <v>15167.554559445925</v>
      </c>
      <c r="AV212" s="62">
        <f t="shared" si="2122"/>
        <v>9115.5630053712975</v>
      </c>
      <c r="AW212" s="62">
        <f t="shared" si="2122"/>
        <v>9130.6180987874432</v>
      </c>
      <c r="AX212" s="62">
        <f t="shared" si="2122"/>
        <v>9145.6980569143761</v>
      </c>
      <c r="AY212" s="62">
        <f t="shared" si="2122"/>
        <v>9160.8029208181852</v>
      </c>
      <c r="AZ212" s="62">
        <f t="shared" si="2122"/>
        <v>9175.9327316327817</v>
      </c>
      <c r="BA212" s="62">
        <f t="shared" si="2122"/>
        <v>9191.0875305600275</v>
      </c>
      <c r="BB212" s="62">
        <f t="shared" si="2122"/>
        <v>15337.496921383381</v>
      </c>
      <c r="BC212" s="62">
        <f t="shared" si="2122"/>
        <v>15356.538235412356</v>
      </c>
      <c r="BD212" s="62">
        <f t="shared" si="2122"/>
        <v>15375.603188998803</v>
      </c>
      <c r="BE212" s="62">
        <f t="shared" si="2122"/>
        <v>15394.691811490944</v>
      </c>
      <c r="BF212" s="62">
        <f t="shared" si="2122"/>
        <v>15413.80413227343</v>
      </c>
      <c r="BG212" s="62">
        <f t="shared" si="2122"/>
        <v>15432.940180767404</v>
      </c>
      <c r="BH212" s="62">
        <f t="shared" si="2122"/>
        <v>15452.099986430523</v>
      </c>
      <c r="BI212" s="62">
        <f t="shared" si="2122"/>
        <v>15471.283578757022</v>
      </c>
      <c r="BJ212" s="62">
        <f t="shared" si="2122"/>
        <v>15490.490987277753</v>
      </c>
      <c r="BK212" s="62">
        <f t="shared" si="2122"/>
        <v>15509.722241560225</v>
      </c>
      <c r="BL212" s="62">
        <f t="shared" si="2122"/>
        <v>15528.977371208661</v>
      </c>
      <c r="BM212" s="62">
        <f t="shared" si="2122"/>
        <v>15548.256405864036</v>
      </c>
      <c r="BN212" s="62">
        <f t="shared" si="2122"/>
        <v>15567.559375204117</v>
      </c>
      <c r="BO212" s="62">
        <f t="shared" si="2122"/>
        <v>15586.886308943531</v>
      </c>
      <c r="BP212" s="62">
        <f t="shared" si="2122"/>
        <v>15606.237236833775</v>
      </c>
      <c r="BQ212" s="62">
        <f t="shared" si="2122"/>
        <v>15625.612188663299</v>
      </c>
      <c r="BR212" s="62">
        <f t="shared" ref="BR212:BY212" si="2123">-IF(BR$5&gt;$E180,SUM(BR$338:BR$341)*($E179/Rentable_Sq_Ft)*IF(AND(BR$5&gt;$E182,BR$5&lt;=$E191),Renewal_Probability,1),0)</f>
        <v>15645.011194257524</v>
      </c>
      <c r="BS212" s="62">
        <f t="shared" si="2123"/>
        <v>15664.434283478902</v>
      </c>
      <c r="BT212" s="62">
        <f t="shared" si="2123"/>
        <v>15683.881486226968</v>
      </c>
      <c r="BU212" s="62">
        <f t="shared" si="2123"/>
        <v>15703.352832438366</v>
      </c>
      <c r="BV212" s="62">
        <f t="shared" si="2123"/>
        <v>15722.848352086905</v>
      </c>
      <c r="BW212" s="62">
        <f t="shared" si="2123"/>
        <v>15742.368075183616</v>
      </c>
      <c r="BX212" s="62">
        <f t="shared" si="2123"/>
        <v>15761.912031776779</v>
      </c>
      <c r="BY212" s="62">
        <f t="shared" si="2123"/>
        <v>15781.480251951982</v>
      </c>
    </row>
    <row r="213" spans="2:79" customFormat="1" outlineLevel="1" x14ac:dyDescent="0.25">
      <c r="B213" s="1"/>
      <c r="C213" s="50" t="s">
        <v>125</v>
      </c>
      <c r="D213" s="37" t="s">
        <v>101</v>
      </c>
      <c r="E213" s="1"/>
      <c r="F213" s="62">
        <f t="shared" ref="F213:BQ213" si="2124">IF(F$5&lt;=$E180,-F196*$E179/Months,0)</f>
        <v>0</v>
      </c>
      <c r="G213" s="62">
        <f t="shared" si="2124"/>
        <v>0</v>
      </c>
      <c r="H213" s="62">
        <f t="shared" si="2124"/>
        <v>0</v>
      </c>
      <c r="I213" s="62">
        <f t="shared" si="2124"/>
        <v>0</v>
      </c>
      <c r="J213" s="62">
        <f t="shared" si="2124"/>
        <v>0</v>
      </c>
      <c r="K213" s="62">
        <f t="shared" si="2124"/>
        <v>0</v>
      </c>
      <c r="L213" s="62">
        <f t="shared" si="2124"/>
        <v>0</v>
      </c>
      <c r="M213" s="62">
        <f t="shared" si="2124"/>
        <v>0</v>
      </c>
      <c r="N213" s="62">
        <f t="shared" si="2124"/>
        <v>0</v>
      </c>
      <c r="O213" s="62">
        <f t="shared" si="2124"/>
        <v>0</v>
      </c>
      <c r="P213" s="62">
        <f t="shared" si="2124"/>
        <v>0</v>
      </c>
      <c r="Q213" s="62">
        <f t="shared" si="2124"/>
        <v>0</v>
      </c>
      <c r="R213" s="62">
        <f t="shared" si="2124"/>
        <v>0</v>
      </c>
      <c r="S213" s="62">
        <f t="shared" si="2124"/>
        <v>0</v>
      </c>
      <c r="T213" s="62">
        <f t="shared" si="2124"/>
        <v>0</v>
      </c>
      <c r="U213" s="62">
        <f t="shared" si="2124"/>
        <v>0</v>
      </c>
      <c r="V213" s="62">
        <f t="shared" si="2124"/>
        <v>0</v>
      </c>
      <c r="W213" s="62">
        <f t="shared" si="2124"/>
        <v>0</v>
      </c>
      <c r="X213" s="62">
        <f t="shared" si="2124"/>
        <v>0</v>
      </c>
      <c r="Y213" s="62">
        <f t="shared" si="2124"/>
        <v>0</v>
      </c>
      <c r="Z213" s="62">
        <f t="shared" si="2124"/>
        <v>0</v>
      </c>
      <c r="AA213" s="62">
        <f t="shared" si="2124"/>
        <v>0</v>
      </c>
      <c r="AB213" s="62">
        <f t="shared" si="2124"/>
        <v>0</v>
      </c>
      <c r="AC213" s="62">
        <f t="shared" si="2124"/>
        <v>0</v>
      </c>
      <c r="AD213" s="62">
        <f t="shared" si="2124"/>
        <v>0</v>
      </c>
      <c r="AE213" s="62">
        <f t="shared" si="2124"/>
        <v>0</v>
      </c>
      <c r="AF213" s="62">
        <f t="shared" si="2124"/>
        <v>0</v>
      </c>
      <c r="AG213" s="62">
        <f t="shared" si="2124"/>
        <v>0</v>
      </c>
      <c r="AH213" s="62">
        <f t="shared" si="2124"/>
        <v>0</v>
      </c>
      <c r="AI213" s="62">
        <f t="shared" si="2124"/>
        <v>0</v>
      </c>
      <c r="AJ213" s="62">
        <f t="shared" si="2124"/>
        <v>0</v>
      </c>
      <c r="AK213" s="62">
        <f t="shared" si="2124"/>
        <v>0</v>
      </c>
      <c r="AL213" s="62">
        <f t="shared" si="2124"/>
        <v>0</v>
      </c>
      <c r="AM213" s="62">
        <f t="shared" si="2124"/>
        <v>0</v>
      </c>
      <c r="AN213" s="62">
        <f t="shared" si="2124"/>
        <v>0</v>
      </c>
      <c r="AO213" s="62">
        <f t="shared" si="2124"/>
        <v>0</v>
      </c>
      <c r="AP213" s="62">
        <f t="shared" si="2124"/>
        <v>0</v>
      </c>
      <c r="AQ213" s="62">
        <f t="shared" si="2124"/>
        <v>0</v>
      </c>
      <c r="AR213" s="62">
        <f t="shared" si="2124"/>
        <v>0</v>
      </c>
      <c r="AS213" s="62">
        <f t="shared" si="2124"/>
        <v>0</v>
      </c>
      <c r="AT213" s="62">
        <f t="shared" si="2124"/>
        <v>0</v>
      </c>
      <c r="AU213" s="62">
        <f t="shared" si="2124"/>
        <v>0</v>
      </c>
      <c r="AV213" s="62">
        <f t="shared" si="2124"/>
        <v>0</v>
      </c>
      <c r="AW213" s="62">
        <f t="shared" si="2124"/>
        <v>0</v>
      </c>
      <c r="AX213" s="62">
        <f t="shared" si="2124"/>
        <v>0</v>
      </c>
      <c r="AY213" s="62">
        <f t="shared" si="2124"/>
        <v>0</v>
      </c>
      <c r="AZ213" s="62">
        <f t="shared" si="2124"/>
        <v>0</v>
      </c>
      <c r="BA213" s="62">
        <f t="shared" si="2124"/>
        <v>0</v>
      </c>
      <c r="BB213" s="62">
        <f t="shared" si="2124"/>
        <v>0</v>
      </c>
      <c r="BC213" s="62">
        <f t="shared" si="2124"/>
        <v>0</v>
      </c>
      <c r="BD213" s="62">
        <f t="shared" si="2124"/>
        <v>0</v>
      </c>
      <c r="BE213" s="62">
        <f t="shared" si="2124"/>
        <v>0</v>
      </c>
      <c r="BF213" s="62">
        <f t="shared" si="2124"/>
        <v>0</v>
      </c>
      <c r="BG213" s="62">
        <f t="shared" si="2124"/>
        <v>0</v>
      </c>
      <c r="BH213" s="62">
        <f t="shared" si="2124"/>
        <v>0</v>
      </c>
      <c r="BI213" s="62">
        <f t="shared" si="2124"/>
        <v>0</v>
      </c>
      <c r="BJ213" s="62">
        <f t="shared" si="2124"/>
        <v>0</v>
      </c>
      <c r="BK213" s="62">
        <f t="shared" si="2124"/>
        <v>0</v>
      </c>
      <c r="BL213" s="62">
        <f t="shared" si="2124"/>
        <v>0</v>
      </c>
      <c r="BM213" s="62">
        <f t="shared" si="2124"/>
        <v>0</v>
      </c>
      <c r="BN213" s="62">
        <f t="shared" si="2124"/>
        <v>0</v>
      </c>
      <c r="BO213" s="62">
        <f t="shared" si="2124"/>
        <v>0</v>
      </c>
      <c r="BP213" s="62">
        <f t="shared" si="2124"/>
        <v>0</v>
      </c>
      <c r="BQ213" s="62">
        <f t="shared" si="2124"/>
        <v>0</v>
      </c>
      <c r="BR213" s="62">
        <f t="shared" ref="BR213:BY213" si="2125">IF(BR$5&lt;=$E180,-BR196*$E179/Months,0)</f>
        <v>0</v>
      </c>
      <c r="BS213" s="62">
        <f t="shared" si="2125"/>
        <v>0</v>
      </c>
      <c r="BT213" s="62">
        <f t="shared" si="2125"/>
        <v>0</v>
      </c>
      <c r="BU213" s="62">
        <f t="shared" si="2125"/>
        <v>0</v>
      </c>
      <c r="BV213" s="62">
        <f t="shared" si="2125"/>
        <v>0</v>
      </c>
      <c r="BW213" s="62">
        <f t="shared" si="2125"/>
        <v>0</v>
      </c>
      <c r="BX213" s="62">
        <f t="shared" si="2125"/>
        <v>0</v>
      </c>
      <c r="BY213" s="62">
        <f t="shared" si="2125"/>
        <v>0</v>
      </c>
    </row>
    <row r="214" spans="2:79" customFormat="1" outlineLevel="1" x14ac:dyDescent="0.25">
      <c r="B214" s="1"/>
      <c r="C214" s="1"/>
      <c r="D214" s="1"/>
      <c r="E214" s="1"/>
      <c r="F214" s="1"/>
      <c r="G214" s="1"/>
      <c r="H214" s="93"/>
      <c r="I214" s="1"/>
      <c r="J214" s="1"/>
      <c r="L214" s="93"/>
    </row>
    <row r="215" spans="2:79" customFormat="1" outlineLevel="1" x14ac:dyDescent="0.25">
      <c r="B215" s="1"/>
      <c r="C215" s="50" t="s">
        <v>144</v>
      </c>
      <c r="D215" s="36" t="s">
        <v>116</v>
      </c>
      <c r="E215" s="153">
        <v>800</v>
      </c>
      <c r="F215" s="1"/>
      <c r="G215" s="1"/>
      <c r="H215" s="93"/>
      <c r="I215" s="1"/>
      <c r="J215" s="1"/>
      <c r="L215" s="93"/>
    </row>
    <row r="216" spans="2:79" customFormat="1" outlineLevel="1" x14ac:dyDescent="0.25">
      <c r="B216" s="1"/>
      <c r="C216" s="50" t="s">
        <v>140</v>
      </c>
      <c r="D216" s="37" t="s">
        <v>101</v>
      </c>
      <c r="E216" s="156">
        <f>+E215*E179/Months</f>
        <v>732000</v>
      </c>
      <c r="F216" s="1"/>
      <c r="G216" s="1"/>
      <c r="H216" s="93"/>
      <c r="I216" s="1"/>
      <c r="J216" s="1"/>
      <c r="L216" s="93"/>
    </row>
    <row r="217" spans="2:79" customFormat="1" outlineLevel="1" x14ac:dyDescent="0.25">
      <c r="B217" s="1"/>
      <c r="C217" s="19" t="s">
        <v>142</v>
      </c>
      <c r="D217" s="37" t="s">
        <v>101</v>
      </c>
      <c r="E217" s="159">
        <v>500000</v>
      </c>
      <c r="F217" s="1"/>
      <c r="G217" s="1"/>
      <c r="H217" s="93"/>
      <c r="I217" s="1"/>
      <c r="J217" s="1"/>
      <c r="L217" s="93"/>
    </row>
    <row r="218" spans="2:79" customFormat="1" outlineLevel="1" x14ac:dyDescent="0.25">
      <c r="B218" s="1"/>
      <c r="C218" s="19" t="s">
        <v>143</v>
      </c>
      <c r="D218" s="53" t="s">
        <v>16</v>
      </c>
      <c r="E218" s="11">
        <v>0.04</v>
      </c>
      <c r="F218" s="1"/>
      <c r="G218" s="1"/>
      <c r="H218" s="93"/>
      <c r="I218" s="1"/>
      <c r="J218" s="1"/>
      <c r="L218" s="93"/>
    </row>
    <row r="219" spans="2:79" customFormat="1" outlineLevel="1" x14ac:dyDescent="0.25">
      <c r="B219" s="1"/>
      <c r="C219" s="19" t="s">
        <v>139</v>
      </c>
      <c r="D219" s="53" t="s">
        <v>16</v>
      </c>
      <c r="E219" s="66"/>
      <c r="F219" s="11">
        <v>6.1576971214017527E-2</v>
      </c>
      <c r="G219" s="11">
        <v>6.9837296620775965E-2</v>
      </c>
      <c r="H219" s="11">
        <v>8.1184814351272422E-2</v>
      </c>
      <c r="I219" s="11">
        <v>8.026700041718815E-2</v>
      </c>
      <c r="J219" s="11">
        <v>8.5773884021693794E-2</v>
      </c>
      <c r="K219" s="11">
        <v>7.7513558614935349E-2</v>
      </c>
      <c r="L219" s="11">
        <v>7.8514810179390909E-2</v>
      </c>
      <c r="M219" s="11">
        <v>8.9027951606174383E-2</v>
      </c>
      <c r="N219" s="11">
        <v>7.375886524822696E-2</v>
      </c>
      <c r="O219" s="11">
        <v>7.951606174384647E-2</v>
      </c>
      <c r="P219" s="11">
        <v>9.4367959949937422E-2</v>
      </c>
      <c r="Q219" s="11">
        <v>0.1286608260325407</v>
      </c>
      <c r="R219" s="162">
        <f>+F219</f>
        <v>6.1576971214017527E-2</v>
      </c>
      <c r="S219" s="162">
        <f t="shared" ref="S219:BY219" si="2126">+G219</f>
        <v>6.9837296620775965E-2</v>
      </c>
      <c r="T219" s="162">
        <f t="shared" si="2126"/>
        <v>8.1184814351272422E-2</v>
      </c>
      <c r="U219" s="162">
        <f t="shared" si="2126"/>
        <v>8.026700041718815E-2</v>
      </c>
      <c r="V219" s="162">
        <f t="shared" si="2126"/>
        <v>8.5773884021693794E-2</v>
      </c>
      <c r="W219" s="162">
        <f t="shared" si="2126"/>
        <v>7.7513558614935349E-2</v>
      </c>
      <c r="X219" s="162">
        <f t="shared" si="2126"/>
        <v>7.8514810179390909E-2</v>
      </c>
      <c r="Y219" s="162">
        <f t="shared" si="2126"/>
        <v>8.9027951606174383E-2</v>
      </c>
      <c r="Z219" s="162">
        <f t="shared" si="2126"/>
        <v>7.375886524822696E-2</v>
      </c>
      <c r="AA219" s="162">
        <f t="shared" si="2126"/>
        <v>7.951606174384647E-2</v>
      </c>
      <c r="AB219" s="162">
        <f t="shared" si="2126"/>
        <v>9.4367959949937422E-2</v>
      </c>
      <c r="AC219" s="162">
        <f t="shared" si="2126"/>
        <v>0.1286608260325407</v>
      </c>
      <c r="AD219" s="162">
        <f t="shared" si="2126"/>
        <v>6.1576971214017527E-2</v>
      </c>
      <c r="AE219" s="162">
        <f t="shared" si="2126"/>
        <v>6.9837296620775965E-2</v>
      </c>
      <c r="AF219" s="162">
        <f t="shared" si="2126"/>
        <v>8.1184814351272422E-2</v>
      </c>
      <c r="AG219" s="162">
        <f t="shared" si="2126"/>
        <v>8.026700041718815E-2</v>
      </c>
      <c r="AH219" s="162">
        <f t="shared" si="2126"/>
        <v>8.5773884021693794E-2</v>
      </c>
      <c r="AI219" s="162">
        <f t="shared" si="2126"/>
        <v>7.7513558614935349E-2</v>
      </c>
      <c r="AJ219" s="162">
        <f t="shared" si="2126"/>
        <v>7.8514810179390909E-2</v>
      </c>
      <c r="AK219" s="162">
        <f t="shared" si="2126"/>
        <v>8.9027951606174383E-2</v>
      </c>
      <c r="AL219" s="162">
        <f t="shared" si="2126"/>
        <v>7.375886524822696E-2</v>
      </c>
      <c r="AM219" s="162">
        <f t="shared" si="2126"/>
        <v>7.951606174384647E-2</v>
      </c>
      <c r="AN219" s="162">
        <f t="shared" si="2126"/>
        <v>9.4367959949937422E-2</v>
      </c>
      <c r="AO219" s="162">
        <f t="shared" si="2126"/>
        <v>0.1286608260325407</v>
      </c>
      <c r="AP219" s="162">
        <f t="shared" si="2126"/>
        <v>6.1576971214017527E-2</v>
      </c>
      <c r="AQ219" s="162">
        <f t="shared" si="2126"/>
        <v>6.9837296620775965E-2</v>
      </c>
      <c r="AR219" s="162">
        <f t="shared" si="2126"/>
        <v>8.1184814351272422E-2</v>
      </c>
      <c r="AS219" s="162">
        <f t="shared" si="2126"/>
        <v>8.026700041718815E-2</v>
      </c>
      <c r="AT219" s="162">
        <f t="shared" si="2126"/>
        <v>8.5773884021693794E-2</v>
      </c>
      <c r="AU219" s="162">
        <f t="shared" si="2126"/>
        <v>7.7513558614935349E-2</v>
      </c>
      <c r="AV219" s="162">
        <f t="shared" si="2126"/>
        <v>7.8514810179390909E-2</v>
      </c>
      <c r="AW219" s="162">
        <f t="shared" si="2126"/>
        <v>8.9027951606174383E-2</v>
      </c>
      <c r="AX219" s="162">
        <f t="shared" si="2126"/>
        <v>7.375886524822696E-2</v>
      </c>
      <c r="AY219" s="162">
        <f t="shared" si="2126"/>
        <v>7.951606174384647E-2</v>
      </c>
      <c r="AZ219" s="162">
        <f t="shared" si="2126"/>
        <v>9.4367959949937422E-2</v>
      </c>
      <c r="BA219" s="162">
        <f t="shared" si="2126"/>
        <v>0.1286608260325407</v>
      </c>
      <c r="BB219" s="162">
        <f t="shared" si="2126"/>
        <v>6.1576971214017527E-2</v>
      </c>
      <c r="BC219" s="162">
        <f t="shared" si="2126"/>
        <v>6.9837296620775965E-2</v>
      </c>
      <c r="BD219" s="162">
        <f t="shared" si="2126"/>
        <v>8.1184814351272422E-2</v>
      </c>
      <c r="BE219" s="162">
        <f t="shared" si="2126"/>
        <v>8.026700041718815E-2</v>
      </c>
      <c r="BF219" s="162">
        <f t="shared" si="2126"/>
        <v>8.5773884021693794E-2</v>
      </c>
      <c r="BG219" s="162">
        <f t="shared" si="2126"/>
        <v>7.7513558614935349E-2</v>
      </c>
      <c r="BH219" s="162">
        <f t="shared" si="2126"/>
        <v>7.8514810179390909E-2</v>
      </c>
      <c r="BI219" s="162">
        <f t="shared" si="2126"/>
        <v>8.9027951606174383E-2</v>
      </c>
      <c r="BJ219" s="162">
        <f t="shared" si="2126"/>
        <v>7.375886524822696E-2</v>
      </c>
      <c r="BK219" s="162">
        <f t="shared" si="2126"/>
        <v>7.951606174384647E-2</v>
      </c>
      <c r="BL219" s="162">
        <f t="shared" si="2126"/>
        <v>9.4367959949937422E-2</v>
      </c>
      <c r="BM219" s="162">
        <f t="shared" si="2126"/>
        <v>0.1286608260325407</v>
      </c>
      <c r="BN219" s="162">
        <f t="shared" si="2126"/>
        <v>6.1576971214017527E-2</v>
      </c>
      <c r="BO219" s="162">
        <f t="shared" si="2126"/>
        <v>6.9837296620775965E-2</v>
      </c>
      <c r="BP219" s="162">
        <f t="shared" si="2126"/>
        <v>8.1184814351272422E-2</v>
      </c>
      <c r="BQ219" s="162">
        <f t="shared" si="2126"/>
        <v>8.026700041718815E-2</v>
      </c>
      <c r="BR219" s="162">
        <f t="shared" si="2126"/>
        <v>8.5773884021693794E-2</v>
      </c>
      <c r="BS219" s="162">
        <f t="shared" si="2126"/>
        <v>7.7513558614935349E-2</v>
      </c>
      <c r="BT219" s="162">
        <f t="shared" si="2126"/>
        <v>7.8514810179390909E-2</v>
      </c>
      <c r="BU219" s="162">
        <f t="shared" si="2126"/>
        <v>8.9027951606174383E-2</v>
      </c>
      <c r="BV219" s="162">
        <f t="shared" si="2126"/>
        <v>7.375886524822696E-2</v>
      </c>
      <c r="BW219" s="162">
        <f t="shared" si="2126"/>
        <v>7.951606174384647E-2</v>
      </c>
      <c r="BX219" s="162">
        <f t="shared" si="2126"/>
        <v>9.4367959949937422E-2</v>
      </c>
      <c r="BY219" s="162">
        <f t="shared" si="2126"/>
        <v>0.1286608260325407</v>
      </c>
    </row>
    <row r="220" spans="2:79" customFormat="1" outlineLevel="1" x14ac:dyDescent="0.25">
      <c r="B220" s="1"/>
      <c r="C220" s="19" t="s">
        <v>131</v>
      </c>
      <c r="D220" s="37" t="s">
        <v>101</v>
      </c>
      <c r="E220" s="66"/>
      <c r="F220" s="156">
        <f>+$E215*$E179*F$18*F219</f>
        <v>540892.11514392996</v>
      </c>
      <c r="G220" s="156">
        <f t="shared" ref="G220:BR220" si="2127">+$E215*$E179*G$18*G219</f>
        <v>613450.8135168961</v>
      </c>
      <c r="H220" s="156">
        <f t="shared" si="2127"/>
        <v>713127.40926157695</v>
      </c>
      <c r="I220" s="156">
        <f t="shared" si="2127"/>
        <v>705065.33166458074</v>
      </c>
      <c r="J220" s="156">
        <f t="shared" si="2127"/>
        <v>753437.79724655824</v>
      </c>
      <c r="K220" s="156">
        <f t="shared" si="2127"/>
        <v>680879.0988735921</v>
      </c>
      <c r="L220" s="156">
        <f t="shared" si="2127"/>
        <v>689674.09261576971</v>
      </c>
      <c r="M220" s="156">
        <f t="shared" si="2127"/>
        <v>782021.52690863574</v>
      </c>
      <c r="N220" s="156">
        <f t="shared" si="2127"/>
        <v>647897.87234042562</v>
      </c>
      <c r="O220" s="156">
        <f t="shared" si="2127"/>
        <v>698469.08635794744</v>
      </c>
      <c r="P220" s="156">
        <f t="shared" si="2127"/>
        <v>828928.16020025034</v>
      </c>
      <c r="Q220" s="156">
        <f t="shared" si="2127"/>
        <v>1130156.6958698374</v>
      </c>
      <c r="R220" s="156">
        <f t="shared" si="2127"/>
        <v>557118.87859824789</v>
      </c>
      <c r="S220" s="156">
        <f t="shared" si="2127"/>
        <v>631854.33792240301</v>
      </c>
      <c r="T220" s="156">
        <f t="shared" si="2127"/>
        <v>734521.23153942428</v>
      </c>
      <c r="U220" s="156">
        <f t="shared" si="2127"/>
        <v>726217.29161451815</v>
      </c>
      <c r="V220" s="156">
        <f t="shared" si="2127"/>
        <v>776040.93116395501</v>
      </c>
      <c r="W220" s="156">
        <f t="shared" si="2127"/>
        <v>701305.47183979989</v>
      </c>
      <c r="X220" s="156">
        <f t="shared" si="2127"/>
        <v>710364.31539424288</v>
      </c>
      <c r="Y220" s="156">
        <f t="shared" si="2127"/>
        <v>805482.17271589488</v>
      </c>
      <c r="Z220" s="156">
        <f t="shared" si="2127"/>
        <v>667334.80851063842</v>
      </c>
      <c r="AA220" s="156">
        <f t="shared" si="2127"/>
        <v>719423.15894868586</v>
      </c>
      <c r="AB220" s="156">
        <f t="shared" si="2127"/>
        <v>853796.00500625779</v>
      </c>
      <c r="AC220" s="156">
        <f t="shared" si="2127"/>
        <v>1164061.3967459325</v>
      </c>
      <c r="AD220" s="156">
        <f t="shared" si="2127"/>
        <v>573832.44495619531</v>
      </c>
      <c r="AE220" s="156">
        <f t="shared" si="2127"/>
        <v>650809.96806007507</v>
      </c>
      <c r="AF220" s="156">
        <f t="shared" si="2127"/>
        <v>756556.86848560697</v>
      </c>
      <c r="AG220" s="156">
        <f t="shared" si="2127"/>
        <v>748003.81036295369</v>
      </c>
      <c r="AH220" s="156">
        <f t="shared" si="2127"/>
        <v>799322.15909887361</v>
      </c>
      <c r="AI220" s="156">
        <f t="shared" si="2127"/>
        <v>722344.63599499385</v>
      </c>
      <c r="AJ220" s="156">
        <f t="shared" si="2127"/>
        <v>731675.24485607015</v>
      </c>
      <c r="AK220" s="156">
        <f t="shared" si="2127"/>
        <v>829646.63789737166</v>
      </c>
      <c r="AL220" s="156">
        <f t="shared" si="2127"/>
        <v>687354.85276595748</v>
      </c>
      <c r="AM220" s="156">
        <f t="shared" si="2127"/>
        <v>741005.85371714632</v>
      </c>
      <c r="AN220" s="156">
        <f t="shared" si="2127"/>
        <v>879409.88515644555</v>
      </c>
      <c r="AO220" s="156">
        <f t="shared" si="2127"/>
        <v>1198983.2386483105</v>
      </c>
      <c r="AP220" s="156">
        <f t="shared" si="2127"/>
        <v>588178.2560801002</v>
      </c>
      <c r="AQ220" s="156">
        <f t="shared" si="2127"/>
        <v>667080.21726157691</v>
      </c>
      <c r="AR220" s="156">
        <f t="shared" si="2127"/>
        <v>775470.79019774718</v>
      </c>
      <c r="AS220" s="156">
        <f t="shared" si="2127"/>
        <v>766703.90562202758</v>
      </c>
      <c r="AT220" s="156">
        <f t="shared" si="2127"/>
        <v>819305.21307634551</v>
      </c>
      <c r="AU220" s="156">
        <f t="shared" si="2127"/>
        <v>740403.25189486868</v>
      </c>
      <c r="AV220" s="156">
        <f t="shared" si="2127"/>
        <v>749967.12597747194</v>
      </c>
      <c r="AW220" s="156">
        <f t="shared" si="2127"/>
        <v>850387.80384480604</v>
      </c>
      <c r="AX220" s="156">
        <f t="shared" si="2127"/>
        <v>704538.72408510651</v>
      </c>
      <c r="AY220" s="156">
        <f t="shared" si="2127"/>
        <v>759531.00006007508</v>
      </c>
      <c r="AZ220" s="156">
        <f t="shared" si="2127"/>
        <v>901395.13228535675</v>
      </c>
      <c r="BA220" s="156">
        <f t="shared" si="2127"/>
        <v>1228957.8196145184</v>
      </c>
      <c r="BB220" s="156">
        <f t="shared" si="2127"/>
        <v>602882.71248210256</v>
      </c>
      <c r="BC220" s="156">
        <f t="shared" si="2127"/>
        <v>683757.22269311629</v>
      </c>
      <c r="BD220" s="156">
        <f t="shared" si="2127"/>
        <v>794857.55995269073</v>
      </c>
      <c r="BE220" s="156">
        <f t="shared" si="2127"/>
        <v>785871.50326257816</v>
      </c>
      <c r="BF220" s="156">
        <f t="shared" si="2127"/>
        <v>839787.84340325405</v>
      </c>
      <c r="BG220" s="156">
        <f t="shared" si="2127"/>
        <v>758913.33319224033</v>
      </c>
      <c r="BH220" s="156">
        <f t="shared" si="2127"/>
        <v>768716.30412690854</v>
      </c>
      <c r="BI220" s="156">
        <f t="shared" si="2127"/>
        <v>871647.49894092605</v>
      </c>
      <c r="BJ220" s="156">
        <f t="shared" si="2127"/>
        <v>722152.19218723406</v>
      </c>
      <c r="BK220" s="156">
        <f t="shared" si="2127"/>
        <v>778519.27506157686</v>
      </c>
      <c r="BL220" s="156">
        <f t="shared" si="2127"/>
        <v>923930.01059249055</v>
      </c>
      <c r="BM220" s="156">
        <f t="shared" si="2127"/>
        <v>1259681.7651048813</v>
      </c>
      <c r="BN220" s="156">
        <f t="shared" si="2127"/>
        <v>614940.36673174473</v>
      </c>
      <c r="BO220" s="156">
        <f t="shared" si="2127"/>
        <v>697432.36714697862</v>
      </c>
      <c r="BP220" s="156">
        <f t="shared" si="2127"/>
        <v>810754.7111517447</v>
      </c>
      <c r="BQ220" s="156">
        <f t="shared" si="2127"/>
        <v>801588.93332782981</v>
      </c>
      <c r="BR220" s="156">
        <f t="shared" si="2127"/>
        <v>856583.60027131927</v>
      </c>
      <c r="BS220" s="156">
        <f t="shared" ref="BS220:BY220" si="2128">+$E215*$E179*BS$18*BS219</f>
        <v>774091.59985608526</v>
      </c>
      <c r="BT220" s="156">
        <f t="shared" si="2128"/>
        <v>784090.63020944688</v>
      </c>
      <c r="BU220" s="156">
        <f t="shared" si="2128"/>
        <v>889080.4489197447</v>
      </c>
      <c r="BV220" s="156">
        <f t="shared" si="2128"/>
        <v>736595.23603097885</v>
      </c>
      <c r="BW220" s="156">
        <f t="shared" si="2128"/>
        <v>794089.66056280839</v>
      </c>
      <c r="BX220" s="156">
        <f t="shared" si="2128"/>
        <v>942408.61080434045</v>
      </c>
      <c r="BY220" s="156">
        <f t="shared" si="2128"/>
        <v>1284875.400406979</v>
      </c>
    </row>
    <row r="221" spans="2:79" customFormat="1" outlineLevel="1" x14ac:dyDescent="0.25">
      <c r="B221" s="1"/>
      <c r="C221" s="66"/>
      <c r="D221" s="66"/>
      <c r="E221" s="66"/>
      <c r="F221" s="297"/>
      <c r="G221" s="156"/>
      <c r="H221" s="156"/>
      <c r="I221" s="163"/>
      <c r="J221" s="66"/>
      <c r="K221" s="66"/>
      <c r="L221" s="66"/>
      <c r="M221" s="66"/>
      <c r="N221" s="66"/>
      <c r="O221" s="66"/>
      <c r="P221" s="66"/>
      <c r="Q221" s="66"/>
      <c r="AV221" s="236"/>
      <c r="AW221" s="236"/>
      <c r="AX221" s="236"/>
      <c r="AY221" s="236"/>
      <c r="AZ221" s="236"/>
      <c r="BA221" s="236"/>
      <c r="BB221" s="236"/>
    </row>
    <row r="222" spans="2:79" customFormat="1" outlineLevel="1" x14ac:dyDescent="0.25">
      <c r="B222" s="1"/>
      <c r="C222" s="19" t="s">
        <v>126</v>
      </c>
      <c r="D222" s="37" t="s">
        <v>101</v>
      </c>
      <c r="E222" s="66"/>
      <c r="F222" s="62">
        <f t="shared" ref="F222:AK222" si="2129">IF(F$5&gt;$E180,MAX(0,F220-$E217*F$18)*$E218*IF(AND(F$5&gt;$E182,F$5&lt;=$E191),Renewal_Probability,1),0)</f>
        <v>1635.6846057571984</v>
      </c>
      <c r="G222" s="62">
        <f t="shared" si="2129"/>
        <v>4538.0325406758438</v>
      </c>
      <c r="H222" s="62">
        <f t="shared" si="2129"/>
        <v>8525.0963704630776</v>
      </c>
      <c r="I222" s="62">
        <f t="shared" si="2129"/>
        <v>8202.6132665832301</v>
      </c>
      <c r="J222" s="62">
        <f t="shared" si="2129"/>
        <v>10137.51188986233</v>
      </c>
      <c r="K222" s="62">
        <f t="shared" si="2129"/>
        <v>7235.1639549436841</v>
      </c>
      <c r="L222" s="62">
        <f t="shared" si="2129"/>
        <v>7586.9637046307889</v>
      </c>
      <c r="M222" s="62">
        <f t="shared" si="2129"/>
        <v>11280.861076345431</v>
      </c>
      <c r="N222" s="62">
        <f t="shared" si="2129"/>
        <v>5915.914893617025</v>
      </c>
      <c r="O222" s="62">
        <f t="shared" si="2129"/>
        <v>7938.7634543178974</v>
      </c>
      <c r="P222" s="62">
        <f t="shared" si="2129"/>
        <v>13157.126408010014</v>
      </c>
      <c r="Q222" s="62">
        <f t="shared" si="2129"/>
        <v>25206.267834793496</v>
      </c>
      <c r="R222" s="62">
        <f t="shared" si="2129"/>
        <v>1684.7551439299154</v>
      </c>
      <c r="S222" s="62">
        <f t="shared" si="2129"/>
        <v>4674.1735168961204</v>
      </c>
      <c r="T222" s="62">
        <f t="shared" si="2129"/>
        <v>8780.8492615769719</v>
      </c>
      <c r="U222" s="62">
        <f t="shared" si="2129"/>
        <v>8448.6916645807269</v>
      </c>
      <c r="V222" s="62">
        <f t="shared" si="2129"/>
        <v>10441.637246558201</v>
      </c>
      <c r="W222" s="62">
        <f t="shared" si="2129"/>
        <v>7452.2188735919963</v>
      </c>
      <c r="X222" s="62">
        <f t="shared" si="2129"/>
        <v>7814.5726157697154</v>
      </c>
      <c r="Y222" s="62">
        <f t="shared" si="2129"/>
        <v>11619.286908635795</v>
      </c>
      <c r="Z222" s="62">
        <f t="shared" si="2129"/>
        <v>6093.3923404255374</v>
      </c>
      <c r="AA222" s="62">
        <f t="shared" si="2129"/>
        <v>8176.9263579474346</v>
      </c>
      <c r="AB222" s="62">
        <f t="shared" si="2129"/>
        <v>13551.840200250312</v>
      </c>
      <c r="AC222" s="62">
        <f t="shared" si="2129"/>
        <v>25962.4558698373</v>
      </c>
      <c r="AD222" s="62">
        <f t="shared" si="2129"/>
        <v>1735.2977982478124</v>
      </c>
      <c r="AE222" s="62">
        <f t="shared" si="2129"/>
        <v>4814.3987224030034</v>
      </c>
      <c r="AF222" s="62">
        <f t="shared" si="2129"/>
        <v>9044.2747394242797</v>
      </c>
      <c r="AG222" s="62">
        <f t="shared" si="2129"/>
        <v>8702.1524145181484</v>
      </c>
      <c r="AH222" s="62">
        <f t="shared" si="2129"/>
        <v>10754.886363954945</v>
      </c>
      <c r="AI222" s="62">
        <f t="shared" si="2129"/>
        <v>7675.7854397997544</v>
      </c>
      <c r="AJ222" s="62">
        <f t="shared" si="2129"/>
        <v>8049.0097942428056</v>
      </c>
      <c r="AK222" s="62">
        <f t="shared" si="2129"/>
        <v>11967.865515894866</v>
      </c>
      <c r="AL222" s="62">
        <f t="shared" ref="AL222:BQ222" si="2130">IF(AL$5&gt;$E180,MAX(0,AL220-$E217*AL$18)*$E218*IF(AND(AL$5&gt;$E182,AL$5&lt;=$E191),Renewal_Probability,1),0)</f>
        <v>6276.1941106382992</v>
      </c>
      <c r="AM222" s="62">
        <f t="shared" si="2130"/>
        <v>8422.2341486858531</v>
      </c>
      <c r="AN222" s="62">
        <f t="shared" si="2130"/>
        <v>13958.395406257823</v>
      </c>
      <c r="AO222" s="62">
        <f t="shared" si="2130"/>
        <v>26741.329545932422</v>
      </c>
      <c r="AP222" s="62">
        <f t="shared" si="2130"/>
        <v>1778.6802432040079</v>
      </c>
      <c r="AQ222" s="62">
        <f t="shared" si="2130"/>
        <v>4934.7586904630762</v>
      </c>
      <c r="AR222" s="62">
        <f t="shared" si="2130"/>
        <v>9270.381607909887</v>
      </c>
      <c r="AS222" s="62">
        <f t="shared" si="2130"/>
        <v>8919.7062248811035</v>
      </c>
      <c r="AT222" s="62">
        <f t="shared" si="2130"/>
        <v>11023.758523053821</v>
      </c>
      <c r="AU222" s="62">
        <f t="shared" si="2130"/>
        <v>7867.6800757947476</v>
      </c>
      <c r="AV222" s="62">
        <f t="shared" si="2130"/>
        <v>4950.1410234593268</v>
      </c>
      <c r="AW222" s="62">
        <f t="shared" si="2130"/>
        <v>7360.2372922753448</v>
      </c>
      <c r="AX222" s="62">
        <f t="shared" si="2130"/>
        <v>3859.8593780425563</v>
      </c>
      <c r="AY222" s="62">
        <f t="shared" si="2130"/>
        <v>5179.6740014418019</v>
      </c>
      <c r="AZ222" s="62">
        <f t="shared" si="2130"/>
        <v>8584.4131748485615</v>
      </c>
      <c r="BA222" s="62">
        <f t="shared" si="2130"/>
        <v>16445.917670748444</v>
      </c>
      <c r="BB222" s="62">
        <f t="shared" si="2130"/>
        <v>1823.1472492841026</v>
      </c>
      <c r="BC222" s="62">
        <f t="shared" si="2130"/>
        <v>5058.1276577246517</v>
      </c>
      <c r="BD222" s="62">
        <f t="shared" si="2130"/>
        <v>9502.1411481076302</v>
      </c>
      <c r="BE222" s="62">
        <f t="shared" si="2130"/>
        <v>9142.6988805031269</v>
      </c>
      <c r="BF222" s="62">
        <f t="shared" si="2130"/>
        <v>11299.352486130163</v>
      </c>
      <c r="BG222" s="62">
        <f t="shared" si="2130"/>
        <v>8064.3720776896134</v>
      </c>
      <c r="BH222" s="62">
        <f t="shared" si="2130"/>
        <v>8456.4909150763415</v>
      </c>
      <c r="BI222" s="62">
        <f t="shared" si="2130"/>
        <v>12573.738707637041</v>
      </c>
      <c r="BJ222" s="62">
        <f t="shared" si="2130"/>
        <v>6593.9264374893628</v>
      </c>
      <c r="BK222" s="62">
        <f t="shared" si="2130"/>
        <v>8848.609752463075</v>
      </c>
      <c r="BL222" s="62">
        <f t="shared" si="2130"/>
        <v>14665.039173699623</v>
      </c>
      <c r="BM222" s="62">
        <f t="shared" si="2130"/>
        <v>28095.10935419525</v>
      </c>
      <c r="BN222" s="62">
        <f t="shared" si="2130"/>
        <v>1859.6101942697912</v>
      </c>
      <c r="BO222" s="62">
        <f t="shared" si="2130"/>
        <v>5159.2902108791468</v>
      </c>
      <c r="BP222" s="62">
        <f t="shared" si="2130"/>
        <v>9692.1839710697914</v>
      </c>
      <c r="BQ222" s="62">
        <f t="shared" si="2130"/>
        <v>9325.5528581131948</v>
      </c>
      <c r="BR222" s="62">
        <f t="shared" ref="BR222:BY222" si="2131">IF(BR$5&gt;$E180,MAX(0,BR220-$E217*BR$18)*$E218*IF(AND(BR$5&gt;$E182,BR$5&lt;=$E191),Renewal_Probability,1),0)</f>
        <v>11525.339535852774</v>
      </c>
      <c r="BS222" s="62">
        <f t="shared" si="2131"/>
        <v>8225.6595192434124</v>
      </c>
      <c r="BT222" s="62">
        <f t="shared" si="2131"/>
        <v>8625.6207333778784</v>
      </c>
      <c r="BU222" s="62">
        <f t="shared" si="2131"/>
        <v>12825.21348178979</v>
      </c>
      <c r="BV222" s="62">
        <f t="shared" si="2131"/>
        <v>6725.8049662391568</v>
      </c>
      <c r="BW222" s="62">
        <f t="shared" si="2131"/>
        <v>9025.581947512339</v>
      </c>
      <c r="BX222" s="62">
        <f t="shared" si="2131"/>
        <v>14958.339957173621</v>
      </c>
      <c r="BY222" s="62">
        <f t="shared" si="2131"/>
        <v>28657.011541279164</v>
      </c>
      <c r="CA222" s="298"/>
    </row>
    <row r="223" spans="2:79" customFormat="1" outlineLevel="1" x14ac:dyDescent="0.25">
      <c r="B223" s="1"/>
      <c r="C223" s="1"/>
      <c r="D223" s="1"/>
      <c r="E223" s="301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2"/>
      <c r="AZ223" s="62"/>
      <c r="BA223" s="62"/>
      <c r="BB223" s="62"/>
      <c r="BC223" s="62"/>
      <c r="BD223" s="62"/>
      <c r="BE223" s="62"/>
      <c r="BF223" s="62"/>
      <c r="BG223" s="62"/>
      <c r="BH223" s="62"/>
      <c r="BI223" s="62"/>
      <c r="BJ223" s="62"/>
      <c r="BK223" s="62"/>
      <c r="BL223" s="62"/>
      <c r="BM223" s="62"/>
      <c r="BN223" s="62"/>
      <c r="BO223" s="62"/>
      <c r="BP223" s="62"/>
      <c r="BQ223" s="62"/>
      <c r="BR223" s="62"/>
      <c r="BS223" s="62"/>
      <c r="BT223" s="62"/>
      <c r="BU223" s="62"/>
      <c r="BV223" s="62"/>
      <c r="BW223" s="62"/>
      <c r="BX223" s="62"/>
      <c r="BY223" s="62"/>
      <c r="CA223" s="298"/>
    </row>
    <row r="224" spans="2:79" customFormat="1" outlineLevel="1" x14ac:dyDescent="0.25">
      <c r="B224" s="1"/>
      <c r="C224" s="46" t="s">
        <v>287</v>
      </c>
      <c r="D224" s="47"/>
      <c r="E224" s="48"/>
      <c r="F224" s="48"/>
      <c r="G224" s="48"/>
      <c r="H224" s="48"/>
      <c r="I224" s="48"/>
      <c r="J224" s="48"/>
      <c r="K224" s="48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49"/>
      <c r="BV224" s="49"/>
      <c r="BW224" s="49"/>
      <c r="BX224" s="49"/>
      <c r="BY224" s="49"/>
    </row>
    <row r="225" spans="2:77" customFormat="1" outlineLevel="1" x14ac:dyDescent="0.25">
      <c r="B225" s="1"/>
      <c r="C225" s="74" t="s">
        <v>114</v>
      </c>
      <c r="D225" s="53" t="s">
        <v>16</v>
      </c>
      <c r="E225" s="11">
        <v>0.1</v>
      </c>
      <c r="F225" s="60"/>
      <c r="G225" s="60"/>
      <c r="H225" s="60"/>
      <c r="I225" s="60"/>
      <c r="J225" s="60"/>
      <c r="K225" s="60"/>
      <c r="L225" s="61"/>
      <c r="M225" s="61"/>
      <c r="N225" s="61"/>
    </row>
    <row r="226" spans="2:77" customFormat="1" outlineLevel="1" x14ac:dyDescent="0.25">
      <c r="B226" s="1"/>
      <c r="C226" s="50" t="s">
        <v>115</v>
      </c>
      <c r="D226" s="55" t="s">
        <v>22</v>
      </c>
      <c r="E226" s="146">
        <f>+E225*Rentable_Sq_Ft</f>
        <v>5490</v>
      </c>
      <c r="F226" s="1"/>
      <c r="G226" s="1"/>
      <c r="H226" s="1"/>
      <c r="I226" s="1"/>
      <c r="J226" s="1"/>
    </row>
    <row r="227" spans="2:77" customFormat="1" outlineLevel="1" x14ac:dyDescent="0.25">
      <c r="B227" s="1"/>
      <c r="C227" s="50" t="s">
        <v>39</v>
      </c>
      <c r="D227" s="36" t="s">
        <v>13</v>
      </c>
      <c r="E227" s="145">
        <f>IF(ISNUMBER(Annual!E108),Annual!E108,EOMONTH(Monthly!BY5,1))</f>
        <v>44012</v>
      </c>
      <c r="F227" s="1"/>
      <c r="G227" s="1"/>
      <c r="H227" s="1"/>
      <c r="I227" s="1"/>
      <c r="J227" s="1"/>
    </row>
    <row r="228" spans="2:77" customFormat="1" outlineLevel="1" x14ac:dyDescent="0.25">
      <c r="B228" s="1"/>
      <c r="C228" s="50" t="s">
        <v>55</v>
      </c>
      <c r="D228" s="36" t="s">
        <v>17</v>
      </c>
      <c r="E228" s="295">
        <f>New_Lease_Years</f>
        <v>5</v>
      </c>
      <c r="F228" s="1"/>
      <c r="G228" s="1"/>
      <c r="H228" s="1"/>
      <c r="I228" s="1"/>
      <c r="J228" s="1"/>
    </row>
    <row r="229" spans="2:77" customFormat="1" outlineLevel="1" x14ac:dyDescent="0.25">
      <c r="B229" s="1"/>
      <c r="C229" s="50" t="s">
        <v>23</v>
      </c>
      <c r="D229" s="36" t="s">
        <v>13</v>
      </c>
      <c r="E229" s="145">
        <f>EOMONTH(E227,E228*Months)</f>
        <v>45838</v>
      </c>
      <c r="F229" s="1"/>
      <c r="G229" s="1"/>
      <c r="H229" s="1"/>
      <c r="I229" s="1"/>
      <c r="J229" s="1"/>
    </row>
    <row r="230" spans="2:77" customFormat="1" outlineLevel="1" x14ac:dyDescent="0.25">
      <c r="B230" s="1"/>
      <c r="C230" s="74" t="s">
        <v>263</v>
      </c>
      <c r="D230" s="38" t="s">
        <v>16</v>
      </c>
      <c r="E230" s="105">
        <f>INDEX(Annual!$F$65:$K$92,16,INDEX(Monthly!$F$5:$BY$9,5,MATCH(E227,$F$5:$BY$5,0)))</f>
        <v>2.5000000000000001E-2</v>
      </c>
      <c r="F230" s="105">
        <f>IF(AND(E$5&gt;$E227,F$5&lt;$E229,MONTH(E$5)=MONTH($E227)),$E230,0)</f>
        <v>0</v>
      </c>
      <c r="G230" s="105">
        <f t="shared" ref="G230" si="2132">IF(AND(F$5&gt;$E227,G$5&lt;$E229,MONTH(F$5)=MONTH($E227)),$E230,0)</f>
        <v>0</v>
      </c>
      <c r="H230" s="105">
        <f t="shared" ref="H230" si="2133">IF(AND(G$5&gt;$E227,H$5&lt;$E229,MONTH(G$5)=MONTH($E227)),$E230,0)</f>
        <v>0</v>
      </c>
      <c r="I230" s="105">
        <f t="shared" ref="I230" si="2134">IF(AND(H$5&gt;$E227,I$5&lt;$E229,MONTH(H$5)=MONTH($E227)),$E230,0)</f>
        <v>0</v>
      </c>
      <c r="J230" s="105">
        <f t="shared" ref="J230" si="2135">IF(AND(I$5&gt;$E227,J$5&lt;$E229,MONTH(I$5)=MONTH($E227)),$E230,0)</f>
        <v>0</v>
      </c>
      <c r="K230" s="105">
        <f t="shared" ref="K230" si="2136">IF(AND(J$5&gt;$E227,K$5&lt;$E229,MONTH(J$5)=MONTH($E227)),$E230,0)</f>
        <v>0</v>
      </c>
      <c r="L230" s="105">
        <f t="shared" ref="L230" si="2137">IF(AND(K$5&gt;$E227,L$5&lt;$E229,MONTH(K$5)=MONTH($E227)),$E230,0)</f>
        <v>0</v>
      </c>
      <c r="M230" s="105">
        <f t="shared" ref="M230" si="2138">IF(AND(L$5&gt;$E227,M$5&lt;$E229,MONTH(L$5)=MONTH($E227)),$E230,0)</f>
        <v>0</v>
      </c>
      <c r="N230" s="105">
        <f t="shared" ref="N230" si="2139">IF(AND(M$5&gt;$E227,N$5&lt;$E229,MONTH(M$5)=MONTH($E227)),$E230,0)</f>
        <v>0</v>
      </c>
      <c r="O230" s="105">
        <f t="shared" ref="O230" si="2140">IF(AND(N$5&gt;$E227,O$5&lt;$E229,MONTH(N$5)=MONTH($E227)),$E230,0)</f>
        <v>0</v>
      </c>
      <c r="P230" s="105">
        <f t="shared" ref="P230" si="2141">IF(AND(O$5&gt;$E227,P$5&lt;$E229,MONTH(O$5)=MONTH($E227)),$E230,0)</f>
        <v>0</v>
      </c>
      <c r="Q230" s="105">
        <f t="shared" ref="Q230" si="2142">IF(AND(P$5&gt;$E227,Q$5&lt;$E229,MONTH(P$5)=MONTH($E227)),$E230,0)</f>
        <v>0</v>
      </c>
      <c r="R230" s="105">
        <f t="shared" ref="R230" si="2143">IF(AND(Q$5&gt;$E227,R$5&lt;$E229,MONTH(Q$5)=MONTH($E227)),$E230,0)</f>
        <v>0</v>
      </c>
      <c r="S230" s="105">
        <f t="shared" ref="S230" si="2144">IF(AND(R$5&gt;$E227,S$5&lt;$E229,MONTH(R$5)=MONTH($E227)),$E230,0)</f>
        <v>0</v>
      </c>
      <c r="T230" s="105">
        <f t="shared" ref="T230" si="2145">IF(AND(S$5&gt;$E227,T$5&lt;$E229,MONTH(S$5)=MONTH($E227)),$E230,0)</f>
        <v>0</v>
      </c>
      <c r="U230" s="105">
        <f t="shared" ref="U230" si="2146">IF(AND(T$5&gt;$E227,U$5&lt;$E229,MONTH(T$5)=MONTH($E227)),$E230,0)</f>
        <v>0</v>
      </c>
      <c r="V230" s="105">
        <f t="shared" ref="V230" si="2147">IF(AND(U$5&gt;$E227,V$5&lt;$E229,MONTH(U$5)=MONTH($E227)),$E230,0)</f>
        <v>0</v>
      </c>
      <c r="W230" s="105">
        <f t="shared" ref="W230" si="2148">IF(AND(V$5&gt;$E227,W$5&lt;$E229,MONTH(V$5)=MONTH($E227)),$E230,0)</f>
        <v>0</v>
      </c>
      <c r="X230" s="105">
        <f t="shared" ref="X230" si="2149">IF(AND(W$5&gt;$E227,X$5&lt;$E229,MONTH(W$5)=MONTH($E227)),$E230,0)</f>
        <v>0</v>
      </c>
      <c r="Y230" s="105">
        <f t="shared" ref="Y230" si="2150">IF(AND(X$5&gt;$E227,Y$5&lt;$E229,MONTH(X$5)=MONTH($E227)),$E230,0)</f>
        <v>0</v>
      </c>
      <c r="Z230" s="105">
        <f t="shared" ref="Z230" si="2151">IF(AND(Y$5&gt;$E227,Z$5&lt;$E229,MONTH(Y$5)=MONTH($E227)),$E230,0)</f>
        <v>0</v>
      </c>
      <c r="AA230" s="105">
        <f t="shared" ref="AA230" si="2152">IF(AND(Z$5&gt;$E227,AA$5&lt;$E229,MONTH(Z$5)=MONTH($E227)),$E230,0)</f>
        <v>0</v>
      </c>
      <c r="AB230" s="105">
        <f t="shared" ref="AB230" si="2153">IF(AND(AA$5&gt;$E227,AB$5&lt;$E229,MONTH(AA$5)=MONTH($E227)),$E230,0)</f>
        <v>0</v>
      </c>
      <c r="AC230" s="105">
        <f t="shared" ref="AC230" si="2154">IF(AND(AB$5&gt;$E227,AC$5&lt;$E229,MONTH(AB$5)=MONTH($E227)),$E230,0)</f>
        <v>0</v>
      </c>
      <c r="AD230" s="105">
        <f t="shared" ref="AD230" si="2155">IF(AND(AC$5&gt;$E227,AD$5&lt;$E229,MONTH(AC$5)=MONTH($E227)),$E230,0)</f>
        <v>0</v>
      </c>
      <c r="AE230" s="105">
        <f t="shared" ref="AE230" si="2156">IF(AND(AD$5&gt;$E227,AE$5&lt;$E229,MONTH(AD$5)=MONTH($E227)),$E230,0)</f>
        <v>0</v>
      </c>
      <c r="AF230" s="105">
        <f t="shared" ref="AF230" si="2157">IF(AND(AE$5&gt;$E227,AF$5&lt;$E229,MONTH(AE$5)=MONTH($E227)),$E230,0)</f>
        <v>0</v>
      </c>
      <c r="AG230" s="105">
        <f t="shared" ref="AG230" si="2158">IF(AND(AF$5&gt;$E227,AG$5&lt;$E229,MONTH(AF$5)=MONTH($E227)),$E230,0)</f>
        <v>0</v>
      </c>
      <c r="AH230" s="105">
        <f t="shared" ref="AH230" si="2159">IF(AND(AG$5&gt;$E227,AH$5&lt;$E229,MONTH(AG$5)=MONTH($E227)),$E230,0)</f>
        <v>0</v>
      </c>
      <c r="AI230" s="105">
        <f t="shared" ref="AI230" si="2160">IF(AND(AH$5&gt;$E227,AI$5&lt;$E229,MONTH(AH$5)=MONTH($E227)),$E230,0)</f>
        <v>0</v>
      </c>
      <c r="AJ230" s="105">
        <f t="shared" ref="AJ230" si="2161">IF(AND(AI$5&gt;$E227,AJ$5&lt;$E229,MONTH(AI$5)=MONTH($E227)),$E230,0)</f>
        <v>0</v>
      </c>
      <c r="AK230" s="105">
        <f t="shared" ref="AK230" si="2162">IF(AND(AJ$5&gt;$E227,AK$5&lt;$E229,MONTH(AJ$5)=MONTH($E227)),$E230,0)</f>
        <v>0</v>
      </c>
      <c r="AL230" s="105">
        <f t="shared" ref="AL230" si="2163">IF(AND(AK$5&gt;$E227,AL$5&lt;$E229,MONTH(AK$5)=MONTH($E227)),$E230,0)</f>
        <v>0</v>
      </c>
      <c r="AM230" s="105">
        <f t="shared" ref="AM230" si="2164">IF(AND(AL$5&gt;$E227,AM$5&lt;$E229,MONTH(AL$5)=MONTH($E227)),$E230,0)</f>
        <v>0</v>
      </c>
      <c r="AN230" s="105">
        <f t="shared" ref="AN230" si="2165">IF(AND(AM$5&gt;$E227,AN$5&lt;$E229,MONTH(AM$5)=MONTH($E227)),$E230,0)</f>
        <v>0</v>
      </c>
      <c r="AO230" s="105">
        <f t="shared" ref="AO230" si="2166">IF(AND(AN$5&gt;$E227,AO$5&lt;$E229,MONTH(AN$5)=MONTH($E227)),$E230,0)</f>
        <v>0</v>
      </c>
      <c r="AP230" s="105">
        <f t="shared" ref="AP230" si="2167">IF(AND(AO$5&gt;$E227,AP$5&lt;$E229,MONTH(AO$5)=MONTH($E227)),$E230,0)</f>
        <v>0</v>
      </c>
      <c r="AQ230" s="105">
        <f t="shared" ref="AQ230" si="2168">IF(AND(AP$5&gt;$E227,AQ$5&lt;$E229,MONTH(AP$5)=MONTH($E227)),$E230,0)</f>
        <v>0</v>
      </c>
      <c r="AR230" s="105">
        <f t="shared" ref="AR230" si="2169">IF(AND(AQ$5&gt;$E227,AR$5&lt;$E229,MONTH(AQ$5)=MONTH($E227)),$E230,0)</f>
        <v>0</v>
      </c>
      <c r="AS230" s="105">
        <f t="shared" ref="AS230" si="2170">IF(AND(AR$5&gt;$E227,AS$5&lt;$E229,MONTH(AR$5)=MONTH($E227)),$E230,0)</f>
        <v>0</v>
      </c>
      <c r="AT230" s="105">
        <f t="shared" ref="AT230" si="2171">IF(AND(AS$5&gt;$E227,AT$5&lt;$E229,MONTH(AS$5)=MONTH($E227)),$E230,0)</f>
        <v>0</v>
      </c>
      <c r="AU230" s="105">
        <f t="shared" ref="AU230" si="2172">IF(AND(AT$5&gt;$E227,AU$5&lt;$E229,MONTH(AT$5)=MONTH($E227)),$E230,0)</f>
        <v>0</v>
      </c>
      <c r="AV230" s="105">
        <f t="shared" ref="AV230" si="2173">IF(AND(AU$5&gt;$E227,AV$5&lt;$E229,MONTH(AU$5)=MONTH($E227)),$E230,0)</f>
        <v>2.5000000000000001E-2</v>
      </c>
      <c r="AW230" s="105">
        <f t="shared" ref="AW230" si="2174">IF(AND(AV$5&gt;$E227,AW$5&lt;$E229,MONTH(AV$5)=MONTH($E227)),$E230,0)</f>
        <v>0</v>
      </c>
      <c r="AX230" s="105">
        <f t="shared" ref="AX230" si="2175">IF(AND(AW$5&gt;$E227,AX$5&lt;$E229,MONTH(AW$5)=MONTH($E227)),$E230,0)</f>
        <v>0</v>
      </c>
      <c r="AY230" s="105">
        <f t="shared" ref="AY230" si="2176">IF(AND(AX$5&gt;$E227,AY$5&lt;$E229,MONTH(AX$5)=MONTH($E227)),$E230,0)</f>
        <v>0</v>
      </c>
      <c r="AZ230" s="105">
        <f t="shared" ref="AZ230" si="2177">IF(AND(AY$5&gt;$E227,AZ$5&lt;$E229,MONTH(AY$5)=MONTH($E227)),$E230,0)</f>
        <v>0</v>
      </c>
      <c r="BA230" s="105">
        <f t="shared" ref="BA230" si="2178">IF(AND(AZ$5&gt;$E227,BA$5&lt;$E229,MONTH(AZ$5)=MONTH($E227)),$E230,0)</f>
        <v>0</v>
      </c>
      <c r="BB230" s="105">
        <f t="shared" ref="BB230" si="2179">IF(AND(BA$5&gt;$E227,BB$5&lt;$E229,MONTH(BA$5)=MONTH($E227)),$E230,0)</f>
        <v>0</v>
      </c>
      <c r="BC230" s="105">
        <f t="shared" ref="BC230" si="2180">IF(AND(BB$5&gt;$E227,BC$5&lt;$E229,MONTH(BB$5)=MONTH($E227)),$E230,0)</f>
        <v>0</v>
      </c>
      <c r="BD230" s="105">
        <f t="shared" ref="BD230" si="2181">IF(AND(BC$5&gt;$E227,BD$5&lt;$E229,MONTH(BC$5)=MONTH($E227)),$E230,0)</f>
        <v>0</v>
      </c>
      <c r="BE230" s="105">
        <f t="shared" ref="BE230" si="2182">IF(AND(BD$5&gt;$E227,BE$5&lt;$E229,MONTH(BD$5)=MONTH($E227)),$E230,0)</f>
        <v>0</v>
      </c>
      <c r="BF230" s="105">
        <f t="shared" ref="BF230" si="2183">IF(AND(BE$5&gt;$E227,BF$5&lt;$E229,MONTH(BE$5)=MONTH($E227)),$E230,0)</f>
        <v>0</v>
      </c>
      <c r="BG230" s="105">
        <f t="shared" ref="BG230" si="2184">IF(AND(BF$5&gt;$E227,BG$5&lt;$E229,MONTH(BF$5)=MONTH($E227)),$E230,0)</f>
        <v>0</v>
      </c>
      <c r="BH230" s="105">
        <f t="shared" ref="BH230" si="2185">IF(AND(BG$5&gt;$E227,BH$5&lt;$E229,MONTH(BG$5)=MONTH($E227)),$E230,0)</f>
        <v>2.5000000000000001E-2</v>
      </c>
      <c r="BI230" s="105">
        <f t="shared" ref="BI230" si="2186">IF(AND(BH$5&gt;$E227,BI$5&lt;$E229,MONTH(BH$5)=MONTH($E227)),$E230,0)</f>
        <v>0</v>
      </c>
      <c r="BJ230" s="105">
        <f t="shared" ref="BJ230" si="2187">IF(AND(BI$5&gt;$E227,BJ$5&lt;$E229,MONTH(BI$5)=MONTH($E227)),$E230,0)</f>
        <v>0</v>
      </c>
      <c r="BK230" s="105">
        <f t="shared" ref="BK230" si="2188">IF(AND(BJ$5&gt;$E227,BK$5&lt;$E229,MONTH(BJ$5)=MONTH($E227)),$E230,0)</f>
        <v>0</v>
      </c>
      <c r="BL230" s="105">
        <f t="shared" ref="BL230" si="2189">IF(AND(BK$5&gt;$E227,BL$5&lt;$E229,MONTH(BK$5)=MONTH($E227)),$E230,0)</f>
        <v>0</v>
      </c>
      <c r="BM230" s="105">
        <f t="shared" ref="BM230" si="2190">IF(AND(BL$5&gt;$E227,BM$5&lt;$E229,MONTH(BL$5)=MONTH($E227)),$E230,0)</f>
        <v>0</v>
      </c>
      <c r="BN230" s="105">
        <f t="shared" ref="BN230" si="2191">IF(AND(BM$5&gt;$E227,BN$5&lt;$E229,MONTH(BM$5)=MONTH($E227)),$E230,0)</f>
        <v>0</v>
      </c>
      <c r="BO230" s="105">
        <f t="shared" ref="BO230" si="2192">IF(AND(BN$5&gt;$E227,BO$5&lt;$E229,MONTH(BN$5)=MONTH($E227)),$E230,0)</f>
        <v>0</v>
      </c>
      <c r="BP230" s="105">
        <f t="shared" ref="BP230" si="2193">IF(AND(BO$5&gt;$E227,BP$5&lt;$E229,MONTH(BO$5)=MONTH($E227)),$E230,0)</f>
        <v>0</v>
      </c>
      <c r="BQ230" s="105">
        <f t="shared" ref="BQ230" si="2194">IF(AND(BP$5&gt;$E227,BQ$5&lt;$E229,MONTH(BP$5)=MONTH($E227)),$E230,0)</f>
        <v>0</v>
      </c>
      <c r="BR230" s="105">
        <f t="shared" ref="BR230" si="2195">IF(AND(BQ$5&gt;$E227,BR$5&lt;$E229,MONTH(BQ$5)=MONTH($E227)),$E230,0)</f>
        <v>0</v>
      </c>
      <c r="BS230" s="105">
        <f t="shared" ref="BS230" si="2196">IF(AND(BR$5&gt;$E227,BS$5&lt;$E229,MONTH(BR$5)=MONTH($E227)),$E230,0)</f>
        <v>0</v>
      </c>
      <c r="BT230" s="105">
        <f t="shared" ref="BT230" si="2197">IF(AND(BS$5&gt;$E227,BT$5&lt;$E229,MONTH(BS$5)=MONTH($E227)),$E230,0)</f>
        <v>2.5000000000000001E-2</v>
      </c>
      <c r="BU230" s="105">
        <f t="shared" ref="BU230" si="2198">IF(AND(BT$5&gt;$E227,BU$5&lt;$E229,MONTH(BT$5)=MONTH($E227)),$E230,0)</f>
        <v>0</v>
      </c>
      <c r="BV230" s="105">
        <f t="shared" ref="BV230" si="2199">IF(AND(BU$5&gt;$E227,BV$5&lt;$E229,MONTH(BU$5)=MONTH($E227)),$E230,0)</f>
        <v>0</v>
      </c>
      <c r="BW230" s="105">
        <f t="shared" ref="BW230" si="2200">IF(AND(BV$5&gt;$E227,BW$5&lt;$E229,MONTH(BV$5)=MONTH($E227)),$E230,0)</f>
        <v>0</v>
      </c>
      <c r="BX230" s="105">
        <f t="shared" ref="BX230" si="2201">IF(AND(BW$5&gt;$E227,BX$5&lt;$E229,MONTH(BW$5)=MONTH($E227)),$E230,0)</f>
        <v>0</v>
      </c>
      <c r="BY230" s="105">
        <f t="shared" ref="BY230" si="2202">IF(AND(BX$5&gt;$E227,BY$5&lt;$E229,MONTH(BX$5)=MONTH($E227)),$E230,0)</f>
        <v>0</v>
      </c>
    </row>
    <row r="231" spans="2:77" customFormat="1" outlineLevel="1" x14ac:dyDescent="0.25">
      <c r="B231" s="1"/>
      <c r="C231" s="74" t="s">
        <v>264</v>
      </c>
      <c r="D231" s="36" t="s">
        <v>19</v>
      </c>
      <c r="E231" s="295">
        <f>New_Free_Rent_Months</f>
        <v>3</v>
      </c>
      <c r="F231" s="1"/>
      <c r="G231" s="1"/>
      <c r="H231" s="1"/>
      <c r="I231" s="1"/>
      <c r="J231" s="1"/>
      <c r="AP231" s="62"/>
    </row>
    <row r="232" spans="2:77" customFormat="1" outlineLevel="1" x14ac:dyDescent="0.25">
      <c r="B232" s="1"/>
      <c r="C232" s="44"/>
      <c r="D232" s="56"/>
      <c r="E232" s="285"/>
      <c r="F232" s="1"/>
      <c r="G232" s="1"/>
      <c r="H232" s="1"/>
      <c r="I232" s="1"/>
      <c r="J232" s="1"/>
      <c r="AP232" s="62"/>
    </row>
    <row r="233" spans="2:77" customFormat="1" outlineLevel="1" x14ac:dyDescent="0.25">
      <c r="B233" s="1"/>
      <c r="C233" s="74" t="s">
        <v>265</v>
      </c>
      <c r="D233" s="36" t="s">
        <v>13</v>
      </c>
      <c r="E233" s="145">
        <f>E229</f>
        <v>45838</v>
      </c>
      <c r="F233" s="1"/>
      <c r="G233" s="1"/>
      <c r="H233" s="1"/>
      <c r="I233" s="1"/>
      <c r="J233" s="1"/>
      <c r="AP233" s="62"/>
    </row>
    <row r="234" spans="2:77" customFormat="1" outlineLevel="1" x14ac:dyDescent="0.25">
      <c r="B234" s="1"/>
      <c r="C234" s="74" t="s">
        <v>266</v>
      </c>
      <c r="D234" s="36" t="s">
        <v>17</v>
      </c>
      <c r="E234" s="295">
        <f>New_Lease_Years</f>
        <v>5</v>
      </c>
      <c r="F234" s="1"/>
      <c r="G234" s="1"/>
      <c r="H234" s="1"/>
      <c r="I234" s="1"/>
      <c r="J234" s="1"/>
      <c r="AP234" s="62"/>
    </row>
    <row r="235" spans="2:77" customFormat="1" outlineLevel="1" x14ac:dyDescent="0.25">
      <c r="B235" s="1"/>
      <c r="C235" s="50" t="s">
        <v>267</v>
      </c>
      <c r="D235" s="36" t="s">
        <v>13</v>
      </c>
      <c r="E235" s="145">
        <f>EOMONTH(E233,E234*Months)</f>
        <v>47664</v>
      </c>
      <c r="F235" s="1"/>
      <c r="G235" s="1"/>
      <c r="H235" s="1"/>
      <c r="I235" s="1"/>
      <c r="J235" s="1"/>
      <c r="AP235" s="62"/>
    </row>
    <row r="236" spans="2:77" customFormat="1" outlineLevel="1" x14ac:dyDescent="0.25">
      <c r="B236" s="1"/>
      <c r="C236" s="74" t="s">
        <v>268</v>
      </c>
      <c r="D236" s="38" t="s">
        <v>16</v>
      </c>
      <c r="E236" s="105" t="e">
        <f>INDEX(Annual!$F$65:$K$92,16,INDEX(Monthly!$F$5:$BY$9,5,MATCH(E233,$F$5:$BY$5,0)))</f>
        <v>#N/A</v>
      </c>
      <c r="F236" s="105">
        <f>IF(AND(E$5&gt;$E233,F$5&lt;$E235,MONTH(E$5)=MONTH($E233)),$E236,0)</f>
        <v>0</v>
      </c>
      <c r="G236" s="105">
        <f t="shared" ref="G236" si="2203">IF(AND(F$5&gt;$E233,G$5&lt;$E235,MONTH(F$5)=MONTH($E233)),$E236,0)</f>
        <v>0</v>
      </c>
      <c r="H236" s="105">
        <f t="shared" ref="H236" si="2204">IF(AND(G$5&gt;$E233,H$5&lt;$E235,MONTH(G$5)=MONTH($E233)),$E236,0)</f>
        <v>0</v>
      </c>
      <c r="I236" s="105">
        <f t="shared" ref="I236" si="2205">IF(AND(H$5&gt;$E233,I$5&lt;$E235,MONTH(H$5)=MONTH($E233)),$E236,0)</f>
        <v>0</v>
      </c>
      <c r="J236" s="105">
        <f t="shared" ref="J236" si="2206">IF(AND(I$5&gt;$E233,J$5&lt;$E235,MONTH(I$5)=MONTH($E233)),$E236,0)</f>
        <v>0</v>
      </c>
      <c r="K236" s="105">
        <f t="shared" ref="K236" si="2207">IF(AND(J$5&gt;$E233,K$5&lt;$E235,MONTH(J$5)=MONTH($E233)),$E236,0)</f>
        <v>0</v>
      </c>
      <c r="L236" s="105">
        <f t="shared" ref="L236" si="2208">IF(AND(K$5&gt;$E233,L$5&lt;$E235,MONTH(K$5)=MONTH($E233)),$E236,0)</f>
        <v>0</v>
      </c>
      <c r="M236" s="105">
        <f t="shared" ref="M236" si="2209">IF(AND(L$5&gt;$E233,M$5&lt;$E235,MONTH(L$5)=MONTH($E233)),$E236,0)</f>
        <v>0</v>
      </c>
      <c r="N236" s="105">
        <f t="shared" ref="N236" si="2210">IF(AND(M$5&gt;$E233,N$5&lt;$E235,MONTH(M$5)=MONTH($E233)),$E236,0)</f>
        <v>0</v>
      </c>
      <c r="O236" s="105">
        <f t="shared" ref="O236" si="2211">IF(AND(N$5&gt;$E233,O$5&lt;$E235,MONTH(N$5)=MONTH($E233)),$E236,0)</f>
        <v>0</v>
      </c>
      <c r="P236" s="105">
        <f t="shared" ref="P236" si="2212">IF(AND(O$5&gt;$E233,P$5&lt;$E235,MONTH(O$5)=MONTH($E233)),$E236,0)</f>
        <v>0</v>
      </c>
      <c r="Q236" s="105">
        <f t="shared" ref="Q236" si="2213">IF(AND(P$5&gt;$E233,Q$5&lt;$E235,MONTH(P$5)=MONTH($E233)),$E236,0)</f>
        <v>0</v>
      </c>
      <c r="R236" s="105">
        <f t="shared" ref="R236" si="2214">IF(AND(Q$5&gt;$E233,R$5&lt;$E235,MONTH(Q$5)=MONTH($E233)),$E236,0)</f>
        <v>0</v>
      </c>
      <c r="S236" s="105">
        <f t="shared" ref="S236" si="2215">IF(AND(R$5&gt;$E233,S$5&lt;$E235,MONTH(R$5)=MONTH($E233)),$E236,0)</f>
        <v>0</v>
      </c>
      <c r="T236" s="105">
        <f t="shared" ref="T236" si="2216">IF(AND(S$5&gt;$E233,T$5&lt;$E235,MONTH(S$5)=MONTH($E233)),$E236,0)</f>
        <v>0</v>
      </c>
      <c r="U236" s="105">
        <f t="shared" ref="U236" si="2217">IF(AND(T$5&gt;$E233,U$5&lt;$E235,MONTH(T$5)=MONTH($E233)),$E236,0)</f>
        <v>0</v>
      </c>
      <c r="V236" s="105">
        <f t="shared" ref="V236" si="2218">IF(AND(U$5&gt;$E233,V$5&lt;$E235,MONTH(U$5)=MONTH($E233)),$E236,0)</f>
        <v>0</v>
      </c>
      <c r="W236" s="105">
        <f t="shared" ref="W236" si="2219">IF(AND(V$5&gt;$E233,W$5&lt;$E235,MONTH(V$5)=MONTH($E233)),$E236,0)</f>
        <v>0</v>
      </c>
      <c r="X236" s="105">
        <f t="shared" ref="X236" si="2220">IF(AND(W$5&gt;$E233,X$5&lt;$E235,MONTH(W$5)=MONTH($E233)),$E236,0)</f>
        <v>0</v>
      </c>
      <c r="Y236" s="105">
        <f t="shared" ref="Y236" si="2221">IF(AND(X$5&gt;$E233,Y$5&lt;$E235,MONTH(X$5)=MONTH($E233)),$E236,0)</f>
        <v>0</v>
      </c>
      <c r="Z236" s="105">
        <f t="shared" ref="Z236" si="2222">IF(AND(Y$5&gt;$E233,Z$5&lt;$E235,MONTH(Y$5)=MONTH($E233)),$E236,0)</f>
        <v>0</v>
      </c>
      <c r="AA236" s="105">
        <f t="shared" ref="AA236" si="2223">IF(AND(Z$5&gt;$E233,AA$5&lt;$E235,MONTH(Z$5)=MONTH($E233)),$E236,0)</f>
        <v>0</v>
      </c>
      <c r="AB236" s="105">
        <f t="shared" ref="AB236" si="2224">IF(AND(AA$5&gt;$E233,AB$5&lt;$E235,MONTH(AA$5)=MONTH($E233)),$E236,0)</f>
        <v>0</v>
      </c>
      <c r="AC236" s="105">
        <f t="shared" ref="AC236" si="2225">IF(AND(AB$5&gt;$E233,AC$5&lt;$E235,MONTH(AB$5)=MONTH($E233)),$E236,0)</f>
        <v>0</v>
      </c>
      <c r="AD236" s="105">
        <f t="shared" ref="AD236" si="2226">IF(AND(AC$5&gt;$E233,AD$5&lt;$E235,MONTH(AC$5)=MONTH($E233)),$E236,0)</f>
        <v>0</v>
      </c>
      <c r="AE236" s="105">
        <f t="shared" ref="AE236" si="2227">IF(AND(AD$5&gt;$E233,AE$5&lt;$E235,MONTH(AD$5)=MONTH($E233)),$E236,0)</f>
        <v>0</v>
      </c>
      <c r="AF236" s="105">
        <f t="shared" ref="AF236" si="2228">IF(AND(AE$5&gt;$E233,AF$5&lt;$E235,MONTH(AE$5)=MONTH($E233)),$E236,0)</f>
        <v>0</v>
      </c>
      <c r="AG236" s="105">
        <f t="shared" ref="AG236" si="2229">IF(AND(AF$5&gt;$E233,AG$5&lt;$E235,MONTH(AF$5)=MONTH($E233)),$E236,0)</f>
        <v>0</v>
      </c>
      <c r="AH236" s="105">
        <f t="shared" ref="AH236" si="2230">IF(AND(AG$5&gt;$E233,AH$5&lt;$E235,MONTH(AG$5)=MONTH($E233)),$E236,0)</f>
        <v>0</v>
      </c>
      <c r="AI236" s="105">
        <f t="shared" ref="AI236" si="2231">IF(AND(AH$5&gt;$E233,AI$5&lt;$E235,MONTH(AH$5)=MONTH($E233)),$E236,0)</f>
        <v>0</v>
      </c>
      <c r="AJ236" s="105">
        <f t="shared" ref="AJ236" si="2232">IF(AND(AI$5&gt;$E233,AJ$5&lt;$E235,MONTH(AI$5)=MONTH($E233)),$E236,0)</f>
        <v>0</v>
      </c>
      <c r="AK236" s="105">
        <f t="shared" ref="AK236" si="2233">IF(AND(AJ$5&gt;$E233,AK$5&lt;$E235,MONTH(AJ$5)=MONTH($E233)),$E236,0)</f>
        <v>0</v>
      </c>
      <c r="AL236" s="105">
        <f t="shared" ref="AL236" si="2234">IF(AND(AK$5&gt;$E233,AL$5&lt;$E235,MONTH(AK$5)=MONTH($E233)),$E236,0)</f>
        <v>0</v>
      </c>
      <c r="AM236" s="105">
        <f t="shared" ref="AM236" si="2235">IF(AND(AL$5&gt;$E233,AM$5&lt;$E235,MONTH(AL$5)=MONTH($E233)),$E236,0)</f>
        <v>0</v>
      </c>
      <c r="AN236" s="105">
        <f t="shared" ref="AN236" si="2236">IF(AND(AM$5&gt;$E233,AN$5&lt;$E235,MONTH(AM$5)=MONTH($E233)),$E236,0)</f>
        <v>0</v>
      </c>
      <c r="AO236" s="105">
        <f t="shared" ref="AO236" si="2237">IF(AND(AN$5&gt;$E233,AO$5&lt;$E235,MONTH(AN$5)=MONTH($E233)),$E236,0)</f>
        <v>0</v>
      </c>
      <c r="AP236" s="105">
        <f t="shared" ref="AP236" si="2238">IF(AND(AO$5&gt;$E233,AP$5&lt;$E235,MONTH(AO$5)=MONTH($E233)),$E236,0)</f>
        <v>0</v>
      </c>
      <c r="AQ236" s="105">
        <f t="shared" ref="AQ236" si="2239">IF(AND(AP$5&gt;$E233,AQ$5&lt;$E235,MONTH(AP$5)=MONTH($E233)),$E236,0)</f>
        <v>0</v>
      </c>
      <c r="AR236" s="105">
        <f t="shared" ref="AR236" si="2240">IF(AND(AQ$5&gt;$E233,AR$5&lt;$E235,MONTH(AQ$5)=MONTH($E233)),$E236,0)</f>
        <v>0</v>
      </c>
      <c r="AS236" s="105">
        <f t="shared" ref="AS236" si="2241">IF(AND(AR$5&gt;$E233,AS$5&lt;$E235,MONTH(AR$5)=MONTH($E233)),$E236,0)</f>
        <v>0</v>
      </c>
      <c r="AT236" s="105">
        <f t="shared" ref="AT236" si="2242">IF(AND(AS$5&gt;$E233,AT$5&lt;$E235,MONTH(AS$5)=MONTH($E233)),$E236,0)</f>
        <v>0</v>
      </c>
      <c r="AU236" s="105">
        <f t="shared" ref="AU236" si="2243">IF(AND(AT$5&gt;$E233,AU$5&lt;$E235,MONTH(AT$5)=MONTH($E233)),$E236,0)</f>
        <v>0</v>
      </c>
      <c r="AV236" s="105">
        <f t="shared" ref="AV236" si="2244">IF(AND(AU$5&gt;$E233,AV$5&lt;$E235,MONTH(AU$5)=MONTH($E233)),$E236,0)</f>
        <v>0</v>
      </c>
      <c r="AW236" s="105">
        <f t="shared" ref="AW236" si="2245">IF(AND(AV$5&gt;$E233,AW$5&lt;$E235,MONTH(AV$5)=MONTH($E233)),$E236,0)</f>
        <v>0</v>
      </c>
      <c r="AX236" s="105">
        <f t="shared" ref="AX236" si="2246">IF(AND(AW$5&gt;$E233,AX$5&lt;$E235,MONTH(AW$5)=MONTH($E233)),$E236,0)</f>
        <v>0</v>
      </c>
      <c r="AY236" s="105">
        <f t="shared" ref="AY236" si="2247">IF(AND(AX$5&gt;$E233,AY$5&lt;$E235,MONTH(AX$5)=MONTH($E233)),$E236,0)</f>
        <v>0</v>
      </c>
      <c r="AZ236" s="105">
        <f t="shared" ref="AZ236" si="2248">IF(AND(AY$5&gt;$E233,AZ$5&lt;$E235,MONTH(AY$5)=MONTH($E233)),$E236,0)</f>
        <v>0</v>
      </c>
      <c r="BA236" s="105">
        <f t="shared" ref="BA236" si="2249">IF(AND(AZ$5&gt;$E233,BA$5&lt;$E235,MONTH(AZ$5)=MONTH($E233)),$E236,0)</f>
        <v>0</v>
      </c>
      <c r="BB236" s="105">
        <f t="shared" ref="BB236" si="2250">IF(AND(BA$5&gt;$E233,BB$5&lt;$E235,MONTH(BA$5)=MONTH($E233)),$E236,0)</f>
        <v>0</v>
      </c>
      <c r="BC236" s="105">
        <f t="shared" ref="BC236" si="2251">IF(AND(BB$5&gt;$E233,BC$5&lt;$E235,MONTH(BB$5)=MONTH($E233)),$E236,0)</f>
        <v>0</v>
      </c>
      <c r="BD236" s="105">
        <f t="shared" ref="BD236" si="2252">IF(AND(BC$5&gt;$E233,BD$5&lt;$E235,MONTH(BC$5)=MONTH($E233)),$E236,0)</f>
        <v>0</v>
      </c>
      <c r="BE236" s="105">
        <f t="shared" ref="BE236" si="2253">IF(AND(BD$5&gt;$E233,BE$5&lt;$E235,MONTH(BD$5)=MONTH($E233)),$E236,0)</f>
        <v>0</v>
      </c>
      <c r="BF236" s="105">
        <f t="shared" ref="BF236" si="2254">IF(AND(BE$5&gt;$E233,BF$5&lt;$E235,MONTH(BE$5)=MONTH($E233)),$E236,0)</f>
        <v>0</v>
      </c>
      <c r="BG236" s="105">
        <f t="shared" ref="BG236" si="2255">IF(AND(BF$5&gt;$E233,BG$5&lt;$E235,MONTH(BF$5)=MONTH($E233)),$E236,0)</f>
        <v>0</v>
      </c>
      <c r="BH236" s="105">
        <f t="shared" ref="BH236" si="2256">IF(AND(BG$5&gt;$E233,BH$5&lt;$E235,MONTH(BG$5)=MONTH($E233)),$E236,0)</f>
        <v>0</v>
      </c>
      <c r="BI236" s="105">
        <f t="shared" ref="BI236" si="2257">IF(AND(BH$5&gt;$E233,BI$5&lt;$E235,MONTH(BH$5)=MONTH($E233)),$E236,0)</f>
        <v>0</v>
      </c>
      <c r="BJ236" s="105">
        <f t="shared" ref="BJ236" si="2258">IF(AND(BI$5&gt;$E233,BJ$5&lt;$E235,MONTH(BI$5)=MONTH($E233)),$E236,0)</f>
        <v>0</v>
      </c>
      <c r="BK236" s="105">
        <f t="shared" ref="BK236" si="2259">IF(AND(BJ$5&gt;$E233,BK$5&lt;$E235,MONTH(BJ$5)=MONTH($E233)),$E236,0)</f>
        <v>0</v>
      </c>
      <c r="BL236" s="105">
        <f t="shared" ref="BL236" si="2260">IF(AND(BK$5&gt;$E233,BL$5&lt;$E235,MONTH(BK$5)=MONTH($E233)),$E236,0)</f>
        <v>0</v>
      </c>
      <c r="BM236" s="105">
        <f t="shared" ref="BM236" si="2261">IF(AND(BL$5&gt;$E233,BM$5&lt;$E235,MONTH(BL$5)=MONTH($E233)),$E236,0)</f>
        <v>0</v>
      </c>
      <c r="BN236" s="105">
        <f t="shared" ref="BN236" si="2262">IF(AND(BM$5&gt;$E233,BN$5&lt;$E235,MONTH(BM$5)=MONTH($E233)),$E236,0)</f>
        <v>0</v>
      </c>
      <c r="BO236" s="105">
        <f t="shared" ref="BO236" si="2263">IF(AND(BN$5&gt;$E233,BO$5&lt;$E235,MONTH(BN$5)=MONTH($E233)),$E236,0)</f>
        <v>0</v>
      </c>
      <c r="BP236" s="105">
        <f t="shared" ref="BP236" si="2264">IF(AND(BO$5&gt;$E233,BP$5&lt;$E235,MONTH(BO$5)=MONTH($E233)),$E236,0)</f>
        <v>0</v>
      </c>
      <c r="BQ236" s="105">
        <f t="shared" ref="BQ236" si="2265">IF(AND(BP$5&gt;$E233,BQ$5&lt;$E235,MONTH(BP$5)=MONTH($E233)),$E236,0)</f>
        <v>0</v>
      </c>
      <c r="BR236" s="105">
        <f t="shared" ref="BR236" si="2266">IF(AND(BQ$5&gt;$E233,BR$5&lt;$E235,MONTH(BQ$5)=MONTH($E233)),$E236,0)</f>
        <v>0</v>
      </c>
      <c r="BS236" s="105">
        <f t="shared" ref="BS236" si="2267">IF(AND(BR$5&gt;$E233,BS$5&lt;$E235,MONTH(BR$5)=MONTH($E233)),$E236,0)</f>
        <v>0</v>
      </c>
      <c r="BT236" s="105">
        <f t="shared" ref="BT236" si="2268">IF(AND(BS$5&gt;$E233,BT$5&lt;$E235,MONTH(BS$5)=MONTH($E233)),$E236,0)</f>
        <v>0</v>
      </c>
      <c r="BU236" s="105">
        <f t="shared" ref="BU236" si="2269">IF(AND(BT$5&gt;$E233,BU$5&lt;$E235,MONTH(BT$5)=MONTH($E233)),$E236,0)</f>
        <v>0</v>
      </c>
      <c r="BV236" s="105">
        <f t="shared" ref="BV236" si="2270">IF(AND(BU$5&gt;$E233,BV$5&lt;$E235,MONTH(BU$5)=MONTH($E233)),$E236,0)</f>
        <v>0</v>
      </c>
      <c r="BW236" s="105">
        <f t="shared" ref="BW236" si="2271">IF(AND(BV$5&gt;$E233,BW$5&lt;$E235,MONTH(BV$5)=MONTH($E233)),$E236,0)</f>
        <v>0</v>
      </c>
      <c r="BX236" s="105">
        <f t="shared" ref="BX236" si="2272">IF(AND(BW$5&gt;$E233,BX$5&lt;$E235,MONTH(BW$5)=MONTH($E233)),$E236,0)</f>
        <v>0</v>
      </c>
      <c r="BY236" s="105">
        <f t="shared" ref="BY236" si="2273">IF(AND(BX$5&gt;$E233,BY$5&lt;$E235,MONTH(BX$5)=MONTH($E233)),$E236,0)</f>
        <v>0</v>
      </c>
    </row>
    <row r="237" spans="2:77" customFormat="1" outlineLevel="1" x14ac:dyDescent="0.25">
      <c r="B237" s="1"/>
      <c r="C237" s="44"/>
      <c r="D237" s="56"/>
      <c r="E237" s="1"/>
      <c r="F237" s="1"/>
      <c r="G237" s="1"/>
      <c r="H237" s="1"/>
      <c r="I237" s="1"/>
      <c r="J237" s="1"/>
      <c r="AP237" s="62"/>
    </row>
    <row r="238" spans="2:77" customFormat="1" outlineLevel="1" x14ac:dyDescent="0.25">
      <c r="B238" s="1"/>
      <c r="C238" s="74" t="s">
        <v>269</v>
      </c>
      <c r="D238" s="36" t="s">
        <v>13</v>
      </c>
      <c r="E238" s="145">
        <f>EOMONTH(E229,Down_Months)</f>
        <v>46022</v>
      </c>
      <c r="F238" s="1"/>
      <c r="G238" s="1"/>
      <c r="H238" s="1"/>
      <c r="I238" s="1"/>
      <c r="J238" s="1"/>
      <c r="AP238" s="62"/>
    </row>
    <row r="239" spans="2:77" customFormat="1" outlineLevel="1" x14ac:dyDescent="0.25">
      <c r="B239" s="1"/>
      <c r="C239" s="74" t="s">
        <v>270</v>
      </c>
      <c r="D239" s="36" t="s">
        <v>17</v>
      </c>
      <c r="E239" s="295">
        <f>New_Lease_Years</f>
        <v>5</v>
      </c>
      <c r="F239" s="1"/>
      <c r="G239" s="1"/>
      <c r="H239" s="1"/>
      <c r="I239" s="1"/>
      <c r="J239" s="1"/>
      <c r="AP239" s="62"/>
    </row>
    <row r="240" spans="2:77" customFormat="1" outlineLevel="1" x14ac:dyDescent="0.25">
      <c r="B240" s="1"/>
      <c r="C240" s="50" t="s">
        <v>271</v>
      </c>
      <c r="D240" s="36" t="s">
        <v>13</v>
      </c>
      <c r="E240" s="145">
        <f>EOMONTH(E238,E239*Months)</f>
        <v>47848</v>
      </c>
      <c r="F240" s="1"/>
      <c r="G240" s="1"/>
      <c r="H240" s="1"/>
      <c r="I240" s="1"/>
      <c r="J240" s="1"/>
      <c r="AP240" s="62"/>
    </row>
    <row r="241" spans="2:77" customFormat="1" outlineLevel="1" x14ac:dyDescent="0.25">
      <c r="B241" s="1"/>
      <c r="C241" s="74" t="s">
        <v>272</v>
      </c>
      <c r="D241" s="38" t="s">
        <v>16</v>
      </c>
      <c r="E241" s="105" t="e">
        <f>INDEX(Annual!$F$65:$K$92,16,INDEX(Monthly!$F$5:$BY$9,5,MATCH(E238,$F$5:$BY$5,0)))</f>
        <v>#N/A</v>
      </c>
      <c r="F241" s="105">
        <f>IF(AND(E$5&gt;$E238,F$5&lt;$E240,MONTH(E$5)=MONTH($E238)),$E241,0)</f>
        <v>0</v>
      </c>
      <c r="G241" s="105">
        <f t="shared" ref="G241" si="2274">IF(AND(F$5&gt;$E238,G$5&lt;$E240,MONTH(F$5)=MONTH($E238)),$E241,0)</f>
        <v>0</v>
      </c>
      <c r="H241" s="105">
        <f t="shared" ref="H241" si="2275">IF(AND(G$5&gt;$E238,H$5&lt;$E240,MONTH(G$5)=MONTH($E238)),$E241,0)</f>
        <v>0</v>
      </c>
      <c r="I241" s="105">
        <f t="shared" ref="I241" si="2276">IF(AND(H$5&gt;$E238,I$5&lt;$E240,MONTH(H$5)=MONTH($E238)),$E241,0)</f>
        <v>0</v>
      </c>
      <c r="J241" s="105">
        <f t="shared" ref="J241" si="2277">IF(AND(I$5&gt;$E238,J$5&lt;$E240,MONTH(I$5)=MONTH($E238)),$E241,0)</f>
        <v>0</v>
      </c>
      <c r="K241" s="105">
        <f t="shared" ref="K241" si="2278">IF(AND(J$5&gt;$E238,K$5&lt;$E240,MONTH(J$5)=MONTH($E238)),$E241,0)</f>
        <v>0</v>
      </c>
      <c r="L241" s="105">
        <f t="shared" ref="L241" si="2279">IF(AND(K$5&gt;$E238,L$5&lt;$E240,MONTH(K$5)=MONTH($E238)),$E241,0)</f>
        <v>0</v>
      </c>
      <c r="M241" s="105">
        <f t="shared" ref="M241" si="2280">IF(AND(L$5&gt;$E238,M$5&lt;$E240,MONTH(L$5)=MONTH($E238)),$E241,0)</f>
        <v>0</v>
      </c>
      <c r="N241" s="105">
        <f t="shared" ref="N241" si="2281">IF(AND(M$5&gt;$E238,N$5&lt;$E240,MONTH(M$5)=MONTH($E238)),$E241,0)</f>
        <v>0</v>
      </c>
      <c r="O241" s="105">
        <f t="shared" ref="O241" si="2282">IF(AND(N$5&gt;$E238,O$5&lt;$E240,MONTH(N$5)=MONTH($E238)),$E241,0)</f>
        <v>0</v>
      </c>
      <c r="P241" s="105">
        <f t="shared" ref="P241" si="2283">IF(AND(O$5&gt;$E238,P$5&lt;$E240,MONTH(O$5)=MONTH($E238)),$E241,0)</f>
        <v>0</v>
      </c>
      <c r="Q241" s="105">
        <f t="shared" ref="Q241" si="2284">IF(AND(P$5&gt;$E238,Q$5&lt;$E240,MONTH(P$5)=MONTH($E238)),$E241,0)</f>
        <v>0</v>
      </c>
      <c r="R241" s="105">
        <f t="shared" ref="R241" si="2285">IF(AND(Q$5&gt;$E238,R$5&lt;$E240,MONTH(Q$5)=MONTH($E238)),$E241,0)</f>
        <v>0</v>
      </c>
      <c r="S241" s="105">
        <f t="shared" ref="S241" si="2286">IF(AND(R$5&gt;$E238,S$5&lt;$E240,MONTH(R$5)=MONTH($E238)),$E241,0)</f>
        <v>0</v>
      </c>
      <c r="T241" s="105">
        <f t="shared" ref="T241" si="2287">IF(AND(S$5&gt;$E238,T$5&lt;$E240,MONTH(S$5)=MONTH($E238)),$E241,0)</f>
        <v>0</v>
      </c>
      <c r="U241" s="105">
        <f t="shared" ref="U241" si="2288">IF(AND(T$5&gt;$E238,U$5&lt;$E240,MONTH(T$5)=MONTH($E238)),$E241,0)</f>
        <v>0</v>
      </c>
      <c r="V241" s="105">
        <f t="shared" ref="V241" si="2289">IF(AND(U$5&gt;$E238,V$5&lt;$E240,MONTH(U$5)=MONTH($E238)),$E241,0)</f>
        <v>0</v>
      </c>
      <c r="W241" s="105">
        <f t="shared" ref="W241" si="2290">IF(AND(V$5&gt;$E238,W$5&lt;$E240,MONTH(V$5)=MONTH($E238)),$E241,0)</f>
        <v>0</v>
      </c>
      <c r="X241" s="105">
        <f t="shared" ref="X241" si="2291">IF(AND(W$5&gt;$E238,X$5&lt;$E240,MONTH(W$5)=MONTH($E238)),$E241,0)</f>
        <v>0</v>
      </c>
      <c r="Y241" s="105">
        <f t="shared" ref="Y241" si="2292">IF(AND(X$5&gt;$E238,Y$5&lt;$E240,MONTH(X$5)=MONTH($E238)),$E241,0)</f>
        <v>0</v>
      </c>
      <c r="Z241" s="105">
        <f t="shared" ref="Z241" si="2293">IF(AND(Y$5&gt;$E238,Z$5&lt;$E240,MONTH(Y$5)=MONTH($E238)),$E241,0)</f>
        <v>0</v>
      </c>
      <c r="AA241" s="105">
        <f t="shared" ref="AA241" si="2294">IF(AND(Z$5&gt;$E238,AA$5&lt;$E240,MONTH(Z$5)=MONTH($E238)),$E241,0)</f>
        <v>0</v>
      </c>
      <c r="AB241" s="105">
        <f t="shared" ref="AB241" si="2295">IF(AND(AA$5&gt;$E238,AB$5&lt;$E240,MONTH(AA$5)=MONTH($E238)),$E241,0)</f>
        <v>0</v>
      </c>
      <c r="AC241" s="105">
        <f t="shared" ref="AC241" si="2296">IF(AND(AB$5&gt;$E238,AC$5&lt;$E240,MONTH(AB$5)=MONTH($E238)),$E241,0)</f>
        <v>0</v>
      </c>
      <c r="AD241" s="105">
        <f t="shared" ref="AD241" si="2297">IF(AND(AC$5&gt;$E238,AD$5&lt;$E240,MONTH(AC$5)=MONTH($E238)),$E241,0)</f>
        <v>0</v>
      </c>
      <c r="AE241" s="105">
        <f t="shared" ref="AE241" si="2298">IF(AND(AD$5&gt;$E238,AE$5&lt;$E240,MONTH(AD$5)=MONTH($E238)),$E241,0)</f>
        <v>0</v>
      </c>
      <c r="AF241" s="105">
        <f t="shared" ref="AF241" si="2299">IF(AND(AE$5&gt;$E238,AF$5&lt;$E240,MONTH(AE$5)=MONTH($E238)),$E241,0)</f>
        <v>0</v>
      </c>
      <c r="AG241" s="105">
        <f t="shared" ref="AG241" si="2300">IF(AND(AF$5&gt;$E238,AG$5&lt;$E240,MONTH(AF$5)=MONTH($E238)),$E241,0)</f>
        <v>0</v>
      </c>
      <c r="AH241" s="105">
        <f t="shared" ref="AH241" si="2301">IF(AND(AG$5&gt;$E238,AH$5&lt;$E240,MONTH(AG$5)=MONTH($E238)),$E241,0)</f>
        <v>0</v>
      </c>
      <c r="AI241" s="105">
        <f t="shared" ref="AI241" si="2302">IF(AND(AH$5&gt;$E238,AI$5&lt;$E240,MONTH(AH$5)=MONTH($E238)),$E241,0)</f>
        <v>0</v>
      </c>
      <c r="AJ241" s="105">
        <f t="shared" ref="AJ241" si="2303">IF(AND(AI$5&gt;$E238,AJ$5&lt;$E240,MONTH(AI$5)=MONTH($E238)),$E241,0)</f>
        <v>0</v>
      </c>
      <c r="AK241" s="105">
        <f t="shared" ref="AK241" si="2304">IF(AND(AJ$5&gt;$E238,AK$5&lt;$E240,MONTH(AJ$5)=MONTH($E238)),$E241,0)</f>
        <v>0</v>
      </c>
      <c r="AL241" s="105">
        <f t="shared" ref="AL241" si="2305">IF(AND(AK$5&gt;$E238,AL$5&lt;$E240,MONTH(AK$5)=MONTH($E238)),$E241,0)</f>
        <v>0</v>
      </c>
      <c r="AM241" s="105">
        <f t="shared" ref="AM241" si="2306">IF(AND(AL$5&gt;$E238,AM$5&lt;$E240,MONTH(AL$5)=MONTH($E238)),$E241,0)</f>
        <v>0</v>
      </c>
      <c r="AN241" s="105">
        <f t="shared" ref="AN241" si="2307">IF(AND(AM$5&gt;$E238,AN$5&lt;$E240,MONTH(AM$5)=MONTH($E238)),$E241,0)</f>
        <v>0</v>
      </c>
      <c r="AO241" s="105">
        <f t="shared" ref="AO241" si="2308">IF(AND(AN$5&gt;$E238,AO$5&lt;$E240,MONTH(AN$5)=MONTH($E238)),$E241,0)</f>
        <v>0</v>
      </c>
      <c r="AP241" s="105">
        <f t="shared" ref="AP241" si="2309">IF(AND(AO$5&gt;$E238,AP$5&lt;$E240,MONTH(AO$5)=MONTH($E238)),$E241,0)</f>
        <v>0</v>
      </c>
      <c r="AQ241" s="105">
        <f t="shared" ref="AQ241" si="2310">IF(AND(AP$5&gt;$E238,AQ$5&lt;$E240,MONTH(AP$5)=MONTH($E238)),$E241,0)</f>
        <v>0</v>
      </c>
      <c r="AR241" s="105">
        <f t="shared" ref="AR241" si="2311">IF(AND(AQ$5&gt;$E238,AR$5&lt;$E240,MONTH(AQ$5)=MONTH($E238)),$E241,0)</f>
        <v>0</v>
      </c>
      <c r="AS241" s="105">
        <f t="shared" ref="AS241" si="2312">IF(AND(AR$5&gt;$E238,AS$5&lt;$E240,MONTH(AR$5)=MONTH($E238)),$E241,0)</f>
        <v>0</v>
      </c>
      <c r="AT241" s="105">
        <f t="shared" ref="AT241" si="2313">IF(AND(AS$5&gt;$E238,AT$5&lt;$E240,MONTH(AS$5)=MONTH($E238)),$E241,0)</f>
        <v>0</v>
      </c>
      <c r="AU241" s="105">
        <f t="shared" ref="AU241" si="2314">IF(AND(AT$5&gt;$E238,AU$5&lt;$E240,MONTH(AT$5)=MONTH($E238)),$E241,0)</f>
        <v>0</v>
      </c>
      <c r="AV241" s="105">
        <f t="shared" ref="AV241" si="2315">IF(AND(AU$5&gt;$E238,AV$5&lt;$E240,MONTH(AU$5)=MONTH($E238)),$E241,0)</f>
        <v>0</v>
      </c>
      <c r="AW241" s="105">
        <f t="shared" ref="AW241" si="2316">IF(AND(AV$5&gt;$E238,AW$5&lt;$E240,MONTH(AV$5)=MONTH($E238)),$E241,0)</f>
        <v>0</v>
      </c>
      <c r="AX241" s="105">
        <f t="shared" ref="AX241" si="2317">IF(AND(AW$5&gt;$E238,AX$5&lt;$E240,MONTH(AW$5)=MONTH($E238)),$E241,0)</f>
        <v>0</v>
      </c>
      <c r="AY241" s="105">
        <f t="shared" ref="AY241" si="2318">IF(AND(AX$5&gt;$E238,AY$5&lt;$E240,MONTH(AX$5)=MONTH($E238)),$E241,0)</f>
        <v>0</v>
      </c>
      <c r="AZ241" s="105">
        <f t="shared" ref="AZ241" si="2319">IF(AND(AY$5&gt;$E238,AZ$5&lt;$E240,MONTH(AY$5)=MONTH($E238)),$E241,0)</f>
        <v>0</v>
      </c>
      <c r="BA241" s="105">
        <f t="shared" ref="BA241" si="2320">IF(AND(AZ$5&gt;$E238,BA$5&lt;$E240,MONTH(AZ$5)=MONTH($E238)),$E241,0)</f>
        <v>0</v>
      </c>
      <c r="BB241" s="105">
        <f t="shared" ref="BB241" si="2321">IF(AND(BA$5&gt;$E238,BB$5&lt;$E240,MONTH(BA$5)=MONTH($E238)),$E241,0)</f>
        <v>0</v>
      </c>
      <c r="BC241" s="105">
        <f t="shared" ref="BC241" si="2322">IF(AND(BB$5&gt;$E238,BC$5&lt;$E240,MONTH(BB$5)=MONTH($E238)),$E241,0)</f>
        <v>0</v>
      </c>
      <c r="BD241" s="105">
        <f t="shared" ref="BD241" si="2323">IF(AND(BC$5&gt;$E238,BD$5&lt;$E240,MONTH(BC$5)=MONTH($E238)),$E241,0)</f>
        <v>0</v>
      </c>
      <c r="BE241" s="105">
        <f t="shared" ref="BE241" si="2324">IF(AND(BD$5&gt;$E238,BE$5&lt;$E240,MONTH(BD$5)=MONTH($E238)),$E241,0)</f>
        <v>0</v>
      </c>
      <c r="BF241" s="105">
        <f t="shared" ref="BF241" si="2325">IF(AND(BE$5&gt;$E238,BF$5&lt;$E240,MONTH(BE$5)=MONTH($E238)),$E241,0)</f>
        <v>0</v>
      </c>
      <c r="BG241" s="105">
        <f t="shared" ref="BG241" si="2326">IF(AND(BF$5&gt;$E238,BG$5&lt;$E240,MONTH(BF$5)=MONTH($E238)),$E241,0)</f>
        <v>0</v>
      </c>
      <c r="BH241" s="105">
        <f t="shared" ref="BH241" si="2327">IF(AND(BG$5&gt;$E238,BH$5&lt;$E240,MONTH(BG$5)=MONTH($E238)),$E241,0)</f>
        <v>0</v>
      </c>
      <c r="BI241" s="105">
        <f t="shared" ref="BI241" si="2328">IF(AND(BH$5&gt;$E238,BI$5&lt;$E240,MONTH(BH$5)=MONTH($E238)),$E241,0)</f>
        <v>0</v>
      </c>
      <c r="BJ241" s="105">
        <f t="shared" ref="BJ241" si="2329">IF(AND(BI$5&gt;$E238,BJ$5&lt;$E240,MONTH(BI$5)=MONTH($E238)),$E241,0)</f>
        <v>0</v>
      </c>
      <c r="BK241" s="105">
        <f t="shared" ref="BK241" si="2330">IF(AND(BJ$5&gt;$E238,BK$5&lt;$E240,MONTH(BJ$5)=MONTH($E238)),$E241,0)</f>
        <v>0</v>
      </c>
      <c r="BL241" s="105">
        <f t="shared" ref="BL241" si="2331">IF(AND(BK$5&gt;$E238,BL$5&lt;$E240,MONTH(BK$5)=MONTH($E238)),$E241,0)</f>
        <v>0</v>
      </c>
      <c r="BM241" s="105">
        <f t="shared" ref="BM241" si="2332">IF(AND(BL$5&gt;$E238,BM$5&lt;$E240,MONTH(BL$5)=MONTH($E238)),$E241,0)</f>
        <v>0</v>
      </c>
      <c r="BN241" s="105">
        <f t="shared" ref="BN241" si="2333">IF(AND(BM$5&gt;$E238,BN$5&lt;$E240,MONTH(BM$5)=MONTH($E238)),$E241,0)</f>
        <v>0</v>
      </c>
      <c r="BO241" s="105">
        <f t="shared" ref="BO241" si="2334">IF(AND(BN$5&gt;$E238,BO$5&lt;$E240,MONTH(BN$5)=MONTH($E238)),$E241,0)</f>
        <v>0</v>
      </c>
      <c r="BP241" s="105">
        <f t="shared" ref="BP241" si="2335">IF(AND(BO$5&gt;$E238,BP$5&lt;$E240,MONTH(BO$5)=MONTH($E238)),$E241,0)</f>
        <v>0</v>
      </c>
      <c r="BQ241" s="105">
        <f t="shared" ref="BQ241" si="2336">IF(AND(BP$5&gt;$E238,BQ$5&lt;$E240,MONTH(BP$5)=MONTH($E238)),$E241,0)</f>
        <v>0</v>
      </c>
      <c r="BR241" s="105">
        <f t="shared" ref="BR241" si="2337">IF(AND(BQ$5&gt;$E238,BR$5&lt;$E240,MONTH(BQ$5)=MONTH($E238)),$E241,0)</f>
        <v>0</v>
      </c>
      <c r="BS241" s="105">
        <f t="shared" ref="BS241" si="2338">IF(AND(BR$5&gt;$E238,BS$5&lt;$E240,MONTH(BR$5)=MONTH($E238)),$E241,0)</f>
        <v>0</v>
      </c>
      <c r="BT241" s="105">
        <f t="shared" ref="BT241" si="2339">IF(AND(BS$5&gt;$E238,BT$5&lt;$E240,MONTH(BS$5)=MONTH($E238)),$E241,0)</f>
        <v>0</v>
      </c>
      <c r="BU241" s="105">
        <f t="shared" ref="BU241" si="2340">IF(AND(BT$5&gt;$E238,BU$5&lt;$E240,MONTH(BT$5)=MONTH($E238)),$E241,0)</f>
        <v>0</v>
      </c>
      <c r="BV241" s="105">
        <f t="shared" ref="BV241" si="2341">IF(AND(BU$5&gt;$E238,BV$5&lt;$E240,MONTH(BU$5)=MONTH($E238)),$E241,0)</f>
        <v>0</v>
      </c>
      <c r="BW241" s="105">
        <f t="shared" ref="BW241" si="2342">IF(AND(BV$5&gt;$E238,BW$5&lt;$E240,MONTH(BV$5)=MONTH($E238)),$E241,0)</f>
        <v>0</v>
      </c>
      <c r="BX241" s="105">
        <f t="shared" ref="BX241" si="2343">IF(AND(BW$5&gt;$E238,BX$5&lt;$E240,MONTH(BW$5)=MONTH($E238)),$E241,0)</f>
        <v>0</v>
      </c>
      <c r="BY241" s="105">
        <f t="shared" ref="BY241" si="2344">IF(AND(BX$5&gt;$E238,BY$5&lt;$E240,MONTH(BX$5)=MONTH($E238)),$E241,0)</f>
        <v>0</v>
      </c>
    </row>
    <row r="242" spans="2:77" customFormat="1" outlineLevel="1" x14ac:dyDescent="0.25">
      <c r="B242" s="1"/>
      <c r="C242" s="44"/>
      <c r="D242" s="56"/>
      <c r="E242" s="285"/>
      <c r="F242" s="1"/>
      <c r="G242" s="1"/>
      <c r="H242" s="1"/>
      <c r="I242" s="1"/>
      <c r="J242" s="1"/>
      <c r="AP242" s="62"/>
    </row>
    <row r="243" spans="2:77" customFormat="1" outlineLevel="1" x14ac:dyDescent="0.25">
      <c r="B243" s="1"/>
      <c r="C243" s="74" t="s">
        <v>113</v>
      </c>
      <c r="D243" s="36" t="s">
        <v>116</v>
      </c>
      <c r="E243" s="153">
        <v>60</v>
      </c>
      <c r="F243" s="151">
        <f>+$E243*F$12</f>
        <v>60.292053033920581</v>
      </c>
      <c r="G243" s="151">
        <f t="shared" ref="G243:BR243" si="2345">+$E243*G$12</f>
        <v>60.585527650751544</v>
      </c>
      <c r="H243" s="151">
        <f t="shared" si="2345"/>
        <v>60.88043077011956</v>
      </c>
      <c r="I243" s="151">
        <f t="shared" si="2345"/>
        <v>61.176769345332978</v>
      </c>
      <c r="J243" s="151">
        <f t="shared" si="2345"/>
        <v>61.47455036354571</v>
      </c>
      <c r="K243" s="151">
        <f t="shared" si="2345"/>
        <v>61.773780845921998</v>
      </c>
      <c r="L243" s="151">
        <f t="shared" si="2345"/>
        <v>62.074467847801948</v>
      </c>
      <c r="M243" s="151">
        <f t="shared" si="2345"/>
        <v>62.376618458867881</v>
      </c>
      <c r="N243" s="151">
        <f t="shared" si="2345"/>
        <v>62.680239803311537</v>
      </c>
      <c r="O243" s="151">
        <f t="shared" si="2345"/>
        <v>62.985339040001989</v>
      </c>
      <c r="P243" s="151">
        <f t="shared" si="2345"/>
        <v>63.291923362654472</v>
      </c>
      <c r="Q243" s="151">
        <f t="shared" si="2345"/>
        <v>63.600000000000016</v>
      </c>
      <c r="R243" s="151">
        <f t="shared" si="2345"/>
        <v>63.808209850147868</v>
      </c>
      <c r="S243" s="151">
        <f t="shared" si="2345"/>
        <v>64.0171013251652</v>
      </c>
      <c r="T243" s="151">
        <f t="shared" si="2345"/>
        <v>64.226676656514442</v>
      </c>
      <c r="U243" s="151">
        <f t="shared" si="2345"/>
        <v>64.436938082963295</v>
      </c>
      <c r="V243" s="151">
        <f t="shared" si="2345"/>
        <v>64.647887850608583</v>
      </c>
      <c r="W243" s="151">
        <f t="shared" si="2345"/>
        <v>64.859528212900244</v>
      </c>
      <c r="X243" s="151">
        <f t="shared" si="2345"/>
        <v>65.071861430665479</v>
      </c>
      <c r="Y243" s="151">
        <f t="shared" si="2345"/>
        <v>65.284889772132772</v>
      </c>
      <c r="Z243" s="151">
        <f t="shared" si="2345"/>
        <v>65.498615512956277</v>
      </c>
      <c r="AA243" s="151">
        <f t="shared" si="2345"/>
        <v>65.713040936239992</v>
      </c>
      <c r="AB243" s="151">
        <f t="shared" si="2345"/>
        <v>65.928168332562223</v>
      </c>
      <c r="AC243" s="151">
        <f t="shared" si="2345"/>
        <v>66.144000000000048</v>
      </c>
      <c r="AD243" s="151">
        <f t="shared" si="2345"/>
        <v>66.307128947819294</v>
      </c>
      <c r="AE243" s="151">
        <f t="shared" si="2345"/>
        <v>66.47066021563154</v>
      </c>
      <c r="AF243" s="151">
        <f t="shared" si="2345"/>
        <v>66.63459479566643</v>
      </c>
      <c r="AG243" s="151">
        <f t="shared" si="2345"/>
        <v>66.798933682600691</v>
      </c>
      <c r="AH243" s="151">
        <f t="shared" si="2345"/>
        <v>66.963677873564194</v>
      </c>
      <c r="AI243" s="151">
        <f t="shared" si="2345"/>
        <v>67.128828368146046</v>
      </c>
      <c r="AJ243" s="151">
        <f t="shared" si="2345"/>
        <v>67.294386168400578</v>
      </c>
      <c r="AK243" s="151">
        <f t="shared" si="2345"/>
        <v>67.460352278853421</v>
      </c>
      <c r="AL243" s="151">
        <f t="shared" si="2345"/>
        <v>67.626727706507722</v>
      </c>
      <c r="AM243" s="151">
        <f t="shared" si="2345"/>
        <v>67.793513460850093</v>
      </c>
      <c r="AN243" s="151">
        <f t="shared" si="2345"/>
        <v>67.960710553856842</v>
      </c>
      <c r="AO243" s="151">
        <f t="shared" si="2345"/>
        <v>68.128320000000116</v>
      </c>
      <c r="AP243" s="151">
        <f t="shared" si="2345"/>
        <v>68.29634281625394</v>
      </c>
      <c r="AQ243" s="151">
        <f t="shared" si="2345"/>
        <v>68.464780022100555</v>
      </c>
      <c r="AR243" s="151">
        <f t="shared" si="2345"/>
        <v>68.633632639536472</v>
      </c>
      <c r="AS243" s="151">
        <f t="shared" si="2345"/>
        <v>68.802901693078766</v>
      </c>
      <c r="AT243" s="151">
        <f t="shared" si="2345"/>
        <v>68.972588209771189</v>
      </c>
      <c r="AU243" s="151">
        <f t="shared" si="2345"/>
        <v>69.142693219190505</v>
      </c>
      <c r="AV243" s="151">
        <f t="shared" si="2345"/>
        <v>69.313217753452662</v>
      </c>
      <c r="AW243" s="151">
        <f t="shared" si="2345"/>
        <v>69.48416284721911</v>
      </c>
      <c r="AX243" s="151">
        <f t="shared" si="2345"/>
        <v>69.655529537703032</v>
      </c>
      <c r="AY243" s="151">
        <f t="shared" si="2345"/>
        <v>69.827318864675661</v>
      </c>
      <c r="AZ243" s="151">
        <f t="shared" si="2345"/>
        <v>69.999531870472623</v>
      </c>
      <c r="BA243" s="151">
        <f t="shared" si="2345"/>
        <v>70.172169600000174</v>
      </c>
      <c r="BB243" s="151">
        <f t="shared" si="2345"/>
        <v>70.316712780075818</v>
      </c>
      <c r="BC243" s="151">
        <f t="shared" si="2345"/>
        <v>70.461553695436322</v>
      </c>
      <c r="BD243" s="151">
        <f t="shared" si="2345"/>
        <v>70.606692959367663</v>
      </c>
      <c r="BE243" s="151">
        <f t="shared" si="2345"/>
        <v>70.752131186419021</v>
      </c>
      <c r="BF243" s="151">
        <f t="shared" si="2345"/>
        <v>70.897868992405478</v>
      </c>
      <c r="BG243" s="151">
        <f t="shared" si="2345"/>
        <v>71.043906994410591</v>
      </c>
      <c r="BH243" s="151">
        <f t="shared" si="2345"/>
        <v>71.190245810789008</v>
      </c>
      <c r="BI243" s="151">
        <f t="shared" si="2345"/>
        <v>71.336886061169096</v>
      </c>
      <c r="BJ243" s="151">
        <f t="shared" si="2345"/>
        <v>71.483828366455526</v>
      </c>
      <c r="BK243" s="151">
        <f t="shared" si="2345"/>
        <v>71.631073348831976</v>
      </c>
      <c r="BL243" s="151">
        <f t="shared" si="2345"/>
        <v>71.778621631763656</v>
      </c>
      <c r="BM243" s="151">
        <f t="shared" si="2345"/>
        <v>71.926473840000085</v>
      </c>
      <c r="BN243" s="151">
        <f t="shared" si="2345"/>
        <v>72.074630599577617</v>
      </c>
      <c r="BO243" s="151">
        <f t="shared" si="2345"/>
        <v>72.22309253782214</v>
      </c>
      <c r="BP243" s="151">
        <f t="shared" si="2345"/>
        <v>72.371860283351765</v>
      </c>
      <c r="BQ243" s="151">
        <f t="shared" si="2345"/>
        <v>72.52093446607941</v>
      </c>
      <c r="BR243" s="151">
        <f t="shared" si="2345"/>
        <v>72.670315717215516</v>
      </c>
      <c r="BS243" s="151">
        <f t="shared" ref="BS243:BY243" si="2346">+$E243*BS$12</f>
        <v>72.820004669270773</v>
      </c>
      <c r="BT243" s="151">
        <f t="shared" si="2346"/>
        <v>72.970001956058638</v>
      </c>
      <c r="BU243" s="151">
        <f t="shared" si="2346"/>
        <v>73.120308212698234</v>
      </c>
      <c r="BV243" s="151">
        <f t="shared" si="2346"/>
        <v>73.270924075616833</v>
      </c>
      <c r="BW243" s="151">
        <f t="shared" si="2346"/>
        <v>73.421850182552689</v>
      </c>
      <c r="BX243" s="151">
        <f t="shared" si="2346"/>
        <v>73.573087172557663</v>
      </c>
      <c r="BY243" s="151">
        <f t="shared" si="2346"/>
        <v>73.724635685999999</v>
      </c>
    </row>
    <row r="244" spans="2:77" customFormat="1" outlineLevel="1" x14ac:dyDescent="0.25">
      <c r="B244" s="1"/>
      <c r="C244" s="50" t="s">
        <v>273</v>
      </c>
      <c r="D244" s="36" t="s">
        <v>116</v>
      </c>
      <c r="E244" s="154">
        <v>60</v>
      </c>
      <c r="F244" s="155">
        <f>IF(F$5=EOMONTH($E227,1),F243,IF(AND(F$5&gt;EOMONTH($E227,1),F$5&lt;=$E229),E244*(1+F230),0))</f>
        <v>0</v>
      </c>
      <c r="G244" s="155">
        <f t="shared" ref="G244" si="2347">IF(G$5=EOMONTH($E227,1),G243,IF(AND(G$5&gt;EOMONTH($E227,1),G$5&lt;=$E229),F244*(1+G230),0))</f>
        <v>0</v>
      </c>
      <c r="H244" s="155">
        <f t="shared" ref="H244" si="2348">IF(H$5=EOMONTH($E227,1),H243,IF(AND(H$5&gt;EOMONTH($E227,1),H$5&lt;=$E229),G244*(1+H230),0))</f>
        <v>0</v>
      </c>
      <c r="I244" s="155">
        <f t="shared" ref="I244" si="2349">IF(I$5=EOMONTH($E227,1),I243,IF(AND(I$5&gt;EOMONTH($E227,1),I$5&lt;=$E229),H244*(1+I230),0))</f>
        <v>0</v>
      </c>
      <c r="J244" s="155">
        <f t="shared" ref="J244" si="2350">IF(J$5=EOMONTH($E227,1),J243,IF(AND(J$5&gt;EOMONTH($E227,1),J$5&lt;=$E229),I244*(1+J230),0))</f>
        <v>0</v>
      </c>
      <c r="K244" s="155">
        <f t="shared" ref="K244" si="2351">IF(K$5=EOMONTH($E227,1),K243,IF(AND(K$5&gt;EOMONTH($E227,1),K$5&lt;=$E229),J244*(1+K230),0))</f>
        <v>0</v>
      </c>
      <c r="L244" s="155">
        <f t="shared" ref="L244" si="2352">IF(L$5=EOMONTH($E227,1),L243,IF(AND(L$5&gt;EOMONTH($E227,1),L$5&lt;=$E229),K244*(1+L230),0))</f>
        <v>0</v>
      </c>
      <c r="M244" s="155">
        <f t="shared" ref="M244" si="2353">IF(M$5=EOMONTH($E227,1),M243,IF(AND(M$5&gt;EOMONTH($E227,1),M$5&lt;=$E229),L244*(1+M230),0))</f>
        <v>0</v>
      </c>
      <c r="N244" s="155">
        <f t="shared" ref="N244" si="2354">IF(N$5=EOMONTH($E227,1),N243,IF(AND(N$5&gt;EOMONTH($E227,1),N$5&lt;=$E229),M244*(1+N230),0))</f>
        <v>0</v>
      </c>
      <c r="O244" s="155">
        <f t="shared" ref="O244" si="2355">IF(O$5=EOMONTH($E227,1),O243,IF(AND(O$5&gt;EOMONTH($E227,1),O$5&lt;=$E229),N244*(1+O230),0))</f>
        <v>0</v>
      </c>
      <c r="P244" s="155">
        <f t="shared" ref="P244" si="2356">IF(P$5=EOMONTH($E227,1),P243,IF(AND(P$5&gt;EOMONTH($E227,1),P$5&lt;=$E229),O244*(1+P230),0))</f>
        <v>0</v>
      </c>
      <c r="Q244" s="155">
        <f t="shared" ref="Q244" si="2357">IF(Q$5=EOMONTH($E227,1),Q243,IF(AND(Q$5&gt;EOMONTH($E227,1),Q$5&lt;=$E229),P244*(1+Q230),0))</f>
        <v>0</v>
      </c>
      <c r="R244" s="155">
        <f t="shared" ref="R244" si="2358">IF(R$5=EOMONTH($E227,1),R243,IF(AND(R$5&gt;EOMONTH($E227,1),R$5&lt;=$E229),Q244*(1+R230),0))</f>
        <v>0</v>
      </c>
      <c r="S244" s="155">
        <f t="shared" ref="S244" si="2359">IF(S$5=EOMONTH($E227,1),S243,IF(AND(S$5&gt;EOMONTH($E227,1),S$5&lt;=$E229),R244*(1+S230),0))</f>
        <v>0</v>
      </c>
      <c r="T244" s="155">
        <f t="shared" ref="T244" si="2360">IF(T$5=EOMONTH($E227,1),T243,IF(AND(T$5&gt;EOMONTH($E227,1),T$5&lt;=$E229),S244*(1+T230),0))</f>
        <v>0</v>
      </c>
      <c r="U244" s="155">
        <f t="shared" ref="U244" si="2361">IF(U$5=EOMONTH($E227,1),U243,IF(AND(U$5&gt;EOMONTH($E227,1),U$5&lt;=$E229),T244*(1+U230),0))</f>
        <v>0</v>
      </c>
      <c r="V244" s="155">
        <f t="shared" ref="V244" si="2362">IF(V$5=EOMONTH($E227,1),V243,IF(AND(V$5&gt;EOMONTH($E227,1),V$5&lt;=$E229),U244*(1+V230),0))</f>
        <v>0</v>
      </c>
      <c r="W244" s="155">
        <f t="shared" ref="W244" si="2363">IF(W$5=EOMONTH($E227,1),W243,IF(AND(W$5&gt;EOMONTH($E227,1),W$5&lt;=$E229),V244*(1+W230),0))</f>
        <v>0</v>
      </c>
      <c r="X244" s="155">
        <f t="shared" ref="X244" si="2364">IF(X$5=EOMONTH($E227,1),X243,IF(AND(X$5&gt;EOMONTH($E227,1),X$5&lt;=$E229),W244*(1+X230),0))</f>
        <v>0</v>
      </c>
      <c r="Y244" s="155">
        <f t="shared" ref="Y244" si="2365">IF(Y$5=EOMONTH($E227,1),Y243,IF(AND(Y$5&gt;EOMONTH($E227,1),Y$5&lt;=$E229),X244*(1+Y230),0))</f>
        <v>0</v>
      </c>
      <c r="Z244" s="155">
        <f t="shared" ref="Z244" si="2366">IF(Z$5=EOMONTH($E227,1),Z243,IF(AND(Z$5&gt;EOMONTH($E227,1),Z$5&lt;=$E229),Y244*(1+Z230),0))</f>
        <v>0</v>
      </c>
      <c r="AA244" s="155">
        <f t="shared" ref="AA244" si="2367">IF(AA$5=EOMONTH($E227,1),AA243,IF(AND(AA$5&gt;EOMONTH($E227,1),AA$5&lt;=$E229),Z244*(1+AA230),0))</f>
        <v>0</v>
      </c>
      <c r="AB244" s="155">
        <f t="shared" ref="AB244" si="2368">IF(AB$5=EOMONTH($E227,1),AB243,IF(AND(AB$5&gt;EOMONTH($E227,1),AB$5&lt;=$E229),AA244*(1+AB230),0))</f>
        <v>0</v>
      </c>
      <c r="AC244" s="155">
        <f t="shared" ref="AC244" si="2369">IF(AC$5=EOMONTH($E227,1),AC243,IF(AND(AC$5&gt;EOMONTH($E227,1),AC$5&lt;=$E229),AB244*(1+AC230),0))</f>
        <v>0</v>
      </c>
      <c r="AD244" s="155">
        <f t="shared" ref="AD244" si="2370">IF(AD$5=EOMONTH($E227,1),AD243,IF(AND(AD$5&gt;EOMONTH($E227,1),AD$5&lt;=$E229),AC244*(1+AD230),0))</f>
        <v>0</v>
      </c>
      <c r="AE244" s="155">
        <f t="shared" ref="AE244" si="2371">IF(AE$5=EOMONTH($E227,1),AE243,IF(AND(AE$5&gt;EOMONTH($E227,1),AE$5&lt;=$E229),AD244*(1+AE230),0))</f>
        <v>0</v>
      </c>
      <c r="AF244" s="155">
        <f t="shared" ref="AF244" si="2372">IF(AF$5=EOMONTH($E227,1),AF243,IF(AND(AF$5&gt;EOMONTH($E227,1),AF$5&lt;=$E229),AE244*(1+AF230),0))</f>
        <v>0</v>
      </c>
      <c r="AG244" s="155">
        <f t="shared" ref="AG244" si="2373">IF(AG$5=EOMONTH($E227,1),AG243,IF(AND(AG$5&gt;EOMONTH($E227,1),AG$5&lt;=$E229),AF244*(1+AG230),0))</f>
        <v>0</v>
      </c>
      <c r="AH244" s="155">
        <f t="shared" ref="AH244" si="2374">IF(AH$5=EOMONTH($E227,1),AH243,IF(AND(AH$5&gt;EOMONTH($E227,1),AH$5&lt;=$E229),AG244*(1+AH230),0))</f>
        <v>0</v>
      </c>
      <c r="AI244" s="155">
        <f t="shared" ref="AI244" si="2375">IF(AI$5=EOMONTH($E227,1),AI243,IF(AND(AI$5&gt;EOMONTH($E227,1),AI$5&lt;=$E229),AH244*(1+AI230),0))</f>
        <v>0</v>
      </c>
      <c r="AJ244" s="155">
        <f t="shared" ref="AJ244" si="2376">IF(AJ$5=EOMONTH($E227,1),AJ243,IF(AND(AJ$5&gt;EOMONTH($E227,1),AJ$5&lt;=$E229),AI244*(1+AJ230),0))</f>
        <v>67.294386168400578</v>
      </c>
      <c r="AK244" s="155">
        <f t="shared" ref="AK244" si="2377">IF(AK$5=EOMONTH($E227,1),AK243,IF(AND(AK$5&gt;EOMONTH($E227,1),AK$5&lt;=$E229),AJ244*(1+AK230),0))</f>
        <v>67.294386168400578</v>
      </c>
      <c r="AL244" s="155">
        <f t="shared" ref="AL244" si="2378">IF(AL$5=EOMONTH($E227,1),AL243,IF(AND(AL$5&gt;EOMONTH($E227,1),AL$5&lt;=$E229),AK244*(1+AL230),0))</f>
        <v>67.294386168400578</v>
      </c>
      <c r="AM244" s="155">
        <f t="shared" ref="AM244" si="2379">IF(AM$5=EOMONTH($E227,1),AM243,IF(AND(AM$5&gt;EOMONTH($E227,1),AM$5&lt;=$E229),AL244*(1+AM230),0))</f>
        <v>67.294386168400578</v>
      </c>
      <c r="AN244" s="155">
        <f t="shared" ref="AN244" si="2380">IF(AN$5=EOMONTH($E227,1),AN243,IF(AND(AN$5&gt;EOMONTH($E227,1),AN$5&lt;=$E229),AM244*(1+AN230),0))</f>
        <v>67.294386168400578</v>
      </c>
      <c r="AO244" s="155">
        <f t="shared" ref="AO244" si="2381">IF(AO$5=EOMONTH($E227,1),AO243,IF(AND(AO$5&gt;EOMONTH($E227,1),AO$5&lt;=$E229),AN244*(1+AO230),0))</f>
        <v>67.294386168400578</v>
      </c>
      <c r="AP244" s="155">
        <f t="shared" ref="AP244" si="2382">IF(AP$5=EOMONTH($E227,1),AP243,IF(AND(AP$5&gt;EOMONTH($E227,1),AP$5&lt;=$E229),AO244*(1+AP230),0))</f>
        <v>67.294386168400578</v>
      </c>
      <c r="AQ244" s="155">
        <f t="shared" ref="AQ244" si="2383">IF(AQ$5=EOMONTH($E227,1),AQ243,IF(AND(AQ$5&gt;EOMONTH($E227,1),AQ$5&lt;=$E229),AP244*(1+AQ230),0))</f>
        <v>67.294386168400578</v>
      </c>
      <c r="AR244" s="155">
        <f t="shared" ref="AR244" si="2384">IF(AR$5=EOMONTH($E227,1),AR243,IF(AND(AR$5&gt;EOMONTH($E227,1),AR$5&lt;=$E229),AQ244*(1+AR230),0))</f>
        <v>67.294386168400578</v>
      </c>
      <c r="AS244" s="155">
        <f t="shared" ref="AS244" si="2385">IF(AS$5=EOMONTH($E227,1),AS243,IF(AND(AS$5&gt;EOMONTH($E227,1),AS$5&lt;=$E229),AR244*(1+AS230),0))</f>
        <v>67.294386168400578</v>
      </c>
      <c r="AT244" s="155">
        <f t="shared" ref="AT244" si="2386">IF(AT$5=EOMONTH($E227,1),AT243,IF(AND(AT$5&gt;EOMONTH($E227,1),AT$5&lt;=$E229),AS244*(1+AT230),0))</f>
        <v>67.294386168400578</v>
      </c>
      <c r="AU244" s="155">
        <f t="shared" ref="AU244" si="2387">IF(AU$5=EOMONTH($E227,1),AU243,IF(AND(AU$5&gt;EOMONTH($E227,1),AU$5&lt;=$E229),AT244*(1+AU230),0))</f>
        <v>67.294386168400578</v>
      </c>
      <c r="AV244" s="155">
        <f t="shared" ref="AV244" si="2388">IF(AV$5=EOMONTH($E227,1),AV243,IF(AND(AV$5&gt;EOMONTH($E227,1),AV$5&lt;=$E229),AU244*(1+AV230),0))</f>
        <v>68.976745822610582</v>
      </c>
      <c r="AW244" s="155">
        <f t="shared" ref="AW244" si="2389">IF(AW$5=EOMONTH($E227,1),AW243,IF(AND(AW$5&gt;EOMONTH($E227,1),AW$5&lt;=$E229),AV244*(1+AW230),0))</f>
        <v>68.976745822610582</v>
      </c>
      <c r="AX244" s="155">
        <f t="shared" ref="AX244" si="2390">IF(AX$5=EOMONTH($E227,1),AX243,IF(AND(AX$5&gt;EOMONTH($E227,1),AX$5&lt;=$E229),AW244*(1+AX230),0))</f>
        <v>68.976745822610582</v>
      </c>
      <c r="AY244" s="155">
        <f t="shared" ref="AY244" si="2391">IF(AY$5=EOMONTH($E227,1),AY243,IF(AND(AY$5&gt;EOMONTH($E227,1),AY$5&lt;=$E229),AX244*(1+AY230),0))</f>
        <v>68.976745822610582</v>
      </c>
      <c r="AZ244" s="155">
        <f t="shared" ref="AZ244" si="2392">IF(AZ$5=EOMONTH($E227,1),AZ243,IF(AND(AZ$5&gt;EOMONTH($E227,1),AZ$5&lt;=$E229),AY244*(1+AZ230),0))</f>
        <v>68.976745822610582</v>
      </c>
      <c r="BA244" s="155">
        <f t="shared" ref="BA244" si="2393">IF(BA$5=EOMONTH($E227,1),BA243,IF(AND(BA$5&gt;EOMONTH($E227,1),BA$5&lt;=$E229),AZ244*(1+BA230),0))</f>
        <v>68.976745822610582</v>
      </c>
      <c r="BB244" s="155">
        <f t="shared" ref="BB244" si="2394">IF(BB$5=EOMONTH($E227,1),BB243,IF(AND(BB$5&gt;EOMONTH($E227,1),BB$5&lt;=$E229),BA244*(1+BB230),0))</f>
        <v>68.976745822610582</v>
      </c>
      <c r="BC244" s="155">
        <f t="shared" ref="BC244" si="2395">IF(BC$5=EOMONTH($E227,1),BC243,IF(AND(BC$5&gt;EOMONTH($E227,1),BC$5&lt;=$E229),BB244*(1+BC230),0))</f>
        <v>68.976745822610582</v>
      </c>
      <c r="BD244" s="155">
        <f t="shared" ref="BD244" si="2396">IF(BD$5=EOMONTH($E227,1),BD243,IF(AND(BD$5&gt;EOMONTH($E227,1),BD$5&lt;=$E229),BC244*(1+BD230),0))</f>
        <v>68.976745822610582</v>
      </c>
      <c r="BE244" s="155">
        <f t="shared" ref="BE244" si="2397">IF(BE$5=EOMONTH($E227,1),BE243,IF(AND(BE$5&gt;EOMONTH($E227,1),BE$5&lt;=$E229),BD244*(1+BE230),0))</f>
        <v>68.976745822610582</v>
      </c>
      <c r="BF244" s="155">
        <f t="shared" ref="BF244" si="2398">IF(BF$5=EOMONTH($E227,1),BF243,IF(AND(BF$5&gt;EOMONTH($E227,1),BF$5&lt;=$E229),BE244*(1+BF230),0))</f>
        <v>68.976745822610582</v>
      </c>
      <c r="BG244" s="155">
        <f t="shared" ref="BG244" si="2399">IF(BG$5=EOMONTH($E227,1),BG243,IF(AND(BG$5&gt;EOMONTH($E227,1),BG$5&lt;=$E229),BF244*(1+BG230),0))</f>
        <v>68.976745822610582</v>
      </c>
      <c r="BH244" s="155">
        <f t="shared" ref="BH244" si="2400">IF(BH$5=EOMONTH($E227,1),BH243,IF(AND(BH$5&gt;EOMONTH($E227,1),BH$5&lt;=$E229),BG244*(1+BH230),0))</f>
        <v>70.701164468175847</v>
      </c>
      <c r="BI244" s="155">
        <f t="shared" ref="BI244" si="2401">IF(BI$5=EOMONTH($E227,1),BI243,IF(AND(BI$5&gt;EOMONTH($E227,1),BI$5&lt;=$E229),BH244*(1+BI230),0))</f>
        <v>70.701164468175847</v>
      </c>
      <c r="BJ244" s="155">
        <f t="shared" ref="BJ244" si="2402">IF(BJ$5=EOMONTH($E227,1),BJ243,IF(AND(BJ$5&gt;EOMONTH($E227,1),BJ$5&lt;=$E229),BI244*(1+BJ230),0))</f>
        <v>70.701164468175847</v>
      </c>
      <c r="BK244" s="155">
        <f t="shared" ref="BK244" si="2403">IF(BK$5=EOMONTH($E227,1),BK243,IF(AND(BK$5&gt;EOMONTH($E227,1),BK$5&lt;=$E229),BJ244*(1+BK230),0))</f>
        <v>70.701164468175847</v>
      </c>
      <c r="BL244" s="155">
        <f t="shared" ref="BL244" si="2404">IF(BL$5=EOMONTH($E227,1),BL243,IF(AND(BL$5&gt;EOMONTH($E227,1),BL$5&lt;=$E229),BK244*(1+BL230),0))</f>
        <v>70.701164468175847</v>
      </c>
      <c r="BM244" s="155">
        <f t="shared" ref="BM244" si="2405">IF(BM$5=EOMONTH($E227,1),BM243,IF(AND(BM$5&gt;EOMONTH($E227,1),BM$5&lt;=$E229),BL244*(1+BM230),0))</f>
        <v>70.701164468175847</v>
      </c>
      <c r="BN244" s="155">
        <f t="shared" ref="BN244" si="2406">IF(BN$5=EOMONTH($E227,1),BN243,IF(AND(BN$5&gt;EOMONTH($E227,1),BN$5&lt;=$E229),BM244*(1+BN230),0))</f>
        <v>70.701164468175847</v>
      </c>
      <c r="BO244" s="155">
        <f t="shared" ref="BO244" si="2407">IF(BO$5=EOMONTH($E227,1),BO243,IF(AND(BO$5&gt;EOMONTH($E227,1),BO$5&lt;=$E229),BN244*(1+BO230),0))</f>
        <v>70.701164468175847</v>
      </c>
      <c r="BP244" s="155">
        <f t="shared" ref="BP244" si="2408">IF(BP$5=EOMONTH($E227,1),BP243,IF(AND(BP$5&gt;EOMONTH($E227,1),BP$5&lt;=$E229),BO244*(1+BP230),0))</f>
        <v>70.701164468175847</v>
      </c>
      <c r="BQ244" s="155">
        <f t="shared" ref="BQ244" si="2409">IF(BQ$5=EOMONTH($E227,1),BQ243,IF(AND(BQ$5&gt;EOMONTH($E227,1),BQ$5&lt;=$E229),BP244*(1+BQ230),0))</f>
        <v>70.701164468175847</v>
      </c>
      <c r="BR244" s="155">
        <f t="shared" ref="BR244" si="2410">IF(BR$5=EOMONTH($E227,1),BR243,IF(AND(BR$5&gt;EOMONTH($E227,1),BR$5&lt;=$E229),BQ244*(1+BR230),0))</f>
        <v>70.701164468175847</v>
      </c>
      <c r="BS244" s="155">
        <f t="shared" ref="BS244" si="2411">IF(BS$5=EOMONTH($E227,1),BS243,IF(AND(BS$5&gt;EOMONTH($E227,1),BS$5&lt;=$E229),BR244*(1+BS230),0))</f>
        <v>70.701164468175847</v>
      </c>
      <c r="BT244" s="155">
        <f t="shared" ref="BT244" si="2412">IF(BT$5=EOMONTH($E227,1),BT243,IF(AND(BT$5&gt;EOMONTH($E227,1),BT$5&lt;=$E229),BS244*(1+BT230),0))</f>
        <v>72.468693579880238</v>
      </c>
      <c r="BU244" s="155">
        <f t="shared" ref="BU244" si="2413">IF(BU$5=EOMONTH($E227,1),BU243,IF(AND(BU$5&gt;EOMONTH($E227,1),BU$5&lt;=$E229),BT244*(1+BU230),0))</f>
        <v>72.468693579880238</v>
      </c>
      <c r="BV244" s="155">
        <f t="shared" ref="BV244" si="2414">IF(BV$5=EOMONTH($E227,1),BV243,IF(AND(BV$5&gt;EOMONTH($E227,1),BV$5&lt;=$E229),BU244*(1+BV230),0))</f>
        <v>72.468693579880238</v>
      </c>
      <c r="BW244" s="155">
        <f t="shared" ref="BW244" si="2415">IF(BW$5=EOMONTH($E227,1),BW243,IF(AND(BW$5&gt;EOMONTH($E227,1),BW$5&lt;=$E229),BV244*(1+BW230),0))</f>
        <v>72.468693579880238</v>
      </c>
      <c r="BX244" s="155">
        <f t="shared" ref="BX244" si="2416">IF(BX$5=EOMONTH($E227,1),BX243,IF(AND(BX$5&gt;EOMONTH($E227,1),BX$5&lt;=$E229),BW244*(1+BX230),0))</f>
        <v>72.468693579880238</v>
      </c>
      <c r="BY244" s="155">
        <f t="shared" ref="BY244" si="2417">IF(BY$5=EOMONTH($E227,1),BY243,IF(AND(BY$5&gt;EOMONTH($E227,1),BY$5&lt;=$E229),BX244*(1+BY230),0))</f>
        <v>72.468693579880238</v>
      </c>
    </row>
    <row r="245" spans="2:77" customFormat="1" outlineLevel="1" x14ac:dyDescent="0.25">
      <c r="B245" s="1"/>
      <c r="C245" s="50" t="s">
        <v>274</v>
      </c>
      <c r="D245" s="36" t="s">
        <v>116</v>
      </c>
      <c r="E245" s="1"/>
      <c r="F245" s="155">
        <f>IF(F$5=EOMONTH($E233,1),F243,IF(AND(F$5&gt;EOMONTH($E233,1),F$5&lt;=$E235),E245*(1+F236),0))</f>
        <v>0</v>
      </c>
      <c r="G245" s="155">
        <f t="shared" ref="G245" si="2418">IF(G$5=EOMONTH($E233,1),G243,IF(AND(G$5&gt;EOMONTH($E233,1),G$5&lt;=$E235),F245*(1+G236),0))</f>
        <v>0</v>
      </c>
      <c r="H245" s="155">
        <f t="shared" ref="H245" si="2419">IF(H$5=EOMONTH($E233,1),H243,IF(AND(H$5&gt;EOMONTH($E233,1),H$5&lt;=$E235),G245*(1+H236),0))</f>
        <v>0</v>
      </c>
      <c r="I245" s="155">
        <f t="shared" ref="I245" si="2420">IF(I$5=EOMONTH($E233,1),I243,IF(AND(I$5&gt;EOMONTH($E233,1),I$5&lt;=$E235),H245*(1+I236),0))</f>
        <v>0</v>
      </c>
      <c r="J245" s="155">
        <f t="shared" ref="J245" si="2421">IF(J$5=EOMONTH($E233,1),J243,IF(AND(J$5&gt;EOMONTH($E233,1),J$5&lt;=$E235),I245*(1+J236),0))</f>
        <v>0</v>
      </c>
      <c r="K245" s="155">
        <f t="shared" ref="K245" si="2422">IF(K$5=EOMONTH($E233,1),K243,IF(AND(K$5&gt;EOMONTH($E233,1),K$5&lt;=$E235),J245*(1+K236),0))</f>
        <v>0</v>
      </c>
      <c r="L245" s="155">
        <f t="shared" ref="L245" si="2423">IF(L$5=EOMONTH($E233,1),L243,IF(AND(L$5&gt;EOMONTH($E233,1),L$5&lt;=$E235),K245*(1+L236),0))</f>
        <v>0</v>
      </c>
      <c r="M245" s="155">
        <f t="shared" ref="M245" si="2424">IF(M$5=EOMONTH($E233,1),M243,IF(AND(M$5&gt;EOMONTH($E233,1),M$5&lt;=$E235),L245*(1+M236),0))</f>
        <v>0</v>
      </c>
      <c r="N245" s="155">
        <f t="shared" ref="N245" si="2425">IF(N$5=EOMONTH($E233,1),N243,IF(AND(N$5&gt;EOMONTH($E233,1),N$5&lt;=$E235),M245*(1+N236),0))</f>
        <v>0</v>
      </c>
      <c r="O245" s="155">
        <f t="shared" ref="O245" si="2426">IF(O$5=EOMONTH($E233,1),O243,IF(AND(O$5&gt;EOMONTH($E233,1),O$5&lt;=$E235),N245*(1+O236),0))</f>
        <v>0</v>
      </c>
      <c r="P245" s="155">
        <f t="shared" ref="P245" si="2427">IF(P$5=EOMONTH($E233,1),P243,IF(AND(P$5&gt;EOMONTH($E233,1),P$5&lt;=$E235),O245*(1+P236),0))</f>
        <v>0</v>
      </c>
      <c r="Q245" s="155">
        <f t="shared" ref="Q245" si="2428">IF(Q$5=EOMONTH($E233,1),Q243,IF(AND(Q$5&gt;EOMONTH($E233,1),Q$5&lt;=$E235),P245*(1+Q236),0))</f>
        <v>0</v>
      </c>
      <c r="R245" s="155">
        <f t="shared" ref="R245" si="2429">IF(R$5=EOMONTH($E233,1),R243,IF(AND(R$5&gt;EOMONTH($E233,1),R$5&lt;=$E235),Q245*(1+R236),0))</f>
        <v>0</v>
      </c>
      <c r="S245" s="155">
        <f t="shared" ref="S245" si="2430">IF(S$5=EOMONTH($E233,1),S243,IF(AND(S$5&gt;EOMONTH($E233,1),S$5&lt;=$E235),R245*(1+S236),0))</f>
        <v>0</v>
      </c>
      <c r="T245" s="155">
        <f t="shared" ref="T245" si="2431">IF(T$5=EOMONTH($E233,1),T243,IF(AND(T$5&gt;EOMONTH($E233,1),T$5&lt;=$E235),S245*(1+T236),0))</f>
        <v>0</v>
      </c>
      <c r="U245" s="155">
        <f t="shared" ref="U245" si="2432">IF(U$5=EOMONTH($E233,1),U243,IF(AND(U$5&gt;EOMONTH($E233,1),U$5&lt;=$E235),T245*(1+U236),0))</f>
        <v>0</v>
      </c>
      <c r="V245" s="155">
        <f t="shared" ref="V245" si="2433">IF(V$5=EOMONTH($E233,1),V243,IF(AND(V$5&gt;EOMONTH($E233,1),V$5&lt;=$E235),U245*(1+V236),0))</f>
        <v>0</v>
      </c>
      <c r="W245" s="155">
        <f t="shared" ref="W245" si="2434">IF(W$5=EOMONTH($E233,1),W243,IF(AND(W$5&gt;EOMONTH($E233,1),W$5&lt;=$E235),V245*(1+W236),0))</f>
        <v>0</v>
      </c>
      <c r="X245" s="155">
        <f t="shared" ref="X245" si="2435">IF(X$5=EOMONTH($E233,1),X243,IF(AND(X$5&gt;EOMONTH($E233,1),X$5&lt;=$E235),W245*(1+X236),0))</f>
        <v>0</v>
      </c>
      <c r="Y245" s="155">
        <f t="shared" ref="Y245" si="2436">IF(Y$5=EOMONTH($E233,1),Y243,IF(AND(Y$5&gt;EOMONTH($E233,1),Y$5&lt;=$E235),X245*(1+Y236),0))</f>
        <v>0</v>
      </c>
      <c r="Z245" s="155">
        <f t="shared" ref="Z245" si="2437">IF(Z$5=EOMONTH($E233,1),Z243,IF(AND(Z$5&gt;EOMONTH($E233,1),Z$5&lt;=$E235),Y245*(1+Z236),0))</f>
        <v>0</v>
      </c>
      <c r="AA245" s="155">
        <f t="shared" ref="AA245" si="2438">IF(AA$5=EOMONTH($E233,1),AA243,IF(AND(AA$5&gt;EOMONTH($E233,1),AA$5&lt;=$E235),Z245*(1+AA236),0))</f>
        <v>0</v>
      </c>
      <c r="AB245" s="155">
        <f t="shared" ref="AB245" si="2439">IF(AB$5=EOMONTH($E233,1),AB243,IF(AND(AB$5&gt;EOMONTH($E233,1),AB$5&lt;=$E235),AA245*(1+AB236),0))</f>
        <v>0</v>
      </c>
      <c r="AC245" s="155">
        <f t="shared" ref="AC245" si="2440">IF(AC$5=EOMONTH($E233,1),AC243,IF(AND(AC$5&gt;EOMONTH($E233,1),AC$5&lt;=$E235),AB245*(1+AC236),0))</f>
        <v>0</v>
      </c>
      <c r="AD245" s="155">
        <f t="shared" ref="AD245" si="2441">IF(AD$5=EOMONTH($E233,1),AD243,IF(AND(AD$5&gt;EOMONTH($E233,1),AD$5&lt;=$E235),AC245*(1+AD236),0))</f>
        <v>0</v>
      </c>
      <c r="AE245" s="155">
        <f t="shared" ref="AE245" si="2442">IF(AE$5=EOMONTH($E233,1),AE243,IF(AND(AE$5&gt;EOMONTH($E233,1),AE$5&lt;=$E235),AD245*(1+AE236),0))</f>
        <v>0</v>
      </c>
      <c r="AF245" s="155">
        <f t="shared" ref="AF245" si="2443">IF(AF$5=EOMONTH($E233,1),AF243,IF(AND(AF$5&gt;EOMONTH($E233,1),AF$5&lt;=$E235),AE245*(1+AF236),0))</f>
        <v>0</v>
      </c>
      <c r="AG245" s="155">
        <f t="shared" ref="AG245" si="2444">IF(AG$5=EOMONTH($E233,1),AG243,IF(AND(AG$5&gt;EOMONTH($E233,1),AG$5&lt;=$E235),AF245*(1+AG236),0))</f>
        <v>0</v>
      </c>
      <c r="AH245" s="155">
        <f t="shared" ref="AH245" si="2445">IF(AH$5=EOMONTH($E233,1),AH243,IF(AND(AH$5&gt;EOMONTH($E233,1),AH$5&lt;=$E235),AG245*(1+AH236),0))</f>
        <v>0</v>
      </c>
      <c r="AI245" s="155">
        <f t="shared" ref="AI245" si="2446">IF(AI$5=EOMONTH($E233,1),AI243,IF(AND(AI$5&gt;EOMONTH($E233,1),AI$5&lt;=$E235),AH245*(1+AI236),0))</f>
        <v>0</v>
      </c>
      <c r="AJ245" s="155">
        <f t="shared" ref="AJ245" si="2447">IF(AJ$5=EOMONTH($E233,1),AJ243,IF(AND(AJ$5&gt;EOMONTH($E233,1),AJ$5&lt;=$E235),AI245*(1+AJ236),0))</f>
        <v>0</v>
      </c>
      <c r="AK245" s="155">
        <f t="shared" ref="AK245" si="2448">IF(AK$5=EOMONTH($E233,1),AK243,IF(AND(AK$5&gt;EOMONTH($E233,1),AK$5&lt;=$E235),AJ245*(1+AK236),0))</f>
        <v>0</v>
      </c>
      <c r="AL245" s="155">
        <f t="shared" ref="AL245" si="2449">IF(AL$5=EOMONTH($E233,1),AL243,IF(AND(AL$5&gt;EOMONTH($E233,1),AL$5&lt;=$E235),AK245*(1+AL236),0))</f>
        <v>0</v>
      </c>
      <c r="AM245" s="155">
        <f t="shared" ref="AM245" si="2450">IF(AM$5=EOMONTH($E233,1),AM243,IF(AND(AM$5&gt;EOMONTH($E233,1),AM$5&lt;=$E235),AL245*(1+AM236),0))</f>
        <v>0</v>
      </c>
      <c r="AN245" s="155">
        <f t="shared" ref="AN245" si="2451">IF(AN$5=EOMONTH($E233,1),AN243,IF(AND(AN$5&gt;EOMONTH($E233,1),AN$5&lt;=$E235),AM245*(1+AN236),0))</f>
        <v>0</v>
      </c>
      <c r="AO245" s="155">
        <f t="shared" ref="AO245" si="2452">IF(AO$5=EOMONTH($E233,1),AO243,IF(AND(AO$5&gt;EOMONTH($E233,1),AO$5&lt;=$E235),AN245*(1+AO236),0))</f>
        <v>0</v>
      </c>
      <c r="AP245" s="155">
        <f t="shared" ref="AP245" si="2453">IF(AP$5=EOMONTH($E233,1),AP243,IF(AND(AP$5&gt;EOMONTH($E233,1),AP$5&lt;=$E235),AO245*(1+AP236),0))</f>
        <v>0</v>
      </c>
      <c r="AQ245" s="155">
        <f t="shared" ref="AQ245" si="2454">IF(AQ$5=EOMONTH($E233,1),AQ243,IF(AND(AQ$5&gt;EOMONTH($E233,1),AQ$5&lt;=$E235),AP245*(1+AQ236),0))</f>
        <v>0</v>
      </c>
      <c r="AR245" s="155">
        <f t="shared" ref="AR245" si="2455">IF(AR$5=EOMONTH($E233,1),AR243,IF(AND(AR$5&gt;EOMONTH($E233,1),AR$5&lt;=$E235),AQ245*(1+AR236),0))</f>
        <v>0</v>
      </c>
      <c r="AS245" s="155">
        <f t="shared" ref="AS245" si="2456">IF(AS$5=EOMONTH($E233,1),AS243,IF(AND(AS$5&gt;EOMONTH($E233,1),AS$5&lt;=$E235),AR245*(1+AS236),0))</f>
        <v>0</v>
      </c>
      <c r="AT245" s="155">
        <f t="shared" ref="AT245" si="2457">IF(AT$5=EOMONTH($E233,1),AT243,IF(AND(AT$5&gt;EOMONTH($E233,1),AT$5&lt;=$E235),AS245*(1+AT236),0))</f>
        <v>0</v>
      </c>
      <c r="AU245" s="155">
        <f t="shared" ref="AU245" si="2458">IF(AU$5=EOMONTH($E233,1),AU243,IF(AND(AU$5&gt;EOMONTH($E233,1),AU$5&lt;=$E235),AT245*(1+AU236),0))</f>
        <v>0</v>
      </c>
      <c r="AV245" s="155">
        <f t="shared" ref="AV245" si="2459">IF(AV$5=EOMONTH($E233,1),AV243,IF(AND(AV$5&gt;EOMONTH($E233,1),AV$5&lt;=$E235),AU245*(1+AV236),0))</f>
        <v>0</v>
      </c>
      <c r="AW245" s="155">
        <f t="shared" ref="AW245" si="2460">IF(AW$5=EOMONTH($E233,1),AW243,IF(AND(AW$5&gt;EOMONTH($E233,1),AW$5&lt;=$E235),AV245*(1+AW236),0))</f>
        <v>0</v>
      </c>
      <c r="AX245" s="155">
        <f t="shared" ref="AX245" si="2461">IF(AX$5=EOMONTH($E233,1),AX243,IF(AND(AX$5&gt;EOMONTH($E233,1),AX$5&lt;=$E235),AW245*(1+AX236),0))</f>
        <v>0</v>
      </c>
      <c r="AY245" s="155">
        <f t="shared" ref="AY245" si="2462">IF(AY$5=EOMONTH($E233,1),AY243,IF(AND(AY$5&gt;EOMONTH($E233,1),AY$5&lt;=$E235),AX245*(1+AY236),0))</f>
        <v>0</v>
      </c>
      <c r="AZ245" s="155">
        <f t="shared" ref="AZ245" si="2463">IF(AZ$5=EOMONTH($E233,1),AZ243,IF(AND(AZ$5&gt;EOMONTH($E233,1),AZ$5&lt;=$E235),AY245*(1+AZ236),0))</f>
        <v>0</v>
      </c>
      <c r="BA245" s="155">
        <f t="shared" ref="BA245" si="2464">IF(BA$5=EOMONTH($E233,1),BA243,IF(AND(BA$5&gt;EOMONTH($E233,1),BA$5&lt;=$E235),AZ245*(1+BA236),0))</f>
        <v>0</v>
      </c>
      <c r="BB245" s="155">
        <f t="shared" ref="BB245" si="2465">IF(BB$5=EOMONTH($E233,1),BB243,IF(AND(BB$5&gt;EOMONTH($E233,1),BB$5&lt;=$E235),BA245*(1+BB236),0))</f>
        <v>0</v>
      </c>
      <c r="BC245" s="155">
        <f t="shared" ref="BC245" si="2466">IF(BC$5=EOMONTH($E233,1),BC243,IF(AND(BC$5&gt;EOMONTH($E233,1),BC$5&lt;=$E235),BB245*(1+BC236),0))</f>
        <v>0</v>
      </c>
      <c r="BD245" s="155">
        <f t="shared" ref="BD245" si="2467">IF(BD$5=EOMONTH($E233,1),BD243,IF(AND(BD$5&gt;EOMONTH($E233,1),BD$5&lt;=$E235),BC245*(1+BD236),0))</f>
        <v>0</v>
      </c>
      <c r="BE245" s="155">
        <f t="shared" ref="BE245" si="2468">IF(BE$5=EOMONTH($E233,1),BE243,IF(AND(BE$5&gt;EOMONTH($E233,1),BE$5&lt;=$E235),BD245*(1+BE236),0))</f>
        <v>0</v>
      </c>
      <c r="BF245" s="155">
        <f t="shared" ref="BF245" si="2469">IF(BF$5=EOMONTH($E233,1),BF243,IF(AND(BF$5&gt;EOMONTH($E233,1),BF$5&lt;=$E235),BE245*(1+BF236),0))</f>
        <v>0</v>
      </c>
      <c r="BG245" s="155">
        <f t="shared" ref="BG245" si="2470">IF(BG$5=EOMONTH($E233,1),BG243,IF(AND(BG$5&gt;EOMONTH($E233,1),BG$5&lt;=$E235),BF245*(1+BG236),0))</f>
        <v>0</v>
      </c>
      <c r="BH245" s="155">
        <f t="shared" ref="BH245" si="2471">IF(BH$5=EOMONTH($E233,1),BH243,IF(AND(BH$5&gt;EOMONTH($E233,1),BH$5&lt;=$E235),BG245*(1+BH236),0))</f>
        <v>0</v>
      </c>
      <c r="BI245" s="155">
        <f t="shared" ref="BI245" si="2472">IF(BI$5=EOMONTH($E233,1),BI243,IF(AND(BI$5&gt;EOMONTH($E233,1),BI$5&lt;=$E235),BH245*(1+BI236),0))</f>
        <v>0</v>
      </c>
      <c r="BJ245" s="155">
        <f t="shared" ref="BJ245" si="2473">IF(BJ$5=EOMONTH($E233,1),BJ243,IF(AND(BJ$5&gt;EOMONTH($E233,1),BJ$5&lt;=$E235),BI245*(1+BJ236),0))</f>
        <v>0</v>
      </c>
      <c r="BK245" s="155">
        <f t="shared" ref="BK245" si="2474">IF(BK$5=EOMONTH($E233,1),BK243,IF(AND(BK$5&gt;EOMONTH($E233,1),BK$5&lt;=$E235),BJ245*(1+BK236),0))</f>
        <v>0</v>
      </c>
      <c r="BL245" s="155">
        <f t="shared" ref="BL245" si="2475">IF(BL$5=EOMONTH($E233,1),BL243,IF(AND(BL$5&gt;EOMONTH($E233,1),BL$5&lt;=$E235),BK245*(1+BL236),0))</f>
        <v>0</v>
      </c>
      <c r="BM245" s="155">
        <f t="shared" ref="BM245" si="2476">IF(BM$5=EOMONTH($E233,1),BM243,IF(AND(BM$5&gt;EOMONTH($E233,1),BM$5&lt;=$E235),BL245*(1+BM236),0))</f>
        <v>0</v>
      </c>
      <c r="BN245" s="155">
        <f t="shared" ref="BN245" si="2477">IF(BN$5=EOMONTH($E233,1),BN243,IF(AND(BN$5&gt;EOMONTH($E233,1),BN$5&lt;=$E235),BM245*(1+BN236),0))</f>
        <v>0</v>
      </c>
      <c r="BO245" s="155">
        <f t="shared" ref="BO245" si="2478">IF(BO$5=EOMONTH($E233,1),BO243,IF(AND(BO$5&gt;EOMONTH($E233,1),BO$5&lt;=$E235),BN245*(1+BO236),0))</f>
        <v>0</v>
      </c>
      <c r="BP245" s="155">
        <f t="shared" ref="BP245" si="2479">IF(BP$5=EOMONTH($E233,1),BP243,IF(AND(BP$5&gt;EOMONTH($E233,1),BP$5&lt;=$E235),BO245*(1+BP236),0))</f>
        <v>0</v>
      </c>
      <c r="BQ245" s="155">
        <f t="shared" ref="BQ245" si="2480">IF(BQ$5=EOMONTH($E233,1),BQ243,IF(AND(BQ$5&gt;EOMONTH($E233,1),BQ$5&lt;=$E235),BP245*(1+BQ236),0))</f>
        <v>0</v>
      </c>
      <c r="BR245" s="155">
        <f t="shared" ref="BR245" si="2481">IF(BR$5=EOMONTH($E233,1),BR243,IF(AND(BR$5&gt;EOMONTH($E233,1),BR$5&lt;=$E235),BQ245*(1+BR236),0))</f>
        <v>0</v>
      </c>
      <c r="BS245" s="155">
        <f t="shared" ref="BS245" si="2482">IF(BS$5=EOMONTH($E233,1),BS243,IF(AND(BS$5&gt;EOMONTH($E233,1),BS$5&lt;=$E235),BR245*(1+BS236),0))</f>
        <v>0</v>
      </c>
      <c r="BT245" s="155">
        <f t="shared" ref="BT245" si="2483">IF(BT$5=EOMONTH($E233,1),BT243,IF(AND(BT$5&gt;EOMONTH($E233,1),BT$5&lt;=$E235),BS245*(1+BT236),0))</f>
        <v>0</v>
      </c>
      <c r="BU245" s="155">
        <f t="shared" ref="BU245" si="2484">IF(BU$5=EOMONTH($E233,1),BU243,IF(AND(BU$5&gt;EOMONTH($E233,1),BU$5&lt;=$E235),BT245*(1+BU236),0))</f>
        <v>0</v>
      </c>
      <c r="BV245" s="155">
        <f t="shared" ref="BV245" si="2485">IF(BV$5=EOMONTH($E233,1),BV243,IF(AND(BV$5&gt;EOMONTH($E233,1),BV$5&lt;=$E235),BU245*(1+BV236),0))</f>
        <v>0</v>
      </c>
      <c r="BW245" s="155">
        <f t="shared" ref="BW245" si="2486">IF(BW$5=EOMONTH($E233,1),BW243,IF(AND(BW$5&gt;EOMONTH($E233,1),BW$5&lt;=$E235),BV245*(1+BW236),0))</f>
        <v>0</v>
      </c>
      <c r="BX245" s="155">
        <f t="shared" ref="BX245" si="2487">IF(BX$5=EOMONTH($E233,1),BX243,IF(AND(BX$5&gt;EOMONTH($E233,1),BX$5&lt;=$E235),BW245*(1+BX236),0))</f>
        <v>0</v>
      </c>
      <c r="BY245" s="155">
        <f t="shared" ref="BY245" si="2488">IF(BY$5=EOMONTH($E233,1),BY243,IF(AND(BY$5&gt;EOMONTH($E233,1),BY$5&lt;=$E235),BX245*(1+BY236),0))</f>
        <v>0</v>
      </c>
    </row>
    <row r="246" spans="2:77" customFormat="1" outlineLevel="1" x14ac:dyDescent="0.25">
      <c r="B246" s="1"/>
      <c r="C246" s="50" t="s">
        <v>275</v>
      </c>
      <c r="D246" s="36" t="s">
        <v>116</v>
      </c>
      <c r="E246" s="1"/>
      <c r="F246" s="155">
        <f>IF(F$5=EOMONTH($E238,1),F243,IF(F$5&gt;EOMONTH($E238,1),E246*(1+F241),IF(AND(F$5&gt;$E229,F$5&lt;=$E238),F243,0)))</f>
        <v>0</v>
      </c>
      <c r="G246" s="155">
        <f t="shared" ref="G246" si="2489">IF(G$5=EOMONTH($E238,1),G243,IF(G$5&gt;EOMONTH($E238,1),F246*(1+G241),IF(AND(G$5&gt;$E229,G$5&lt;=$E238),G243,0)))</f>
        <v>0</v>
      </c>
      <c r="H246" s="155">
        <f t="shared" ref="H246" si="2490">IF(H$5=EOMONTH($E238,1),H243,IF(H$5&gt;EOMONTH($E238,1),G246*(1+H241),IF(AND(H$5&gt;$E229,H$5&lt;=$E238),H243,0)))</f>
        <v>0</v>
      </c>
      <c r="I246" s="155">
        <f t="shared" ref="I246" si="2491">IF(I$5=EOMONTH($E238,1),I243,IF(I$5&gt;EOMONTH($E238,1),H246*(1+I241),IF(AND(I$5&gt;$E229,I$5&lt;=$E238),I243,0)))</f>
        <v>0</v>
      </c>
      <c r="J246" s="155">
        <f t="shared" ref="J246" si="2492">IF(J$5=EOMONTH($E238,1),J243,IF(J$5&gt;EOMONTH($E238,1),I246*(1+J241),IF(AND(J$5&gt;$E229,J$5&lt;=$E238),J243,0)))</f>
        <v>0</v>
      </c>
      <c r="K246" s="155">
        <f t="shared" ref="K246" si="2493">IF(K$5=EOMONTH($E238,1),K243,IF(K$5&gt;EOMONTH($E238,1),J246*(1+K241),IF(AND(K$5&gt;$E229,K$5&lt;=$E238),K243,0)))</f>
        <v>0</v>
      </c>
      <c r="L246" s="155">
        <f t="shared" ref="L246" si="2494">IF(L$5=EOMONTH($E238,1),L243,IF(L$5&gt;EOMONTH($E238,1),K246*(1+L241),IF(AND(L$5&gt;$E229,L$5&lt;=$E238),L243,0)))</f>
        <v>0</v>
      </c>
      <c r="M246" s="155">
        <f t="shared" ref="M246" si="2495">IF(M$5=EOMONTH($E238,1),M243,IF(M$5&gt;EOMONTH($E238,1),L246*(1+M241),IF(AND(M$5&gt;$E229,M$5&lt;=$E238),M243,0)))</f>
        <v>0</v>
      </c>
      <c r="N246" s="155">
        <f t="shared" ref="N246" si="2496">IF(N$5=EOMONTH($E238,1),N243,IF(N$5&gt;EOMONTH($E238,1),M246*(1+N241),IF(AND(N$5&gt;$E229,N$5&lt;=$E238),N243,0)))</f>
        <v>0</v>
      </c>
      <c r="O246" s="155">
        <f t="shared" ref="O246" si="2497">IF(O$5=EOMONTH($E238,1),O243,IF(O$5&gt;EOMONTH($E238,1),N246*(1+O241),IF(AND(O$5&gt;$E229,O$5&lt;=$E238),O243,0)))</f>
        <v>0</v>
      </c>
      <c r="P246" s="155">
        <f t="shared" ref="P246" si="2498">IF(P$5=EOMONTH($E238,1),P243,IF(P$5&gt;EOMONTH($E238,1),O246*(1+P241),IF(AND(P$5&gt;$E229,P$5&lt;=$E238),P243,0)))</f>
        <v>0</v>
      </c>
      <c r="Q246" s="155">
        <f t="shared" ref="Q246" si="2499">IF(Q$5=EOMONTH($E238,1),Q243,IF(Q$5&gt;EOMONTH($E238,1),P246*(1+Q241),IF(AND(Q$5&gt;$E229,Q$5&lt;=$E238),Q243,0)))</f>
        <v>0</v>
      </c>
      <c r="R246" s="155">
        <f t="shared" ref="R246" si="2500">IF(R$5=EOMONTH($E238,1),R243,IF(R$5&gt;EOMONTH($E238,1),Q246*(1+R241),IF(AND(R$5&gt;$E229,R$5&lt;=$E238),R243,0)))</f>
        <v>0</v>
      </c>
      <c r="S246" s="155">
        <f t="shared" ref="S246" si="2501">IF(S$5=EOMONTH($E238,1),S243,IF(S$5&gt;EOMONTH($E238,1),R246*(1+S241),IF(AND(S$5&gt;$E229,S$5&lt;=$E238),S243,0)))</f>
        <v>0</v>
      </c>
      <c r="T246" s="155">
        <f t="shared" ref="T246" si="2502">IF(T$5=EOMONTH($E238,1),T243,IF(T$5&gt;EOMONTH($E238,1),S246*(1+T241),IF(AND(T$5&gt;$E229,T$5&lt;=$E238),T243,0)))</f>
        <v>0</v>
      </c>
      <c r="U246" s="155">
        <f t="shared" ref="U246" si="2503">IF(U$5=EOMONTH($E238,1),U243,IF(U$5&gt;EOMONTH($E238,1),T246*(1+U241),IF(AND(U$5&gt;$E229,U$5&lt;=$E238),U243,0)))</f>
        <v>0</v>
      </c>
      <c r="V246" s="155">
        <f t="shared" ref="V246" si="2504">IF(V$5=EOMONTH($E238,1),V243,IF(V$5&gt;EOMONTH($E238,1),U246*(1+V241),IF(AND(V$5&gt;$E229,V$5&lt;=$E238),V243,0)))</f>
        <v>0</v>
      </c>
      <c r="W246" s="155">
        <f t="shared" ref="W246" si="2505">IF(W$5=EOMONTH($E238,1),W243,IF(W$5&gt;EOMONTH($E238,1),V246*(1+W241),IF(AND(W$5&gt;$E229,W$5&lt;=$E238),W243,0)))</f>
        <v>0</v>
      </c>
      <c r="X246" s="155">
        <f t="shared" ref="X246" si="2506">IF(X$5=EOMONTH($E238,1),X243,IF(X$5&gt;EOMONTH($E238,1),W246*(1+X241),IF(AND(X$5&gt;$E229,X$5&lt;=$E238),X243,0)))</f>
        <v>0</v>
      </c>
      <c r="Y246" s="155">
        <f t="shared" ref="Y246" si="2507">IF(Y$5=EOMONTH($E238,1),Y243,IF(Y$5&gt;EOMONTH($E238,1),X246*(1+Y241),IF(AND(Y$5&gt;$E229,Y$5&lt;=$E238),Y243,0)))</f>
        <v>0</v>
      </c>
      <c r="Z246" s="155">
        <f t="shared" ref="Z246" si="2508">IF(Z$5=EOMONTH($E238,1),Z243,IF(Z$5&gt;EOMONTH($E238,1),Y246*(1+Z241),IF(AND(Z$5&gt;$E229,Z$5&lt;=$E238),Z243,0)))</f>
        <v>0</v>
      </c>
      <c r="AA246" s="155">
        <f t="shared" ref="AA246" si="2509">IF(AA$5=EOMONTH($E238,1),AA243,IF(AA$5&gt;EOMONTH($E238,1),Z246*(1+AA241),IF(AND(AA$5&gt;$E229,AA$5&lt;=$E238),AA243,0)))</f>
        <v>0</v>
      </c>
      <c r="AB246" s="155">
        <f t="shared" ref="AB246" si="2510">IF(AB$5=EOMONTH($E238,1),AB243,IF(AB$5&gt;EOMONTH($E238,1),AA246*(1+AB241),IF(AND(AB$5&gt;$E229,AB$5&lt;=$E238),AB243,0)))</f>
        <v>0</v>
      </c>
      <c r="AC246" s="155">
        <f t="shared" ref="AC246" si="2511">IF(AC$5=EOMONTH($E238,1),AC243,IF(AC$5&gt;EOMONTH($E238,1),AB246*(1+AC241),IF(AND(AC$5&gt;$E229,AC$5&lt;=$E238),AC243,0)))</f>
        <v>0</v>
      </c>
      <c r="AD246" s="155">
        <f t="shared" ref="AD246" si="2512">IF(AD$5=EOMONTH($E238,1),AD243,IF(AD$5&gt;EOMONTH($E238,1),AC246*(1+AD241),IF(AND(AD$5&gt;$E229,AD$5&lt;=$E238),AD243,0)))</f>
        <v>0</v>
      </c>
      <c r="AE246" s="155">
        <f t="shared" ref="AE246" si="2513">IF(AE$5=EOMONTH($E238,1),AE243,IF(AE$5&gt;EOMONTH($E238,1),AD246*(1+AE241),IF(AND(AE$5&gt;$E229,AE$5&lt;=$E238),AE243,0)))</f>
        <v>0</v>
      </c>
      <c r="AF246" s="155">
        <f t="shared" ref="AF246" si="2514">IF(AF$5=EOMONTH($E238,1),AF243,IF(AF$5&gt;EOMONTH($E238,1),AE246*(1+AF241),IF(AND(AF$5&gt;$E229,AF$5&lt;=$E238),AF243,0)))</f>
        <v>0</v>
      </c>
      <c r="AG246" s="155">
        <f t="shared" ref="AG246" si="2515">IF(AG$5=EOMONTH($E238,1),AG243,IF(AG$5&gt;EOMONTH($E238,1),AF246*(1+AG241),IF(AND(AG$5&gt;$E229,AG$5&lt;=$E238),AG243,0)))</f>
        <v>0</v>
      </c>
      <c r="AH246" s="155">
        <f t="shared" ref="AH246" si="2516">IF(AH$5=EOMONTH($E238,1),AH243,IF(AH$5&gt;EOMONTH($E238,1),AG246*(1+AH241),IF(AND(AH$5&gt;$E229,AH$5&lt;=$E238),AH243,0)))</f>
        <v>0</v>
      </c>
      <c r="AI246" s="155">
        <f t="shared" ref="AI246" si="2517">IF(AI$5=EOMONTH($E238,1),AI243,IF(AI$5&gt;EOMONTH($E238,1),AH246*(1+AI241),IF(AND(AI$5&gt;$E229,AI$5&lt;=$E238),AI243,0)))</f>
        <v>0</v>
      </c>
      <c r="AJ246" s="155">
        <f t="shared" ref="AJ246" si="2518">IF(AJ$5=EOMONTH($E238,1),AJ243,IF(AJ$5&gt;EOMONTH($E238,1),AI246*(1+AJ241),IF(AND(AJ$5&gt;$E229,AJ$5&lt;=$E238),AJ243,0)))</f>
        <v>0</v>
      </c>
      <c r="AK246" s="155">
        <f t="shared" ref="AK246" si="2519">IF(AK$5=EOMONTH($E238,1),AK243,IF(AK$5&gt;EOMONTH($E238,1),AJ246*(1+AK241),IF(AND(AK$5&gt;$E229,AK$5&lt;=$E238),AK243,0)))</f>
        <v>0</v>
      </c>
      <c r="AL246" s="155">
        <f t="shared" ref="AL246" si="2520">IF(AL$5=EOMONTH($E238,1),AL243,IF(AL$5&gt;EOMONTH($E238,1),AK246*(1+AL241),IF(AND(AL$5&gt;$E229,AL$5&lt;=$E238),AL243,0)))</f>
        <v>0</v>
      </c>
      <c r="AM246" s="155">
        <f t="shared" ref="AM246" si="2521">IF(AM$5=EOMONTH($E238,1),AM243,IF(AM$5&gt;EOMONTH($E238,1),AL246*(1+AM241),IF(AND(AM$5&gt;$E229,AM$5&lt;=$E238),AM243,0)))</f>
        <v>0</v>
      </c>
      <c r="AN246" s="155">
        <f t="shared" ref="AN246" si="2522">IF(AN$5=EOMONTH($E238,1),AN243,IF(AN$5&gt;EOMONTH($E238,1),AM246*(1+AN241),IF(AND(AN$5&gt;$E229,AN$5&lt;=$E238),AN243,0)))</f>
        <v>0</v>
      </c>
      <c r="AO246" s="155">
        <f t="shared" ref="AO246" si="2523">IF(AO$5=EOMONTH($E238,1),AO243,IF(AO$5&gt;EOMONTH($E238,1),AN246*(1+AO241),IF(AND(AO$5&gt;$E229,AO$5&lt;=$E238),AO243,0)))</f>
        <v>0</v>
      </c>
      <c r="AP246" s="155">
        <f t="shared" ref="AP246" si="2524">IF(AP$5=EOMONTH($E238,1),AP243,IF(AP$5&gt;EOMONTH($E238,1),AO246*(1+AP241),IF(AND(AP$5&gt;$E229,AP$5&lt;=$E238),AP243,0)))</f>
        <v>0</v>
      </c>
      <c r="AQ246" s="155">
        <f t="shared" ref="AQ246" si="2525">IF(AQ$5=EOMONTH($E238,1),AQ243,IF(AQ$5&gt;EOMONTH($E238,1),AP246*(1+AQ241),IF(AND(AQ$5&gt;$E229,AQ$5&lt;=$E238),AQ243,0)))</f>
        <v>0</v>
      </c>
      <c r="AR246" s="155">
        <f t="shared" ref="AR246" si="2526">IF(AR$5=EOMONTH($E238,1),AR243,IF(AR$5&gt;EOMONTH($E238,1),AQ246*(1+AR241),IF(AND(AR$5&gt;$E229,AR$5&lt;=$E238),AR243,0)))</f>
        <v>0</v>
      </c>
      <c r="AS246" s="155">
        <f t="shared" ref="AS246" si="2527">IF(AS$5=EOMONTH($E238,1),AS243,IF(AS$5&gt;EOMONTH($E238,1),AR246*(1+AS241),IF(AND(AS$5&gt;$E229,AS$5&lt;=$E238),AS243,0)))</f>
        <v>0</v>
      </c>
      <c r="AT246" s="155">
        <f t="shared" ref="AT246" si="2528">IF(AT$5=EOMONTH($E238,1),AT243,IF(AT$5&gt;EOMONTH($E238,1),AS246*(1+AT241),IF(AND(AT$5&gt;$E229,AT$5&lt;=$E238),AT243,0)))</f>
        <v>0</v>
      </c>
      <c r="AU246" s="155">
        <f t="shared" ref="AU246" si="2529">IF(AU$5=EOMONTH($E238,1),AU243,IF(AU$5&gt;EOMONTH($E238,1),AT246*(1+AU241),IF(AND(AU$5&gt;$E229,AU$5&lt;=$E238),AU243,0)))</f>
        <v>0</v>
      </c>
      <c r="AV246" s="155">
        <f t="shared" ref="AV246" si="2530">IF(AV$5=EOMONTH($E238,1),AV243,IF(AV$5&gt;EOMONTH($E238,1),AU246*(1+AV241),IF(AND(AV$5&gt;$E229,AV$5&lt;=$E238),AV243,0)))</f>
        <v>0</v>
      </c>
      <c r="AW246" s="155">
        <f t="shared" ref="AW246" si="2531">IF(AW$5=EOMONTH($E238,1),AW243,IF(AW$5&gt;EOMONTH($E238,1),AV246*(1+AW241),IF(AND(AW$5&gt;$E229,AW$5&lt;=$E238),AW243,0)))</f>
        <v>0</v>
      </c>
      <c r="AX246" s="155">
        <f t="shared" ref="AX246" si="2532">IF(AX$5=EOMONTH($E238,1),AX243,IF(AX$5&gt;EOMONTH($E238,1),AW246*(1+AX241),IF(AND(AX$5&gt;$E229,AX$5&lt;=$E238),AX243,0)))</f>
        <v>0</v>
      </c>
      <c r="AY246" s="155">
        <f t="shared" ref="AY246" si="2533">IF(AY$5=EOMONTH($E238,1),AY243,IF(AY$5&gt;EOMONTH($E238,1),AX246*(1+AY241),IF(AND(AY$5&gt;$E229,AY$5&lt;=$E238),AY243,0)))</f>
        <v>0</v>
      </c>
      <c r="AZ246" s="155">
        <f t="shared" ref="AZ246" si="2534">IF(AZ$5=EOMONTH($E238,1),AZ243,IF(AZ$5&gt;EOMONTH($E238,1),AY246*(1+AZ241),IF(AND(AZ$5&gt;$E229,AZ$5&lt;=$E238),AZ243,0)))</f>
        <v>0</v>
      </c>
      <c r="BA246" s="155">
        <f t="shared" ref="BA246" si="2535">IF(BA$5=EOMONTH($E238,1),BA243,IF(BA$5&gt;EOMONTH($E238,1),AZ246*(1+BA241),IF(AND(BA$5&gt;$E229,BA$5&lt;=$E238),BA243,0)))</f>
        <v>0</v>
      </c>
      <c r="BB246" s="155">
        <f t="shared" ref="BB246" si="2536">IF(BB$5=EOMONTH($E238,1),BB243,IF(BB$5&gt;EOMONTH($E238,1),BA246*(1+BB241),IF(AND(BB$5&gt;$E229,BB$5&lt;=$E238),BB243,0)))</f>
        <v>0</v>
      </c>
      <c r="BC246" s="155">
        <f t="shared" ref="BC246" si="2537">IF(BC$5=EOMONTH($E238,1),BC243,IF(BC$5&gt;EOMONTH($E238,1),BB246*(1+BC241),IF(AND(BC$5&gt;$E229,BC$5&lt;=$E238),BC243,0)))</f>
        <v>0</v>
      </c>
      <c r="BD246" s="155">
        <f t="shared" ref="BD246" si="2538">IF(BD$5=EOMONTH($E238,1),BD243,IF(BD$5&gt;EOMONTH($E238,1),BC246*(1+BD241),IF(AND(BD$5&gt;$E229,BD$5&lt;=$E238),BD243,0)))</f>
        <v>0</v>
      </c>
      <c r="BE246" s="155">
        <f t="shared" ref="BE246" si="2539">IF(BE$5=EOMONTH($E238,1),BE243,IF(BE$5&gt;EOMONTH($E238,1),BD246*(1+BE241),IF(AND(BE$5&gt;$E229,BE$5&lt;=$E238),BE243,0)))</f>
        <v>0</v>
      </c>
      <c r="BF246" s="155">
        <f t="shared" ref="BF246" si="2540">IF(BF$5=EOMONTH($E238,1),BF243,IF(BF$5&gt;EOMONTH($E238,1),BE246*(1+BF241),IF(AND(BF$5&gt;$E229,BF$5&lt;=$E238),BF243,0)))</f>
        <v>0</v>
      </c>
      <c r="BG246" s="155">
        <f t="shared" ref="BG246" si="2541">IF(BG$5=EOMONTH($E238,1),BG243,IF(BG$5&gt;EOMONTH($E238,1),BF246*(1+BG241),IF(AND(BG$5&gt;$E229,BG$5&lt;=$E238),BG243,0)))</f>
        <v>0</v>
      </c>
      <c r="BH246" s="155">
        <f t="shared" ref="BH246" si="2542">IF(BH$5=EOMONTH($E238,1),BH243,IF(BH$5&gt;EOMONTH($E238,1),BG246*(1+BH241),IF(AND(BH$5&gt;$E229,BH$5&lt;=$E238),BH243,0)))</f>
        <v>0</v>
      </c>
      <c r="BI246" s="155">
        <f t="shared" ref="BI246" si="2543">IF(BI$5=EOMONTH($E238,1),BI243,IF(BI$5&gt;EOMONTH($E238,1),BH246*(1+BI241),IF(AND(BI$5&gt;$E229,BI$5&lt;=$E238),BI243,0)))</f>
        <v>0</v>
      </c>
      <c r="BJ246" s="155">
        <f t="shared" ref="BJ246" si="2544">IF(BJ$5=EOMONTH($E238,1),BJ243,IF(BJ$5&gt;EOMONTH($E238,1),BI246*(1+BJ241),IF(AND(BJ$5&gt;$E229,BJ$5&lt;=$E238),BJ243,0)))</f>
        <v>0</v>
      </c>
      <c r="BK246" s="155">
        <f t="shared" ref="BK246" si="2545">IF(BK$5=EOMONTH($E238,1),BK243,IF(BK$5&gt;EOMONTH($E238,1),BJ246*(1+BK241),IF(AND(BK$5&gt;$E229,BK$5&lt;=$E238),BK243,0)))</f>
        <v>0</v>
      </c>
      <c r="BL246" s="155">
        <f t="shared" ref="BL246" si="2546">IF(BL$5=EOMONTH($E238,1),BL243,IF(BL$5&gt;EOMONTH($E238,1),BK246*(1+BL241),IF(AND(BL$5&gt;$E229,BL$5&lt;=$E238),BL243,0)))</f>
        <v>0</v>
      </c>
      <c r="BM246" s="155">
        <f t="shared" ref="BM246" si="2547">IF(BM$5=EOMONTH($E238,1),BM243,IF(BM$5&gt;EOMONTH($E238,1),BL246*(1+BM241),IF(AND(BM$5&gt;$E229,BM$5&lt;=$E238),BM243,0)))</f>
        <v>0</v>
      </c>
      <c r="BN246" s="155">
        <f t="shared" ref="BN246" si="2548">IF(BN$5=EOMONTH($E238,1),BN243,IF(BN$5&gt;EOMONTH($E238,1),BM246*(1+BN241),IF(AND(BN$5&gt;$E229,BN$5&lt;=$E238),BN243,0)))</f>
        <v>0</v>
      </c>
      <c r="BO246" s="155">
        <f t="shared" ref="BO246" si="2549">IF(BO$5=EOMONTH($E238,1),BO243,IF(BO$5&gt;EOMONTH($E238,1),BN246*(1+BO241),IF(AND(BO$5&gt;$E229,BO$5&lt;=$E238),BO243,0)))</f>
        <v>0</v>
      </c>
      <c r="BP246" s="155">
        <f t="shared" ref="BP246" si="2550">IF(BP$5=EOMONTH($E238,1),BP243,IF(BP$5&gt;EOMONTH($E238,1),BO246*(1+BP241),IF(AND(BP$5&gt;$E229,BP$5&lt;=$E238),BP243,0)))</f>
        <v>0</v>
      </c>
      <c r="BQ246" s="155">
        <f t="shared" ref="BQ246" si="2551">IF(BQ$5=EOMONTH($E238,1),BQ243,IF(BQ$5&gt;EOMONTH($E238,1),BP246*(1+BQ241),IF(AND(BQ$5&gt;$E229,BQ$5&lt;=$E238),BQ243,0)))</f>
        <v>0</v>
      </c>
      <c r="BR246" s="155">
        <f t="shared" ref="BR246" si="2552">IF(BR$5=EOMONTH($E238,1),BR243,IF(BR$5&gt;EOMONTH($E238,1),BQ246*(1+BR241),IF(AND(BR$5&gt;$E229,BR$5&lt;=$E238),BR243,0)))</f>
        <v>0</v>
      </c>
      <c r="BS246" s="155">
        <f t="shared" ref="BS246" si="2553">IF(BS$5=EOMONTH($E238,1),BS243,IF(BS$5&gt;EOMONTH($E238,1),BR246*(1+BS241),IF(AND(BS$5&gt;$E229,BS$5&lt;=$E238),BS243,0)))</f>
        <v>0</v>
      </c>
      <c r="BT246" s="155">
        <f t="shared" ref="BT246" si="2554">IF(BT$5=EOMONTH($E238,1),BT243,IF(BT$5&gt;EOMONTH($E238,1),BS246*(1+BT241),IF(AND(BT$5&gt;$E229,BT$5&lt;=$E238),BT243,0)))</f>
        <v>0</v>
      </c>
      <c r="BU246" s="155">
        <f t="shared" ref="BU246" si="2555">IF(BU$5=EOMONTH($E238,1),BU243,IF(BU$5&gt;EOMONTH($E238,1),BT246*(1+BU241),IF(AND(BU$5&gt;$E229,BU$5&lt;=$E238),BU243,0)))</f>
        <v>0</v>
      </c>
      <c r="BV246" s="155">
        <f t="shared" ref="BV246" si="2556">IF(BV$5=EOMONTH($E238,1),BV243,IF(BV$5&gt;EOMONTH($E238,1),BU246*(1+BV241),IF(AND(BV$5&gt;$E229,BV$5&lt;=$E238),BV243,0)))</f>
        <v>0</v>
      </c>
      <c r="BW246" s="155">
        <f t="shared" ref="BW246" si="2557">IF(BW$5=EOMONTH($E238,1),BW243,IF(BW$5&gt;EOMONTH($E238,1),BV246*(1+BW241),IF(AND(BW$5&gt;$E229,BW$5&lt;=$E238),BW243,0)))</f>
        <v>0</v>
      </c>
      <c r="BX246" s="155">
        <f t="shared" ref="BX246" si="2558">IF(BX$5=EOMONTH($E238,1),BX243,IF(BX$5&gt;EOMONTH($E238,1),BW246*(1+BX241),IF(AND(BX$5&gt;$E229,BX$5&lt;=$E238),BX243,0)))</f>
        <v>0</v>
      </c>
      <c r="BY246" s="155">
        <f t="shared" ref="BY246" si="2559">IF(BY$5=EOMONTH($E238,1),BY243,IF(BY$5&gt;EOMONTH($E238,1),BX246*(1+BY241),IF(AND(BY$5&gt;$E229,BY$5&lt;=$E238),BY243,0)))</f>
        <v>0</v>
      </c>
    </row>
    <row r="247" spans="2:77" customFormat="1" outlineLevel="1" x14ac:dyDescent="0.25">
      <c r="B247" s="1"/>
      <c r="C247" s="44"/>
      <c r="D247" s="56"/>
      <c r="E247" s="1"/>
      <c r="F247" s="1"/>
      <c r="G247" s="1"/>
      <c r="H247" s="1"/>
      <c r="I247" s="1"/>
      <c r="J247" s="1"/>
      <c r="AP247" s="110"/>
      <c r="AQ247" s="110"/>
      <c r="AR247" s="110"/>
      <c r="AS247" s="110"/>
      <c r="AT247" s="110"/>
      <c r="AZ247" s="110"/>
      <c r="BA247" s="110"/>
      <c r="BB247" s="110"/>
    </row>
    <row r="248" spans="2:77" customFormat="1" outlineLevel="1" x14ac:dyDescent="0.25">
      <c r="B248" s="1"/>
      <c r="C248" s="50" t="s">
        <v>24</v>
      </c>
      <c r="D248" s="37" t="s">
        <v>101</v>
      </c>
      <c r="E248" s="1"/>
      <c r="F248" s="156">
        <f t="shared" ref="F248:BQ248" si="2560">+F243*$E226/Months</f>
        <v>27583.614263018666</v>
      </c>
      <c r="G248" s="156">
        <f t="shared" si="2560"/>
        <v>27717.878900218831</v>
      </c>
      <c r="H248" s="156">
        <f t="shared" si="2560"/>
        <v>27852.797077329698</v>
      </c>
      <c r="I248" s="156">
        <f t="shared" si="2560"/>
        <v>27988.371975489837</v>
      </c>
      <c r="J248" s="156">
        <f t="shared" si="2560"/>
        <v>28124.606791322163</v>
      </c>
      <c r="K248" s="156">
        <f t="shared" si="2560"/>
        <v>28261.504737009313</v>
      </c>
      <c r="L248" s="156">
        <f t="shared" si="2560"/>
        <v>28399.069040369392</v>
      </c>
      <c r="M248" s="156">
        <f t="shared" si="2560"/>
        <v>28537.302944932057</v>
      </c>
      <c r="N248" s="156">
        <f t="shared" si="2560"/>
        <v>28676.209710015028</v>
      </c>
      <c r="O248" s="156">
        <f t="shared" si="2560"/>
        <v>28815.792610800912</v>
      </c>
      <c r="P248" s="156">
        <f t="shared" si="2560"/>
        <v>28956.054938414421</v>
      </c>
      <c r="Q248" s="156">
        <f t="shared" si="2560"/>
        <v>29097.000000000004</v>
      </c>
      <c r="R248" s="156">
        <f t="shared" si="2560"/>
        <v>29192.256006442651</v>
      </c>
      <c r="S248" s="156">
        <f t="shared" si="2560"/>
        <v>29287.823856263076</v>
      </c>
      <c r="T248" s="156">
        <f t="shared" si="2560"/>
        <v>29383.704570355359</v>
      </c>
      <c r="U248" s="156">
        <f t="shared" si="2560"/>
        <v>29479.899172955706</v>
      </c>
      <c r="V248" s="156">
        <f t="shared" si="2560"/>
        <v>29576.408691653429</v>
      </c>
      <c r="W248" s="156">
        <f t="shared" si="2560"/>
        <v>29673.234157401861</v>
      </c>
      <c r="X248" s="156">
        <f t="shared" si="2560"/>
        <v>29770.376604529458</v>
      </c>
      <c r="Y248" s="156">
        <f t="shared" si="2560"/>
        <v>29867.837070750742</v>
      </c>
      <c r="Z248" s="156">
        <f t="shared" si="2560"/>
        <v>29965.616597177494</v>
      </c>
      <c r="AA248" s="156">
        <f t="shared" si="2560"/>
        <v>30063.716228329795</v>
      </c>
      <c r="AB248" s="156">
        <f t="shared" si="2560"/>
        <v>30162.137012147217</v>
      </c>
      <c r="AC248" s="156">
        <f t="shared" si="2560"/>
        <v>30260.880000000023</v>
      </c>
      <c r="AD248" s="156">
        <f t="shared" si="2560"/>
        <v>30335.511493627328</v>
      </c>
      <c r="AE248" s="156">
        <f t="shared" si="2560"/>
        <v>30410.327048651427</v>
      </c>
      <c r="AF248" s="156">
        <f t="shared" si="2560"/>
        <v>30485.327119017395</v>
      </c>
      <c r="AG248" s="156">
        <f t="shared" si="2560"/>
        <v>30560.512159789814</v>
      </c>
      <c r="AH248" s="156">
        <f t="shared" si="2560"/>
        <v>30635.882627155617</v>
      </c>
      <c r="AI248" s="156">
        <f t="shared" si="2560"/>
        <v>30711.438978426817</v>
      </c>
      <c r="AJ248" s="156">
        <f t="shared" si="2560"/>
        <v>30787.181672043265</v>
      </c>
      <c r="AK248" s="156">
        <f t="shared" si="2560"/>
        <v>30863.11116757544</v>
      </c>
      <c r="AL248" s="156">
        <f t="shared" si="2560"/>
        <v>30939.227925727286</v>
      </c>
      <c r="AM248" s="156">
        <f t="shared" si="2560"/>
        <v>31015.532408338917</v>
      </c>
      <c r="AN248" s="156">
        <f t="shared" si="2560"/>
        <v>31092.025078389506</v>
      </c>
      <c r="AO248" s="156">
        <f t="shared" si="2560"/>
        <v>31168.706400000054</v>
      </c>
      <c r="AP248" s="156">
        <f t="shared" si="2560"/>
        <v>31245.576838436176</v>
      </c>
      <c r="AQ248" s="156">
        <f t="shared" si="2560"/>
        <v>31322.636860111004</v>
      </c>
      <c r="AR248" s="156">
        <f t="shared" si="2560"/>
        <v>31399.886932587935</v>
      </c>
      <c r="AS248" s="156">
        <f t="shared" si="2560"/>
        <v>31477.327524583536</v>
      </c>
      <c r="AT248" s="156">
        <f t="shared" si="2560"/>
        <v>31554.95910597032</v>
      </c>
      <c r="AU248" s="156">
        <f t="shared" si="2560"/>
        <v>31632.782147779657</v>
      </c>
      <c r="AV248" s="156">
        <f t="shared" si="2560"/>
        <v>31710.797122204593</v>
      </c>
      <c r="AW248" s="156">
        <f t="shared" si="2560"/>
        <v>31789.00450260274</v>
      </c>
      <c r="AX248" s="156">
        <f t="shared" si="2560"/>
        <v>31867.40476349914</v>
      </c>
      <c r="AY248" s="156">
        <f t="shared" si="2560"/>
        <v>31945.998380589113</v>
      </c>
      <c r="AZ248" s="156">
        <f t="shared" si="2560"/>
        <v>32024.785830741224</v>
      </c>
      <c r="BA248" s="156">
        <f t="shared" si="2560"/>
        <v>32103.76759200008</v>
      </c>
      <c r="BB248" s="156">
        <f t="shared" si="2560"/>
        <v>32169.896096884684</v>
      </c>
      <c r="BC248" s="156">
        <f t="shared" si="2560"/>
        <v>32236.160815662119</v>
      </c>
      <c r="BD248" s="156">
        <f t="shared" si="2560"/>
        <v>32302.562028910706</v>
      </c>
      <c r="BE248" s="156">
        <f t="shared" si="2560"/>
        <v>32369.100017786699</v>
      </c>
      <c r="BF248" s="156">
        <f t="shared" si="2560"/>
        <v>32435.775064025507</v>
      </c>
      <c r="BG248" s="156">
        <f t="shared" si="2560"/>
        <v>32502.587449942846</v>
      </c>
      <c r="BH248" s="156">
        <f t="shared" si="2560"/>
        <v>32569.537458435971</v>
      </c>
      <c r="BI248" s="156">
        <f t="shared" si="2560"/>
        <v>32636.625372984865</v>
      </c>
      <c r="BJ248" s="156">
        <f t="shared" si="2560"/>
        <v>32703.851477653403</v>
      </c>
      <c r="BK248" s="156">
        <f t="shared" si="2560"/>
        <v>32771.216057090627</v>
      </c>
      <c r="BL248" s="156">
        <f t="shared" si="2560"/>
        <v>32838.719396531873</v>
      </c>
      <c r="BM248" s="156">
        <f t="shared" si="2560"/>
        <v>32906.361781800042</v>
      </c>
      <c r="BN248" s="156">
        <f t="shared" si="2560"/>
        <v>32974.14349930676</v>
      </c>
      <c r="BO248" s="156">
        <f t="shared" si="2560"/>
        <v>33042.064836053629</v>
      </c>
      <c r="BP248" s="156">
        <f t="shared" si="2560"/>
        <v>33110.126079633432</v>
      </c>
      <c r="BQ248" s="156">
        <f t="shared" si="2560"/>
        <v>33178.32751823133</v>
      </c>
      <c r="BR248" s="156">
        <f t="shared" ref="BR248:BY248" si="2561">+BR243*$E226/Months</f>
        <v>33246.669440626101</v>
      </c>
      <c r="BS248" s="156">
        <f t="shared" si="2561"/>
        <v>33315.152136191376</v>
      </c>
      <c r="BT248" s="156">
        <f t="shared" si="2561"/>
        <v>33383.775894896826</v>
      </c>
      <c r="BU248" s="156">
        <f t="shared" si="2561"/>
        <v>33452.541007309446</v>
      </c>
      <c r="BV248" s="156">
        <f t="shared" si="2561"/>
        <v>33521.447764594697</v>
      </c>
      <c r="BW248" s="156">
        <f t="shared" si="2561"/>
        <v>33590.496458517853</v>
      </c>
      <c r="BX248" s="156">
        <f t="shared" si="2561"/>
        <v>33659.687381445132</v>
      </c>
      <c r="BY248" s="156">
        <f t="shared" si="2561"/>
        <v>33729.020826344997</v>
      </c>
    </row>
    <row r="249" spans="2:77" customFormat="1" outlineLevel="1" x14ac:dyDescent="0.25">
      <c r="B249" s="1"/>
      <c r="C249" s="50" t="s">
        <v>277</v>
      </c>
      <c r="D249" s="37" t="s">
        <v>101</v>
      </c>
      <c r="E249" s="1"/>
      <c r="F249" s="13">
        <f t="shared" ref="F249:BQ249" si="2562">+F244*$E226/Months</f>
        <v>0</v>
      </c>
      <c r="G249" s="13">
        <f t="shared" si="2562"/>
        <v>0</v>
      </c>
      <c r="H249" s="13">
        <f t="shared" si="2562"/>
        <v>0</v>
      </c>
      <c r="I249" s="13">
        <f t="shared" si="2562"/>
        <v>0</v>
      </c>
      <c r="J249" s="13">
        <f t="shared" si="2562"/>
        <v>0</v>
      </c>
      <c r="K249" s="13">
        <f t="shared" si="2562"/>
        <v>0</v>
      </c>
      <c r="L249" s="13">
        <f t="shared" si="2562"/>
        <v>0</v>
      </c>
      <c r="M249" s="13">
        <f t="shared" si="2562"/>
        <v>0</v>
      </c>
      <c r="N249" s="13">
        <f t="shared" si="2562"/>
        <v>0</v>
      </c>
      <c r="O249" s="13">
        <f t="shared" si="2562"/>
        <v>0</v>
      </c>
      <c r="P249" s="13">
        <f t="shared" si="2562"/>
        <v>0</v>
      </c>
      <c r="Q249" s="13">
        <f t="shared" si="2562"/>
        <v>0</v>
      </c>
      <c r="R249" s="13">
        <f t="shared" si="2562"/>
        <v>0</v>
      </c>
      <c r="S249" s="13">
        <f t="shared" si="2562"/>
        <v>0</v>
      </c>
      <c r="T249" s="13">
        <f t="shared" si="2562"/>
        <v>0</v>
      </c>
      <c r="U249" s="13">
        <f t="shared" si="2562"/>
        <v>0</v>
      </c>
      <c r="V249" s="13">
        <f t="shared" si="2562"/>
        <v>0</v>
      </c>
      <c r="W249" s="13">
        <f t="shared" si="2562"/>
        <v>0</v>
      </c>
      <c r="X249" s="13">
        <f t="shared" si="2562"/>
        <v>0</v>
      </c>
      <c r="Y249" s="13">
        <f t="shared" si="2562"/>
        <v>0</v>
      </c>
      <c r="Z249" s="13">
        <f t="shared" si="2562"/>
        <v>0</v>
      </c>
      <c r="AA249" s="13">
        <f t="shared" si="2562"/>
        <v>0</v>
      </c>
      <c r="AB249" s="13">
        <f t="shared" si="2562"/>
        <v>0</v>
      </c>
      <c r="AC249" s="13">
        <f t="shared" si="2562"/>
        <v>0</v>
      </c>
      <c r="AD249" s="13">
        <f t="shared" si="2562"/>
        <v>0</v>
      </c>
      <c r="AE249" s="13">
        <f t="shared" si="2562"/>
        <v>0</v>
      </c>
      <c r="AF249" s="13">
        <f t="shared" si="2562"/>
        <v>0</v>
      </c>
      <c r="AG249" s="13">
        <f t="shared" si="2562"/>
        <v>0</v>
      </c>
      <c r="AH249" s="13">
        <f t="shared" si="2562"/>
        <v>0</v>
      </c>
      <c r="AI249" s="13">
        <f t="shared" si="2562"/>
        <v>0</v>
      </c>
      <c r="AJ249" s="13">
        <f t="shared" si="2562"/>
        <v>30787.181672043265</v>
      </c>
      <c r="AK249" s="13">
        <f t="shared" si="2562"/>
        <v>30787.181672043265</v>
      </c>
      <c r="AL249" s="13">
        <f t="shared" si="2562"/>
        <v>30787.181672043265</v>
      </c>
      <c r="AM249" s="13">
        <f t="shared" si="2562"/>
        <v>30787.181672043265</v>
      </c>
      <c r="AN249" s="13">
        <f t="shared" si="2562"/>
        <v>30787.181672043265</v>
      </c>
      <c r="AO249" s="13">
        <f t="shared" si="2562"/>
        <v>30787.181672043265</v>
      </c>
      <c r="AP249" s="13">
        <f t="shared" si="2562"/>
        <v>30787.181672043265</v>
      </c>
      <c r="AQ249" s="13">
        <f t="shared" si="2562"/>
        <v>30787.181672043265</v>
      </c>
      <c r="AR249" s="13">
        <f t="shared" si="2562"/>
        <v>30787.181672043265</v>
      </c>
      <c r="AS249" s="13">
        <f t="shared" si="2562"/>
        <v>30787.181672043265</v>
      </c>
      <c r="AT249" s="13">
        <f t="shared" si="2562"/>
        <v>30787.181672043265</v>
      </c>
      <c r="AU249" s="13">
        <f t="shared" si="2562"/>
        <v>30787.181672043265</v>
      </c>
      <c r="AV249" s="13">
        <f t="shared" si="2562"/>
        <v>31556.861213844342</v>
      </c>
      <c r="AW249" s="13">
        <f t="shared" si="2562"/>
        <v>31556.861213844342</v>
      </c>
      <c r="AX249" s="13">
        <f t="shared" si="2562"/>
        <v>31556.861213844342</v>
      </c>
      <c r="AY249" s="13">
        <f t="shared" si="2562"/>
        <v>31556.861213844342</v>
      </c>
      <c r="AZ249" s="13">
        <f t="shared" si="2562"/>
        <v>31556.861213844342</v>
      </c>
      <c r="BA249" s="13">
        <f t="shared" si="2562"/>
        <v>31556.861213844342</v>
      </c>
      <c r="BB249" s="13">
        <f t="shared" si="2562"/>
        <v>31556.861213844342</v>
      </c>
      <c r="BC249" s="13">
        <f t="shared" si="2562"/>
        <v>31556.861213844342</v>
      </c>
      <c r="BD249" s="13">
        <f t="shared" si="2562"/>
        <v>31556.861213844342</v>
      </c>
      <c r="BE249" s="13">
        <f t="shared" si="2562"/>
        <v>31556.861213844342</v>
      </c>
      <c r="BF249" s="13">
        <f t="shared" si="2562"/>
        <v>31556.861213844342</v>
      </c>
      <c r="BG249" s="13">
        <f t="shared" si="2562"/>
        <v>31556.861213844342</v>
      </c>
      <c r="BH249" s="13">
        <f t="shared" si="2562"/>
        <v>32345.782744190452</v>
      </c>
      <c r="BI249" s="13">
        <f t="shared" si="2562"/>
        <v>32345.782744190452</v>
      </c>
      <c r="BJ249" s="13">
        <f t="shared" si="2562"/>
        <v>32345.782744190452</v>
      </c>
      <c r="BK249" s="13">
        <f t="shared" si="2562"/>
        <v>32345.782744190452</v>
      </c>
      <c r="BL249" s="13">
        <f t="shared" si="2562"/>
        <v>32345.782744190452</v>
      </c>
      <c r="BM249" s="13">
        <f t="shared" si="2562"/>
        <v>32345.782744190452</v>
      </c>
      <c r="BN249" s="13">
        <f t="shared" si="2562"/>
        <v>32345.782744190452</v>
      </c>
      <c r="BO249" s="13">
        <f t="shared" si="2562"/>
        <v>32345.782744190452</v>
      </c>
      <c r="BP249" s="13">
        <f t="shared" si="2562"/>
        <v>32345.782744190452</v>
      </c>
      <c r="BQ249" s="13">
        <f t="shared" si="2562"/>
        <v>32345.782744190452</v>
      </c>
      <c r="BR249" s="13">
        <f t="shared" ref="BR249:BY249" si="2563">+BR244*$E226/Months</f>
        <v>32345.782744190452</v>
      </c>
      <c r="BS249" s="13">
        <f t="shared" si="2563"/>
        <v>32345.782744190452</v>
      </c>
      <c r="BT249" s="13">
        <f t="shared" si="2563"/>
        <v>33154.427312795211</v>
      </c>
      <c r="BU249" s="13">
        <f t="shared" si="2563"/>
        <v>33154.427312795211</v>
      </c>
      <c r="BV249" s="13">
        <f t="shared" si="2563"/>
        <v>33154.427312795211</v>
      </c>
      <c r="BW249" s="13">
        <f t="shared" si="2563"/>
        <v>33154.427312795211</v>
      </c>
      <c r="BX249" s="13">
        <f t="shared" si="2563"/>
        <v>33154.427312795211</v>
      </c>
      <c r="BY249" s="13">
        <f t="shared" si="2563"/>
        <v>33154.427312795211</v>
      </c>
    </row>
    <row r="250" spans="2:77" customFormat="1" outlineLevel="1" x14ac:dyDescent="0.25">
      <c r="B250" s="1"/>
      <c r="C250" s="50" t="s">
        <v>278</v>
      </c>
      <c r="D250" s="37" t="s">
        <v>101</v>
      </c>
      <c r="E250" s="1"/>
      <c r="F250" s="13">
        <f t="shared" ref="F250:BQ250" si="2564">+F245*$E226/Months*Renewal_Probability</f>
        <v>0</v>
      </c>
      <c r="G250" s="13">
        <f t="shared" si="2564"/>
        <v>0</v>
      </c>
      <c r="H250" s="13">
        <f t="shared" si="2564"/>
        <v>0</v>
      </c>
      <c r="I250" s="13">
        <f t="shared" si="2564"/>
        <v>0</v>
      </c>
      <c r="J250" s="13">
        <f t="shared" si="2564"/>
        <v>0</v>
      </c>
      <c r="K250" s="13">
        <f t="shared" si="2564"/>
        <v>0</v>
      </c>
      <c r="L250" s="13">
        <f t="shared" si="2564"/>
        <v>0</v>
      </c>
      <c r="M250" s="13">
        <f t="shared" si="2564"/>
        <v>0</v>
      </c>
      <c r="N250" s="13">
        <f t="shared" si="2564"/>
        <v>0</v>
      </c>
      <c r="O250" s="13">
        <f t="shared" si="2564"/>
        <v>0</v>
      </c>
      <c r="P250" s="13">
        <f t="shared" si="2564"/>
        <v>0</v>
      </c>
      <c r="Q250" s="13">
        <f t="shared" si="2564"/>
        <v>0</v>
      </c>
      <c r="R250" s="13">
        <f t="shared" si="2564"/>
        <v>0</v>
      </c>
      <c r="S250" s="13">
        <f t="shared" si="2564"/>
        <v>0</v>
      </c>
      <c r="T250" s="13">
        <f t="shared" si="2564"/>
        <v>0</v>
      </c>
      <c r="U250" s="13">
        <f t="shared" si="2564"/>
        <v>0</v>
      </c>
      <c r="V250" s="13">
        <f t="shared" si="2564"/>
        <v>0</v>
      </c>
      <c r="W250" s="13">
        <f t="shared" si="2564"/>
        <v>0</v>
      </c>
      <c r="X250" s="13">
        <f t="shared" si="2564"/>
        <v>0</v>
      </c>
      <c r="Y250" s="13">
        <f t="shared" si="2564"/>
        <v>0</v>
      </c>
      <c r="Z250" s="13">
        <f t="shared" si="2564"/>
        <v>0</v>
      </c>
      <c r="AA250" s="13">
        <f t="shared" si="2564"/>
        <v>0</v>
      </c>
      <c r="AB250" s="13">
        <f t="shared" si="2564"/>
        <v>0</v>
      </c>
      <c r="AC250" s="13">
        <f t="shared" si="2564"/>
        <v>0</v>
      </c>
      <c r="AD250" s="13">
        <f t="shared" si="2564"/>
        <v>0</v>
      </c>
      <c r="AE250" s="13">
        <f t="shared" si="2564"/>
        <v>0</v>
      </c>
      <c r="AF250" s="13">
        <f t="shared" si="2564"/>
        <v>0</v>
      </c>
      <c r="AG250" s="13">
        <f t="shared" si="2564"/>
        <v>0</v>
      </c>
      <c r="AH250" s="13">
        <f t="shared" si="2564"/>
        <v>0</v>
      </c>
      <c r="AI250" s="13">
        <f t="shared" si="2564"/>
        <v>0</v>
      </c>
      <c r="AJ250" s="13">
        <f t="shared" si="2564"/>
        <v>0</v>
      </c>
      <c r="AK250" s="13">
        <f t="shared" si="2564"/>
        <v>0</v>
      </c>
      <c r="AL250" s="13">
        <f t="shared" si="2564"/>
        <v>0</v>
      </c>
      <c r="AM250" s="13">
        <f t="shared" si="2564"/>
        <v>0</v>
      </c>
      <c r="AN250" s="13">
        <f t="shared" si="2564"/>
        <v>0</v>
      </c>
      <c r="AO250" s="13">
        <f t="shared" si="2564"/>
        <v>0</v>
      </c>
      <c r="AP250" s="13">
        <f t="shared" si="2564"/>
        <v>0</v>
      </c>
      <c r="AQ250" s="13">
        <f t="shared" si="2564"/>
        <v>0</v>
      </c>
      <c r="AR250" s="13">
        <f t="shared" si="2564"/>
        <v>0</v>
      </c>
      <c r="AS250" s="13">
        <f t="shared" si="2564"/>
        <v>0</v>
      </c>
      <c r="AT250" s="13">
        <f t="shared" si="2564"/>
        <v>0</v>
      </c>
      <c r="AU250" s="13">
        <f t="shared" si="2564"/>
        <v>0</v>
      </c>
      <c r="AV250" s="13">
        <f t="shared" si="2564"/>
        <v>0</v>
      </c>
      <c r="AW250" s="13">
        <f t="shared" si="2564"/>
        <v>0</v>
      </c>
      <c r="AX250" s="13">
        <f t="shared" si="2564"/>
        <v>0</v>
      </c>
      <c r="AY250" s="13">
        <f t="shared" si="2564"/>
        <v>0</v>
      </c>
      <c r="AZ250" s="13">
        <f t="shared" si="2564"/>
        <v>0</v>
      </c>
      <c r="BA250" s="13">
        <f t="shared" si="2564"/>
        <v>0</v>
      </c>
      <c r="BB250" s="13">
        <f t="shared" si="2564"/>
        <v>0</v>
      </c>
      <c r="BC250" s="13">
        <f t="shared" si="2564"/>
        <v>0</v>
      </c>
      <c r="BD250" s="13">
        <f t="shared" si="2564"/>
        <v>0</v>
      </c>
      <c r="BE250" s="13">
        <f t="shared" si="2564"/>
        <v>0</v>
      </c>
      <c r="BF250" s="13">
        <f t="shared" si="2564"/>
        <v>0</v>
      </c>
      <c r="BG250" s="13">
        <f t="shared" si="2564"/>
        <v>0</v>
      </c>
      <c r="BH250" s="13">
        <f t="shared" si="2564"/>
        <v>0</v>
      </c>
      <c r="BI250" s="13">
        <f t="shared" si="2564"/>
        <v>0</v>
      </c>
      <c r="BJ250" s="13">
        <f t="shared" si="2564"/>
        <v>0</v>
      </c>
      <c r="BK250" s="13">
        <f t="shared" si="2564"/>
        <v>0</v>
      </c>
      <c r="BL250" s="13">
        <f t="shared" si="2564"/>
        <v>0</v>
      </c>
      <c r="BM250" s="13">
        <f t="shared" si="2564"/>
        <v>0</v>
      </c>
      <c r="BN250" s="13">
        <f t="shared" si="2564"/>
        <v>0</v>
      </c>
      <c r="BO250" s="13">
        <f t="shared" si="2564"/>
        <v>0</v>
      </c>
      <c r="BP250" s="13">
        <f t="shared" si="2564"/>
        <v>0</v>
      </c>
      <c r="BQ250" s="13">
        <f t="shared" si="2564"/>
        <v>0</v>
      </c>
      <c r="BR250" s="13">
        <f t="shared" ref="BR250:BY250" si="2565">+BR245*$E226/Months*Renewal_Probability</f>
        <v>0</v>
      </c>
      <c r="BS250" s="13">
        <f t="shared" si="2565"/>
        <v>0</v>
      </c>
      <c r="BT250" s="13">
        <f t="shared" si="2565"/>
        <v>0</v>
      </c>
      <c r="BU250" s="13">
        <f t="shared" si="2565"/>
        <v>0</v>
      </c>
      <c r="BV250" s="13">
        <f t="shared" si="2565"/>
        <v>0</v>
      </c>
      <c r="BW250" s="13">
        <f t="shared" si="2565"/>
        <v>0</v>
      </c>
      <c r="BX250" s="13">
        <f t="shared" si="2565"/>
        <v>0</v>
      </c>
      <c r="BY250" s="13">
        <f t="shared" si="2565"/>
        <v>0</v>
      </c>
    </row>
    <row r="251" spans="2:77" customFormat="1" outlineLevel="1" x14ac:dyDescent="0.25">
      <c r="B251" s="1"/>
      <c r="C251" s="50" t="s">
        <v>279</v>
      </c>
      <c r="D251" s="37" t="s">
        <v>101</v>
      </c>
      <c r="E251" s="1"/>
      <c r="F251" s="13">
        <f t="shared" ref="F251:BQ251" si="2566">+F246*$E226/Months*(1-Renewal_Probability)</f>
        <v>0</v>
      </c>
      <c r="G251" s="13">
        <f t="shared" si="2566"/>
        <v>0</v>
      </c>
      <c r="H251" s="13">
        <f t="shared" si="2566"/>
        <v>0</v>
      </c>
      <c r="I251" s="13">
        <f t="shared" si="2566"/>
        <v>0</v>
      </c>
      <c r="J251" s="13">
        <f t="shared" si="2566"/>
        <v>0</v>
      </c>
      <c r="K251" s="13">
        <f t="shared" si="2566"/>
        <v>0</v>
      </c>
      <c r="L251" s="13">
        <f t="shared" si="2566"/>
        <v>0</v>
      </c>
      <c r="M251" s="13">
        <f t="shared" si="2566"/>
        <v>0</v>
      </c>
      <c r="N251" s="13">
        <f t="shared" si="2566"/>
        <v>0</v>
      </c>
      <c r="O251" s="13">
        <f t="shared" si="2566"/>
        <v>0</v>
      </c>
      <c r="P251" s="13">
        <f t="shared" si="2566"/>
        <v>0</v>
      </c>
      <c r="Q251" s="13">
        <f t="shared" si="2566"/>
        <v>0</v>
      </c>
      <c r="R251" s="13">
        <f t="shared" si="2566"/>
        <v>0</v>
      </c>
      <c r="S251" s="13">
        <f t="shared" si="2566"/>
        <v>0</v>
      </c>
      <c r="T251" s="13">
        <f t="shared" si="2566"/>
        <v>0</v>
      </c>
      <c r="U251" s="13">
        <f t="shared" si="2566"/>
        <v>0</v>
      </c>
      <c r="V251" s="13">
        <f t="shared" si="2566"/>
        <v>0</v>
      </c>
      <c r="W251" s="13">
        <f t="shared" si="2566"/>
        <v>0</v>
      </c>
      <c r="X251" s="13">
        <f t="shared" si="2566"/>
        <v>0</v>
      </c>
      <c r="Y251" s="13">
        <f t="shared" si="2566"/>
        <v>0</v>
      </c>
      <c r="Z251" s="13">
        <f t="shared" si="2566"/>
        <v>0</v>
      </c>
      <c r="AA251" s="13">
        <f t="shared" si="2566"/>
        <v>0</v>
      </c>
      <c r="AB251" s="13">
        <f t="shared" si="2566"/>
        <v>0</v>
      </c>
      <c r="AC251" s="13">
        <f t="shared" si="2566"/>
        <v>0</v>
      </c>
      <c r="AD251" s="13">
        <f t="shared" si="2566"/>
        <v>0</v>
      </c>
      <c r="AE251" s="13">
        <f t="shared" si="2566"/>
        <v>0</v>
      </c>
      <c r="AF251" s="13">
        <f t="shared" si="2566"/>
        <v>0</v>
      </c>
      <c r="AG251" s="13">
        <f t="shared" si="2566"/>
        <v>0</v>
      </c>
      <c r="AH251" s="13">
        <f t="shared" si="2566"/>
        <v>0</v>
      </c>
      <c r="AI251" s="13">
        <f t="shared" si="2566"/>
        <v>0</v>
      </c>
      <c r="AJ251" s="13">
        <f t="shared" si="2566"/>
        <v>0</v>
      </c>
      <c r="AK251" s="13">
        <f t="shared" si="2566"/>
        <v>0</v>
      </c>
      <c r="AL251" s="13">
        <f t="shared" si="2566"/>
        <v>0</v>
      </c>
      <c r="AM251" s="13">
        <f t="shared" si="2566"/>
        <v>0</v>
      </c>
      <c r="AN251" s="13">
        <f t="shared" si="2566"/>
        <v>0</v>
      </c>
      <c r="AO251" s="13">
        <f t="shared" si="2566"/>
        <v>0</v>
      </c>
      <c r="AP251" s="13">
        <f t="shared" si="2566"/>
        <v>0</v>
      </c>
      <c r="AQ251" s="13">
        <f t="shared" si="2566"/>
        <v>0</v>
      </c>
      <c r="AR251" s="13">
        <f t="shared" si="2566"/>
        <v>0</v>
      </c>
      <c r="AS251" s="13">
        <f t="shared" si="2566"/>
        <v>0</v>
      </c>
      <c r="AT251" s="13">
        <f t="shared" si="2566"/>
        <v>0</v>
      </c>
      <c r="AU251" s="13">
        <f t="shared" si="2566"/>
        <v>0</v>
      </c>
      <c r="AV251" s="13">
        <f t="shared" si="2566"/>
        <v>0</v>
      </c>
      <c r="AW251" s="13">
        <f t="shared" si="2566"/>
        <v>0</v>
      </c>
      <c r="AX251" s="13">
        <f t="shared" si="2566"/>
        <v>0</v>
      </c>
      <c r="AY251" s="13">
        <f t="shared" si="2566"/>
        <v>0</v>
      </c>
      <c r="AZ251" s="13">
        <f t="shared" si="2566"/>
        <v>0</v>
      </c>
      <c r="BA251" s="13">
        <f t="shared" si="2566"/>
        <v>0</v>
      </c>
      <c r="BB251" s="13">
        <f t="shared" si="2566"/>
        <v>0</v>
      </c>
      <c r="BC251" s="13">
        <f t="shared" si="2566"/>
        <v>0</v>
      </c>
      <c r="BD251" s="13">
        <f t="shared" si="2566"/>
        <v>0</v>
      </c>
      <c r="BE251" s="13">
        <f t="shared" si="2566"/>
        <v>0</v>
      </c>
      <c r="BF251" s="13">
        <f t="shared" si="2566"/>
        <v>0</v>
      </c>
      <c r="BG251" s="13">
        <f t="shared" si="2566"/>
        <v>0</v>
      </c>
      <c r="BH251" s="13">
        <f t="shared" si="2566"/>
        <v>0</v>
      </c>
      <c r="BI251" s="13">
        <f t="shared" si="2566"/>
        <v>0</v>
      </c>
      <c r="BJ251" s="13">
        <f t="shared" si="2566"/>
        <v>0</v>
      </c>
      <c r="BK251" s="13">
        <f t="shared" si="2566"/>
        <v>0</v>
      </c>
      <c r="BL251" s="13">
        <f t="shared" si="2566"/>
        <v>0</v>
      </c>
      <c r="BM251" s="13">
        <f t="shared" si="2566"/>
        <v>0</v>
      </c>
      <c r="BN251" s="13">
        <f t="shared" si="2566"/>
        <v>0</v>
      </c>
      <c r="BO251" s="13">
        <f t="shared" si="2566"/>
        <v>0</v>
      </c>
      <c r="BP251" s="13">
        <f t="shared" si="2566"/>
        <v>0</v>
      </c>
      <c r="BQ251" s="13">
        <f t="shared" si="2566"/>
        <v>0</v>
      </c>
      <c r="BR251" s="13">
        <f t="shared" ref="BR251:BY251" si="2567">+BR246*$E226/Months*(1-Renewal_Probability)</f>
        <v>0</v>
      </c>
      <c r="BS251" s="13">
        <f t="shared" si="2567"/>
        <v>0</v>
      </c>
      <c r="BT251" s="13">
        <f t="shared" si="2567"/>
        <v>0</v>
      </c>
      <c r="BU251" s="13">
        <f t="shared" si="2567"/>
        <v>0</v>
      </c>
      <c r="BV251" s="13">
        <f t="shared" si="2567"/>
        <v>0</v>
      </c>
      <c r="BW251" s="13">
        <f t="shared" si="2567"/>
        <v>0</v>
      </c>
      <c r="BX251" s="13">
        <f t="shared" si="2567"/>
        <v>0</v>
      </c>
      <c r="BY251" s="13">
        <f t="shared" si="2567"/>
        <v>0</v>
      </c>
    </row>
    <row r="252" spans="2:77" customFormat="1" outlineLevel="1" x14ac:dyDescent="0.25">
      <c r="B252" s="1"/>
      <c r="C252" s="50"/>
      <c r="D252" s="37"/>
      <c r="E252" s="1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</row>
    <row r="253" spans="2:77" customFormat="1" outlineLevel="1" x14ac:dyDescent="0.25">
      <c r="B253" s="1"/>
      <c r="C253" s="50" t="s">
        <v>117</v>
      </c>
      <c r="D253" s="37" t="s">
        <v>101</v>
      </c>
      <c r="E253" s="1"/>
      <c r="F253" s="13">
        <f>IF(F$5&gt;$E227,SUM(F249:F251)-F248,0)</f>
        <v>0</v>
      </c>
      <c r="G253" s="13">
        <f t="shared" ref="G253:BR253" si="2568">IF(G$5&gt;$E227,SUM(G249:G251)-G248,0)</f>
        <v>0</v>
      </c>
      <c r="H253" s="13">
        <f t="shared" si="2568"/>
        <v>0</v>
      </c>
      <c r="I253" s="13">
        <f t="shared" si="2568"/>
        <v>0</v>
      </c>
      <c r="J253" s="13">
        <f t="shared" si="2568"/>
        <v>0</v>
      </c>
      <c r="K253" s="13">
        <f t="shared" si="2568"/>
        <v>0</v>
      </c>
      <c r="L253" s="13">
        <f t="shared" si="2568"/>
        <v>0</v>
      </c>
      <c r="M253" s="13">
        <f t="shared" si="2568"/>
        <v>0</v>
      </c>
      <c r="N253" s="13">
        <f t="shared" si="2568"/>
        <v>0</v>
      </c>
      <c r="O253" s="13">
        <f t="shared" si="2568"/>
        <v>0</v>
      </c>
      <c r="P253" s="13">
        <f t="shared" si="2568"/>
        <v>0</v>
      </c>
      <c r="Q253" s="13">
        <f t="shared" si="2568"/>
        <v>0</v>
      </c>
      <c r="R253" s="13">
        <f t="shared" si="2568"/>
        <v>0</v>
      </c>
      <c r="S253" s="13">
        <f t="shared" si="2568"/>
        <v>0</v>
      </c>
      <c r="T253" s="13">
        <f t="shared" si="2568"/>
        <v>0</v>
      </c>
      <c r="U253" s="13">
        <f t="shared" si="2568"/>
        <v>0</v>
      </c>
      <c r="V253" s="13">
        <f t="shared" si="2568"/>
        <v>0</v>
      </c>
      <c r="W253" s="13">
        <f t="shared" si="2568"/>
        <v>0</v>
      </c>
      <c r="X253" s="13">
        <f t="shared" si="2568"/>
        <v>0</v>
      </c>
      <c r="Y253" s="13">
        <f t="shared" si="2568"/>
        <v>0</v>
      </c>
      <c r="Z253" s="13">
        <f t="shared" si="2568"/>
        <v>0</v>
      </c>
      <c r="AA253" s="13">
        <f t="shared" si="2568"/>
        <v>0</v>
      </c>
      <c r="AB253" s="13">
        <f t="shared" si="2568"/>
        <v>0</v>
      </c>
      <c r="AC253" s="13">
        <f t="shared" si="2568"/>
        <v>0</v>
      </c>
      <c r="AD253" s="13">
        <f t="shared" si="2568"/>
        <v>0</v>
      </c>
      <c r="AE253" s="13">
        <f t="shared" si="2568"/>
        <v>0</v>
      </c>
      <c r="AF253" s="13">
        <f t="shared" si="2568"/>
        <v>0</v>
      </c>
      <c r="AG253" s="13">
        <f t="shared" si="2568"/>
        <v>0</v>
      </c>
      <c r="AH253" s="13">
        <f t="shared" si="2568"/>
        <v>0</v>
      </c>
      <c r="AI253" s="13">
        <f t="shared" si="2568"/>
        <v>0</v>
      </c>
      <c r="AJ253" s="13">
        <f t="shared" si="2568"/>
        <v>0</v>
      </c>
      <c r="AK253" s="13">
        <f t="shared" si="2568"/>
        <v>-75.929495532174769</v>
      </c>
      <c r="AL253" s="13">
        <f t="shared" si="2568"/>
        <v>-152.04625368402048</v>
      </c>
      <c r="AM253" s="13">
        <f t="shared" si="2568"/>
        <v>-228.35073629565159</v>
      </c>
      <c r="AN253" s="13">
        <f t="shared" si="2568"/>
        <v>-304.84340634624095</v>
      </c>
      <c r="AO253" s="13">
        <f t="shared" si="2568"/>
        <v>-381.52472795678841</v>
      </c>
      <c r="AP253" s="13">
        <f t="shared" si="2568"/>
        <v>-458.39516639291105</v>
      </c>
      <c r="AQ253" s="13">
        <f t="shared" si="2568"/>
        <v>-535.45518806773907</v>
      </c>
      <c r="AR253" s="13">
        <f t="shared" si="2568"/>
        <v>-612.70526054466973</v>
      </c>
      <c r="AS253" s="13">
        <f t="shared" si="2568"/>
        <v>-690.14585254027043</v>
      </c>
      <c r="AT253" s="13">
        <f t="shared" si="2568"/>
        <v>-767.77743392705452</v>
      </c>
      <c r="AU253" s="13">
        <f t="shared" si="2568"/>
        <v>-845.60047573639167</v>
      </c>
      <c r="AV253" s="13">
        <f t="shared" si="2568"/>
        <v>-153.93590836025032</v>
      </c>
      <c r="AW253" s="13">
        <f t="shared" si="2568"/>
        <v>-232.14328875839783</v>
      </c>
      <c r="AX253" s="13">
        <f t="shared" si="2568"/>
        <v>-310.54354965479797</v>
      </c>
      <c r="AY253" s="13">
        <f t="shared" si="2568"/>
        <v>-389.13716674477109</v>
      </c>
      <c r="AZ253" s="13">
        <f t="shared" si="2568"/>
        <v>-467.92461689688207</v>
      </c>
      <c r="BA253" s="13">
        <f t="shared" si="2568"/>
        <v>-546.90637815573791</v>
      </c>
      <c r="BB253" s="13">
        <f t="shared" si="2568"/>
        <v>-613.03488304034181</v>
      </c>
      <c r="BC253" s="13">
        <f t="shared" si="2568"/>
        <v>-679.29960181777642</v>
      </c>
      <c r="BD253" s="13">
        <f t="shared" si="2568"/>
        <v>-745.70081506636416</v>
      </c>
      <c r="BE253" s="13">
        <f t="shared" si="2568"/>
        <v>-812.23880394235675</v>
      </c>
      <c r="BF253" s="13">
        <f t="shared" si="2568"/>
        <v>-878.91385018116489</v>
      </c>
      <c r="BG253" s="13">
        <f t="shared" si="2568"/>
        <v>-945.72623609850416</v>
      </c>
      <c r="BH253" s="13">
        <f t="shared" si="2568"/>
        <v>-223.7547142455187</v>
      </c>
      <c r="BI253" s="13">
        <f t="shared" si="2568"/>
        <v>-290.84262879441303</v>
      </c>
      <c r="BJ253" s="13">
        <f t="shared" si="2568"/>
        <v>-358.06873346295106</v>
      </c>
      <c r="BK253" s="13">
        <f t="shared" si="2568"/>
        <v>-425.43331290017522</v>
      </c>
      <c r="BL253" s="13">
        <f t="shared" si="2568"/>
        <v>-492.936652341421</v>
      </c>
      <c r="BM253" s="13">
        <f t="shared" si="2568"/>
        <v>-560.57903760959016</v>
      </c>
      <c r="BN253" s="13">
        <f t="shared" si="2568"/>
        <v>-628.3607551163077</v>
      </c>
      <c r="BO253" s="13">
        <f t="shared" si="2568"/>
        <v>-696.2820918631769</v>
      </c>
      <c r="BP253" s="13">
        <f t="shared" si="2568"/>
        <v>-764.34333544297988</v>
      </c>
      <c r="BQ253" s="13">
        <f t="shared" si="2568"/>
        <v>-832.54477404087811</v>
      </c>
      <c r="BR253" s="13">
        <f t="shared" si="2568"/>
        <v>-900.88669643564936</v>
      </c>
      <c r="BS253" s="13">
        <f t="shared" ref="BS253:BY253" si="2569">IF(BS$5&gt;$E227,SUM(BS249:BS251)-BS248,0)</f>
        <v>-969.36939200092456</v>
      </c>
      <c r="BT253" s="13">
        <f t="shared" si="2569"/>
        <v>-229.34858210161474</v>
      </c>
      <c r="BU253" s="13">
        <f t="shared" si="2569"/>
        <v>-298.11369451423525</v>
      </c>
      <c r="BV253" s="13">
        <f t="shared" si="2569"/>
        <v>-367.02045179948618</v>
      </c>
      <c r="BW253" s="13">
        <f t="shared" si="2569"/>
        <v>-436.06914572264213</v>
      </c>
      <c r="BX253" s="13">
        <f t="shared" si="2569"/>
        <v>-505.26006864992087</v>
      </c>
      <c r="BY253" s="13">
        <f t="shared" si="2569"/>
        <v>-574.59351354978571</v>
      </c>
    </row>
    <row r="254" spans="2:77" customFormat="1" outlineLevel="1" x14ac:dyDescent="0.25">
      <c r="B254" s="1"/>
      <c r="C254" s="50" t="s">
        <v>25</v>
      </c>
      <c r="D254" s="37" t="s">
        <v>101</v>
      </c>
      <c r="E254" s="1"/>
      <c r="F254" s="62">
        <f>IF(AND(F$5&gt;$E229,F$5&lt;=$E238),-F251,0)</f>
        <v>0</v>
      </c>
      <c r="G254" s="62">
        <f t="shared" ref="G254:BR254" si="2570">IF(AND(G$5&gt;$E229,G$5&lt;=$E238),-G251,0)</f>
        <v>0</v>
      </c>
      <c r="H254" s="62">
        <f t="shared" si="2570"/>
        <v>0</v>
      </c>
      <c r="I254" s="62">
        <f t="shared" si="2570"/>
        <v>0</v>
      </c>
      <c r="J254" s="62">
        <f t="shared" si="2570"/>
        <v>0</v>
      </c>
      <c r="K254" s="62">
        <f t="shared" si="2570"/>
        <v>0</v>
      </c>
      <c r="L254" s="62">
        <f t="shared" si="2570"/>
        <v>0</v>
      </c>
      <c r="M254" s="62">
        <f t="shared" si="2570"/>
        <v>0</v>
      </c>
      <c r="N254" s="62">
        <f t="shared" si="2570"/>
        <v>0</v>
      </c>
      <c r="O254" s="62">
        <f t="shared" si="2570"/>
        <v>0</v>
      </c>
      <c r="P254" s="62">
        <f t="shared" si="2570"/>
        <v>0</v>
      </c>
      <c r="Q254" s="62">
        <f t="shared" si="2570"/>
        <v>0</v>
      </c>
      <c r="R254" s="62">
        <f t="shared" si="2570"/>
        <v>0</v>
      </c>
      <c r="S254" s="62">
        <f t="shared" si="2570"/>
        <v>0</v>
      </c>
      <c r="T254" s="62">
        <f t="shared" si="2570"/>
        <v>0</v>
      </c>
      <c r="U254" s="62">
        <f t="shared" si="2570"/>
        <v>0</v>
      </c>
      <c r="V254" s="62">
        <f t="shared" si="2570"/>
        <v>0</v>
      </c>
      <c r="W254" s="62">
        <f t="shared" si="2570"/>
        <v>0</v>
      </c>
      <c r="X254" s="62">
        <f t="shared" si="2570"/>
        <v>0</v>
      </c>
      <c r="Y254" s="62">
        <f t="shared" si="2570"/>
        <v>0</v>
      </c>
      <c r="Z254" s="62">
        <f t="shared" si="2570"/>
        <v>0</v>
      </c>
      <c r="AA254" s="62">
        <f t="shared" si="2570"/>
        <v>0</v>
      </c>
      <c r="AB254" s="62">
        <f t="shared" si="2570"/>
        <v>0</v>
      </c>
      <c r="AC254" s="62">
        <f t="shared" si="2570"/>
        <v>0</v>
      </c>
      <c r="AD254" s="62">
        <f t="shared" si="2570"/>
        <v>0</v>
      </c>
      <c r="AE254" s="62">
        <f t="shared" si="2570"/>
        <v>0</v>
      </c>
      <c r="AF254" s="62">
        <f t="shared" si="2570"/>
        <v>0</v>
      </c>
      <c r="AG254" s="62">
        <f t="shared" si="2570"/>
        <v>0</v>
      </c>
      <c r="AH254" s="62">
        <f t="shared" si="2570"/>
        <v>0</v>
      </c>
      <c r="AI254" s="62">
        <f t="shared" si="2570"/>
        <v>0</v>
      </c>
      <c r="AJ254" s="62">
        <f t="shared" si="2570"/>
        <v>0</v>
      </c>
      <c r="AK254" s="62">
        <f t="shared" si="2570"/>
        <v>0</v>
      </c>
      <c r="AL254" s="62">
        <f t="shared" si="2570"/>
        <v>0</v>
      </c>
      <c r="AM254" s="62">
        <f t="shared" si="2570"/>
        <v>0</v>
      </c>
      <c r="AN254" s="62">
        <f t="shared" si="2570"/>
        <v>0</v>
      </c>
      <c r="AO254" s="62">
        <f t="shared" si="2570"/>
        <v>0</v>
      </c>
      <c r="AP254" s="62">
        <f t="shared" si="2570"/>
        <v>0</v>
      </c>
      <c r="AQ254" s="62">
        <f t="shared" si="2570"/>
        <v>0</v>
      </c>
      <c r="AR254" s="62">
        <f t="shared" si="2570"/>
        <v>0</v>
      </c>
      <c r="AS254" s="62">
        <f t="shared" si="2570"/>
        <v>0</v>
      </c>
      <c r="AT254" s="62">
        <f t="shared" si="2570"/>
        <v>0</v>
      </c>
      <c r="AU254" s="62">
        <f t="shared" si="2570"/>
        <v>0</v>
      </c>
      <c r="AV254" s="62">
        <f t="shared" si="2570"/>
        <v>0</v>
      </c>
      <c r="AW254" s="62">
        <f t="shared" si="2570"/>
        <v>0</v>
      </c>
      <c r="AX254" s="62">
        <f t="shared" si="2570"/>
        <v>0</v>
      </c>
      <c r="AY254" s="62">
        <f t="shared" si="2570"/>
        <v>0</v>
      </c>
      <c r="AZ254" s="62">
        <f t="shared" si="2570"/>
        <v>0</v>
      </c>
      <c r="BA254" s="62">
        <f t="shared" si="2570"/>
        <v>0</v>
      </c>
      <c r="BB254" s="62">
        <f t="shared" si="2570"/>
        <v>0</v>
      </c>
      <c r="BC254" s="62">
        <f t="shared" si="2570"/>
        <v>0</v>
      </c>
      <c r="BD254" s="62">
        <f t="shared" si="2570"/>
        <v>0</v>
      </c>
      <c r="BE254" s="62">
        <f t="shared" si="2570"/>
        <v>0</v>
      </c>
      <c r="BF254" s="62">
        <f t="shared" si="2570"/>
        <v>0</v>
      </c>
      <c r="BG254" s="62">
        <f t="shared" si="2570"/>
        <v>0</v>
      </c>
      <c r="BH254" s="62">
        <f t="shared" si="2570"/>
        <v>0</v>
      </c>
      <c r="BI254" s="62">
        <f t="shared" si="2570"/>
        <v>0</v>
      </c>
      <c r="BJ254" s="62">
        <f t="shared" si="2570"/>
        <v>0</v>
      </c>
      <c r="BK254" s="62">
        <f t="shared" si="2570"/>
        <v>0</v>
      </c>
      <c r="BL254" s="62">
        <f t="shared" si="2570"/>
        <v>0</v>
      </c>
      <c r="BM254" s="62">
        <f t="shared" si="2570"/>
        <v>0</v>
      </c>
      <c r="BN254" s="62">
        <f t="shared" si="2570"/>
        <v>0</v>
      </c>
      <c r="BO254" s="62">
        <f t="shared" si="2570"/>
        <v>0</v>
      </c>
      <c r="BP254" s="62">
        <f t="shared" si="2570"/>
        <v>0</v>
      </c>
      <c r="BQ254" s="62">
        <f t="shared" si="2570"/>
        <v>0</v>
      </c>
      <c r="BR254" s="62">
        <f t="shared" si="2570"/>
        <v>0</v>
      </c>
      <c r="BS254" s="62">
        <f t="shared" ref="BS254:BY254" si="2571">IF(AND(BS$5&gt;$E229,BS$5&lt;=$E238),-BS251,0)</f>
        <v>0</v>
      </c>
      <c r="BT254" s="62">
        <f t="shared" si="2571"/>
        <v>0</v>
      </c>
      <c r="BU254" s="62">
        <f t="shared" si="2571"/>
        <v>0</v>
      </c>
      <c r="BV254" s="62">
        <f t="shared" si="2571"/>
        <v>0</v>
      </c>
      <c r="BW254" s="62">
        <f t="shared" si="2571"/>
        <v>0</v>
      </c>
      <c r="BX254" s="62">
        <f t="shared" si="2571"/>
        <v>0</v>
      </c>
      <c r="BY254" s="62">
        <f t="shared" si="2571"/>
        <v>0</v>
      </c>
    </row>
    <row r="255" spans="2:77" customFormat="1" outlineLevel="1" x14ac:dyDescent="0.25">
      <c r="B255" s="1"/>
      <c r="C255" s="50" t="s">
        <v>26</v>
      </c>
      <c r="D255" s="37" t="s">
        <v>101</v>
      </c>
      <c r="E255" s="1"/>
      <c r="F255" s="62">
        <f t="shared" ref="F255:BQ255" si="2572">IF(AND(F$5&gt;$E227,F$5&lt;=EOMONTH($E227,$E231)),-F249,0)+IF(AND(F$5&gt;$E229,F$5&lt;=EOMONTH($E229,Renewal_Free_Rent_Months)),-F250,0)+IF(AND(F$5&gt;$E238,F$5&lt;=EOMONTH($E238,New_Free_Rent_Months)),-F251,0)</f>
        <v>0</v>
      </c>
      <c r="G255" s="62">
        <f t="shared" si="2572"/>
        <v>0</v>
      </c>
      <c r="H255" s="62">
        <f t="shared" si="2572"/>
        <v>0</v>
      </c>
      <c r="I255" s="62">
        <f t="shared" si="2572"/>
        <v>0</v>
      </c>
      <c r="J255" s="62">
        <f t="shared" si="2572"/>
        <v>0</v>
      </c>
      <c r="K255" s="62">
        <f t="shared" si="2572"/>
        <v>0</v>
      </c>
      <c r="L255" s="62">
        <f t="shared" si="2572"/>
        <v>0</v>
      </c>
      <c r="M255" s="62">
        <f t="shared" si="2572"/>
        <v>0</v>
      </c>
      <c r="N255" s="62">
        <f t="shared" si="2572"/>
        <v>0</v>
      </c>
      <c r="O255" s="62">
        <f t="shared" si="2572"/>
        <v>0</v>
      </c>
      <c r="P255" s="62">
        <f t="shared" si="2572"/>
        <v>0</v>
      </c>
      <c r="Q255" s="62">
        <f t="shared" si="2572"/>
        <v>0</v>
      </c>
      <c r="R255" s="62">
        <f t="shared" si="2572"/>
        <v>0</v>
      </c>
      <c r="S255" s="62">
        <f t="shared" si="2572"/>
        <v>0</v>
      </c>
      <c r="T255" s="62">
        <f t="shared" si="2572"/>
        <v>0</v>
      </c>
      <c r="U255" s="62">
        <f t="shared" si="2572"/>
        <v>0</v>
      </c>
      <c r="V255" s="62">
        <f t="shared" si="2572"/>
        <v>0</v>
      </c>
      <c r="W255" s="62">
        <f t="shared" si="2572"/>
        <v>0</v>
      </c>
      <c r="X255" s="62">
        <f t="shared" si="2572"/>
        <v>0</v>
      </c>
      <c r="Y255" s="62">
        <f t="shared" si="2572"/>
        <v>0</v>
      </c>
      <c r="Z255" s="62">
        <f t="shared" si="2572"/>
        <v>0</v>
      </c>
      <c r="AA255" s="62">
        <f t="shared" si="2572"/>
        <v>0</v>
      </c>
      <c r="AB255" s="62">
        <f t="shared" si="2572"/>
        <v>0</v>
      </c>
      <c r="AC255" s="62">
        <f t="shared" si="2572"/>
        <v>0</v>
      </c>
      <c r="AD255" s="62">
        <f t="shared" si="2572"/>
        <v>0</v>
      </c>
      <c r="AE255" s="62">
        <f t="shared" si="2572"/>
        <v>0</v>
      </c>
      <c r="AF255" s="62">
        <f t="shared" si="2572"/>
        <v>0</v>
      </c>
      <c r="AG255" s="62">
        <f t="shared" si="2572"/>
        <v>0</v>
      </c>
      <c r="AH255" s="62">
        <f t="shared" si="2572"/>
        <v>0</v>
      </c>
      <c r="AI255" s="62">
        <f t="shared" si="2572"/>
        <v>0</v>
      </c>
      <c r="AJ255" s="62">
        <f t="shared" si="2572"/>
        <v>-30787.181672043265</v>
      </c>
      <c r="AK255" s="62">
        <f t="shared" si="2572"/>
        <v>-30787.181672043265</v>
      </c>
      <c r="AL255" s="62">
        <f t="shared" si="2572"/>
        <v>-30787.181672043265</v>
      </c>
      <c r="AM255" s="62">
        <f t="shared" si="2572"/>
        <v>0</v>
      </c>
      <c r="AN255" s="62">
        <f t="shared" si="2572"/>
        <v>0</v>
      </c>
      <c r="AO255" s="62">
        <f t="shared" si="2572"/>
        <v>0</v>
      </c>
      <c r="AP255" s="62">
        <f t="shared" si="2572"/>
        <v>0</v>
      </c>
      <c r="AQ255" s="62">
        <f t="shared" si="2572"/>
        <v>0</v>
      </c>
      <c r="AR255" s="62">
        <f t="shared" si="2572"/>
        <v>0</v>
      </c>
      <c r="AS255" s="62">
        <f t="shared" si="2572"/>
        <v>0</v>
      </c>
      <c r="AT255" s="62">
        <f t="shared" si="2572"/>
        <v>0</v>
      </c>
      <c r="AU255" s="62">
        <f t="shared" si="2572"/>
        <v>0</v>
      </c>
      <c r="AV255" s="62">
        <f t="shared" si="2572"/>
        <v>0</v>
      </c>
      <c r="AW255" s="62">
        <f t="shared" si="2572"/>
        <v>0</v>
      </c>
      <c r="AX255" s="62">
        <f t="shared" si="2572"/>
        <v>0</v>
      </c>
      <c r="AY255" s="62">
        <f t="shared" si="2572"/>
        <v>0</v>
      </c>
      <c r="AZ255" s="62">
        <f t="shared" si="2572"/>
        <v>0</v>
      </c>
      <c r="BA255" s="62">
        <f t="shared" si="2572"/>
        <v>0</v>
      </c>
      <c r="BB255" s="62">
        <f t="shared" si="2572"/>
        <v>0</v>
      </c>
      <c r="BC255" s="62">
        <f t="shared" si="2572"/>
        <v>0</v>
      </c>
      <c r="BD255" s="62">
        <f t="shared" si="2572"/>
        <v>0</v>
      </c>
      <c r="BE255" s="62">
        <f t="shared" si="2572"/>
        <v>0</v>
      </c>
      <c r="BF255" s="62">
        <f t="shared" si="2572"/>
        <v>0</v>
      </c>
      <c r="BG255" s="62">
        <f t="shared" si="2572"/>
        <v>0</v>
      </c>
      <c r="BH255" s="62">
        <f t="shared" si="2572"/>
        <v>0</v>
      </c>
      <c r="BI255" s="62">
        <f t="shared" si="2572"/>
        <v>0</v>
      </c>
      <c r="BJ255" s="62">
        <f t="shared" si="2572"/>
        <v>0</v>
      </c>
      <c r="BK255" s="62">
        <f t="shared" si="2572"/>
        <v>0</v>
      </c>
      <c r="BL255" s="62">
        <f t="shared" si="2572"/>
        <v>0</v>
      </c>
      <c r="BM255" s="62">
        <f t="shared" si="2572"/>
        <v>0</v>
      </c>
      <c r="BN255" s="62">
        <f t="shared" si="2572"/>
        <v>0</v>
      </c>
      <c r="BO255" s="62">
        <f t="shared" si="2572"/>
        <v>0</v>
      </c>
      <c r="BP255" s="62">
        <f t="shared" si="2572"/>
        <v>0</v>
      </c>
      <c r="BQ255" s="62">
        <f t="shared" si="2572"/>
        <v>0</v>
      </c>
      <c r="BR255" s="62">
        <f t="shared" ref="BR255:BY255" si="2573">IF(AND(BR$5&gt;$E227,BR$5&lt;=EOMONTH($E227,$E231)),-BR249,0)+IF(AND(BR$5&gt;$E229,BR$5&lt;=EOMONTH($E229,Renewal_Free_Rent_Months)),-BR250,0)+IF(AND(BR$5&gt;$E238,BR$5&lt;=EOMONTH($E238,New_Free_Rent_Months)),-BR251,0)</f>
        <v>0</v>
      </c>
      <c r="BS255" s="62">
        <f t="shared" si="2573"/>
        <v>0</v>
      </c>
      <c r="BT255" s="62">
        <f t="shared" si="2573"/>
        <v>0</v>
      </c>
      <c r="BU255" s="62">
        <f t="shared" si="2573"/>
        <v>0</v>
      </c>
      <c r="BV255" s="62">
        <f t="shared" si="2573"/>
        <v>0</v>
      </c>
      <c r="BW255" s="62">
        <f t="shared" si="2573"/>
        <v>0</v>
      </c>
      <c r="BX255" s="62">
        <f t="shared" si="2573"/>
        <v>0</v>
      </c>
      <c r="BY255" s="62">
        <f t="shared" si="2573"/>
        <v>0</v>
      </c>
    </row>
    <row r="256" spans="2:77" customFormat="1" outlineLevel="1" x14ac:dyDescent="0.25">
      <c r="B256" s="1"/>
      <c r="C256" s="50" t="s">
        <v>27</v>
      </c>
      <c r="D256" s="37" t="s">
        <v>101</v>
      </c>
      <c r="E256" s="1"/>
      <c r="F256" s="62">
        <f t="shared" ref="F256:BQ256" si="2574">IF(F$5=EOMONTH($E227,1),-New_TIs*$E226*F$15,0)+IF(F$5=EOMONTH($E233,1),-Renewal_TIs*$E226*F$15*Renewal_Probability,0)+IF(F$5=EOMONTH($E238,1),-New_TIs*$E226*F$15*(1-Renewal_Probability),0)</f>
        <v>0</v>
      </c>
      <c r="G256" s="62">
        <f t="shared" si="2574"/>
        <v>0</v>
      </c>
      <c r="H256" s="62">
        <f t="shared" si="2574"/>
        <v>0</v>
      </c>
      <c r="I256" s="62">
        <f t="shared" si="2574"/>
        <v>0</v>
      </c>
      <c r="J256" s="62">
        <f t="shared" si="2574"/>
        <v>0</v>
      </c>
      <c r="K256" s="62">
        <f t="shared" si="2574"/>
        <v>0</v>
      </c>
      <c r="L256" s="62">
        <f t="shared" si="2574"/>
        <v>0</v>
      </c>
      <c r="M256" s="62">
        <f t="shared" si="2574"/>
        <v>0</v>
      </c>
      <c r="N256" s="62">
        <f t="shared" si="2574"/>
        <v>0</v>
      </c>
      <c r="O256" s="62">
        <f t="shared" si="2574"/>
        <v>0</v>
      </c>
      <c r="P256" s="62">
        <f t="shared" si="2574"/>
        <v>0</v>
      </c>
      <c r="Q256" s="62">
        <f t="shared" si="2574"/>
        <v>0</v>
      </c>
      <c r="R256" s="62">
        <f t="shared" si="2574"/>
        <v>0</v>
      </c>
      <c r="S256" s="62">
        <f t="shared" si="2574"/>
        <v>0</v>
      </c>
      <c r="T256" s="62">
        <f t="shared" si="2574"/>
        <v>0</v>
      </c>
      <c r="U256" s="62">
        <f t="shared" si="2574"/>
        <v>0</v>
      </c>
      <c r="V256" s="62">
        <f t="shared" si="2574"/>
        <v>0</v>
      </c>
      <c r="W256" s="62">
        <f t="shared" si="2574"/>
        <v>0</v>
      </c>
      <c r="X256" s="62">
        <f t="shared" si="2574"/>
        <v>0</v>
      </c>
      <c r="Y256" s="62">
        <f t="shared" si="2574"/>
        <v>0</v>
      </c>
      <c r="Z256" s="62">
        <f t="shared" si="2574"/>
        <v>0</v>
      </c>
      <c r="AA256" s="62">
        <f t="shared" si="2574"/>
        <v>0</v>
      </c>
      <c r="AB256" s="62">
        <f t="shared" si="2574"/>
        <v>0</v>
      </c>
      <c r="AC256" s="62">
        <f t="shared" si="2574"/>
        <v>0</v>
      </c>
      <c r="AD256" s="62">
        <f t="shared" si="2574"/>
        <v>0</v>
      </c>
      <c r="AE256" s="62">
        <f t="shared" si="2574"/>
        <v>0</v>
      </c>
      <c r="AF256" s="62">
        <f t="shared" si="2574"/>
        <v>0</v>
      </c>
      <c r="AG256" s="62">
        <f t="shared" si="2574"/>
        <v>0</v>
      </c>
      <c r="AH256" s="62">
        <f t="shared" si="2574"/>
        <v>0</v>
      </c>
      <c r="AI256" s="62">
        <f t="shared" si="2574"/>
        <v>0</v>
      </c>
      <c r="AJ256" s="62">
        <f t="shared" si="2574"/>
        <v>-267714.68180669117</v>
      </c>
      <c r="AK256" s="62">
        <f t="shared" si="2574"/>
        <v>0</v>
      </c>
      <c r="AL256" s="62">
        <f t="shared" si="2574"/>
        <v>0</v>
      </c>
      <c r="AM256" s="62">
        <f t="shared" si="2574"/>
        <v>0</v>
      </c>
      <c r="AN256" s="62">
        <f t="shared" si="2574"/>
        <v>0</v>
      </c>
      <c r="AO256" s="62">
        <f t="shared" si="2574"/>
        <v>0</v>
      </c>
      <c r="AP256" s="62">
        <f t="shared" si="2574"/>
        <v>0</v>
      </c>
      <c r="AQ256" s="62">
        <f t="shared" si="2574"/>
        <v>0</v>
      </c>
      <c r="AR256" s="62">
        <f t="shared" si="2574"/>
        <v>0</v>
      </c>
      <c r="AS256" s="62">
        <f t="shared" si="2574"/>
        <v>0</v>
      </c>
      <c r="AT256" s="62">
        <f t="shared" si="2574"/>
        <v>0</v>
      </c>
      <c r="AU256" s="62">
        <f t="shared" si="2574"/>
        <v>0</v>
      </c>
      <c r="AV256" s="62">
        <f t="shared" si="2574"/>
        <v>0</v>
      </c>
      <c r="AW256" s="62">
        <f t="shared" si="2574"/>
        <v>0</v>
      </c>
      <c r="AX256" s="62">
        <f t="shared" si="2574"/>
        <v>0</v>
      </c>
      <c r="AY256" s="62">
        <f t="shared" si="2574"/>
        <v>0</v>
      </c>
      <c r="AZ256" s="62">
        <f t="shared" si="2574"/>
        <v>0</v>
      </c>
      <c r="BA256" s="62">
        <f t="shared" si="2574"/>
        <v>0</v>
      </c>
      <c r="BB256" s="62">
        <f t="shared" si="2574"/>
        <v>0</v>
      </c>
      <c r="BC256" s="62">
        <f t="shared" si="2574"/>
        <v>0</v>
      </c>
      <c r="BD256" s="62">
        <f t="shared" si="2574"/>
        <v>0</v>
      </c>
      <c r="BE256" s="62">
        <f t="shared" si="2574"/>
        <v>0</v>
      </c>
      <c r="BF256" s="62">
        <f t="shared" si="2574"/>
        <v>0</v>
      </c>
      <c r="BG256" s="62">
        <f t="shared" si="2574"/>
        <v>0</v>
      </c>
      <c r="BH256" s="62">
        <f t="shared" si="2574"/>
        <v>0</v>
      </c>
      <c r="BI256" s="62">
        <f t="shared" si="2574"/>
        <v>0</v>
      </c>
      <c r="BJ256" s="62">
        <f t="shared" si="2574"/>
        <v>0</v>
      </c>
      <c r="BK256" s="62">
        <f t="shared" si="2574"/>
        <v>0</v>
      </c>
      <c r="BL256" s="62">
        <f t="shared" si="2574"/>
        <v>0</v>
      </c>
      <c r="BM256" s="62">
        <f t="shared" si="2574"/>
        <v>0</v>
      </c>
      <c r="BN256" s="62">
        <f t="shared" si="2574"/>
        <v>0</v>
      </c>
      <c r="BO256" s="62">
        <f t="shared" si="2574"/>
        <v>0</v>
      </c>
      <c r="BP256" s="62">
        <f t="shared" si="2574"/>
        <v>0</v>
      </c>
      <c r="BQ256" s="62">
        <f t="shared" si="2574"/>
        <v>0</v>
      </c>
      <c r="BR256" s="62">
        <f t="shared" ref="BR256:BY256" si="2575">IF(BR$5=EOMONTH($E227,1),-New_TIs*$E226*BR$15,0)+IF(BR$5=EOMONTH($E233,1),-Renewal_TIs*$E226*BR$15*Renewal_Probability,0)+IF(BR$5=EOMONTH($E238,1),-New_TIs*$E226*BR$15*(1-Renewal_Probability),0)</f>
        <v>0</v>
      </c>
      <c r="BS256" s="62">
        <f t="shared" si="2575"/>
        <v>0</v>
      </c>
      <c r="BT256" s="62">
        <f t="shared" si="2575"/>
        <v>0</v>
      </c>
      <c r="BU256" s="62">
        <f t="shared" si="2575"/>
        <v>0</v>
      </c>
      <c r="BV256" s="62">
        <f t="shared" si="2575"/>
        <v>0</v>
      </c>
      <c r="BW256" s="62">
        <f t="shared" si="2575"/>
        <v>0</v>
      </c>
      <c r="BX256" s="62">
        <f t="shared" si="2575"/>
        <v>0</v>
      </c>
      <c r="BY256" s="62">
        <f t="shared" si="2575"/>
        <v>0</v>
      </c>
    </row>
    <row r="257" spans="2:77" customFormat="1" outlineLevel="1" x14ac:dyDescent="0.25">
      <c r="B257" s="1"/>
      <c r="C257" s="50" t="s">
        <v>28</v>
      </c>
      <c r="D257" s="37" t="s">
        <v>101</v>
      </c>
      <c r="E257" s="1"/>
      <c r="F257" s="62">
        <f t="shared" ref="F257:BQ257" si="2576">IF(F$5=EOMONTH($E227,1),-New_LC_Pct*FV($E230,$E228,-F244*$E226),0)+IF(F$5=EOMONTH($E233,1),-Renewal_LC_Pct*FV($E236,$E234,-F245*$E226)*Renewal_Probability,0)+IF(F$5=EOMONTH($E238,1),-New_LC_Pct*FV($E241,$E239,-F246*$E226)*(1-Renewal_Probability),0)</f>
        <v>0</v>
      </c>
      <c r="G257" s="62">
        <f t="shared" si="2576"/>
        <v>0</v>
      </c>
      <c r="H257" s="62">
        <f t="shared" si="2576"/>
        <v>0</v>
      </c>
      <c r="I257" s="62">
        <f t="shared" si="2576"/>
        <v>0</v>
      </c>
      <c r="J257" s="62">
        <f t="shared" si="2576"/>
        <v>0</v>
      </c>
      <c r="K257" s="62">
        <f t="shared" si="2576"/>
        <v>0</v>
      </c>
      <c r="L257" s="62">
        <f t="shared" si="2576"/>
        <v>0</v>
      </c>
      <c r="M257" s="62">
        <f t="shared" si="2576"/>
        <v>0</v>
      </c>
      <c r="N257" s="62">
        <f t="shared" si="2576"/>
        <v>0</v>
      </c>
      <c r="O257" s="62">
        <f t="shared" si="2576"/>
        <v>0</v>
      </c>
      <c r="P257" s="62">
        <f t="shared" si="2576"/>
        <v>0</v>
      </c>
      <c r="Q257" s="62">
        <f t="shared" si="2576"/>
        <v>0</v>
      </c>
      <c r="R257" s="62">
        <f t="shared" si="2576"/>
        <v>0</v>
      </c>
      <c r="S257" s="62">
        <f t="shared" si="2576"/>
        <v>0</v>
      </c>
      <c r="T257" s="62">
        <f t="shared" si="2576"/>
        <v>0</v>
      </c>
      <c r="U257" s="62">
        <f t="shared" si="2576"/>
        <v>0</v>
      </c>
      <c r="V257" s="62">
        <f t="shared" si="2576"/>
        <v>0</v>
      </c>
      <c r="W257" s="62">
        <f t="shared" si="2576"/>
        <v>0</v>
      </c>
      <c r="X257" s="62">
        <f t="shared" si="2576"/>
        <v>0</v>
      </c>
      <c r="Y257" s="62">
        <f t="shared" si="2576"/>
        <v>0</v>
      </c>
      <c r="Z257" s="62">
        <f t="shared" si="2576"/>
        <v>0</v>
      </c>
      <c r="AA257" s="62">
        <f t="shared" si="2576"/>
        <v>0</v>
      </c>
      <c r="AB257" s="62">
        <f t="shared" si="2576"/>
        <v>0</v>
      </c>
      <c r="AC257" s="62">
        <f t="shared" si="2576"/>
        <v>0</v>
      </c>
      <c r="AD257" s="62">
        <f t="shared" si="2576"/>
        <v>0</v>
      </c>
      <c r="AE257" s="62">
        <f t="shared" si="2576"/>
        <v>0</v>
      </c>
      <c r="AF257" s="62">
        <f t="shared" si="2576"/>
        <v>0</v>
      </c>
      <c r="AG257" s="62">
        <f t="shared" si="2576"/>
        <v>0</v>
      </c>
      <c r="AH257" s="62">
        <f t="shared" si="2576"/>
        <v>0</v>
      </c>
      <c r="AI257" s="62">
        <f t="shared" si="2576"/>
        <v>0</v>
      </c>
      <c r="AJ257" s="62">
        <f t="shared" si="2576"/>
        <v>-116515.82947571132</v>
      </c>
      <c r="AK257" s="62">
        <f t="shared" si="2576"/>
        <v>0</v>
      </c>
      <c r="AL257" s="62">
        <f t="shared" si="2576"/>
        <v>0</v>
      </c>
      <c r="AM257" s="62">
        <f t="shared" si="2576"/>
        <v>0</v>
      </c>
      <c r="AN257" s="62">
        <f t="shared" si="2576"/>
        <v>0</v>
      </c>
      <c r="AO257" s="62">
        <f t="shared" si="2576"/>
        <v>0</v>
      </c>
      <c r="AP257" s="62">
        <f t="shared" si="2576"/>
        <v>0</v>
      </c>
      <c r="AQ257" s="62">
        <f t="shared" si="2576"/>
        <v>0</v>
      </c>
      <c r="AR257" s="62">
        <f t="shared" si="2576"/>
        <v>0</v>
      </c>
      <c r="AS257" s="62">
        <f t="shared" si="2576"/>
        <v>0</v>
      </c>
      <c r="AT257" s="62">
        <f t="shared" si="2576"/>
        <v>0</v>
      </c>
      <c r="AU257" s="62">
        <f t="shared" si="2576"/>
        <v>0</v>
      </c>
      <c r="AV257" s="62">
        <f t="shared" si="2576"/>
        <v>0</v>
      </c>
      <c r="AW257" s="62">
        <f t="shared" si="2576"/>
        <v>0</v>
      </c>
      <c r="AX257" s="62">
        <f t="shared" si="2576"/>
        <v>0</v>
      </c>
      <c r="AY257" s="62">
        <f t="shared" si="2576"/>
        <v>0</v>
      </c>
      <c r="AZ257" s="62">
        <f t="shared" si="2576"/>
        <v>0</v>
      </c>
      <c r="BA257" s="62">
        <f t="shared" si="2576"/>
        <v>0</v>
      </c>
      <c r="BB257" s="62">
        <f t="shared" si="2576"/>
        <v>0</v>
      </c>
      <c r="BC257" s="62">
        <f t="shared" si="2576"/>
        <v>0</v>
      </c>
      <c r="BD257" s="62">
        <f t="shared" si="2576"/>
        <v>0</v>
      </c>
      <c r="BE257" s="62">
        <f t="shared" si="2576"/>
        <v>0</v>
      </c>
      <c r="BF257" s="62">
        <f t="shared" si="2576"/>
        <v>0</v>
      </c>
      <c r="BG257" s="62">
        <f t="shared" si="2576"/>
        <v>0</v>
      </c>
      <c r="BH257" s="62">
        <f t="shared" si="2576"/>
        <v>0</v>
      </c>
      <c r="BI257" s="62">
        <f t="shared" si="2576"/>
        <v>0</v>
      </c>
      <c r="BJ257" s="62">
        <f t="shared" si="2576"/>
        <v>0</v>
      </c>
      <c r="BK257" s="62">
        <f t="shared" si="2576"/>
        <v>0</v>
      </c>
      <c r="BL257" s="62">
        <f t="shared" si="2576"/>
        <v>0</v>
      </c>
      <c r="BM257" s="62">
        <f t="shared" si="2576"/>
        <v>0</v>
      </c>
      <c r="BN257" s="62">
        <f t="shared" si="2576"/>
        <v>0</v>
      </c>
      <c r="BO257" s="62">
        <f t="shared" si="2576"/>
        <v>0</v>
      </c>
      <c r="BP257" s="62">
        <f t="shared" si="2576"/>
        <v>0</v>
      </c>
      <c r="BQ257" s="62">
        <f t="shared" si="2576"/>
        <v>0</v>
      </c>
      <c r="BR257" s="62">
        <f t="shared" ref="BR257:BY257" si="2577">IF(BR$5=EOMONTH($E227,1),-New_LC_Pct*FV($E230,$E228,-BR244*$E226),0)+IF(BR$5=EOMONTH($E233,1),-Renewal_LC_Pct*FV($E236,$E234,-BR245*$E226)*Renewal_Probability,0)+IF(BR$5=EOMONTH($E238,1),-New_LC_Pct*FV($E241,$E239,-BR246*$E226)*(1-Renewal_Probability),0)</f>
        <v>0</v>
      </c>
      <c r="BS257" s="62">
        <f t="shared" si="2577"/>
        <v>0</v>
      </c>
      <c r="BT257" s="62">
        <f t="shared" si="2577"/>
        <v>0</v>
      </c>
      <c r="BU257" s="62">
        <f t="shared" si="2577"/>
        <v>0</v>
      </c>
      <c r="BV257" s="62">
        <f t="shared" si="2577"/>
        <v>0</v>
      </c>
      <c r="BW257" s="62">
        <f t="shared" si="2577"/>
        <v>0</v>
      </c>
      <c r="BX257" s="62">
        <f t="shared" si="2577"/>
        <v>0</v>
      </c>
      <c r="BY257" s="62">
        <f t="shared" si="2577"/>
        <v>0</v>
      </c>
    </row>
    <row r="258" spans="2:77" customFormat="1" outlineLevel="1" x14ac:dyDescent="0.25">
      <c r="B258" s="1"/>
      <c r="C258" s="44"/>
      <c r="D258" s="56"/>
      <c r="E258" s="1"/>
      <c r="F258" s="93"/>
      <c r="G258" s="93"/>
      <c r="H258" s="1"/>
      <c r="I258" s="1"/>
      <c r="J258" s="1"/>
      <c r="K258" s="93"/>
      <c r="AP258" s="62"/>
    </row>
    <row r="259" spans="2:77" customFormat="1" outlineLevel="1" x14ac:dyDescent="0.25">
      <c r="B259" s="1"/>
      <c r="C259" s="50" t="s">
        <v>125</v>
      </c>
      <c r="D259" s="37" t="s">
        <v>101</v>
      </c>
      <c r="E259" s="1"/>
      <c r="F259" s="62">
        <f t="shared" ref="F259:AK259" si="2578">IF(F$5&lt;=$E227,-F243*$E226/Months,0)</f>
        <v>-27583.614263018666</v>
      </c>
      <c r="G259" s="62">
        <f t="shared" si="2578"/>
        <v>-27717.878900218831</v>
      </c>
      <c r="H259" s="62">
        <f t="shared" si="2578"/>
        <v>-27852.797077329698</v>
      </c>
      <c r="I259" s="62">
        <f t="shared" si="2578"/>
        <v>-27988.371975489837</v>
      </c>
      <c r="J259" s="62">
        <f t="shared" si="2578"/>
        <v>-28124.606791322163</v>
      </c>
      <c r="K259" s="62">
        <f t="shared" si="2578"/>
        <v>-28261.504737009313</v>
      </c>
      <c r="L259" s="62">
        <f t="shared" si="2578"/>
        <v>-28399.069040369392</v>
      </c>
      <c r="M259" s="62">
        <f t="shared" si="2578"/>
        <v>-28537.302944932057</v>
      </c>
      <c r="N259" s="62">
        <f t="shared" si="2578"/>
        <v>-28676.209710015028</v>
      </c>
      <c r="O259" s="62">
        <f t="shared" si="2578"/>
        <v>-28815.792610800912</v>
      </c>
      <c r="P259" s="62">
        <f t="shared" si="2578"/>
        <v>-28956.054938414421</v>
      </c>
      <c r="Q259" s="62">
        <f t="shared" si="2578"/>
        <v>-29097.000000000004</v>
      </c>
      <c r="R259" s="62">
        <f t="shared" si="2578"/>
        <v>-29192.256006442651</v>
      </c>
      <c r="S259" s="62">
        <f t="shared" si="2578"/>
        <v>-29287.823856263076</v>
      </c>
      <c r="T259" s="62">
        <f t="shared" si="2578"/>
        <v>-29383.704570355359</v>
      </c>
      <c r="U259" s="62">
        <f t="shared" si="2578"/>
        <v>-29479.899172955706</v>
      </c>
      <c r="V259" s="62">
        <f t="shared" si="2578"/>
        <v>-29576.408691653429</v>
      </c>
      <c r="W259" s="62">
        <f t="shared" si="2578"/>
        <v>-29673.234157401861</v>
      </c>
      <c r="X259" s="62">
        <f t="shared" si="2578"/>
        <v>-29770.376604529458</v>
      </c>
      <c r="Y259" s="62">
        <f t="shared" si="2578"/>
        <v>-29867.837070750742</v>
      </c>
      <c r="Z259" s="62">
        <f t="shared" si="2578"/>
        <v>-29965.616597177494</v>
      </c>
      <c r="AA259" s="62">
        <f t="shared" si="2578"/>
        <v>-30063.716228329795</v>
      </c>
      <c r="AB259" s="62">
        <f t="shared" si="2578"/>
        <v>-30162.137012147217</v>
      </c>
      <c r="AC259" s="62">
        <f t="shared" si="2578"/>
        <v>-30260.880000000023</v>
      </c>
      <c r="AD259" s="62">
        <f t="shared" si="2578"/>
        <v>-30335.511493627328</v>
      </c>
      <c r="AE259" s="62">
        <f t="shared" si="2578"/>
        <v>-30410.327048651427</v>
      </c>
      <c r="AF259" s="62">
        <f t="shared" si="2578"/>
        <v>-30485.327119017395</v>
      </c>
      <c r="AG259" s="62">
        <f t="shared" si="2578"/>
        <v>-30560.512159789814</v>
      </c>
      <c r="AH259" s="62">
        <f t="shared" si="2578"/>
        <v>-30635.882627155617</v>
      </c>
      <c r="AI259" s="62">
        <f t="shared" si="2578"/>
        <v>-30711.438978426817</v>
      </c>
      <c r="AJ259" s="62">
        <f t="shared" si="2578"/>
        <v>0</v>
      </c>
      <c r="AK259" s="62">
        <f t="shared" si="2578"/>
        <v>0</v>
      </c>
      <c r="AL259" s="62">
        <f t="shared" ref="AL259:BQ259" si="2579">IF(AL$5&lt;=$E227,-AL243*$E226/Months,0)</f>
        <v>0</v>
      </c>
      <c r="AM259" s="62">
        <f t="shared" si="2579"/>
        <v>0</v>
      </c>
      <c r="AN259" s="62">
        <f t="shared" si="2579"/>
        <v>0</v>
      </c>
      <c r="AO259" s="62">
        <f t="shared" si="2579"/>
        <v>0</v>
      </c>
      <c r="AP259" s="62">
        <f t="shared" si="2579"/>
        <v>0</v>
      </c>
      <c r="AQ259" s="62">
        <f t="shared" si="2579"/>
        <v>0</v>
      </c>
      <c r="AR259" s="62">
        <f t="shared" si="2579"/>
        <v>0</v>
      </c>
      <c r="AS259" s="62">
        <f t="shared" si="2579"/>
        <v>0</v>
      </c>
      <c r="AT259" s="62">
        <f t="shared" si="2579"/>
        <v>0</v>
      </c>
      <c r="AU259" s="62">
        <f t="shared" si="2579"/>
        <v>0</v>
      </c>
      <c r="AV259" s="62">
        <f t="shared" si="2579"/>
        <v>0</v>
      </c>
      <c r="AW259" s="62">
        <f t="shared" si="2579"/>
        <v>0</v>
      </c>
      <c r="AX259" s="62">
        <f t="shared" si="2579"/>
        <v>0</v>
      </c>
      <c r="AY259" s="62">
        <f t="shared" si="2579"/>
        <v>0</v>
      </c>
      <c r="AZ259" s="62">
        <f t="shared" si="2579"/>
        <v>0</v>
      </c>
      <c r="BA259" s="62">
        <f t="shared" si="2579"/>
        <v>0</v>
      </c>
      <c r="BB259" s="62">
        <f t="shared" si="2579"/>
        <v>0</v>
      </c>
      <c r="BC259" s="62">
        <f t="shared" si="2579"/>
        <v>0</v>
      </c>
      <c r="BD259" s="62">
        <f t="shared" si="2579"/>
        <v>0</v>
      </c>
      <c r="BE259" s="62">
        <f t="shared" si="2579"/>
        <v>0</v>
      </c>
      <c r="BF259" s="62">
        <f t="shared" si="2579"/>
        <v>0</v>
      </c>
      <c r="BG259" s="62">
        <f t="shared" si="2579"/>
        <v>0</v>
      </c>
      <c r="BH259" s="62">
        <f t="shared" si="2579"/>
        <v>0</v>
      </c>
      <c r="BI259" s="62">
        <f t="shared" si="2579"/>
        <v>0</v>
      </c>
      <c r="BJ259" s="62">
        <f t="shared" si="2579"/>
        <v>0</v>
      </c>
      <c r="BK259" s="62">
        <f t="shared" si="2579"/>
        <v>0</v>
      </c>
      <c r="BL259" s="62">
        <f t="shared" si="2579"/>
        <v>0</v>
      </c>
      <c r="BM259" s="62">
        <f t="shared" si="2579"/>
        <v>0</v>
      </c>
      <c r="BN259" s="62">
        <f t="shared" si="2579"/>
        <v>0</v>
      </c>
      <c r="BO259" s="62">
        <f t="shared" si="2579"/>
        <v>0</v>
      </c>
      <c r="BP259" s="62">
        <f t="shared" si="2579"/>
        <v>0</v>
      </c>
      <c r="BQ259" s="62">
        <f t="shared" si="2579"/>
        <v>0</v>
      </c>
      <c r="BR259" s="62">
        <f t="shared" ref="BR259:BY259" si="2580">IF(BR$5&lt;=$E227,-BR243*$E226/Months,0)</f>
        <v>0</v>
      </c>
      <c r="BS259" s="62">
        <f t="shared" si="2580"/>
        <v>0</v>
      </c>
      <c r="BT259" s="62">
        <f t="shared" si="2580"/>
        <v>0</v>
      </c>
      <c r="BU259" s="62">
        <f t="shared" si="2580"/>
        <v>0</v>
      </c>
      <c r="BV259" s="62">
        <f t="shared" si="2580"/>
        <v>0</v>
      </c>
      <c r="BW259" s="62">
        <f t="shared" si="2580"/>
        <v>0</v>
      </c>
      <c r="BX259" s="62">
        <f t="shared" si="2580"/>
        <v>0</v>
      </c>
      <c r="BY259" s="62">
        <f t="shared" si="2580"/>
        <v>0</v>
      </c>
    </row>
    <row r="260" spans="2:77" customFormat="1" outlineLevel="1" x14ac:dyDescent="0.25">
      <c r="B260" s="1"/>
      <c r="C260" s="44"/>
      <c r="D260" s="56"/>
      <c r="E260" s="1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  <c r="AC260" s="93"/>
      <c r="AD260" s="93"/>
      <c r="AE260" s="93"/>
      <c r="AF260" s="93"/>
      <c r="AG260" s="93"/>
      <c r="AH260" s="93"/>
      <c r="AI260" s="93"/>
      <c r="AJ260" s="93"/>
      <c r="AK260" s="93"/>
      <c r="AL260" s="93"/>
      <c r="AM260" s="93"/>
      <c r="AN260" s="93"/>
      <c r="AO260" s="93"/>
      <c r="AP260" s="93"/>
      <c r="AQ260" s="93"/>
      <c r="AR260" s="93"/>
      <c r="AS260" s="93"/>
      <c r="AT260" s="93"/>
      <c r="AU260" s="93"/>
      <c r="AV260" s="93"/>
      <c r="AW260" s="93"/>
      <c r="AX260" s="93"/>
      <c r="AY260" s="93"/>
      <c r="AZ260" s="93"/>
      <c r="BA260" s="93"/>
      <c r="BB260" s="93"/>
      <c r="BC260" s="93"/>
      <c r="BD260" s="93"/>
      <c r="BE260" s="93"/>
      <c r="BF260" s="93"/>
      <c r="BG260" s="93"/>
      <c r="BH260" s="93"/>
      <c r="BI260" s="93"/>
      <c r="BJ260" s="93"/>
      <c r="BK260" s="93"/>
      <c r="BL260" s="93"/>
      <c r="BM260" s="93"/>
      <c r="BN260" s="93"/>
      <c r="BO260" s="93"/>
      <c r="BP260" s="93"/>
      <c r="BQ260" s="93"/>
      <c r="BR260" s="93"/>
      <c r="BS260" s="93"/>
      <c r="BT260" s="93"/>
      <c r="BU260" s="93"/>
      <c r="BV260" s="93"/>
      <c r="BW260" s="93"/>
      <c r="BX260" s="93"/>
      <c r="BY260" s="93"/>
    </row>
    <row r="261" spans="2:77" customFormat="1" outlineLevel="1" x14ac:dyDescent="0.25">
      <c r="B261" s="1"/>
      <c r="C261" s="46" t="s">
        <v>288</v>
      </c>
      <c r="D261" s="47"/>
      <c r="E261" s="48"/>
      <c r="F261" s="48"/>
      <c r="G261" s="48"/>
      <c r="H261" s="48"/>
      <c r="I261" s="48"/>
      <c r="J261" s="48"/>
      <c r="K261" s="48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</row>
    <row r="262" spans="2:77" customFormat="1" outlineLevel="1" x14ac:dyDescent="0.25">
      <c r="B262" s="1"/>
      <c r="C262" s="74" t="s">
        <v>114</v>
      </c>
      <c r="D262" s="53" t="s">
        <v>16</v>
      </c>
      <c r="E262" s="164">
        <f>1-E22-E61-E100-E139-E178-E225</f>
        <v>7.4999999999999983E-2</v>
      </c>
      <c r="F262" s="60"/>
      <c r="G262" s="60"/>
      <c r="H262" s="60"/>
      <c r="I262" s="60"/>
      <c r="J262" s="60"/>
      <c r="K262" s="60"/>
      <c r="L262" s="61"/>
      <c r="M262" s="61"/>
      <c r="N262" s="61"/>
    </row>
    <row r="263" spans="2:77" customFormat="1" outlineLevel="1" x14ac:dyDescent="0.25">
      <c r="B263" s="1"/>
      <c r="C263" s="50" t="s">
        <v>115</v>
      </c>
      <c r="D263" s="55" t="s">
        <v>22</v>
      </c>
      <c r="E263" s="146">
        <f>+E262*Rentable_Sq_Ft</f>
        <v>4117.4999999999991</v>
      </c>
      <c r="F263" s="1"/>
      <c r="G263" s="1"/>
      <c r="H263" s="1"/>
      <c r="I263" s="1"/>
      <c r="J263" s="1"/>
    </row>
    <row r="264" spans="2:77" customFormat="1" outlineLevel="1" x14ac:dyDescent="0.25">
      <c r="B264" s="1"/>
      <c r="C264" s="50" t="s">
        <v>39</v>
      </c>
      <c r="D264" s="36" t="s">
        <v>13</v>
      </c>
      <c r="E264" s="145">
        <f>IF(ISNUMBER(Annual!E109),Annual!E109,EOMONTH(Monthly!BY5,1))</f>
        <v>45322</v>
      </c>
      <c r="F264" s="1"/>
      <c r="G264" s="1"/>
      <c r="H264" s="1"/>
      <c r="I264" s="1"/>
      <c r="J264" s="1"/>
    </row>
    <row r="265" spans="2:77" customFormat="1" outlineLevel="1" x14ac:dyDescent="0.25">
      <c r="B265" s="1"/>
      <c r="C265" s="50" t="s">
        <v>55</v>
      </c>
      <c r="D265" s="36" t="s">
        <v>17</v>
      </c>
      <c r="E265" s="295">
        <f>New_Lease_Years</f>
        <v>5</v>
      </c>
      <c r="F265" s="1"/>
      <c r="G265" s="1"/>
      <c r="H265" s="1"/>
      <c r="I265" s="1"/>
      <c r="J265" s="1"/>
    </row>
    <row r="266" spans="2:77" customFormat="1" outlineLevel="1" x14ac:dyDescent="0.25">
      <c r="B266" s="1"/>
      <c r="C266" s="50" t="s">
        <v>23</v>
      </c>
      <c r="D266" s="36" t="s">
        <v>13</v>
      </c>
      <c r="E266" s="145">
        <f>EOMONTH(E264,E265*Months)</f>
        <v>47149</v>
      </c>
      <c r="F266" s="1"/>
      <c r="G266" s="1"/>
      <c r="H266" s="1"/>
      <c r="I266" s="1"/>
      <c r="J266" s="1"/>
    </row>
    <row r="267" spans="2:77" customFormat="1" outlineLevel="1" x14ac:dyDescent="0.25">
      <c r="B267" s="1"/>
      <c r="C267" s="74" t="s">
        <v>263</v>
      </c>
      <c r="D267" s="38" t="s">
        <v>16</v>
      </c>
      <c r="E267" s="105" t="e">
        <f>INDEX(Annual!$F$65:$K$92,16,INDEX(Monthly!$F$5:$BY$9,5,MATCH(E264,$F$5:$BY$5,0)))</f>
        <v>#N/A</v>
      </c>
      <c r="F267" s="105">
        <f>IF(AND(E$5&gt;$E264,F$5&lt;$E266,MONTH(E$5)=MONTH($E264)),$E267,0)</f>
        <v>0</v>
      </c>
      <c r="G267" s="105">
        <f t="shared" ref="G267" si="2581">IF(AND(F$5&gt;$E264,G$5&lt;$E266,MONTH(F$5)=MONTH($E264)),$E267,0)</f>
        <v>0</v>
      </c>
      <c r="H267" s="105">
        <f t="shared" ref="H267" si="2582">IF(AND(G$5&gt;$E264,H$5&lt;$E266,MONTH(G$5)=MONTH($E264)),$E267,0)</f>
        <v>0</v>
      </c>
      <c r="I267" s="105">
        <f t="shared" ref="I267" si="2583">IF(AND(H$5&gt;$E264,I$5&lt;$E266,MONTH(H$5)=MONTH($E264)),$E267,0)</f>
        <v>0</v>
      </c>
      <c r="J267" s="105">
        <f t="shared" ref="J267" si="2584">IF(AND(I$5&gt;$E264,J$5&lt;$E266,MONTH(I$5)=MONTH($E264)),$E267,0)</f>
        <v>0</v>
      </c>
      <c r="K267" s="105">
        <f t="shared" ref="K267" si="2585">IF(AND(J$5&gt;$E264,K$5&lt;$E266,MONTH(J$5)=MONTH($E264)),$E267,0)</f>
        <v>0</v>
      </c>
      <c r="L267" s="105">
        <f t="shared" ref="L267" si="2586">IF(AND(K$5&gt;$E264,L$5&lt;$E266,MONTH(K$5)=MONTH($E264)),$E267,0)</f>
        <v>0</v>
      </c>
      <c r="M267" s="105">
        <f t="shared" ref="M267" si="2587">IF(AND(L$5&gt;$E264,M$5&lt;$E266,MONTH(L$5)=MONTH($E264)),$E267,0)</f>
        <v>0</v>
      </c>
      <c r="N267" s="105">
        <f t="shared" ref="N267" si="2588">IF(AND(M$5&gt;$E264,N$5&lt;$E266,MONTH(M$5)=MONTH($E264)),$E267,0)</f>
        <v>0</v>
      </c>
      <c r="O267" s="105">
        <f t="shared" ref="O267" si="2589">IF(AND(N$5&gt;$E264,O$5&lt;$E266,MONTH(N$5)=MONTH($E264)),$E267,0)</f>
        <v>0</v>
      </c>
      <c r="P267" s="105">
        <f t="shared" ref="P267" si="2590">IF(AND(O$5&gt;$E264,P$5&lt;$E266,MONTH(O$5)=MONTH($E264)),$E267,0)</f>
        <v>0</v>
      </c>
      <c r="Q267" s="105">
        <f t="shared" ref="Q267" si="2591">IF(AND(P$5&gt;$E264,Q$5&lt;$E266,MONTH(P$5)=MONTH($E264)),$E267,0)</f>
        <v>0</v>
      </c>
      <c r="R267" s="105">
        <f t="shared" ref="R267" si="2592">IF(AND(Q$5&gt;$E264,R$5&lt;$E266,MONTH(Q$5)=MONTH($E264)),$E267,0)</f>
        <v>0</v>
      </c>
      <c r="S267" s="105">
        <f t="shared" ref="S267" si="2593">IF(AND(R$5&gt;$E264,S$5&lt;$E266,MONTH(R$5)=MONTH($E264)),$E267,0)</f>
        <v>0</v>
      </c>
      <c r="T267" s="105">
        <f t="shared" ref="T267" si="2594">IF(AND(S$5&gt;$E264,T$5&lt;$E266,MONTH(S$5)=MONTH($E264)),$E267,0)</f>
        <v>0</v>
      </c>
      <c r="U267" s="105">
        <f t="shared" ref="U267" si="2595">IF(AND(T$5&gt;$E264,U$5&lt;$E266,MONTH(T$5)=MONTH($E264)),$E267,0)</f>
        <v>0</v>
      </c>
      <c r="V267" s="105">
        <f t="shared" ref="V267" si="2596">IF(AND(U$5&gt;$E264,V$5&lt;$E266,MONTH(U$5)=MONTH($E264)),$E267,0)</f>
        <v>0</v>
      </c>
      <c r="W267" s="105">
        <f t="shared" ref="W267" si="2597">IF(AND(V$5&gt;$E264,W$5&lt;$E266,MONTH(V$5)=MONTH($E264)),$E267,0)</f>
        <v>0</v>
      </c>
      <c r="X267" s="105">
        <f t="shared" ref="X267" si="2598">IF(AND(W$5&gt;$E264,X$5&lt;$E266,MONTH(W$5)=MONTH($E264)),$E267,0)</f>
        <v>0</v>
      </c>
      <c r="Y267" s="105">
        <f t="shared" ref="Y267" si="2599">IF(AND(X$5&gt;$E264,Y$5&lt;$E266,MONTH(X$5)=MONTH($E264)),$E267,0)</f>
        <v>0</v>
      </c>
      <c r="Z267" s="105">
        <f t="shared" ref="Z267" si="2600">IF(AND(Y$5&gt;$E264,Z$5&lt;$E266,MONTH(Y$5)=MONTH($E264)),$E267,0)</f>
        <v>0</v>
      </c>
      <c r="AA267" s="105">
        <f t="shared" ref="AA267" si="2601">IF(AND(Z$5&gt;$E264,AA$5&lt;$E266,MONTH(Z$5)=MONTH($E264)),$E267,0)</f>
        <v>0</v>
      </c>
      <c r="AB267" s="105">
        <f t="shared" ref="AB267" si="2602">IF(AND(AA$5&gt;$E264,AB$5&lt;$E266,MONTH(AA$5)=MONTH($E264)),$E267,0)</f>
        <v>0</v>
      </c>
      <c r="AC267" s="105">
        <f t="shared" ref="AC267" si="2603">IF(AND(AB$5&gt;$E264,AC$5&lt;$E266,MONTH(AB$5)=MONTH($E264)),$E267,0)</f>
        <v>0</v>
      </c>
      <c r="AD267" s="105">
        <f t="shared" ref="AD267" si="2604">IF(AND(AC$5&gt;$E264,AD$5&lt;$E266,MONTH(AC$5)=MONTH($E264)),$E267,0)</f>
        <v>0</v>
      </c>
      <c r="AE267" s="105">
        <f t="shared" ref="AE267" si="2605">IF(AND(AD$5&gt;$E264,AE$5&lt;$E266,MONTH(AD$5)=MONTH($E264)),$E267,0)</f>
        <v>0</v>
      </c>
      <c r="AF267" s="105">
        <f t="shared" ref="AF267" si="2606">IF(AND(AE$5&gt;$E264,AF$5&lt;$E266,MONTH(AE$5)=MONTH($E264)),$E267,0)</f>
        <v>0</v>
      </c>
      <c r="AG267" s="105">
        <f t="shared" ref="AG267" si="2607">IF(AND(AF$5&gt;$E264,AG$5&lt;$E266,MONTH(AF$5)=MONTH($E264)),$E267,0)</f>
        <v>0</v>
      </c>
      <c r="AH267" s="105">
        <f t="shared" ref="AH267" si="2608">IF(AND(AG$5&gt;$E264,AH$5&lt;$E266,MONTH(AG$5)=MONTH($E264)),$E267,0)</f>
        <v>0</v>
      </c>
      <c r="AI267" s="105">
        <f t="shared" ref="AI267" si="2609">IF(AND(AH$5&gt;$E264,AI$5&lt;$E266,MONTH(AH$5)=MONTH($E264)),$E267,0)</f>
        <v>0</v>
      </c>
      <c r="AJ267" s="105">
        <f t="shared" ref="AJ267" si="2610">IF(AND(AI$5&gt;$E264,AJ$5&lt;$E266,MONTH(AI$5)=MONTH($E264)),$E267,0)</f>
        <v>0</v>
      </c>
      <c r="AK267" s="105">
        <f t="shared" ref="AK267" si="2611">IF(AND(AJ$5&gt;$E264,AK$5&lt;$E266,MONTH(AJ$5)=MONTH($E264)),$E267,0)</f>
        <v>0</v>
      </c>
      <c r="AL267" s="105">
        <f t="shared" ref="AL267" si="2612">IF(AND(AK$5&gt;$E264,AL$5&lt;$E266,MONTH(AK$5)=MONTH($E264)),$E267,0)</f>
        <v>0</v>
      </c>
      <c r="AM267" s="105">
        <f t="shared" ref="AM267" si="2613">IF(AND(AL$5&gt;$E264,AM$5&lt;$E266,MONTH(AL$5)=MONTH($E264)),$E267,0)</f>
        <v>0</v>
      </c>
      <c r="AN267" s="105">
        <f t="shared" ref="AN267" si="2614">IF(AND(AM$5&gt;$E264,AN$5&lt;$E266,MONTH(AM$5)=MONTH($E264)),$E267,0)</f>
        <v>0</v>
      </c>
      <c r="AO267" s="105">
        <f t="shared" ref="AO267" si="2615">IF(AND(AN$5&gt;$E264,AO$5&lt;$E266,MONTH(AN$5)=MONTH($E264)),$E267,0)</f>
        <v>0</v>
      </c>
      <c r="AP267" s="105">
        <f t="shared" ref="AP267" si="2616">IF(AND(AO$5&gt;$E264,AP$5&lt;$E266,MONTH(AO$5)=MONTH($E264)),$E267,0)</f>
        <v>0</v>
      </c>
      <c r="AQ267" s="105">
        <f t="shared" ref="AQ267" si="2617">IF(AND(AP$5&gt;$E264,AQ$5&lt;$E266,MONTH(AP$5)=MONTH($E264)),$E267,0)</f>
        <v>0</v>
      </c>
      <c r="AR267" s="105">
        <f t="shared" ref="AR267" si="2618">IF(AND(AQ$5&gt;$E264,AR$5&lt;$E266,MONTH(AQ$5)=MONTH($E264)),$E267,0)</f>
        <v>0</v>
      </c>
      <c r="AS267" s="105">
        <f t="shared" ref="AS267" si="2619">IF(AND(AR$5&gt;$E264,AS$5&lt;$E266,MONTH(AR$5)=MONTH($E264)),$E267,0)</f>
        <v>0</v>
      </c>
      <c r="AT267" s="105">
        <f t="shared" ref="AT267" si="2620">IF(AND(AS$5&gt;$E264,AT$5&lt;$E266,MONTH(AS$5)=MONTH($E264)),$E267,0)</f>
        <v>0</v>
      </c>
      <c r="AU267" s="105">
        <f t="shared" ref="AU267" si="2621">IF(AND(AT$5&gt;$E264,AU$5&lt;$E266,MONTH(AT$5)=MONTH($E264)),$E267,0)</f>
        <v>0</v>
      </c>
      <c r="AV267" s="105">
        <f t="shared" ref="AV267" si="2622">IF(AND(AU$5&gt;$E264,AV$5&lt;$E266,MONTH(AU$5)=MONTH($E264)),$E267,0)</f>
        <v>0</v>
      </c>
      <c r="AW267" s="105">
        <f t="shared" ref="AW267" si="2623">IF(AND(AV$5&gt;$E264,AW$5&lt;$E266,MONTH(AV$5)=MONTH($E264)),$E267,0)</f>
        <v>0</v>
      </c>
      <c r="AX267" s="105">
        <f t="shared" ref="AX267" si="2624">IF(AND(AW$5&gt;$E264,AX$5&lt;$E266,MONTH(AW$5)=MONTH($E264)),$E267,0)</f>
        <v>0</v>
      </c>
      <c r="AY267" s="105">
        <f t="shared" ref="AY267" si="2625">IF(AND(AX$5&gt;$E264,AY$5&lt;$E266,MONTH(AX$5)=MONTH($E264)),$E267,0)</f>
        <v>0</v>
      </c>
      <c r="AZ267" s="105">
        <f t="shared" ref="AZ267" si="2626">IF(AND(AY$5&gt;$E264,AZ$5&lt;$E266,MONTH(AY$5)=MONTH($E264)),$E267,0)</f>
        <v>0</v>
      </c>
      <c r="BA267" s="105">
        <f t="shared" ref="BA267" si="2627">IF(AND(AZ$5&gt;$E264,BA$5&lt;$E266,MONTH(AZ$5)=MONTH($E264)),$E267,0)</f>
        <v>0</v>
      </c>
      <c r="BB267" s="105">
        <f t="shared" ref="BB267" si="2628">IF(AND(BA$5&gt;$E264,BB$5&lt;$E266,MONTH(BA$5)=MONTH($E264)),$E267,0)</f>
        <v>0</v>
      </c>
      <c r="BC267" s="105">
        <f t="shared" ref="BC267" si="2629">IF(AND(BB$5&gt;$E264,BC$5&lt;$E266,MONTH(BB$5)=MONTH($E264)),$E267,0)</f>
        <v>0</v>
      </c>
      <c r="BD267" s="105">
        <f t="shared" ref="BD267" si="2630">IF(AND(BC$5&gt;$E264,BD$5&lt;$E266,MONTH(BC$5)=MONTH($E264)),$E267,0)</f>
        <v>0</v>
      </c>
      <c r="BE267" s="105">
        <f t="shared" ref="BE267" si="2631">IF(AND(BD$5&gt;$E264,BE$5&lt;$E266,MONTH(BD$5)=MONTH($E264)),$E267,0)</f>
        <v>0</v>
      </c>
      <c r="BF267" s="105">
        <f t="shared" ref="BF267" si="2632">IF(AND(BE$5&gt;$E264,BF$5&lt;$E266,MONTH(BE$5)=MONTH($E264)),$E267,0)</f>
        <v>0</v>
      </c>
      <c r="BG267" s="105">
        <f t="shared" ref="BG267" si="2633">IF(AND(BF$5&gt;$E264,BG$5&lt;$E266,MONTH(BF$5)=MONTH($E264)),$E267,0)</f>
        <v>0</v>
      </c>
      <c r="BH267" s="105">
        <f t="shared" ref="BH267" si="2634">IF(AND(BG$5&gt;$E264,BH$5&lt;$E266,MONTH(BG$5)=MONTH($E264)),$E267,0)</f>
        <v>0</v>
      </c>
      <c r="BI267" s="105">
        <f t="shared" ref="BI267" si="2635">IF(AND(BH$5&gt;$E264,BI$5&lt;$E266,MONTH(BH$5)=MONTH($E264)),$E267,0)</f>
        <v>0</v>
      </c>
      <c r="BJ267" s="105">
        <f t="shared" ref="BJ267" si="2636">IF(AND(BI$5&gt;$E264,BJ$5&lt;$E266,MONTH(BI$5)=MONTH($E264)),$E267,0)</f>
        <v>0</v>
      </c>
      <c r="BK267" s="105">
        <f t="shared" ref="BK267" si="2637">IF(AND(BJ$5&gt;$E264,BK$5&lt;$E266,MONTH(BJ$5)=MONTH($E264)),$E267,0)</f>
        <v>0</v>
      </c>
      <c r="BL267" s="105">
        <f t="shared" ref="BL267" si="2638">IF(AND(BK$5&gt;$E264,BL$5&lt;$E266,MONTH(BK$5)=MONTH($E264)),$E267,0)</f>
        <v>0</v>
      </c>
      <c r="BM267" s="105">
        <f t="shared" ref="BM267" si="2639">IF(AND(BL$5&gt;$E264,BM$5&lt;$E266,MONTH(BL$5)=MONTH($E264)),$E267,0)</f>
        <v>0</v>
      </c>
      <c r="BN267" s="105">
        <f t="shared" ref="BN267" si="2640">IF(AND(BM$5&gt;$E264,BN$5&lt;$E266,MONTH(BM$5)=MONTH($E264)),$E267,0)</f>
        <v>0</v>
      </c>
      <c r="BO267" s="105">
        <f t="shared" ref="BO267" si="2641">IF(AND(BN$5&gt;$E264,BO$5&lt;$E266,MONTH(BN$5)=MONTH($E264)),$E267,0)</f>
        <v>0</v>
      </c>
      <c r="BP267" s="105">
        <f t="shared" ref="BP267" si="2642">IF(AND(BO$5&gt;$E264,BP$5&lt;$E266,MONTH(BO$5)=MONTH($E264)),$E267,0)</f>
        <v>0</v>
      </c>
      <c r="BQ267" s="105">
        <f t="shared" ref="BQ267" si="2643">IF(AND(BP$5&gt;$E264,BQ$5&lt;$E266,MONTH(BP$5)=MONTH($E264)),$E267,0)</f>
        <v>0</v>
      </c>
      <c r="BR267" s="105">
        <f t="shared" ref="BR267" si="2644">IF(AND(BQ$5&gt;$E264,BR$5&lt;$E266,MONTH(BQ$5)=MONTH($E264)),$E267,0)</f>
        <v>0</v>
      </c>
      <c r="BS267" s="105">
        <f t="shared" ref="BS267" si="2645">IF(AND(BR$5&gt;$E264,BS$5&lt;$E266,MONTH(BR$5)=MONTH($E264)),$E267,0)</f>
        <v>0</v>
      </c>
      <c r="BT267" s="105">
        <f t="shared" ref="BT267" si="2646">IF(AND(BS$5&gt;$E264,BT$5&lt;$E266,MONTH(BS$5)=MONTH($E264)),$E267,0)</f>
        <v>0</v>
      </c>
      <c r="BU267" s="105">
        <f t="shared" ref="BU267" si="2647">IF(AND(BT$5&gt;$E264,BU$5&lt;$E266,MONTH(BT$5)=MONTH($E264)),$E267,0)</f>
        <v>0</v>
      </c>
      <c r="BV267" s="105">
        <f t="shared" ref="BV267" si="2648">IF(AND(BU$5&gt;$E264,BV$5&lt;$E266,MONTH(BU$5)=MONTH($E264)),$E267,0)</f>
        <v>0</v>
      </c>
      <c r="BW267" s="105">
        <f t="shared" ref="BW267" si="2649">IF(AND(BV$5&gt;$E264,BW$5&lt;$E266,MONTH(BV$5)=MONTH($E264)),$E267,0)</f>
        <v>0</v>
      </c>
      <c r="BX267" s="105">
        <f t="shared" ref="BX267" si="2650">IF(AND(BW$5&gt;$E264,BX$5&lt;$E266,MONTH(BW$5)=MONTH($E264)),$E267,0)</f>
        <v>0</v>
      </c>
      <c r="BY267" s="105">
        <f t="shared" ref="BY267" si="2651">IF(AND(BX$5&gt;$E264,BY$5&lt;$E266,MONTH(BX$5)=MONTH($E264)),$E267,0)</f>
        <v>0</v>
      </c>
    </row>
    <row r="268" spans="2:77" customFormat="1" outlineLevel="1" x14ac:dyDescent="0.25">
      <c r="B268" s="1"/>
      <c r="C268" s="74" t="s">
        <v>264</v>
      </c>
      <c r="D268" s="36" t="s">
        <v>19</v>
      </c>
      <c r="E268" s="295">
        <f>New_Free_Rent_Months</f>
        <v>3</v>
      </c>
      <c r="F268" s="1"/>
      <c r="G268" s="106"/>
      <c r="H268" s="106"/>
      <c r="I268" s="106"/>
      <c r="J268" s="106"/>
      <c r="K268" s="96"/>
      <c r="L268" s="96"/>
      <c r="M268" s="96"/>
      <c r="N268" s="96"/>
      <c r="O268" s="96"/>
      <c r="P268" s="96"/>
    </row>
    <row r="269" spans="2:77" customFormat="1" outlineLevel="1" x14ac:dyDescent="0.25">
      <c r="B269" s="1"/>
      <c r="C269" s="44"/>
      <c r="D269" s="56"/>
      <c r="E269" s="285"/>
      <c r="F269" s="1"/>
      <c r="G269" s="106"/>
      <c r="H269" s="106"/>
      <c r="I269" s="106"/>
      <c r="J269" s="106"/>
      <c r="K269" s="96"/>
      <c r="L269" s="96"/>
      <c r="M269" s="96"/>
      <c r="N269" s="96"/>
      <c r="O269" s="96"/>
      <c r="P269" s="96"/>
    </row>
    <row r="270" spans="2:77" customFormat="1" outlineLevel="1" x14ac:dyDescent="0.25">
      <c r="B270" s="1"/>
      <c r="C270" s="74" t="s">
        <v>265</v>
      </c>
      <c r="D270" s="36" t="s">
        <v>13</v>
      </c>
      <c r="E270" s="145">
        <f>E266</f>
        <v>47149</v>
      </c>
      <c r="F270" s="1"/>
      <c r="G270" s="106"/>
      <c r="H270" s="106"/>
      <c r="I270" s="106"/>
      <c r="J270" s="106"/>
      <c r="K270" s="96"/>
      <c r="L270" s="96"/>
      <c r="M270" s="96"/>
      <c r="N270" s="96"/>
      <c r="O270" s="96"/>
      <c r="P270" s="96"/>
    </row>
    <row r="271" spans="2:77" customFormat="1" outlineLevel="1" x14ac:dyDescent="0.25">
      <c r="B271" s="1"/>
      <c r="C271" s="74" t="s">
        <v>266</v>
      </c>
      <c r="D271" s="36" t="s">
        <v>17</v>
      </c>
      <c r="E271" s="295">
        <f>New_Lease_Years</f>
        <v>5</v>
      </c>
      <c r="F271" s="1"/>
      <c r="G271" s="106"/>
      <c r="H271" s="106"/>
      <c r="I271" s="106"/>
      <c r="J271" s="106"/>
      <c r="K271" s="96"/>
      <c r="L271" s="96"/>
      <c r="M271" s="96"/>
      <c r="N271" s="96"/>
      <c r="O271" s="96"/>
      <c r="P271" s="96"/>
    </row>
    <row r="272" spans="2:77" customFormat="1" outlineLevel="1" x14ac:dyDescent="0.25">
      <c r="B272" s="1"/>
      <c r="C272" s="50" t="s">
        <v>267</v>
      </c>
      <c r="D272" s="36" t="s">
        <v>13</v>
      </c>
      <c r="E272" s="145">
        <f>EOMONTH(E270,E271*Months)</f>
        <v>48975</v>
      </c>
      <c r="F272" s="1"/>
      <c r="G272" s="106"/>
      <c r="H272" s="106"/>
      <c r="I272" s="106"/>
      <c r="J272" s="106"/>
      <c r="K272" s="96"/>
      <c r="L272" s="96"/>
      <c r="M272" s="96"/>
      <c r="N272" s="96"/>
      <c r="O272" s="96"/>
      <c r="P272" s="96"/>
    </row>
    <row r="273" spans="2:77" customFormat="1" outlineLevel="1" x14ac:dyDescent="0.25">
      <c r="B273" s="1"/>
      <c r="C273" s="74" t="s">
        <v>268</v>
      </c>
      <c r="D273" s="38" t="s">
        <v>16</v>
      </c>
      <c r="E273" s="105" t="e">
        <f>INDEX(Annual!$F$65:$K$92,16,INDEX(Monthly!$F$5:$BY$9,5,MATCH(E270,$F$5:$BY$5,0)))</f>
        <v>#N/A</v>
      </c>
      <c r="F273" s="105">
        <f>IF(AND(E$5&gt;$E270,F$5&lt;$E272,MONTH(E$5)=MONTH($E270)),$E273,0)</f>
        <v>0</v>
      </c>
      <c r="G273" s="105">
        <f t="shared" ref="G273" si="2652">IF(AND(F$5&gt;$E270,G$5&lt;$E272,MONTH(F$5)=MONTH($E270)),$E273,0)</f>
        <v>0</v>
      </c>
      <c r="H273" s="105">
        <f t="shared" ref="H273" si="2653">IF(AND(G$5&gt;$E270,H$5&lt;$E272,MONTH(G$5)=MONTH($E270)),$E273,0)</f>
        <v>0</v>
      </c>
      <c r="I273" s="105">
        <f t="shared" ref="I273" si="2654">IF(AND(H$5&gt;$E270,I$5&lt;$E272,MONTH(H$5)=MONTH($E270)),$E273,0)</f>
        <v>0</v>
      </c>
      <c r="J273" s="105">
        <f t="shared" ref="J273" si="2655">IF(AND(I$5&gt;$E270,J$5&lt;$E272,MONTH(I$5)=MONTH($E270)),$E273,0)</f>
        <v>0</v>
      </c>
      <c r="K273" s="105">
        <f t="shared" ref="K273" si="2656">IF(AND(J$5&gt;$E270,K$5&lt;$E272,MONTH(J$5)=MONTH($E270)),$E273,0)</f>
        <v>0</v>
      </c>
      <c r="L273" s="105">
        <f t="shared" ref="L273" si="2657">IF(AND(K$5&gt;$E270,L$5&lt;$E272,MONTH(K$5)=MONTH($E270)),$E273,0)</f>
        <v>0</v>
      </c>
      <c r="M273" s="105">
        <f t="shared" ref="M273" si="2658">IF(AND(L$5&gt;$E270,M$5&lt;$E272,MONTH(L$5)=MONTH($E270)),$E273,0)</f>
        <v>0</v>
      </c>
      <c r="N273" s="105">
        <f t="shared" ref="N273" si="2659">IF(AND(M$5&gt;$E270,N$5&lt;$E272,MONTH(M$5)=MONTH($E270)),$E273,0)</f>
        <v>0</v>
      </c>
      <c r="O273" s="105">
        <f t="shared" ref="O273" si="2660">IF(AND(N$5&gt;$E270,O$5&lt;$E272,MONTH(N$5)=MONTH($E270)),$E273,0)</f>
        <v>0</v>
      </c>
      <c r="P273" s="105">
        <f t="shared" ref="P273" si="2661">IF(AND(O$5&gt;$E270,P$5&lt;$E272,MONTH(O$5)=MONTH($E270)),$E273,0)</f>
        <v>0</v>
      </c>
      <c r="Q273" s="105">
        <f t="shared" ref="Q273" si="2662">IF(AND(P$5&gt;$E270,Q$5&lt;$E272,MONTH(P$5)=MONTH($E270)),$E273,0)</f>
        <v>0</v>
      </c>
      <c r="R273" s="105">
        <f t="shared" ref="R273" si="2663">IF(AND(Q$5&gt;$E270,R$5&lt;$E272,MONTH(Q$5)=MONTH($E270)),$E273,0)</f>
        <v>0</v>
      </c>
      <c r="S273" s="105">
        <f t="shared" ref="S273" si="2664">IF(AND(R$5&gt;$E270,S$5&lt;$E272,MONTH(R$5)=MONTH($E270)),$E273,0)</f>
        <v>0</v>
      </c>
      <c r="T273" s="105">
        <f t="shared" ref="T273" si="2665">IF(AND(S$5&gt;$E270,T$5&lt;$E272,MONTH(S$5)=MONTH($E270)),$E273,0)</f>
        <v>0</v>
      </c>
      <c r="U273" s="105">
        <f t="shared" ref="U273" si="2666">IF(AND(T$5&gt;$E270,U$5&lt;$E272,MONTH(T$5)=MONTH($E270)),$E273,0)</f>
        <v>0</v>
      </c>
      <c r="V273" s="105">
        <f t="shared" ref="V273" si="2667">IF(AND(U$5&gt;$E270,V$5&lt;$E272,MONTH(U$5)=MONTH($E270)),$E273,0)</f>
        <v>0</v>
      </c>
      <c r="W273" s="105">
        <f t="shared" ref="W273" si="2668">IF(AND(V$5&gt;$E270,W$5&lt;$E272,MONTH(V$5)=MONTH($E270)),$E273,0)</f>
        <v>0</v>
      </c>
      <c r="X273" s="105">
        <f t="shared" ref="X273" si="2669">IF(AND(W$5&gt;$E270,X$5&lt;$E272,MONTH(W$5)=MONTH($E270)),$E273,0)</f>
        <v>0</v>
      </c>
      <c r="Y273" s="105">
        <f t="shared" ref="Y273" si="2670">IF(AND(X$5&gt;$E270,Y$5&lt;$E272,MONTH(X$5)=MONTH($E270)),$E273,0)</f>
        <v>0</v>
      </c>
      <c r="Z273" s="105">
        <f t="shared" ref="Z273" si="2671">IF(AND(Y$5&gt;$E270,Z$5&lt;$E272,MONTH(Y$5)=MONTH($E270)),$E273,0)</f>
        <v>0</v>
      </c>
      <c r="AA273" s="105">
        <f t="shared" ref="AA273" si="2672">IF(AND(Z$5&gt;$E270,AA$5&lt;$E272,MONTH(Z$5)=MONTH($E270)),$E273,0)</f>
        <v>0</v>
      </c>
      <c r="AB273" s="105">
        <f t="shared" ref="AB273" si="2673">IF(AND(AA$5&gt;$E270,AB$5&lt;$E272,MONTH(AA$5)=MONTH($E270)),$E273,0)</f>
        <v>0</v>
      </c>
      <c r="AC273" s="105">
        <f t="shared" ref="AC273" si="2674">IF(AND(AB$5&gt;$E270,AC$5&lt;$E272,MONTH(AB$5)=MONTH($E270)),$E273,0)</f>
        <v>0</v>
      </c>
      <c r="AD273" s="105">
        <f t="shared" ref="AD273" si="2675">IF(AND(AC$5&gt;$E270,AD$5&lt;$E272,MONTH(AC$5)=MONTH($E270)),$E273,0)</f>
        <v>0</v>
      </c>
      <c r="AE273" s="105">
        <f t="shared" ref="AE273" si="2676">IF(AND(AD$5&gt;$E270,AE$5&lt;$E272,MONTH(AD$5)=MONTH($E270)),$E273,0)</f>
        <v>0</v>
      </c>
      <c r="AF273" s="105">
        <f t="shared" ref="AF273" si="2677">IF(AND(AE$5&gt;$E270,AF$5&lt;$E272,MONTH(AE$5)=MONTH($E270)),$E273,0)</f>
        <v>0</v>
      </c>
      <c r="AG273" s="105">
        <f t="shared" ref="AG273" si="2678">IF(AND(AF$5&gt;$E270,AG$5&lt;$E272,MONTH(AF$5)=MONTH($E270)),$E273,0)</f>
        <v>0</v>
      </c>
      <c r="AH273" s="105">
        <f t="shared" ref="AH273" si="2679">IF(AND(AG$5&gt;$E270,AH$5&lt;$E272,MONTH(AG$5)=MONTH($E270)),$E273,0)</f>
        <v>0</v>
      </c>
      <c r="AI273" s="105">
        <f t="shared" ref="AI273" si="2680">IF(AND(AH$5&gt;$E270,AI$5&lt;$E272,MONTH(AH$5)=MONTH($E270)),$E273,0)</f>
        <v>0</v>
      </c>
      <c r="AJ273" s="105">
        <f t="shared" ref="AJ273" si="2681">IF(AND(AI$5&gt;$E270,AJ$5&lt;$E272,MONTH(AI$5)=MONTH($E270)),$E273,0)</f>
        <v>0</v>
      </c>
      <c r="AK273" s="105">
        <f t="shared" ref="AK273" si="2682">IF(AND(AJ$5&gt;$E270,AK$5&lt;$E272,MONTH(AJ$5)=MONTH($E270)),$E273,0)</f>
        <v>0</v>
      </c>
      <c r="AL273" s="105">
        <f t="shared" ref="AL273" si="2683">IF(AND(AK$5&gt;$E270,AL$5&lt;$E272,MONTH(AK$5)=MONTH($E270)),$E273,0)</f>
        <v>0</v>
      </c>
      <c r="AM273" s="105">
        <f t="shared" ref="AM273" si="2684">IF(AND(AL$5&gt;$E270,AM$5&lt;$E272,MONTH(AL$5)=MONTH($E270)),$E273,0)</f>
        <v>0</v>
      </c>
      <c r="AN273" s="105">
        <f t="shared" ref="AN273" si="2685">IF(AND(AM$5&gt;$E270,AN$5&lt;$E272,MONTH(AM$5)=MONTH($E270)),$E273,0)</f>
        <v>0</v>
      </c>
      <c r="AO273" s="105">
        <f t="shared" ref="AO273" si="2686">IF(AND(AN$5&gt;$E270,AO$5&lt;$E272,MONTH(AN$5)=MONTH($E270)),$E273,0)</f>
        <v>0</v>
      </c>
      <c r="AP273" s="105">
        <f t="shared" ref="AP273" si="2687">IF(AND(AO$5&gt;$E270,AP$5&lt;$E272,MONTH(AO$5)=MONTH($E270)),$E273,0)</f>
        <v>0</v>
      </c>
      <c r="AQ273" s="105">
        <f t="shared" ref="AQ273" si="2688">IF(AND(AP$5&gt;$E270,AQ$5&lt;$E272,MONTH(AP$5)=MONTH($E270)),$E273,0)</f>
        <v>0</v>
      </c>
      <c r="AR273" s="105">
        <f t="shared" ref="AR273" si="2689">IF(AND(AQ$5&gt;$E270,AR$5&lt;$E272,MONTH(AQ$5)=MONTH($E270)),$E273,0)</f>
        <v>0</v>
      </c>
      <c r="AS273" s="105">
        <f t="shared" ref="AS273" si="2690">IF(AND(AR$5&gt;$E270,AS$5&lt;$E272,MONTH(AR$5)=MONTH($E270)),$E273,0)</f>
        <v>0</v>
      </c>
      <c r="AT273" s="105">
        <f t="shared" ref="AT273" si="2691">IF(AND(AS$5&gt;$E270,AT$5&lt;$E272,MONTH(AS$5)=MONTH($E270)),$E273,0)</f>
        <v>0</v>
      </c>
      <c r="AU273" s="105">
        <f t="shared" ref="AU273" si="2692">IF(AND(AT$5&gt;$E270,AU$5&lt;$E272,MONTH(AT$5)=MONTH($E270)),$E273,0)</f>
        <v>0</v>
      </c>
      <c r="AV273" s="105">
        <f t="shared" ref="AV273" si="2693">IF(AND(AU$5&gt;$E270,AV$5&lt;$E272,MONTH(AU$5)=MONTH($E270)),$E273,0)</f>
        <v>0</v>
      </c>
      <c r="AW273" s="105">
        <f t="shared" ref="AW273" si="2694">IF(AND(AV$5&gt;$E270,AW$5&lt;$E272,MONTH(AV$5)=MONTH($E270)),$E273,0)</f>
        <v>0</v>
      </c>
      <c r="AX273" s="105">
        <f t="shared" ref="AX273" si="2695">IF(AND(AW$5&gt;$E270,AX$5&lt;$E272,MONTH(AW$5)=MONTH($E270)),$E273,0)</f>
        <v>0</v>
      </c>
      <c r="AY273" s="105">
        <f t="shared" ref="AY273" si="2696">IF(AND(AX$5&gt;$E270,AY$5&lt;$E272,MONTH(AX$5)=MONTH($E270)),$E273,0)</f>
        <v>0</v>
      </c>
      <c r="AZ273" s="105">
        <f t="shared" ref="AZ273" si="2697">IF(AND(AY$5&gt;$E270,AZ$5&lt;$E272,MONTH(AY$5)=MONTH($E270)),$E273,0)</f>
        <v>0</v>
      </c>
      <c r="BA273" s="105">
        <f t="shared" ref="BA273" si="2698">IF(AND(AZ$5&gt;$E270,BA$5&lt;$E272,MONTH(AZ$5)=MONTH($E270)),$E273,0)</f>
        <v>0</v>
      </c>
      <c r="BB273" s="105">
        <f t="shared" ref="BB273" si="2699">IF(AND(BA$5&gt;$E270,BB$5&lt;$E272,MONTH(BA$5)=MONTH($E270)),$E273,0)</f>
        <v>0</v>
      </c>
      <c r="BC273" s="105">
        <f t="shared" ref="BC273" si="2700">IF(AND(BB$5&gt;$E270,BC$5&lt;$E272,MONTH(BB$5)=MONTH($E270)),$E273,0)</f>
        <v>0</v>
      </c>
      <c r="BD273" s="105">
        <f t="shared" ref="BD273" si="2701">IF(AND(BC$5&gt;$E270,BD$5&lt;$E272,MONTH(BC$5)=MONTH($E270)),$E273,0)</f>
        <v>0</v>
      </c>
      <c r="BE273" s="105">
        <f t="shared" ref="BE273" si="2702">IF(AND(BD$5&gt;$E270,BE$5&lt;$E272,MONTH(BD$5)=MONTH($E270)),$E273,0)</f>
        <v>0</v>
      </c>
      <c r="BF273" s="105">
        <f t="shared" ref="BF273" si="2703">IF(AND(BE$5&gt;$E270,BF$5&lt;$E272,MONTH(BE$5)=MONTH($E270)),$E273,0)</f>
        <v>0</v>
      </c>
      <c r="BG273" s="105">
        <f t="shared" ref="BG273" si="2704">IF(AND(BF$5&gt;$E270,BG$5&lt;$E272,MONTH(BF$5)=MONTH($E270)),$E273,0)</f>
        <v>0</v>
      </c>
      <c r="BH273" s="105">
        <f t="shared" ref="BH273" si="2705">IF(AND(BG$5&gt;$E270,BH$5&lt;$E272,MONTH(BG$5)=MONTH($E270)),$E273,0)</f>
        <v>0</v>
      </c>
      <c r="BI273" s="105">
        <f t="shared" ref="BI273" si="2706">IF(AND(BH$5&gt;$E270,BI$5&lt;$E272,MONTH(BH$5)=MONTH($E270)),$E273,0)</f>
        <v>0</v>
      </c>
      <c r="BJ273" s="105">
        <f t="shared" ref="BJ273" si="2707">IF(AND(BI$5&gt;$E270,BJ$5&lt;$E272,MONTH(BI$5)=MONTH($E270)),$E273,0)</f>
        <v>0</v>
      </c>
      <c r="BK273" s="105">
        <f t="shared" ref="BK273" si="2708">IF(AND(BJ$5&gt;$E270,BK$5&lt;$E272,MONTH(BJ$5)=MONTH($E270)),$E273,0)</f>
        <v>0</v>
      </c>
      <c r="BL273" s="105">
        <f t="shared" ref="BL273" si="2709">IF(AND(BK$5&gt;$E270,BL$5&lt;$E272,MONTH(BK$5)=MONTH($E270)),$E273,0)</f>
        <v>0</v>
      </c>
      <c r="BM273" s="105">
        <f t="shared" ref="BM273" si="2710">IF(AND(BL$5&gt;$E270,BM$5&lt;$E272,MONTH(BL$5)=MONTH($E270)),$E273,0)</f>
        <v>0</v>
      </c>
      <c r="BN273" s="105">
        <f t="shared" ref="BN273" si="2711">IF(AND(BM$5&gt;$E270,BN$5&lt;$E272,MONTH(BM$5)=MONTH($E270)),$E273,0)</f>
        <v>0</v>
      </c>
      <c r="BO273" s="105">
        <f t="shared" ref="BO273" si="2712">IF(AND(BN$5&gt;$E270,BO$5&lt;$E272,MONTH(BN$5)=MONTH($E270)),$E273,0)</f>
        <v>0</v>
      </c>
      <c r="BP273" s="105">
        <f t="shared" ref="BP273" si="2713">IF(AND(BO$5&gt;$E270,BP$5&lt;$E272,MONTH(BO$5)=MONTH($E270)),$E273,0)</f>
        <v>0</v>
      </c>
      <c r="BQ273" s="105">
        <f t="shared" ref="BQ273" si="2714">IF(AND(BP$5&gt;$E270,BQ$5&lt;$E272,MONTH(BP$5)=MONTH($E270)),$E273,0)</f>
        <v>0</v>
      </c>
      <c r="BR273" s="105">
        <f t="shared" ref="BR273" si="2715">IF(AND(BQ$5&gt;$E270,BR$5&lt;$E272,MONTH(BQ$5)=MONTH($E270)),$E273,0)</f>
        <v>0</v>
      </c>
      <c r="BS273" s="105">
        <f t="shared" ref="BS273" si="2716">IF(AND(BR$5&gt;$E270,BS$5&lt;$E272,MONTH(BR$5)=MONTH($E270)),$E273,0)</f>
        <v>0</v>
      </c>
      <c r="BT273" s="105">
        <f t="shared" ref="BT273" si="2717">IF(AND(BS$5&gt;$E270,BT$5&lt;$E272,MONTH(BS$5)=MONTH($E270)),$E273,0)</f>
        <v>0</v>
      </c>
      <c r="BU273" s="105">
        <f t="shared" ref="BU273" si="2718">IF(AND(BT$5&gt;$E270,BU$5&lt;$E272,MONTH(BT$5)=MONTH($E270)),$E273,0)</f>
        <v>0</v>
      </c>
      <c r="BV273" s="105">
        <f t="shared" ref="BV273" si="2719">IF(AND(BU$5&gt;$E270,BV$5&lt;$E272,MONTH(BU$5)=MONTH($E270)),$E273,0)</f>
        <v>0</v>
      </c>
      <c r="BW273" s="105">
        <f t="shared" ref="BW273" si="2720">IF(AND(BV$5&gt;$E270,BW$5&lt;$E272,MONTH(BV$5)=MONTH($E270)),$E273,0)</f>
        <v>0</v>
      </c>
      <c r="BX273" s="105">
        <f t="shared" ref="BX273" si="2721">IF(AND(BW$5&gt;$E270,BX$5&lt;$E272,MONTH(BW$5)=MONTH($E270)),$E273,0)</f>
        <v>0</v>
      </c>
      <c r="BY273" s="105">
        <f t="shared" ref="BY273" si="2722">IF(AND(BX$5&gt;$E270,BY$5&lt;$E272,MONTH(BX$5)=MONTH($E270)),$E273,0)</f>
        <v>0</v>
      </c>
    </row>
    <row r="274" spans="2:77" customFormat="1" outlineLevel="1" x14ac:dyDescent="0.25">
      <c r="B274" s="1"/>
      <c r="C274" s="44"/>
      <c r="D274" s="56"/>
      <c r="E274" s="1"/>
      <c r="F274" s="1"/>
      <c r="G274" s="1"/>
      <c r="H274" s="1"/>
      <c r="I274" s="1"/>
      <c r="J274" s="1"/>
      <c r="AP274" s="62"/>
    </row>
    <row r="275" spans="2:77" customFormat="1" outlineLevel="1" x14ac:dyDescent="0.25">
      <c r="B275" s="1"/>
      <c r="C275" s="74" t="s">
        <v>269</v>
      </c>
      <c r="D275" s="36" t="s">
        <v>13</v>
      </c>
      <c r="E275" s="145">
        <f>EOMONTH(E266,Down_Months)</f>
        <v>47330</v>
      </c>
      <c r="F275" s="1"/>
      <c r="G275" s="1"/>
      <c r="H275" s="1"/>
      <c r="I275" s="1"/>
      <c r="J275" s="1"/>
      <c r="AP275" s="62"/>
    </row>
    <row r="276" spans="2:77" customFormat="1" outlineLevel="1" x14ac:dyDescent="0.25">
      <c r="B276" s="1"/>
      <c r="C276" s="74" t="s">
        <v>270</v>
      </c>
      <c r="D276" s="36" t="s">
        <v>17</v>
      </c>
      <c r="E276" s="295">
        <f>New_Lease_Years</f>
        <v>5</v>
      </c>
      <c r="F276" s="1"/>
      <c r="G276" s="1"/>
      <c r="H276" s="1"/>
      <c r="I276" s="1"/>
      <c r="J276" s="1"/>
      <c r="AP276" s="62"/>
    </row>
    <row r="277" spans="2:77" customFormat="1" outlineLevel="1" x14ac:dyDescent="0.25">
      <c r="B277" s="1"/>
      <c r="C277" s="50" t="s">
        <v>271</v>
      </c>
      <c r="D277" s="36" t="s">
        <v>13</v>
      </c>
      <c r="E277" s="145">
        <f>EOMONTH(E275,E276*Months)</f>
        <v>49156</v>
      </c>
      <c r="F277" s="1"/>
      <c r="G277" s="1"/>
      <c r="H277" s="1"/>
      <c r="I277" s="1"/>
      <c r="J277" s="1"/>
      <c r="AP277" s="62"/>
    </row>
    <row r="278" spans="2:77" customFormat="1" outlineLevel="1" x14ac:dyDescent="0.25">
      <c r="B278" s="1"/>
      <c r="C278" s="74" t="s">
        <v>272</v>
      </c>
      <c r="D278" s="38" t="s">
        <v>16</v>
      </c>
      <c r="E278" s="105" t="e">
        <f>INDEX(Annual!$F$65:$K$92,16,INDEX(Monthly!$F$5:$BY$9,5,MATCH(E275,$F$5:$BY$5,0)))</f>
        <v>#N/A</v>
      </c>
      <c r="F278" s="105">
        <f>IF(AND(E$5&gt;$E275,F$5&lt;$E277,MONTH(E$5)=MONTH($E275)),$E278,0)</f>
        <v>0</v>
      </c>
      <c r="G278" s="105">
        <f t="shared" ref="G278" si="2723">IF(AND(F$5&gt;$E275,G$5&lt;$E277,MONTH(F$5)=MONTH($E275)),$E278,0)</f>
        <v>0</v>
      </c>
      <c r="H278" s="105">
        <f t="shared" ref="H278" si="2724">IF(AND(G$5&gt;$E275,H$5&lt;$E277,MONTH(G$5)=MONTH($E275)),$E278,0)</f>
        <v>0</v>
      </c>
      <c r="I278" s="105">
        <f t="shared" ref="I278" si="2725">IF(AND(H$5&gt;$E275,I$5&lt;$E277,MONTH(H$5)=MONTH($E275)),$E278,0)</f>
        <v>0</v>
      </c>
      <c r="J278" s="105">
        <f t="shared" ref="J278" si="2726">IF(AND(I$5&gt;$E275,J$5&lt;$E277,MONTH(I$5)=MONTH($E275)),$E278,0)</f>
        <v>0</v>
      </c>
      <c r="K278" s="105">
        <f t="shared" ref="K278" si="2727">IF(AND(J$5&gt;$E275,K$5&lt;$E277,MONTH(J$5)=MONTH($E275)),$E278,0)</f>
        <v>0</v>
      </c>
      <c r="L278" s="105">
        <f t="shared" ref="L278" si="2728">IF(AND(K$5&gt;$E275,L$5&lt;$E277,MONTH(K$5)=MONTH($E275)),$E278,0)</f>
        <v>0</v>
      </c>
      <c r="M278" s="105">
        <f t="shared" ref="M278" si="2729">IF(AND(L$5&gt;$E275,M$5&lt;$E277,MONTH(L$5)=MONTH($E275)),$E278,0)</f>
        <v>0</v>
      </c>
      <c r="N278" s="105">
        <f t="shared" ref="N278" si="2730">IF(AND(M$5&gt;$E275,N$5&lt;$E277,MONTH(M$5)=MONTH($E275)),$E278,0)</f>
        <v>0</v>
      </c>
      <c r="O278" s="105">
        <f t="shared" ref="O278" si="2731">IF(AND(N$5&gt;$E275,O$5&lt;$E277,MONTH(N$5)=MONTH($E275)),$E278,0)</f>
        <v>0</v>
      </c>
      <c r="P278" s="105">
        <f t="shared" ref="P278" si="2732">IF(AND(O$5&gt;$E275,P$5&lt;$E277,MONTH(O$5)=MONTH($E275)),$E278,0)</f>
        <v>0</v>
      </c>
      <c r="Q278" s="105">
        <f t="shared" ref="Q278" si="2733">IF(AND(P$5&gt;$E275,Q$5&lt;$E277,MONTH(P$5)=MONTH($E275)),$E278,0)</f>
        <v>0</v>
      </c>
      <c r="R278" s="105">
        <f t="shared" ref="R278" si="2734">IF(AND(Q$5&gt;$E275,R$5&lt;$E277,MONTH(Q$5)=MONTH($E275)),$E278,0)</f>
        <v>0</v>
      </c>
      <c r="S278" s="105">
        <f t="shared" ref="S278" si="2735">IF(AND(R$5&gt;$E275,S$5&lt;$E277,MONTH(R$5)=MONTH($E275)),$E278,0)</f>
        <v>0</v>
      </c>
      <c r="T278" s="105">
        <f t="shared" ref="T278" si="2736">IF(AND(S$5&gt;$E275,T$5&lt;$E277,MONTH(S$5)=MONTH($E275)),$E278,0)</f>
        <v>0</v>
      </c>
      <c r="U278" s="105">
        <f t="shared" ref="U278" si="2737">IF(AND(T$5&gt;$E275,U$5&lt;$E277,MONTH(T$5)=MONTH($E275)),$E278,0)</f>
        <v>0</v>
      </c>
      <c r="V278" s="105">
        <f t="shared" ref="V278" si="2738">IF(AND(U$5&gt;$E275,V$5&lt;$E277,MONTH(U$5)=MONTH($E275)),$E278,0)</f>
        <v>0</v>
      </c>
      <c r="W278" s="105">
        <f t="shared" ref="W278" si="2739">IF(AND(V$5&gt;$E275,W$5&lt;$E277,MONTH(V$5)=MONTH($E275)),$E278,0)</f>
        <v>0</v>
      </c>
      <c r="X278" s="105">
        <f t="shared" ref="X278" si="2740">IF(AND(W$5&gt;$E275,X$5&lt;$E277,MONTH(W$5)=MONTH($E275)),$E278,0)</f>
        <v>0</v>
      </c>
      <c r="Y278" s="105">
        <f t="shared" ref="Y278" si="2741">IF(AND(X$5&gt;$E275,Y$5&lt;$E277,MONTH(X$5)=MONTH($E275)),$E278,0)</f>
        <v>0</v>
      </c>
      <c r="Z278" s="105">
        <f t="shared" ref="Z278" si="2742">IF(AND(Y$5&gt;$E275,Z$5&lt;$E277,MONTH(Y$5)=MONTH($E275)),$E278,0)</f>
        <v>0</v>
      </c>
      <c r="AA278" s="105">
        <f t="shared" ref="AA278" si="2743">IF(AND(Z$5&gt;$E275,AA$5&lt;$E277,MONTH(Z$5)=MONTH($E275)),$E278,0)</f>
        <v>0</v>
      </c>
      <c r="AB278" s="105">
        <f t="shared" ref="AB278" si="2744">IF(AND(AA$5&gt;$E275,AB$5&lt;$E277,MONTH(AA$5)=MONTH($E275)),$E278,0)</f>
        <v>0</v>
      </c>
      <c r="AC278" s="105">
        <f t="shared" ref="AC278" si="2745">IF(AND(AB$5&gt;$E275,AC$5&lt;$E277,MONTH(AB$5)=MONTH($E275)),$E278,0)</f>
        <v>0</v>
      </c>
      <c r="AD278" s="105">
        <f t="shared" ref="AD278" si="2746">IF(AND(AC$5&gt;$E275,AD$5&lt;$E277,MONTH(AC$5)=MONTH($E275)),$E278,0)</f>
        <v>0</v>
      </c>
      <c r="AE278" s="105">
        <f t="shared" ref="AE278" si="2747">IF(AND(AD$5&gt;$E275,AE$5&lt;$E277,MONTH(AD$5)=MONTH($E275)),$E278,0)</f>
        <v>0</v>
      </c>
      <c r="AF278" s="105">
        <f t="shared" ref="AF278" si="2748">IF(AND(AE$5&gt;$E275,AF$5&lt;$E277,MONTH(AE$5)=MONTH($E275)),$E278,0)</f>
        <v>0</v>
      </c>
      <c r="AG278" s="105">
        <f t="shared" ref="AG278" si="2749">IF(AND(AF$5&gt;$E275,AG$5&lt;$E277,MONTH(AF$5)=MONTH($E275)),$E278,0)</f>
        <v>0</v>
      </c>
      <c r="AH278" s="105">
        <f t="shared" ref="AH278" si="2750">IF(AND(AG$5&gt;$E275,AH$5&lt;$E277,MONTH(AG$5)=MONTH($E275)),$E278,0)</f>
        <v>0</v>
      </c>
      <c r="AI278" s="105">
        <f t="shared" ref="AI278" si="2751">IF(AND(AH$5&gt;$E275,AI$5&lt;$E277,MONTH(AH$5)=MONTH($E275)),$E278,0)</f>
        <v>0</v>
      </c>
      <c r="AJ278" s="105">
        <f t="shared" ref="AJ278" si="2752">IF(AND(AI$5&gt;$E275,AJ$5&lt;$E277,MONTH(AI$5)=MONTH($E275)),$E278,0)</f>
        <v>0</v>
      </c>
      <c r="AK278" s="105">
        <f t="shared" ref="AK278" si="2753">IF(AND(AJ$5&gt;$E275,AK$5&lt;$E277,MONTH(AJ$5)=MONTH($E275)),$E278,0)</f>
        <v>0</v>
      </c>
      <c r="AL278" s="105">
        <f t="shared" ref="AL278" si="2754">IF(AND(AK$5&gt;$E275,AL$5&lt;$E277,MONTH(AK$5)=MONTH($E275)),$E278,0)</f>
        <v>0</v>
      </c>
      <c r="AM278" s="105">
        <f t="shared" ref="AM278" si="2755">IF(AND(AL$5&gt;$E275,AM$5&lt;$E277,MONTH(AL$5)=MONTH($E275)),$E278,0)</f>
        <v>0</v>
      </c>
      <c r="AN278" s="105">
        <f t="shared" ref="AN278" si="2756">IF(AND(AM$5&gt;$E275,AN$5&lt;$E277,MONTH(AM$5)=MONTH($E275)),$E278,0)</f>
        <v>0</v>
      </c>
      <c r="AO278" s="105">
        <f t="shared" ref="AO278" si="2757">IF(AND(AN$5&gt;$E275,AO$5&lt;$E277,MONTH(AN$5)=MONTH($E275)),$E278,0)</f>
        <v>0</v>
      </c>
      <c r="AP278" s="105">
        <f t="shared" ref="AP278" si="2758">IF(AND(AO$5&gt;$E275,AP$5&lt;$E277,MONTH(AO$5)=MONTH($E275)),$E278,0)</f>
        <v>0</v>
      </c>
      <c r="AQ278" s="105">
        <f t="shared" ref="AQ278" si="2759">IF(AND(AP$5&gt;$E275,AQ$5&lt;$E277,MONTH(AP$5)=MONTH($E275)),$E278,0)</f>
        <v>0</v>
      </c>
      <c r="AR278" s="105">
        <f t="shared" ref="AR278" si="2760">IF(AND(AQ$5&gt;$E275,AR$5&lt;$E277,MONTH(AQ$5)=MONTH($E275)),$E278,0)</f>
        <v>0</v>
      </c>
      <c r="AS278" s="105">
        <f t="shared" ref="AS278" si="2761">IF(AND(AR$5&gt;$E275,AS$5&lt;$E277,MONTH(AR$5)=MONTH($E275)),$E278,0)</f>
        <v>0</v>
      </c>
      <c r="AT278" s="105">
        <f t="shared" ref="AT278" si="2762">IF(AND(AS$5&gt;$E275,AT$5&lt;$E277,MONTH(AS$5)=MONTH($E275)),$E278,0)</f>
        <v>0</v>
      </c>
      <c r="AU278" s="105">
        <f t="shared" ref="AU278" si="2763">IF(AND(AT$5&gt;$E275,AU$5&lt;$E277,MONTH(AT$5)=MONTH($E275)),$E278,0)</f>
        <v>0</v>
      </c>
      <c r="AV278" s="105">
        <f t="shared" ref="AV278" si="2764">IF(AND(AU$5&gt;$E275,AV$5&lt;$E277,MONTH(AU$5)=MONTH($E275)),$E278,0)</f>
        <v>0</v>
      </c>
      <c r="AW278" s="105">
        <f t="shared" ref="AW278" si="2765">IF(AND(AV$5&gt;$E275,AW$5&lt;$E277,MONTH(AV$5)=MONTH($E275)),$E278,0)</f>
        <v>0</v>
      </c>
      <c r="AX278" s="105">
        <f t="shared" ref="AX278" si="2766">IF(AND(AW$5&gt;$E275,AX$5&lt;$E277,MONTH(AW$5)=MONTH($E275)),$E278,0)</f>
        <v>0</v>
      </c>
      <c r="AY278" s="105">
        <f t="shared" ref="AY278" si="2767">IF(AND(AX$5&gt;$E275,AY$5&lt;$E277,MONTH(AX$5)=MONTH($E275)),$E278,0)</f>
        <v>0</v>
      </c>
      <c r="AZ278" s="105">
        <f t="shared" ref="AZ278" si="2768">IF(AND(AY$5&gt;$E275,AZ$5&lt;$E277,MONTH(AY$5)=MONTH($E275)),$E278,0)</f>
        <v>0</v>
      </c>
      <c r="BA278" s="105">
        <f t="shared" ref="BA278" si="2769">IF(AND(AZ$5&gt;$E275,BA$5&lt;$E277,MONTH(AZ$5)=MONTH($E275)),$E278,0)</f>
        <v>0</v>
      </c>
      <c r="BB278" s="105">
        <f t="shared" ref="BB278" si="2770">IF(AND(BA$5&gt;$E275,BB$5&lt;$E277,MONTH(BA$5)=MONTH($E275)),$E278,0)</f>
        <v>0</v>
      </c>
      <c r="BC278" s="105">
        <f t="shared" ref="BC278" si="2771">IF(AND(BB$5&gt;$E275,BC$5&lt;$E277,MONTH(BB$5)=MONTH($E275)),$E278,0)</f>
        <v>0</v>
      </c>
      <c r="BD278" s="105">
        <f t="shared" ref="BD278" si="2772">IF(AND(BC$5&gt;$E275,BD$5&lt;$E277,MONTH(BC$5)=MONTH($E275)),$E278,0)</f>
        <v>0</v>
      </c>
      <c r="BE278" s="105">
        <f t="shared" ref="BE278" si="2773">IF(AND(BD$5&gt;$E275,BE$5&lt;$E277,MONTH(BD$5)=MONTH($E275)),$E278,0)</f>
        <v>0</v>
      </c>
      <c r="BF278" s="105">
        <f t="shared" ref="BF278" si="2774">IF(AND(BE$5&gt;$E275,BF$5&lt;$E277,MONTH(BE$5)=MONTH($E275)),$E278,0)</f>
        <v>0</v>
      </c>
      <c r="BG278" s="105">
        <f t="shared" ref="BG278" si="2775">IF(AND(BF$5&gt;$E275,BG$5&lt;$E277,MONTH(BF$5)=MONTH($E275)),$E278,0)</f>
        <v>0</v>
      </c>
      <c r="BH278" s="105">
        <f t="shared" ref="BH278" si="2776">IF(AND(BG$5&gt;$E275,BH$5&lt;$E277,MONTH(BG$5)=MONTH($E275)),$E278,0)</f>
        <v>0</v>
      </c>
      <c r="BI278" s="105">
        <f t="shared" ref="BI278" si="2777">IF(AND(BH$5&gt;$E275,BI$5&lt;$E277,MONTH(BH$5)=MONTH($E275)),$E278,0)</f>
        <v>0</v>
      </c>
      <c r="BJ278" s="105">
        <f t="shared" ref="BJ278" si="2778">IF(AND(BI$5&gt;$E275,BJ$5&lt;$E277,MONTH(BI$5)=MONTH($E275)),$E278,0)</f>
        <v>0</v>
      </c>
      <c r="BK278" s="105">
        <f t="shared" ref="BK278" si="2779">IF(AND(BJ$5&gt;$E275,BK$5&lt;$E277,MONTH(BJ$5)=MONTH($E275)),$E278,0)</f>
        <v>0</v>
      </c>
      <c r="BL278" s="105">
        <f t="shared" ref="BL278" si="2780">IF(AND(BK$5&gt;$E275,BL$5&lt;$E277,MONTH(BK$5)=MONTH($E275)),$E278,0)</f>
        <v>0</v>
      </c>
      <c r="BM278" s="105">
        <f t="shared" ref="BM278" si="2781">IF(AND(BL$5&gt;$E275,BM$5&lt;$E277,MONTH(BL$5)=MONTH($E275)),$E278,0)</f>
        <v>0</v>
      </c>
      <c r="BN278" s="105">
        <f t="shared" ref="BN278" si="2782">IF(AND(BM$5&gt;$E275,BN$5&lt;$E277,MONTH(BM$5)=MONTH($E275)),$E278,0)</f>
        <v>0</v>
      </c>
      <c r="BO278" s="105">
        <f t="shared" ref="BO278" si="2783">IF(AND(BN$5&gt;$E275,BO$5&lt;$E277,MONTH(BN$5)=MONTH($E275)),$E278,0)</f>
        <v>0</v>
      </c>
      <c r="BP278" s="105">
        <f t="shared" ref="BP278" si="2784">IF(AND(BO$5&gt;$E275,BP$5&lt;$E277,MONTH(BO$5)=MONTH($E275)),$E278,0)</f>
        <v>0</v>
      </c>
      <c r="BQ278" s="105">
        <f t="shared" ref="BQ278" si="2785">IF(AND(BP$5&gt;$E275,BQ$5&lt;$E277,MONTH(BP$5)=MONTH($E275)),$E278,0)</f>
        <v>0</v>
      </c>
      <c r="BR278" s="105">
        <f t="shared" ref="BR278" si="2786">IF(AND(BQ$5&gt;$E275,BR$5&lt;$E277,MONTH(BQ$5)=MONTH($E275)),$E278,0)</f>
        <v>0</v>
      </c>
      <c r="BS278" s="105">
        <f t="shared" ref="BS278" si="2787">IF(AND(BR$5&gt;$E275,BS$5&lt;$E277,MONTH(BR$5)=MONTH($E275)),$E278,0)</f>
        <v>0</v>
      </c>
      <c r="BT278" s="105">
        <f t="shared" ref="BT278" si="2788">IF(AND(BS$5&gt;$E275,BT$5&lt;$E277,MONTH(BS$5)=MONTH($E275)),$E278,0)</f>
        <v>0</v>
      </c>
      <c r="BU278" s="105">
        <f t="shared" ref="BU278" si="2789">IF(AND(BT$5&gt;$E275,BU$5&lt;$E277,MONTH(BT$5)=MONTH($E275)),$E278,0)</f>
        <v>0</v>
      </c>
      <c r="BV278" s="105">
        <f t="shared" ref="BV278" si="2790">IF(AND(BU$5&gt;$E275,BV$5&lt;$E277,MONTH(BU$5)=MONTH($E275)),$E278,0)</f>
        <v>0</v>
      </c>
      <c r="BW278" s="105">
        <f t="shared" ref="BW278" si="2791">IF(AND(BV$5&gt;$E275,BW$5&lt;$E277,MONTH(BV$5)=MONTH($E275)),$E278,0)</f>
        <v>0</v>
      </c>
      <c r="BX278" s="105">
        <f t="shared" ref="BX278" si="2792">IF(AND(BW$5&gt;$E275,BX$5&lt;$E277,MONTH(BW$5)=MONTH($E275)),$E278,0)</f>
        <v>0</v>
      </c>
      <c r="BY278" s="105">
        <f t="shared" ref="BY278" si="2793">IF(AND(BX$5&gt;$E275,BY$5&lt;$E277,MONTH(BX$5)=MONTH($E275)),$E278,0)</f>
        <v>0</v>
      </c>
    </row>
    <row r="279" spans="2:77" customFormat="1" outlineLevel="1" x14ac:dyDescent="0.25">
      <c r="B279" s="1"/>
      <c r="C279" s="44"/>
      <c r="D279" s="56"/>
      <c r="E279" s="1"/>
      <c r="F279" s="1"/>
      <c r="G279" s="106"/>
      <c r="H279" s="106"/>
      <c r="I279" s="106"/>
      <c r="J279" s="106"/>
      <c r="K279" s="96"/>
      <c r="L279" s="96"/>
      <c r="M279" s="96"/>
      <c r="N279" s="96"/>
      <c r="O279" s="96"/>
      <c r="P279" s="96"/>
    </row>
    <row r="280" spans="2:77" customFormat="1" outlineLevel="1" x14ac:dyDescent="0.25">
      <c r="B280" s="1"/>
      <c r="C280" s="74" t="s">
        <v>113</v>
      </c>
      <c r="D280" s="36" t="s">
        <v>116</v>
      </c>
      <c r="E280" s="153">
        <v>56</v>
      </c>
      <c r="F280" s="151">
        <f>+$E280*F$12</f>
        <v>56.272582831659207</v>
      </c>
      <c r="G280" s="151">
        <f t="shared" ref="G280:BR280" si="2794">+$E280*G$12</f>
        <v>56.546492474034771</v>
      </c>
      <c r="H280" s="151">
        <f t="shared" si="2794"/>
        <v>56.821735385444924</v>
      </c>
      <c r="I280" s="151">
        <f t="shared" si="2794"/>
        <v>57.098318055644114</v>
      </c>
      <c r="J280" s="151">
        <f t="shared" si="2794"/>
        <v>57.376247005975998</v>
      </c>
      <c r="K280" s="151">
        <f t="shared" si="2794"/>
        <v>57.655528789527196</v>
      </c>
      <c r="L280" s="151">
        <f t="shared" si="2794"/>
        <v>57.936169991281822</v>
      </c>
      <c r="M280" s="151">
        <f t="shared" si="2794"/>
        <v>58.218177228276687</v>
      </c>
      <c r="N280" s="151">
        <f t="shared" si="2794"/>
        <v>58.501557149757438</v>
      </c>
      <c r="O280" s="151">
        <f t="shared" si="2794"/>
        <v>58.786316437335188</v>
      </c>
      <c r="P280" s="151">
        <f t="shared" si="2794"/>
        <v>59.072461805144172</v>
      </c>
      <c r="Q280" s="151">
        <f t="shared" si="2794"/>
        <v>59.360000000000014</v>
      </c>
      <c r="R280" s="151">
        <f t="shared" si="2794"/>
        <v>59.554329193471339</v>
      </c>
      <c r="S280" s="151">
        <f t="shared" si="2794"/>
        <v>59.749294570154184</v>
      </c>
      <c r="T280" s="151">
        <f t="shared" si="2794"/>
        <v>59.944898212746821</v>
      </c>
      <c r="U280" s="151">
        <f t="shared" si="2794"/>
        <v>60.14114221076575</v>
      </c>
      <c r="V280" s="151">
        <f t="shared" si="2794"/>
        <v>60.338028660568007</v>
      </c>
      <c r="W280" s="151">
        <f t="shared" si="2794"/>
        <v>60.535559665373569</v>
      </c>
      <c r="X280" s="151">
        <f t="shared" si="2794"/>
        <v>60.733737335287778</v>
      </c>
      <c r="Y280" s="151">
        <f t="shared" si="2794"/>
        <v>60.932563787323929</v>
      </c>
      <c r="Z280" s="151">
        <f t="shared" si="2794"/>
        <v>61.132041145425859</v>
      </c>
      <c r="AA280" s="151">
        <f t="shared" si="2794"/>
        <v>61.332171540490656</v>
      </c>
      <c r="AB280" s="151">
        <f t="shared" si="2794"/>
        <v>61.532957110391408</v>
      </c>
      <c r="AC280" s="151">
        <f t="shared" si="2794"/>
        <v>61.734400000000036</v>
      </c>
      <c r="AD280" s="151">
        <f t="shared" si="2794"/>
        <v>61.886653684631341</v>
      </c>
      <c r="AE280" s="151">
        <f t="shared" si="2794"/>
        <v>62.039282867922779</v>
      </c>
      <c r="AF280" s="151">
        <f t="shared" si="2794"/>
        <v>62.192288475955337</v>
      </c>
      <c r="AG280" s="151">
        <f t="shared" si="2794"/>
        <v>62.345671437093969</v>
      </c>
      <c r="AH280" s="151">
        <f t="shared" si="2794"/>
        <v>62.499432681993255</v>
      </c>
      <c r="AI280" s="151">
        <f t="shared" si="2794"/>
        <v>62.653573143602983</v>
      </c>
      <c r="AJ280" s="151">
        <f t="shared" si="2794"/>
        <v>62.808093757173864</v>
      </c>
      <c r="AK280" s="151">
        <f t="shared" si="2794"/>
        <v>62.962995460263201</v>
      </c>
      <c r="AL280" s="151">
        <f t="shared" si="2794"/>
        <v>63.118279192740538</v>
      </c>
      <c r="AM280" s="151">
        <f t="shared" si="2794"/>
        <v>63.273945896793421</v>
      </c>
      <c r="AN280" s="151">
        <f t="shared" si="2794"/>
        <v>63.429996516933059</v>
      </c>
      <c r="AO280" s="151">
        <f t="shared" si="2794"/>
        <v>63.586432000000102</v>
      </c>
      <c r="AP280" s="151">
        <f t="shared" si="2794"/>
        <v>63.743253295170341</v>
      </c>
      <c r="AQ280" s="151">
        <f t="shared" si="2794"/>
        <v>63.900461353960516</v>
      </c>
      <c r="AR280" s="151">
        <f t="shared" si="2794"/>
        <v>64.058057130234047</v>
      </c>
      <c r="AS280" s="151">
        <f t="shared" si="2794"/>
        <v>64.216041580206848</v>
      </c>
      <c r="AT280" s="151">
        <f t="shared" si="2794"/>
        <v>64.374415662453117</v>
      </c>
      <c r="AU280" s="151">
        <f t="shared" si="2794"/>
        <v>64.533180337911148</v>
      </c>
      <c r="AV280" s="151">
        <f t="shared" si="2794"/>
        <v>64.69233656988915</v>
      </c>
      <c r="AW280" s="151">
        <f t="shared" si="2794"/>
        <v>64.851885324071162</v>
      </c>
      <c r="AX280" s="151">
        <f t="shared" si="2794"/>
        <v>65.011827568522833</v>
      </c>
      <c r="AY280" s="151">
        <f t="shared" si="2794"/>
        <v>65.172164273697291</v>
      </c>
      <c r="AZ280" s="151">
        <f t="shared" si="2794"/>
        <v>65.332896412441116</v>
      </c>
      <c r="BA280" s="151">
        <f t="shared" si="2794"/>
        <v>65.494024960000161</v>
      </c>
      <c r="BB280" s="151">
        <f t="shared" si="2794"/>
        <v>65.628931928070756</v>
      </c>
      <c r="BC280" s="151">
        <f t="shared" si="2794"/>
        <v>65.764116782407243</v>
      </c>
      <c r="BD280" s="151">
        <f t="shared" si="2794"/>
        <v>65.899580095409817</v>
      </c>
      <c r="BE280" s="151">
        <f t="shared" si="2794"/>
        <v>66.035322440657751</v>
      </c>
      <c r="BF280" s="151">
        <f t="shared" si="2794"/>
        <v>66.171344392911777</v>
      </c>
      <c r="BG280" s="151">
        <f t="shared" si="2794"/>
        <v>66.30764652811655</v>
      </c>
      <c r="BH280" s="151">
        <f t="shared" si="2794"/>
        <v>66.444229423403073</v>
      </c>
      <c r="BI280" s="151">
        <f t="shared" si="2794"/>
        <v>66.581093657091159</v>
      </c>
      <c r="BJ280" s="151">
        <f t="shared" si="2794"/>
        <v>66.718239808691834</v>
      </c>
      <c r="BK280" s="151">
        <f t="shared" si="2794"/>
        <v>66.855668458909847</v>
      </c>
      <c r="BL280" s="151">
        <f t="shared" si="2794"/>
        <v>66.993380189646075</v>
      </c>
      <c r="BM280" s="151">
        <f t="shared" si="2794"/>
        <v>67.131375584000082</v>
      </c>
      <c r="BN280" s="151">
        <f t="shared" si="2794"/>
        <v>67.269655226272434</v>
      </c>
      <c r="BO280" s="151">
        <f t="shared" si="2794"/>
        <v>67.40821970196734</v>
      </c>
      <c r="BP280" s="151">
        <f t="shared" si="2794"/>
        <v>67.547069597794973</v>
      </c>
      <c r="BQ280" s="151">
        <f t="shared" si="2794"/>
        <v>67.68620550167411</v>
      </c>
      <c r="BR280" s="151">
        <f t="shared" si="2794"/>
        <v>67.82562800273449</v>
      </c>
      <c r="BS280" s="151">
        <f t="shared" ref="BS280:BY280" si="2795">+$E280*BS$12</f>
        <v>67.965337691319391</v>
      </c>
      <c r="BT280" s="151">
        <f t="shared" si="2795"/>
        <v>68.105335158988069</v>
      </c>
      <c r="BU280" s="151">
        <f t="shared" si="2795"/>
        <v>68.245620998518348</v>
      </c>
      <c r="BV280" s="151">
        <f t="shared" si="2795"/>
        <v>68.386195803909047</v>
      </c>
      <c r="BW280" s="151">
        <f t="shared" si="2795"/>
        <v>68.527060170382512</v>
      </c>
      <c r="BX280" s="151">
        <f t="shared" si="2795"/>
        <v>68.66821469438716</v>
      </c>
      <c r="BY280" s="151">
        <f t="shared" si="2795"/>
        <v>68.809659973600006</v>
      </c>
    </row>
    <row r="281" spans="2:77" customFormat="1" outlineLevel="1" x14ac:dyDescent="0.25">
      <c r="B281" s="1"/>
      <c r="C281" s="50" t="s">
        <v>273</v>
      </c>
      <c r="D281" s="36" t="s">
        <v>116</v>
      </c>
      <c r="E281" s="154">
        <v>56</v>
      </c>
      <c r="F281" s="155">
        <f>IF(F$5=EOMONTH($E264,1),F280,IF(AND(F$5&gt;EOMONTH($E264,1),F$5&lt;=$E266),E281*(1+F267),0))</f>
        <v>0</v>
      </c>
      <c r="G281" s="155">
        <f t="shared" ref="G281" si="2796">IF(G$5=EOMONTH($E264,1),G280,IF(AND(G$5&gt;EOMONTH($E264,1),G$5&lt;=$E266),F281*(1+G267),0))</f>
        <v>0</v>
      </c>
      <c r="H281" s="155">
        <f t="shared" ref="H281" si="2797">IF(H$5=EOMONTH($E264,1),H280,IF(AND(H$5&gt;EOMONTH($E264,1),H$5&lt;=$E266),G281*(1+H267),0))</f>
        <v>0</v>
      </c>
      <c r="I281" s="155">
        <f t="shared" ref="I281" si="2798">IF(I$5=EOMONTH($E264,1),I280,IF(AND(I$5&gt;EOMONTH($E264,1),I$5&lt;=$E266),H281*(1+I267),0))</f>
        <v>0</v>
      </c>
      <c r="J281" s="155">
        <f t="shared" ref="J281" si="2799">IF(J$5=EOMONTH($E264,1),J280,IF(AND(J$5&gt;EOMONTH($E264,1),J$5&lt;=$E266),I281*(1+J267),0))</f>
        <v>0</v>
      </c>
      <c r="K281" s="155">
        <f t="shared" ref="K281" si="2800">IF(K$5=EOMONTH($E264,1),K280,IF(AND(K$5&gt;EOMONTH($E264,1),K$5&lt;=$E266),J281*(1+K267),0))</f>
        <v>0</v>
      </c>
      <c r="L281" s="155">
        <f t="shared" ref="L281" si="2801">IF(L$5=EOMONTH($E264,1),L280,IF(AND(L$5&gt;EOMONTH($E264,1),L$5&lt;=$E266),K281*(1+L267),0))</f>
        <v>0</v>
      </c>
      <c r="M281" s="155">
        <f t="shared" ref="M281" si="2802">IF(M$5=EOMONTH($E264,1),M280,IF(AND(M$5&gt;EOMONTH($E264,1),M$5&lt;=$E266),L281*(1+M267),0))</f>
        <v>0</v>
      </c>
      <c r="N281" s="155">
        <f t="shared" ref="N281" si="2803">IF(N$5=EOMONTH($E264,1),N280,IF(AND(N$5&gt;EOMONTH($E264,1),N$5&lt;=$E266),M281*(1+N267),0))</f>
        <v>0</v>
      </c>
      <c r="O281" s="155">
        <f t="shared" ref="O281" si="2804">IF(O$5=EOMONTH($E264,1),O280,IF(AND(O$5&gt;EOMONTH($E264,1),O$5&lt;=$E266),N281*(1+O267),0))</f>
        <v>0</v>
      </c>
      <c r="P281" s="155">
        <f t="shared" ref="P281" si="2805">IF(P$5=EOMONTH($E264,1),P280,IF(AND(P$5&gt;EOMONTH($E264,1),P$5&lt;=$E266),O281*(1+P267),0))</f>
        <v>0</v>
      </c>
      <c r="Q281" s="155">
        <f t="shared" ref="Q281" si="2806">IF(Q$5=EOMONTH($E264,1),Q280,IF(AND(Q$5&gt;EOMONTH($E264,1),Q$5&lt;=$E266),P281*(1+Q267),0))</f>
        <v>0</v>
      </c>
      <c r="R281" s="155">
        <f t="shared" ref="R281" si="2807">IF(R$5=EOMONTH($E264,1),R280,IF(AND(R$5&gt;EOMONTH($E264,1),R$5&lt;=$E266),Q281*(1+R267),0))</f>
        <v>0</v>
      </c>
      <c r="S281" s="155">
        <f t="shared" ref="S281" si="2808">IF(S$5=EOMONTH($E264,1),S280,IF(AND(S$5&gt;EOMONTH($E264,1),S$5&lt;=$E266),R281*(1+S267),0))</f>
        <v>0</v>
      </c>
      <c r="T281" s="155">
        <f t="shared" ref="T281" si="2809">IF(T$5=EOMONTH($E264,1),T280,IF(AND(T$5&gt;EOMONTH($E264,1),T$5&lt;=$E266),S281*(1+T267),0))</f>
        <v>0</v>
      </c>
      <c r="U281" s="155">
        <f t="shared" ref="U281" si="2810">IF(U$5=EOMONTH($E264,1),U280,IF(AND(U$5&gt;EOMONTH($E264,1),U$5&lt;=$E266),T281*(1+U267),0))</f>
        <v>0</v>
      </c>
      <c r="V281" s="155">
        <f t="shared" ref="V281" si="2811">IF(V$5=EOMONTH($E264,1),V280,IF(AND(V$5&gt;EOMONTH($E264,1),V$5&lt;=$E266),U281*(1+V267),0))</f>
        <v>0</v>
      </c>
      <c r="W281" s="155">
        <f t="shared" ref="W281" si="2812">IF(W$5=EOMONTH($E264,1),W280,IF(AND(W$5&gt;EOMONTH($E264,1),W$5&lt;=$E266),V281*(1+W267),0))</f>
        <v>0</v>
      </c>
      <c r="X281" s="155">
        <f t="shared" ref="X281" si="2813">IF(X$5=EOMONTH($E264,1),X280,IF(AND(X$5&gt;EOMONTH($E264,1),X$5&lt;=$E266),W281*(1+X267),0))</f>
        <v>0</v>
      </c>
      <c r="Y281" s="155">
        <f t="shared" ref="Y281" si="2814">IF(Y$5=EOMONTH($E264,1),Y280,IF(AND(Y$5&gt;EOMONTH($E264,1),Y$5&lt;=$E266),X281*(1+Y267),0))</f>
        <v>0</v>
      </c>
      <c r="Z281" s="155">
        <f t="shared" ref="Z281" si="2815">IF(Z$5=EOMONTH($E264,1),Z280,IF(AND(Z$5&gt;EOMONTH($E264,1),Z$5&lt;=$E266),Y281*(1+Z267),0))</f>
        <v>0</v>
      </c>
      <c r="AA281" s="155">
        <f t="shared" ref="AA281" si="2816">IF(AA$5=EOMONTH($E264,1),AA280,IF(AND(AA$5&gt;EOMONTH($E264,1),AA$5&lt;=$E266),Z281*(1+AA267),0))</f>
        <v>0</v>
      </c>
      <c r="AB281" s="155">
        <f t="shared" ref="AB281" si="2817">IF(AB$5=EOMONTH($E264,1),AB280,IF(AND(AB$5&gt;EOMONTH($E264,1),AB$5&lt;=$E266),AA281*(1+AB267),0))</f>
        <v>0</v>
      </c>
      <c r="AC281" s="155">
        <f t="shared" ref="AC281" si="2818">IF(AC$5=EOMONTH($E264,1),AC280,IF(AND(AC$5&gt;EOMONTH($E264,1),AC$5&lt;=$E266),AB281*(1+AC267),0))</f>
        <v>0</v>
      </c>
      <c r="AD281" s="155">
        <f t="shared" ref="AD281" si="2819">IF(AD$5=EOMONTH($E264,1),AD280,IF(AND(AD$5&gt;EOMONTH($E264,1),AD$5&lt;=$E266),AC281*(1+AD267),0))</f>
        <v>0</v>
      </c>
      <c r="AE281" s="155">
        <f t="shared" ref="AE281" si="2820">IF(AE$5=EOMONTH($E264,1),AE280,IF(AND(AE$5&gt;EOMONTH($E264,1),AE$5&lt;=$E266),AD281*(1+AE267),0))</f>
        <v>0</v>
      </c>
      <c r="AF281" s="155">
        <f t="shared" ref="AF281" si="2821">IF(AF$5=EOMONTH($E264,1),AF280,IF(AND(AF$5&gt;EOMONTH($E264,1),AF$5&lt;=$E266),AE281*(1+AF267),0))</f>
        <v>0</v>
      </c>
      <c r="AG281" s="155">
        <f t="shared" ref="AG281" si="2822">IF(AG$5=EOMONTH($E264,1),AG280,IF(AND(AG$5&gt;EOMONTH($E264,1),AG$5&lt;=$E266),AF281*(1+AG267),0))</f>
        <v>0</v>
      </c>
      <c r="AH281" s="155">
        <f t="shared" ref="AH281" si="2823">IF(AH$5=EOMONTH($E264,1),AH280,IF(AND(AH$5&gt;EOMONTH($E264,1),AH$5&lt;=$E266),AG281*(1+AH267),0))</f>
        <v>0</v>
      </c>
      <c r="AI281" s="155">
        <f t="shared" ref="AI281" si="2824">IF(AI$5=EOMONTH($E264,1),AI280,IF(AND(AI$5&gt;EOMONTH($E264,1),AI$5&lt;=$E266),AH281*(1+AI267),0))</f>
        <v>0</v>
      </c>
      <c r="AJ281" s="155">
        <f t="shared" ref="AJ281" si="2825">IF(AJ$5=EOMONTH($E264,1),AJ280,IF(AND(AJ$5&gt;EOMONTH($E264,1),AJ$5&lt;=$E266),AI281*(1+AJ267),0))</f>
        <v>0</v>
      </c>
      <c r="AK281" s="155">
        <f t="shared" ref="AK281" si="2826">IF(AK$5=EOMONTH($E264,1),AK280,IF(AND(AK$5&gt;EOMONTH($E264,1),AK$5&lt;=$E266),AJ281*(1+AK267),0))</f>
        <v>0</v>
      </c>
      <c r="AL281" s="155">
        <f t="shared" ref="AL281" si="2827">IF(AL$5=EOMONTH($E264,1),AL280,IF(AND(AL$5&gt;EOMONTH($E264,1),AL$5&lt;=$E266),AK281*(1+AL267),0))</f>
        <v>0</v>
      </c>
      <c r="AM281" s="155">
        <f t="shared" ref="AM281" si="2828">IF(AM$5=EOMONTH($E264,1),AM280,IF(AND(AM$5&gt;EOMONTH($E264,1),AM$5&lt;=$E266),AL281*(1+AM267),0))</f>
        <v>0</v>
      </c>
      <c r="AN281" s="155">
        <f t="shared" ref="AN281" si="2829">IF(AN$5=EOMONTH($E264,1),AN280,IF(AND(AN$5&gt;EOMONTH($E264,1),AN$5&lt;=$E266),AM281*(1+AN267),0))</f>
        <v>0</v>
      </c>
      <c r="AO281" s="155">
        <f t="shared" ref="AO281" si="2830">IF(AO$5=EOMONTH($E264,1),AO280,IF(AND(AO$5&gt;EOMONTH($E264,1),AO$5&lt;=$E266),AN281*(1+AO267),0))</f>
        <v>0</v>
      </c>
      <c r="AP281" s="155">
        <f t="shared" ref="AP281" si="2831">IF(AP$5=EOMONTH($E264,1),AP280,IF(AND(AP$5&gt;EOMONTH($E264,1),AP$5&lt;=$E266),AO281*(1+AP267),0))</f>
        <v>0</v>
      </c>
      <c r="AQ281" s="155">
        <f t="shared" ref="AQ281" si="2832">IF(AQ$5=EOMONTH($E264,1),AQ280,IF(AND(AQ$5&gt;EOMONTH($E264,1),AQ$5&lt;=$E266),AP281*(1+AQ267),0))</f>
        <v>0</v>
      </c>
      <c r="AR281" s="155">
        <f t="shared" ref="AR281" si="2833">IF(AR$5=EOMONTH($E264,1),AR280,IF(AND(AR$5&gt;EOMONTH($E264,1),AR$5&lt;=$E266),AQ281*(1+AR267),0))</f>
        <v>0</v>
      </c>
      <c r="AS281" s="155">
        <f t="shared" ref="AS281" si="2834">IF(AS$5=EOMONTH($E264,1),AS280,IF(AND(AS$5&gt;EOMONTH($E264,1),AS$5&lt;=$E266),AR281*(1+AS267),0))</f>
        <v>0</v>
      </c>
      <c r="AT281" s="155">
        <f t="shared" ref="AT281" si="2835">IF(AT$5=EOMONTH($E264,1),AT280,IF(AND(AT$5&gt;EOMONTH($E264,1),AT$5&lt;=$E266),AS281*(1+AT267),0))</f>
        <v>0</v>
      </c>
      <c r="AU281" s="155">
        <f t="shared" ref="AU281" si="2836">IF(AU$5=EOMONTH($E264,1),AU280,IF(AND(AU$5&gt;EOMONTH($E264,1),AU$5&lt;=$E266),AT281*(1+AU267),0))</f>
        <v>0</v>
      </c>
      <c r="AV281" s="155">
        <f t="shared" ref="AV281" si="2837">IF(AV$5=EOMONTH($E264,1),AV280,IF(AND(AV$5&gt;EOMONTH($E264,1),AV$5&lt;=$E266),AU281*(1+AV267),0))</f>
        <v>0</v>
      </c>
      <c r="AW281" s="155">
        <f t="shared" ref="AW281" si="2838">IF(AW$5=EOMONTH($E264,1),AW280,IF(AND(AW$5&gt;EOMONTH($E264,1),AW$5&lt;=$E266),AV281*(1+AW267),0))</f>
        <v>0</v>
      </c>
      <c r="AX281" s="155">
        <f t="shared" ref="AX281" si="2839">IF(AX$5=EOMONTH($E264,1),AX280,IF(AND(AX$5&gt;EOMONTH($E264,1),AX$5&lt;=$E266),AW281*(1+AX267),0))</f>
        <v>0</v>
      </c>
      <c r="AY281" s="155">
        <f t="shared" ref="AY281" si="2840">IF(AY$5=EOMONTH($E264,1),AY280,IF(AND(AY$5&gt;EOMONTH($E264,1),AY$5&lt;=$E266),AX281*(1+AY267),0))</f>
        <v>0</v>
      </c>
      <c r="AZ281" s="155">
        <f t="shared" ref="AZ281" si="2841">IF(AZ$5=EOMONTH($E264,1),AZ280,IF(AND(AZ$5&gt;EOMONTH($E264,1),AZ$5&lt;=$E266),AY281*(1+AZ267),0))</f>
        <v>0</v>
      </c>
      <c r="BA281" s="155">
        <f t="shared" ref="BA281" si="2842">IF(BA$5=EOMONTH($E264,1),BA280,IF(AND(BA$5&gt;EOMONTH($E264,1),BA$5&lt;=$E266),AZ281*(1+BA267),0))</f>
        <v>0</v>
      </c>
      <c r="BB281" s="155">
        <f t="shared" ref="BB281" si="2843">IF(BB$5=EOMONTH($E264,1),BB280,IF(AND(BB$5&gt;EOMONTH($E264,1),BB$5&lt;=$E266),BA281*(1+BB267),0))</f>
        <v>0</v>
      </c>
      <c r="BC281" s="155">
        <f t="shared" ref="BC281" si="2844">IF(BC$5=EOMONTH($E264,1),BC280,IF(AND(BC$5&gt;EOMONTH($E264,1),BC$5&lt;=$E266),BB281*(1+BC267),0))</f>
        <v>0</v>
      </c>
      <c r="BD281" s="155">
        <f t="shared" ref="BD281" si="2845">IF(BD$5=EOMONTH($E264,1),BD280,IF(AND(BD$5&gt;EOMONTH($E264,1),BD$5&lt;=$E266),BC281*(1+BD267),0))</f>
        <v>0</v>
      </c>
      <c r="BE281" s="155">
        <f t="shared" ref="BE281" si="2846">IF(BE$5=EOMONTH($E264,1),BE280,IF(AND(BE$5&gt;EOMONTH($E264,1),BE$5&lt;=$E266),BD281*(1+BE267),0))</f>
        <v>0</v>
      </c>
      <c r="BF281" s="155">
        <f t="shared" ref="BF281" si="2847">IF(BF$5=EOMONTH($E264,1),BF280,IF(AND(BF$5&gt;EOMONTH($E264,1),BF$5&lt;=$E266),BE281*(1+BF267),0))</f>
        <v>0</v>
      </c>
      <c r="BG281" s="155">
        <f t="shared" ref="BG281" si="2848">IF(BG$5=EOMONTH($E264,1),BG280,IF(AND(BG$5&gt;EOMONTH($E264,1),BG$5&lt;=$E266),BF281*(1+BG267),0))</f>
        <v>0</v>
      </c>
      <c r="BH281" s="155">
        <f t="shared" ref="BH281" si="2849">IF(BH$5=EOMONTH($E264,1),BH280,IF(AND(BH$5&gt;EOMONTH($E264,1),BH$5&lt;=$E266),BG281*(1+BH267),0))</f>
        <v>0</v>
      </c>
      <c r="BI281" s="155">
        <f t="shared" ref="BI281" si="2850">IF(BI$5=EOMONTH($E264,1),BI280,IF(AND(BI$5&gt;EOMONTH($E264,1),BI$5&lt;=$E266),BH281*(1+BI267),0))</f>
        <v>0</v>
      </c>
      <c r="BJ281" s="155">
        <f t="shared" ref="BJ281" si="2851">IF(BJ$5=EOMONTH($E264,1),BJ280,IF(AND(BJ$5&gt;EOMONTH($E264,1),BJ$5&lt;=$E266),BI281*(1+BJ267),0))</f>
        <v>0</v>
      </c>
      <c r="BK281" s="155">
        <f t="shared" ref="BK281" si="2852">IF(BK$5=EOMONTH($E264,1),BK280,IF(AND(BK$5&gt;EOMONTH($E264,1),BK$5&lt;=$E266),BJ281*(1+BK267),0))</f>
        <v>0</v>
      </c>
      <c r="BL281" s="155">
        <f t="shared" ref="BL281" si="2853">IF(BL$5=EOMONTH($E264,1),BL280,IF(AND(BL$5&gt;EOMONTH($E264,1),BL$5&lt;=$E266),BK281*(1+BL267),0))</f>
        <v>0</v>
      </c>
      <c r="BM281" s="155">
        <f t="shared" ref="BM281" si="2854">IF(BM$5=EOMONTH($E264,1),BM280,IF(AND(BM$5&gt;EOMONTH($E264,1),BM$5&lt;=$E266),BL281*(1+BM267),0))</f>
        <v>0</v>
      </c>
      <c r="BN281" s="155">
        <f t="shared" ref="BN281" si="2855">IF(BN$5=EOMONTH($E264,1),BN280,IF(AND(BN$5&gt;EOMONTH($E264,1),BN$5&lt;=$E266),BM281*(1+BN267),0))</f>
        <v>0</v>
      </c>
      <c r="BO281" s="155">
        <f t="shared" ref="BO281" si="2856">IF(BO$5=EOMONTH($E264,1),BO280,IF(AND(BO$5&gt;EOMONTH($E264,1),BO$5&lt;=$E266),BN281*(1+BO267),0))</f>
        <v>0</v>
      </c>
      <c r="BP281" s="155">
        <f t="shared" ref="BP281" si="2857">IF(BP$5=EOMONTH($E264,1),BP280,IF(AND(BP$5&gt;EOMONTH($E264,1),BP$5&lt;=$E266),BO281*(1+BP267),0))</f>
        <v>0</v>
      </c>
      <c r="BQ281" s="155">
        <f t="shared" ref="BQ281" si="2858">IF(BQ$5=EOMONTH($E264,1),BQ280,IF(AND(BQ$5&gt;EOMONTH($E264,1),BQ$5&lt;=$E266),BP281*(1+BQ267),0))</f>
        <v>0</v>
      </c>
      <c r="BR281" s="155">
        <f t="shared" ref="BR281" si="2859">IF(BR$5=EOMONTH($E264,1),BR280,IF(AND(BR$5&gt;EOMONTH($E264,1),BR$5&lt;=$E266),BQ281*(1+BR267),0))</f>
        <v>0</v>
      </c>
      <c r="BS281" s="155">
        <f t="shared" ref="BS281" si="2860">IF(BS$5=EOMONTH($E264,1),BS280,IF(AND(BS$5&gt;EOMONTH($E264,1),BS$5&lt;=$E266),BR281*(1+BS267),0))</f>
        <v>0</v>
      </c>
      <c r="BT281" s="155">
        <f t="shared" ref="BT281" si="2861">IF(BT$5=EOMONTH($E264,1),BT280,IF(AND(BT$5&gt;EOMONTH($E264,1),BT$5&lt;=$E266),BS281*(1+BT267),0))</f>
        <v>0</v>
      </c>
      <c r="BU281" s="155">
        <f t="shared" ref="BU281" si="2862">IF(BU$5=EOMONTH($E264,1),BU280,IF(AND(BU$5&gt;EOMONTH($E264,1),BU$5&lt;=$E266),BT281*(1+BU267),0))</f>
        <v>0</v>
      </c>
      <c r="BV281" s="155">
        <f t="shared" ref="BV281" si="2863">IF(BV$5=EOMONTH($E264,1),BV280,IF(AND(BV$5&gt;EOMONTH($E264,1),BV$5&lt;=$E266),BU281*(1+BV267),0))</f>
        <v>0</v>
      </c>
      <c r="BW281" s="155">
        <f t="shared" ref="BW281" si="2864">IF(BW$5=EOMONTH($E264,1),BW280,IF(AND(BW$5&gt;EOMONTH($E264,1),BW$5&lt;=$E266),BV281*(1+BW267),0))</f>
        <v>0</v>
      </c>
      <c r="BX281" s="155">
        <f t="shared" ref="BX281" si="2865">IF(BX$5=EOMONTH($E264,1),BX280,IF(AND(BX$5&gt;EOMONTH($E264,1),BX$5&lt;=$E266),BW281*(1+BX267),0))</f>
        <v>0</v>
      </c>
      <c r="BY281" s="155">
        <f t="shared" ref="BY281" si="2866">IF(BY$5=EOMONTH($E264,1),BY280,IF(AND(BY$5&gt;EOMONTH($E264,1),BY$5&lt;=$E266),BX281*(1+BY267),0))</f>
        <v>0</v>
      </c>
    </row>
    <row r="282" spans="2:77" customFormat="1" outlineLevel="1" x14ac:dyDescent="0.25">
      <c r="B282" s="1"/>
      <c r="C282" s="50" t="s">
        <v>274</v>
      </c>
      <c r="D282" s="36" t="s">
        <v>116</v>
      </c>
      <c r="E282" s="1"/>
      <c r="F282" s="155">
        <f>IF(F$5=EOMONTH($E270,1),F280,IF(AND(F$5&gt;EOMONTH($E270,1),F$5&lt;=$E272),E282*(1+F273),0))</f>
        <v>0</v>
      </c>
      <c r="G282" s="155">
        <f t="shared" ref="G282" si="2867">IF(G$5=EOMONTH($E270,1),G280,IF(AND(G$5&gt;EOMONTH($E270,1),G$5&lt;=$E272),F282*(1+G273),0))</f>
        <v>0</v>
      </c>
      <c r="H282" s="155">
        <f t="shared" ref="H282" si="2868">IF(H$5=EOMONTH($E270,1),H280,IF(AND(H$5&gt;EOMONTH($E270,1),H$5&lt;=$E272),G282*(1+H273),0))</f>
        <v>0</v>
      </c>
      <c r="I282" s="155">
        <f t="shared" ref="I282" si="2869">IF(I$5=EOMONTH($E270,1),I280,IF(AND(I$5&gt;EOMONTH($E270,1),I$5&lt;=$E272),H282*(1+I273),0))</f>
        <v>0</v>
      </c>
      <c r="J282" s="155">
        <f t="shared" ref="J282" si="2870">IF(J$5=EOMONTH($E270,1),J280,IF(AND(J$5&gt;EOMONTH($E270,1),J$5&lt;=$E272),I282*(1+J273),0))</f>
        <v>0</v>
      </c>
      <c r="K282" s="155">
        <f t="shared" ref="K282" si="2871">IF(K$5=EOMONTH($E270,1),K280,IF(AND(K$5&gt;EOMONTH($E270,1),K$5&lt;=$E272),J282*(1+K273),0))</f>
        <v>0</v>
      </c>
      <c r="L282" s="155">
        <f t="shared" ref="L282" si="2872">IF(L$5=EOMONTH($E270,1),L280,IF(AND(L$5&gt;EOMONTH($E270,1),L$5&lt;=$E272),K282*(1+L273),0))</f>
        <v>0</v>
      </c>
      <c r="M282" s="155">
        <f t="shared" ref="M282" si="2873">IF(M$5=EOMONTH($E270,1),M280,IF(AND(M$5&gt;EOMONTH($E270,1),M$5&lt;=$E272),L282*(1+M273),0))</f>
        <v>0</v>
      </c>
      <c r="N282" s="155">
        <f t="shared" ref="N282" si="2874">IF(N$5=EOMONTH($E270,1),N280,IF(AND(N$5&gt;EOMONTH($E270,1),N$5&lt;=$E272),M282*(1+N273),0))</f>
        <v>0</v>
      </c>
      <c r="O282" s="155">
        <f t="shared" ref="O282" si="2875">IF(O$5=EOMONTH($E270,1),O280,IF(AND(O$5&gt;EOMONTH($E270,1),O$5&lt;=$E272),N282*(1+O273),0))</f>
        <v>0</v>
      </c>
      <c r="P282" s="155">
        <f t="shared" ref="P282" si="2876">IF(P$5=EOMONTH($E270,1),P280,IF(AND(P$5&gt;EOMONTH($E270,1),P$5&lt;=$E272),O282*(1+P273),0))</f>
        <v>0</v>
      </c>
      <c r="Q282" s="155">
        <f t="shared" ref="Q282" si="2877">IF(Q$5=EOMONTH($E270,1),Q280,IF(AND(Q$5&gt;EOMONTH($E270,1),Q$5&lt;=$E272),P282*(1+Q273),0))</f>
        <v>0</v>
      </c>
      <c r="R282" s="155">
        <f t="shared" ref="R282" si="2878">IF(R$5=EOMONTH($E270,1),R280,IF(AND(R$5&gt;EOMONTH($E270,1),R$5&lt;=$E272),Q282*(1+R273),0))</f>
        <v>0</v>
      </c>
      <c r="S282" s="155">
        <f t="shared" ref="S282" si="2879">IF(S$5=EOMONTH($E270,1),S280,IF(AND(S$5&gt;EOMONTH($E270,1),S$5&lt;=$E272),R282*(1+S273),0))</f>
        <v>0</v>
      </c>
      <c r="T282" s="155">
        <f t="shared" ref="T282" si="2880">IF(T$5=EOMONTH($E270,1),T280,IF(AND(T$5&gt;EOMONTH($E270,1),T$5&lt;=$E272),S282*(1+T273),0))</f>
        <v>0</v>
      </c>
      <c r="U282" s="155">
        <f t="shared" ref="U282" si="2881">IF(U$5=EOMONTH($E270,1),U280,IF(AND(U$5&gt;EOMONTH($E270,1),U$5&lt;=$E272),T282*(1+U273),0))</f>
        <v>0</v>
      </c>
      <c r="V282" s="155">
        <f t="shared" ref="V282" si="2882">IF(V$5=EOMONTH($E270,1),V280,IF(AND(V$5&gt;EOMONTH($E270,1),V$5&lt;=$E272),U282*(1+V273),0))</f>
        <v>0</v>
      </c>
      <c r="W282" s="155">
        <f t="shared" ref="W282" si="2883">IF(W$5=EOMONTH($E270,1),W280,IF(AND(W$5&gt;EOMONTH($E270,1),W$5&lt;=$E272),V282*(1+W273),0))</f>
        <v>0</v>
      </c>
      <c r="X282" s="155">
        <f t="shared" ref="X282" si="2884">IF(X$5=EOMONTH($E270,1),X280,IF(AND(X$5&gt;EOMONTH($E270,1),X$5&lt;=$E272),W282*(1+X273),0))</f>
        <v>0</v>
      </c>
      <c r="Y282" s="155">
        <f t="shared" ref="Y282" si="2885">IF(Y$5=EOMONTH($E270,1),Y280,IF(AND(Y$5&gt;EOMONTH($E270,1),Y$5&lt;=$E272),X282*(1+Y273),0))</f>
        <v>0</v>
      </c>
      <c r="Z282" s="155">
        <f t="shared" ref="Z282" si="2886">IF(Z$5=EOMONTH($E270,1),Z280,IF(AND(Z$5&gt;EOMONTH($E270,1),Z$5&lt;=$E272),Y282*(1+Z273),0))</f>
        <v>0</v>
      </c>
      <c r="AA282" s="155">
        <f t="shared" ref="AA282" si="2887">IF(AA$5=EOMONTH($E270,1),AA280,IF(AND(AA$5&gt;EOMONTH($E270,1),AA$5&lt;=$E272),Z282*(1+AA273),0))</f>
        <v>0</v>
      </c>
      <c r="AB282" s="155">
        <f t="shared" ref="AB282" si="2888">IF(AB$5=EOMONTH($E270,1),AB280,IF(AND(AB$5&gt;EOMONTH($E270,1),AB$5&lt;=$E272),AA282*(1+AB273),0))</f>
        <v>0</v>
      </c>
      <c r="AC282" s="155">
        <f t="shared" ref="AC282" si="2889">IF(AC$5=EOMONTH($E270,1),AC280,IF(AND(AC$5&gt;EOMONTH($E270,1),AC$5&lt;=$E272),AB282*(1+AC273),0))</f>
        <v>0</v>
      </c>
      <c r="AD282" s="155">
        <f t="shared" ref="AD282" si="2890">IF(AD$5=EOMONTH($E270,1),AD280,IF(AND(AD$5&gt;EOMONTH($E270,1),AD$5&lt;=$E272),AC282*(1+AD273),0))</f>
        <v>0</v>
      </c>
      <c r="AE282" s="155">
        <f t="shared" ref="AE282" si="2891">IF(AE$5=EOMONTH($E270,1),AE280,IF(AND(AE$5&gt;EOMONTH($E270,1),AE$5&lt;=$E272),AD282*(1+AE273),0))</f>
        <v>0</v>
      </c>
      <c r="AF282" s="155">
        <f t="shared" ref="AF282" si="2892">IF(AF$5=EOMONTH($E270,1),AF280,IF(AND(AF$5&gt;EOMONTH($E270,1),AF$5&lt;=$E272),AE282*(1+AF273),0))</f>
        <v>0</v>
      </c>
      <c r="AG282" s="155">
        <f t="shared" ref="AG282" si="2893">IF(AG$5=EOMONTH($E270,1),AG280,IF(AND(AG$5&gt;EOMONTH($E270,1),AG$5&lt;=$E272),AF282*(1+AG273),0))</f>
        <v>0</v>
      </c>
      <c r="AH282" s="155">
        <f t="shared" ref="AH282" si="2894">IF(AH$5=EOMONTH($E270,1),AH280,IF(AND(AH$5&gt;EOMONTH($E270,1),AH$5&lt;=$E272),AG282*(1+AH273),0))</f>
        <v>0</v>
      </c>
      <c r="AI282" s="155">
        <f t="shared" ref="AI282" si="2895">IF(AI$5=EOMONTH($E270,1),AI280,IF(AND(AI$5&gt;EOMONTH($E270,1),AI$5&lt;=$E272),AH282*(1+AI273),0))</f>
        <v>0</v>
      </c>
      <c r="AJ282" s="155">
        <f t="shared" ref="AJ282" si="2896">IF(AJ$5=EOMONTH($E270,1),AJ280,IF(AND(AJ$5&gt;EOMONTH($E270,1),AJ$5&lt;=$E272),AI282*(1+AJ273),0))</f>
        <v>0</v>
      </c>
      <c r="AK282" s="155">
        <f t="shared" ref="AK282" si="2897">IF(AK$5=EOMONTH($E270,1),AK280,IF(AND(AK$5&gt;EOMONTH($E270,1),AK$5&lt;=$E272),AJ282*(1+AK273),0))</f>
        <v>0</v>
      </c>
      <c r="AL282" s="155">
        <f t="shared" ref="AL282" si="2898">IF(AL$5=EOMONTH($E270,1),AL280,IF(AND(AL$5&gt;EOMONTH($E270,1),AL$5&lt;=$E272),AK282*(1+AL273),0))</f>
        <v>0</v>
      </c>
      <c r="AM282" s="155">
        <f t="shared" ref="AM282" si="2899">IF(AM$5=EOMONTH($E270,1),AM280,IF(AND(AM$5&gt;EOMONTH($E270,1),AM$5&lt;=$E272),AL282*(1+AM273),0))</f>
        <v>0</v>
      </c>
      <c r="AN282" s="155">
        <f t="shared" ref="AN282" si="2900">IF(AN$5=EOMONTH($E270,1),AN280,IF(AND(AN$5&gt;EOMONTH($E270,1),AN$5&lt;=$E272),AM282*(1+AN273),0))</f>
        <v>0</v>
      </c>
      <c r="AO282" s="155">
        <f t="shared" ref="AO282" si="2901">IF(AO$5=EOMONTH($E270,1),AO280,IF(AND(AO$5&gt;EOMONTH($E270,1),AO$5&lt;=$E272),AN282*(1+AO273),0))</f>
        <v>0</v>
      </c>
      <c r="AP282" s="155">
        <f t="shared" ref="AP282" si="2902">IF(AP$5=EOMONTH($E270,1),AP280,IF(AND(AP$5&gt;EOMONTH($E270,1),AP$5&lt;=$E272),AO282*(1+AP273),0))</f>
        <v>0</v>
      </c>
      <c r="AQ282" s="155">
        <f t="shared" ref="AQ282" si="2903">IF(AQ$5=EOMONTH($E270,1),AQ280,IF(AND(AQ$5&gt;EOMONTH($E270,1),AQ$5&lt;=$E272),AP282*(1+AQ273),0))</f>
        <v>0</v>
      </c>
      <c r="AR282" s="155">
        <f t="shared" ref="AR282" si="2904">IF(AR$5=EOMONTH($E270,1),AR280,IF(AND(AR$5&gt;EOMONTH($E270,1),AR$5&lt;=$E272),AQ282*(1+AR273),0))</f>
        <v>0</v>
      </c>
      <c r="AS282" s="155">
        <f t="shared" ref="AS282" si="2905">IF(AS$5=EOMONTH($E270,1),AS280,IF(AND(AS$5&gt;EOMONTH($E270,1),AS$5&lt;=$E272),AR282*(1+AS273),0))</f>
        <v>0</v>
      </c>
      <c r="AT282" s="155">
        <f t="shared" ref="AT282" si="2906">IF(AT$5=EOMONTH($E270,1),AT280,IF(AND(AT$5&gt;EOMONTH($E270,1),AT$5&lt;=$E272),AS282*(1+AT273),0))</f>
        <v>0</v>
      </c>
      <c r="AU282" s="155">
        <f t="shared" ref="AU282" si="2907">IF(AU$5=EOMONTH($E270,1),AU280,IF(AND(AU$5&gt;EOMONTH($E270,1),AU$5&lt;=$E272),AT282*(1+AU273),0))</f>
        <v>0</v>
      </c>
      <c r="AV282" s="155">
        <f t="shared" ref="AV282" si="2908">IF(AV$5=EOMONTH($E270,1),AV280,IF(AND(AV$5&gt;EOMONTH($E270,1),AV$5&lt;=$E272),AU282*(1+AV273),0))</f>
        <v>0</v>
      </c>
      <c r="AW282" s="155">
        <f t="shared" ref="AW282" si="2909">IF(AW$5=EOMONTH($E270,1),AW280,IF(AND(AW$5&gt;EOMONTH($E270,1),AW$5&lt;=$E272),AV282*(1+AW273),0))</f>
        <v>0</v>
      </c>
      <c r="AX282" s="155">
        <f t="shared" ref="AX282" si="2910">IF(AX$5=EOMONTH($E270,1),AX280,IF(AND(AX$5&gt;EOMONTH($E270,1),AX$5&lt;=$E272),AW282*(1+AX273),0))</f>
        <v>0</v>
      </c>
      <c r="AY282" s="155">
        <f t="shared" ref="AY282" si="2911">IF(AY$5=EOMONTH($E270,1),AY280,IF(AND(AY$5&gt;EOMONTH($E270,1),AY$5&lt;=$E272),AX282*(1+AY273),0))</f>
        <v>0</v>
      </c>
      <c r="AZ282" s="155">
        <f t="shared" ref="AZ282" si="2912">IF(AZ$5=EOMONTH($E270,1),AZ280,IF(AND(AZ$5&gt;EOMONTH($E270,1),AZ$5&lt;=$E272),AY282*(1+AZ273),0))</f>
        <v>0</v>
      </c>
      <c r="BA282" s="155">
        <f t="shared" ref="BA282" si="2913">IF(BA$5=EOMONTH($E270,1),BA280,IF(AND(BA$5&gt;EOMONTH($E270,1),BA$5&lt;=$E272),AZ282*(1+BA273),0))</f>
        <v>0</v>
      </c>
      <c r="BB282" s="155">
        <f t="shared" ref="BB282" si="2914">IF(BB$5=EOMONTH($E270,1),BB280,IF(AND(BB$5&gt;EOMONTH($E270,1),BB$5&lt;=$E272),BA282*(1+BB273),0))</f>
        <v>0</v>
      </c>
      <c r="BC282" s="155">
        <f t="shared" ref="BC282" si="2915">IF(BC$5=EOMONTH($E270,1),BC280,IF(AND(BC$5&gt;EOMONTH($E270,1),BC$5&lt;=$E272),BB282*(1+BC273),0))</f>
        <v>0</v>
      </c>
      <c r="BD282" s="155">
        <f t="shared" ref="BD282" si="2916">IF(BD$5=EOMONTH($E270,1),BD280,IF(AND(BD$5&gt;EOMONTH($E270,1),BD$5&lt;=$E272),BC282*(1+BD273),0))</f>
        <v>0</v>
      </c>
      <c r="BE282" s="155">
        <f t="shared" ref="BE282" si="2917">IF(BE$5=EOMONTH($E270,1),BE280,IF(AND(BE$5&gt;EOMONTH($E270,1),BE$5&lt;=$E272),BD282*(1+BE273),0))</f>
        <v>0</v>
      </c>
      <c r="BF282" s="155">
        <f t="shared" ref="BF282" si="2918">IF(BF$5=EOMONTH($E270,1),BF280,IF(AND(BF$5&gt;EOMONTH($E270,1),BF$5&lt;=$E272),BE282*(1+BF273),0))</f>
        <v>0</v>
      </c>
      <c r="BG282" s="155">
        <f t="shared" ref="BG282" si="2919">IF(BG$5=EOMONTH($E270,1),BG280,IF(AND(BG$5&gt;EOMONTH($E270,1),BG$5&lt;=$E272),BF282*(1+BG273),0))</f>
        <v>0</v>
      </c>
      <c r="BH282" s="155">
        <f t="shared" ref="BH282" si="2920">IF(BH$5=EOMONTH($E270,1),BH280,IF(AND(BH$5&gt;EOMONTH($E270,1),BH$5&lt;=$E272),BG282*(1+BH273),0))</f>
        <v>0</v>
      </c>
      <c r="BI282" s="155">
        <f t="shared" ref="BI282" si="2921">IF(BI$5=EOMONTH($E270,1),BI280,IF(AND(BI$5&gt;EOMONTH($E270,1),BI$5&lt;=$E272),BH282*(1+BI273),0))</f>
        <v>0</v>
      </c>
      <c r="BJ282" s="155">
        <f t="shared" ref="BJ282" si="2922">IF(BJ$5=EOMONTH($E270,1),BJ280,IF(AND(BJ$5&gt;EOMONTH($E270,1),BJ$5&lt;=$E272),BI282*(1+BJ273),0))</f>
        <v>0</v>
      </c>
      <c r="BK282" s="155">
        <f t="shared" ref="BK282" si="2923">IF(BK$5=EOMONTH($E270,1),BK280,IF(AND(BK$5&gt;EOMONTH($E270,1),BK$5&lt;=$E272),BJ282*(1+BK273),0))</f>
        <v>0</v>
      </c>
      <c r="BL282" s="155">
        <f t="shared" ref="BL282" si="2924">IF(BL$5=EOMONTH($E270,1),BL280,IF(AND(BL$5&gt;EOMONTH($E270,1),BL$5&lt;=$E272),BK282*(1+BL273),0))</f>
        <v>0</v>
      </c>
      <c r="BM282" s="155">
        <f t="shared" ref="BM282" si="2925">IF(BM$5=EOMONTH($E270,1),BM280,IF(AND(BM$5&gt;EOMONTH($E270,1),BM$5&lt;=$E272),BL282*(1+BM273),0))</f>
        <v>0</v>
      </c>
      <c r="BN282" s="155">
        <f t="shared" ref="BN282" si="2926">IF(BN$5=EOMONTH($E270,1),BN280,IF(AND(BN$5&gt;EOMONTH($E270,1),BN$5&lt;=$E272),BM282*(1+BN273),0))</f>
        <v>0</v>
      </c>
      <c r="BO282" s="155">
        <f t="shared" ref="BO282" si="2927">IF(BO$5=EOMONTH($E270,1),BO280,IF(AND(BO$5&gt;EOMONTH($E270,1),BO$5&lt;=$E272),BN282*(1+BO273),0))</f>
        <v>0</v>
      </c>
      <c r="BP282" s="155">
        <f t="shared" ref="BP282" si="2928">IF(BP$5=EOMONTH($E270,1),BP280,IF(AND(BP$5&gt;EOMONTH($E270,1),BP$5&lt;=$E272),BO282*(1+BP273),0))</f>
        <v>0</v>
      </c>
      <c r="BQ282" s="155">
        <f t="shared" ref="BQ282" si="2929">IF(BQ$5=EOMONTH($E270,1),BQ280,IF(AND(BQ$5&gt;EOMONTH($E270,1),BQ$5&lt;=$E272),BP282*(1+BQ273),0))</f>
        <v>0</v>
      </c>
      <c r="BR282" s="155">
        <f t="shared" ref="BR282" si="2930">IF(BR$5=EOMONTH($E270,1),BR280,IF(AND(BR$5&gt;EOMONTH($E270,1),BR$5&lt;=$E272),BQ282*(1+BR273),0))</f>
        <v>0</v>
      </c>
      <c r="BS282" s="155">
        <f t="shared" ref="BS282" si="2931">IF(BS$5=EOMONTH($E270,1),BS280,IF(AND(BS$5&gt;EOMONTH($E270,1),BS$5&lt;=$E272),BR282*(1+BS273),0))</f>
        <v>0</v>
      </c>
      <c r="BT282" s="155">
        <f t="shared" ref="BT282" si="2932">IF(BT$5=EOMONTH($E270,1),BT280,IF(AND(BT$5&gt;EOMONTH($E270,1),BT$5&lt;=$E272),BS282*(1+BT273),0))</f>
        <v>0</v>
      </c>
      <c r="BU282" s="155">
        <f t="shared" ref="BU282" si="2933">IF(BU$5=EOMONTH($E270,1),BU280,IF(AND(BU$5&gt;EOMONTH($E270,1),BU$5&lt;=$E272),BT282*(1+BU273),0))</f>
        <v>0</v>
      </c>
      <c r="BV282" s="155">
        <f t="shared" ref="BV282" si="2934">IF(BV$5=EOMONTH($E270,1),BV280,IF(AND(BV$5&gt;EOMONTH($E270,1),BV$5&lt;=$E272),BU282*(1+BV273),0))</f>
        <v>0</v>
      </c>
      <c r="BW282" s="155">
        <f t="shared" ref="BW282" si="2935">IF(BW$5=EOMONTH($E270,1),BW280,IF(AND(BW$5&gt;EOMONTH($E270,1),BW$5&lt;=$E272),BV282*(1+BW273),0))</f>
        <v>0</v>
      </c>
      <c r="BX282" s="155">
        <f t="shared" ref="BX282" si="2936">IF(BX$5=EOMONTH($E270,1),BX280,IF(AND(BX$5&gt;EOMONTH($E270,1),BX$5&lt;=$E272),BW282*(1+BX273),0))</f>
        <v>0</v>
      </c>
      <c r="BY282" s="155">
        <f t="shared" ref="BY282" si="2937">IF(BY$5=EOMONTH($E270,1),BY280,IF(AND(BY$5&gt;EOMONTH($E270,1),BY$5&lt;=$E272),BX282*(1+BY273),0))</f>
        <v>0</v>
      </c>
    </row>
    <row r="283" spans="2:77" customFormat="1" outlineLevel="1" x14ac:dyDescent="0.25">
      <c r="B283" s="1"/>
      <c r="C283" s="50" t="s">
        <v>275</v>
      </c>
      <c r="D283" s="36" t="s">
        <v>116</v>
      </c>
      <c r="E283" s="1"/>
      <c r="F283" s="155">
        <f>IF(F$5=EOMONTH($E275,1),F280,IF(F$5&gt;EOMONTH($E275,1),E283*(1+F278),IF(AND(F$5&gt;$E266,F$5&lt;=$E275),F280,0)))</f>
        <v>0</v>
      </c>
      <c r="G283" s="155">
        <f t="shared" ref="G283" si="2938">IF(G$5=EOMONTH($E275,1),G280,IF(G$5&gt;EOMONTH($E275,1),F283*(1+G278),IF(AND(G$5&gt;$E266,G$5&lt;=$E275),G280,0)))</f>
        <v>0</v>
      </c>
      <c r="H283" s="155">
        <f t="shared" ref="H283" si="2939">IF(H$5=EOMONTH($E275,1),H280,IF(H$5&gt;EOMONTH($E275,1),G283*(1+H278),IF(AND(H$5&gt;$E266,H$5&lt;=$E275),H280,0)))</f>
        <v>0</v>
      </c>
      <c r="I283" s="155">
        <f t="shared" ref="I283" si="2940">IF(I$5=EOMONTH($E275,1),I280,IF(I$5&gt;EOMONTH($E275,1),H283*(1+I278),IF(AND(I$5&gt;$E266,I$5&lt;=$E275),I280,0)))</f>
        <v>0</v>
      </c>
      <c r="J283" s="155">
        <f t="shared" ref="J283" si="2941">IF(J$5=EOMONTH($E275,1),J280,IF(J$5&gt;EOMONTH($E275,1),I283*(1+J278),IF(AND(J$5&gt;$E266,J$5&lt;=$E275),J280,0)))</f>
        <v>0</v>
      </c>
      <c r="K283" s="155">
        <f t="shared" ref="K283" si="2942">IF(K$5=EOMONTH($E275,1),K280,IF(K$5&gt;EOMONTH($E275,1),J283*(1+K278),IF(AND(K$5&gt;$E266,K$5&lt;=$E275),K280,0)))</f>
        <v>0</v>
      </c>
      <c r="L283" s="155">
        <f t="shared" ref="L283" si="2943">IF(L$5=EOMONTH($E275,1),L280,IF(L$5&gt;EOMONTH($E275,1),K283*(1+L278),IF(AND(L$5&gt;$E266,L$5&lt;=$E275),L280,0)))</f>
        <v>0</v>
      </c>
      <c r="M283" s="155">
        <f t="shared" ref="M283" si="2944">IF(M$5=EOMONTH($E275,1),M280,IF(M$5&gt;EOMONTH($E275,1),L283*(1+M278),IF(AND(M$5&gt;$E266,M$5&lt;=$E275),M280,0)))</f>
        <v>0</v>
      </c>
      <c r="N283" s="155">
        <f t="shared" ref="N283" si="2945">IF(N$5=EOMONTH($E275,1),N280,IF(N$5&gt;EOMONTH($E275,1),M283*(1+N278),IF(AND(N$5&gt;$E266,N$5&lt;=$E275),N280,0)))</f>
        <v>0</v>
      </c>
      <c r="O283" s="155">
        <f t="shared" ref="O283" si="2946">IF(O$5=EOMONTH($E275,1),O280,IF(O$5&gt;EOMONTH($E275,1),N283*(1+O278),IF(AND(O$5&gt;$E266,O$5&lt;=$E275),O280,0)))</f>
        <v>0</v>
      </c>
      <c r="P283" s="155">
        <f t="shared" ref="P283" si="2947">IF(P$5=EOMONTH($E275,1),P280,IF(P$5&gt;EOMONTH($E275,1),O283*(1+P278),IF(AND(P$5&gt;$E266,P$5&lt;=$E275),P280,0)))</f>
        <v>0</v>
      </c>
      <c r="Q283" s="155">
        <f t="shared" ref="Q283" si="2948">IF(Q$5=EOMONTH($E275,1),Q280,IF(Q$5&gt;EOMONTH($E275,1),P283*(1+Q278),IF(AND(Q$5&gt;$E266,Q$5&lt;=$E275),Q280,0)))</f>
        <v>0</v>
      </c>
      <c r="R283" s="155">
        <f t="shared" ref="R283" si="2949">IF(R$5=EOMONTH($E275,1),R280,IF(R$5&gt;EOMONTH($E275,1),Q283*(1+R278),IF(AND(R$5&gt;$E266,R$5&lt;=$E275),R280,0)))</f>
        <v>0</v>
      </c>
      <c r="S283" s="155">
        <f t="shared" ref="S283" si="2950">IF(S$5=EOMONTH($E275,1),S280,IF(S$5&gt;EOMONTH($E275,1),R283*(1+S278),IF(AND(S$5&gt;$E266,S$5&lt;=$E275),S280,0)))</f>
        <v>0</v>
      </c>
      <c r="T283" s="155">
        <f t="shared" ref="T283" si="2951">IF(T$5=EOMONTH($E275,1),T280,IF(T$5&gt;EOMONTH($E275,1),S283*(1+T278),IF(AND(T$5&gt;$E266,T$5&lt;=$E275),T280,0)))</f>
        <v>0</v>
      </c>
      <c r="U283" s="155">
        <f t="shared" ref="U283" si="2952">IF(U$5=EOMONTH($E275,1),U280,IF(U$5&gt;EOMONTH($E275,1),T283*(1+U278),IF(AND(U$5&gt;$E266,U$5&lt;=$E275),U280,0)))</f>
        <v>0</v>
      </c>
      <c r="V283" s="155">
        <f t="shared" ref="V283" si="2953">IF(V$5=EOMONTH($E275,1),V280,IF(V$5&gt;EOMONTH($E275,1),U283*(1+V278),IF(AND(V$5&gt;$E266,V$5&lt;=$E275),V280,0)))</f>
        <v>0</v>
      </c>
      <c r="W283" s="155">
        <f t="shared" ref="W283" si="2954">IF(W$5=EOMONTH($E275,1),W280,IF(W$5&gt;EOMONTH($E275,1),V283*(1+W278),IF(AND(W$5&gt;$E266,W$5&lt;=$E275),W280,0)))</f>
        <v>0</v>
      </c>
      <c r="X283" s="155">
        <f t="shared" ref="X283" si="2955">IF(X$5=EOMONTH($E275,1),X280,IF(X$5&gt;EOMONTH($E275,1),W283*(1+X278),IF(AND(X$5&gt;$E266,X$5&lt;=$E275),X280,0)))</f>
        <v>0</v>
      </c>
      <c r="Y283" s="155">
        <f t="shared" ref="Y283" si="2956">IF(Y$5=EOMONTH($E275,1),Y280,IF(Y$5&gt;EOMONTH($E275,1),X283*(1+Y278),IF(AND(Y$5&gt;$E266,Y$5&lt;=$E275),Y280,0)))</f>
        <v>0</v>
      </c>
      <c r="Z283" s="155">
        <f t="shared" ref="Z283" si="2957">IF(Z$5=EOMONTH($E275,1),Z280,IF(Z$5&gt;EOMONTH($E275,1),Y283*(1+Z278),IF(AND(Z$5&gt;$E266,Z$5&lt;=$E275),Z280,0)))</f>
        <v>0</v>
      </c>
      <c r="AA283" s="155">
        <f t="shared" ref="AA283" si="2958">IF(AA$5=EOMONTH($E275,1),AA280,IF(AA$5&gt;EOMONTH($E275,1),Z283*(1+AA278),IF(AND(AA$5&gt;$E266,AA$5&lt;=$E275),AA280,0)))</f>
        <v>0</v>
      </c>
      <c r="AB283" s="155">
        <f t="shared" ref="AB283" si="2959">IF(AB$5=EOMONTH($E275,1),AB280,IF(AB$5&gt;EOMONTH($E275,1),AA283*(1+AB278),IF(AND(AB$5&gt;$E266,AB$5&lt;=$E275),AB280,0)))</f>
        <v>0</v>
      </c>
      <c r="AC283" s="155">
        <f t="shared" ref="AC283" si="2960">IF(AC$5=EOMONTH($E275,1),AC280,IF(AC$5&gt;EOMONTH($E275,1),AB283*(1+AC278),IF(AND(AC$5&gt;$E266,AC$5&lt;=$E275),AC280,0)))</f>
        <v>0</v>
      </c>
      <c r="AD283" s="155">
        <f t="shared" ref="AD283" si="2961">IF(AD$5=EOMONTH($E275,1),AD280,IF(AD$5&gt;EOMONTH($E275,1),AC283*(1+AD278),IF(AND(AD$5&gt;$E266,AD$5&lt;=$E275),AD280,0)))</f>
        <v>0</v>
      </c>
      <c r="AE283" s="155">
        <f t="shared" ref="AE283" si="2962">IF(AE$5=EOMONTH($E275,1),AE280,IF(AE$5&gt;EOMONTH($E275,1),AD283*(1+AE278),IF(AND(AE$5&gt;$E266,AE$5&lt;=$E275),AE280,0)))</f>
        <v>0</v>
      </c>
      <c r="AF283" s="155">
        <f t="shared" ref="AF283" si="2963">IF(AF$5=EOMONTH($E275,1),AF280,IF(AF$5&gt;EOMONTH($E275,1),AE283*(1+AF278),IF(AND(AF$5&gt;$E266,AF$5&lt;=$E275),AF280,0)))</f>
        <v>0</v>
      </c>
      <c r="AG283" s="155">
        <f t="shared" ref="AG283" si="2964">IF(AG$5=EOMONTH($E275,1),AG280,IF(AG$5&gt;EOMONTH($E275,1),AF283*(1+AG278),IF(AND(AG$5&gt;$E266,AG$5&lt;=$E275),AG280,0)))</f>
        <v>0</v>
      </c>
      <c r="AH283" s="155">
        <f t="shared" ref="AH283" si="2965">IF(AH$5=EOMONTH($E275,1),AH280,IF(AH$5&gt;EOMONTH($E275,1),AG283*(1+AH278),IF(AND(AH$5&gt;$E266,AH$5&lt;=$E275),AH280,0)))</f>
        <v>0</v>
      </c>
      <c r="AI283" s="155">
        <f t="shared" ref="AI283" si="2966">IF(AI$5=EOMONTH($E275,1),AI280,IF(AI$5&gt;EOMONTH($E275,1),AH283*(1+AI278),IF(AND(AI$5&gt;$E266,AI$5&lt;=$E275),AI280,0)))</f>
        <v>0</v>
      </c>
      <c r="AJ283" s="155">
        <f t="shared" ref="AJ283" si="2967">IF(AJ$5=EOMONTH($E275,1),AJ280,IF(AJ$5&gt;EOMONTH($E275,1),AI283*(1+AJ278),IF(AND(AJ$5&gt;$E266,AJ$5&lt;=$E275),AJ280,0)))</f>
        <v>0</v>
      </c>
      <c r="AK283" s="155">
        <f t="shared" ref="AK283" si="2968">IF(AK$5=EOMONTH($E275,1),AK280,IF(AK$5&gt;EOMONTH($E275,1),AJ283*(1+AK278),IF(AND(AK$5&gt;$E266,AK$5&lt;=$E275),AK280,0)))</f>
        <v>0</v>
      </c>
      <c r="AL283" s="155">
        <f t="shared" ref="AL283" si="2969">IF(AL$5=EOMONTH($E275,1),AL280,IF(AL$5&gt;EOMONTH($E275,1),AK283*(1+AL278),IF(AND(AL$5&gt;$E266,AL$5&lt;=$E275),AL280,0)))</f>
        <v>0</v>
      </c>
      <c r="AM283" s="155">
        <f t="shared" ref="AM283" si="2970">IF(AM$5=EOMONTH($E275,1),AM280,IF(AM$5&gt;EOMONTH($E275,1),AL283*(1+AM278),IF(AND(AM$5&gt;$E266,AM$5&lt;=$E275),AM280,0)))</f>
        <v>0</v>
      </c>
      <c r="AN283" s="155">
        <f t="shared" ref="AN283" si="2971">IF(AN$5=EOMONTH($E275,1),AN280,IF(AN$5&gt;EOMONTH($E275,1),AM283*(1+AN278),IF(AND(AN$5&gt;$E266,AN$5&lt;=$E275),AN280,0)))</f>
        <v>0</v>
      </c>
      <c r="AO283" s="155">
        <f t="shared" ref="AO283" si="2972">IF(AO$5=EOMONTH($E275,1),AO280,IF(AO$5&gt;EOMONTH($E275,1),AN283*(1+AO278),IF(AND(AO$5&gt;$E266,AO$5&lt;=$E275),AO280,0)))</f>
        <v>0</v>
      </c>
      <c r="AP283" s="155">
        <f t="shared" ref="AP283" si="2973">IF(AP$5=EOMONTH($E275,1),AP280,IF(AP$5&gt;EOMONTH($E275,1),AO283*(1+AP278),IF(AND(AP$5&gt;$E266,AP$5&lt;=$E275),AP280,0)))</f>
        <v>0</v>
      </c>
      <c r="AQ283" s="155">
        <f t="shared" ref="AQ283" si="2974">IF(AQ$5=EOMONTH($E275,1),AQ280,IF(AQ$5&gt;EOMONTH($E275,1),AP283*(1+AQ278),IF(AND(AQ$5&gt;$E266,AQ$5&lt;=$E275),AQ280,0)))</f>
        <v>0</v>
      </c>
      <c r="AR283" s="155">
        <f t="shared" ref="AR283" si="2975">IF(AR$5=EOMONTH($E275,1),AR280,IF(AR$5&gt;EOMONTH($E275,1),AQ283*(1+AR278),IF(AND(AR$5&gt;$E266,AR$5&lt;=$E275),AR280,0)))</f>
        <v>0</v>
      </c>
      <c r="AS283" s="155">
        <f t="shared" ref="AS283" si="2976">IF(AS$5=EOMONTH($E275,1),AS280,IF(AS$5&gt;EOMONTH($E275,1),AR283*(1+AS278),IF(AND(AS$5&gt;$E266,AS$5&lt;=$E275),AS280,0)))</f>
        <v>0</v>
      </c>
      <c r="AT283" s="155">
        <f t="shared" ref="AT283" si="2977">IF(AT$5=EOMONTH($E275,1),AT280,IF(AT$5&gt;EOMONTH($E275,1),AS283*(1+AT278),IF(AND(AT$5&gt;$E266,AT$5&lt;=$E275),AT280,0)))</f>
        <v>0</v>
      </c>
      <c r="AU283" s="155">
        <f t="shared" ref="AU283" si="2978">IF(AU$5=EOMONTH($E275,1),AU280,IF(AU$5&gt;EOMONTH($E275,1),AT283*(1+AU278),IF(AND(AU$5&gt;$E266,AU$5&lt;=$E275),AU280,0)))</f>
        <v>0</v>
      </c>
      <c r="AV283" s="155">
        <f t="shared" ref="AV283" si="2979">IF(AV$5=EOMONTH($E275,1),AV280,IF(AV$5&gt;EOMONTH($E275,1),AU283*(1+AV278),IF(AND(AV$5&gt;$E266,AV$5&lt;=$E275),AV280,0)))</f>
        <v>0</v>
      </c>
      <c r="AW283" s="155">
        <f t="shared" ref="AW283" si="2980">IF(AW$5=EOMONTH($E275,1),AW280,IF(AW$5&gt;EOMONTH($E275,1),AV283*(1+AW278),IF(AND(AW$5&gt;$E266,AW$5&lt;=$E275),AW280,0)))</f>
        <v>0</v>
      </c>
      <c r="AX283" s="155">
        <f t="shared" ref="AX283" si="2981">IF(AX$5=EOMONTH($E275,1),AX280,IF(AX$5&gt;EOMONTH($E275,1),AW283*(1+AX278),IF(AND(AX$5&gt;$E266,AX$5&lt;=$E275),AX280,0)))</f>
        <v>0</v>
      </c>
      <c r="AY283" s="155">
        <f t="shared" ref="AY283" si="2982">IF(AY$5=EOMONTH($E275,1),AY280,IF(AY$5&gt;EOMONTH($E275,1),AX283*(1+AY278),IF(AND(AY$5&gt;$E266,AY$5&lt;=$E275),AY280,0)))</f>
        <v>0</v>
      </c>
      <c r="AZ283" s="155">
        <f t="shared" ref="AZ283" si="2983">IF(AZ$5=EOMONTH($E275,1),AZ280,IF(AZ$5&gt;EOMONTH($E275,1),AY283*(1+AZ278),IF(AND(AZ$5&gt;$E266,AZ$5&lt;=$E275),AZ280,0)))</f>
        <v>0</v>
      </c>
      <c r="BA283" s="155">
        <f t="shared" ref="BA283" si="2984">IF(BA$5=EOMONTH($E275,1),BA280,IF(BA$5&gt;EOMONTH($E275,1),AZ283*(1+BA278),IF(AND(BA$5&gt;$E266,BA$5&lt;=$E275),BA280,0)))</f>
        <v>0</v>
      </c>
      <c r="BB283" s="155">
        <f t="shared" ref="BB283" si="2985">IF(BB$5=EOMONTH($E275,1),BB280,IF(BB$5&gt;EOMONTH($E275,1),BA283*(1+BB278),IF(AND(BB$5&gt;$E266,BB$5&lt;=$E275),BB280,0)))</f>
        <v>0</v>
      </c>
      <c r="BC283" s="155">
        <f t="shared" ref="BC283" si="2986">IF(BC$5=EOMONTH($E275,1),BC280,IF(BC$5&gt;EOMONTH($E275,1),BB283*(1+BC278),IF(AND(BC$5&gt;$E266,BC$5&lt;=$E275),BC280,0)))</f>
        <v>0</v>
      </c>
      <c r="BD283" s="155">
        <f t="shared" ref="BD283" si="2987">IF(BD$5=EOMONTH($E275,1),BD280,IF(BD$5&gt;EOMONTH($E275,1),BC283*(1+BD278),IF(AND(BD$5&gt;$E266,BD$5&lt;=$E275),BD280,0)))</f>
        <v>0</v>
      </c>
      <c r="BE283" s="155">
        <f t="shared" ref="BE283" si="2988">IF(BE$5=EOMONTH($E275,1),BE280,IF(BE$5&gt;EOMONTH($E275,1),BD283*(1+BE278),IF(AND(BE$5&gt;$E266,BE$5&lt;=$E275),BE280,0)))</f>
        <v>0</v>
      </c>
      <c r="BF283" s="155">
        <f t="shared" ref="BF283" si="2989">IF(BF$5=EOMONTH($E275,1),BF280,IF(BF$5&gt;EOMONTH($E275,1),BE283*(1+BF278),IF(AND(BF$5&gt;$E266,BF$5&lt;=$E275),BF280,0)))</f>
        <v>0</v>
      </c>
      <c r="BG283" s="155">
        <f t="shared" ref="BG283" si="2990">IF(BG$5=EOMONTH($E275,1),BG280,IF(BG$5&gt;EOMONTH($E275,1),BF283*(1+BG278),IF(AND(BG$5&gt;$E266,BG$5&lt;=$E275),BG280,0)))</f>
        <v>0</v>
      </c>
      <c r="BH283" s="155">
        <f t="shared" ref="BH283" si="2991">IF(BH$5=EOMONTH($E275,1),BH280,IF(BH$5&gt;EOMONTH($E275,1),BG283*(1+BH278),IF(AND(BH$5&gt;$E266,BH$5&lt;=$E275),BH280,0)))</f>
        <v>0</v>
      </c>
      <c r="BI283" s="155">
        <f t="shared" ref="BI283" si="2992">IF(BI$5=EOMONTH($E275,1),BI280,IF(BI$5&gt;EOMONTH($E275,1),BH283*(1+BI278),IF(AND(BI$5&gt;$E266,BI$5&lt;=$E275),BI280,0)))</f>
        <v>0</v>
      </c>
      <c r="BJ283" s="155">
        <f t="shared" ref="BJ283" si="2993">IF(BJ$5=EOMONTH($E275,1),BJ280,IF(BJ$5&gt;EOMONTH($E275,1),BI283*(1+BJ278),IF(AND(BJ$5&gt;$E266,BJ$5&lt;=$E275),BJ280,0)))</f>
        <v>0</v>
      </c>
      <c r="BK283" s="155">
        <f t="shared" ref="BK283" si="2994">IF(BK$5=EOMONTH($E275,1),BK280,IF(BK$5&gt;EOMONTH($E275,1),BJ283*(1+BK278),IF(AND(BK$5&gt;$E266,BK$5&lt;=$E275),BK280,0)))</f>
        <v>0</v>
      </c>
      <c r="BL283" s="155">
        <f t="shared" ref="BL283" si="2995">IF(BL$5=EOMONTH($E275,1),BL280,IF(BL$5&gt;EOMONTH($E275,1),BK283*(1+BL278),IF(AND(BL$5&gt;$E266,BL$5&lt;=$E275),BL280,0)))</f>
        <v>0</v>
      </c>
      <c r="BM283" s="155">
        <f t="shared" ref="BM283" si="2996">IF(BM$5=EOMONTH($E275,1),BM280,IF(BM$5&gt;EOMONTH($E275,1),BL283*(1+BM278),IF(AND(BM$5&gt;$E266,BM$5&lt;=$E275),BM280,0)))</f>
        <v>0</v>
      </c>
      <c r="BN283" s="155">
        <f t="shared" ref="BN283" si="2997">IF(BN$5=EOMONTH($E275,1),BN280,IF(BN$5&gt;EOMONTH($E275,1),BM283*(1+BN278),IF(AND(BN$5&gt;$E266,BN$5&lt;=$E275),BN280,0)))</f>
        <v>0</v>
      </c>
      <c r="BO283" s="155">
        <f t="shared" ref="BO283" si="2998">IF(BO$5=EOMONTH($E275,1),BO280,IF(BO$5&gt;EOMONTH($E275,1),BN283*(1+BO278),IF(AND(BO$5&gt;$E266,BO$5&lt;=$E275),BO280,0)))</f>
        <v>0</v>
      </c>
      <c r="BP283" s="155">
        <f t="shared" ref="BP283" si="2999">IF(BP$5=EOMONTH($E275,1),BP280,IF(BP$5&gt;EOMONTH($E275,1),BO283*(1+BP278),IF(AND(BP$5&gt;$E266,BP$5&lt;=$E275),BP280,0)))</f>
        <v>0</v>
      </c>
      <c r="BQ283" s="155">
        <f t="shared" ref="BQ283" si="3000">IF(BQ$5=EOMONTH($E275,1),BQ280,IF(BQ$5&gt;EOMONTH($E275,1),BP283*(1+BQ278),IF(AND(BQ$5&gt;$E266,BQ$5&lt;=$E275),BQ280,0)))</f>
        <v>0</v>
      </c>
      <c r="BR283" s="155">
        <f t="shared" ref="BR283" si="3001">IF(BR$5=EOMONTH($E275,1),BR280,IF(BR$5&gt;EOMONTH($E275,1),BQ283*(1+BR278),IF(AND(BR$5&gt;$E266,BR$5&lt;=$E275),BR280,0)))</f>
        <v>0</v>
      </c>
      <c r="BS283" s="155">
        <f t="shared" ref="BS283" si="3002">IF(BS$5=EOMONTH($E275,1),BS280,IF(BS$5&gt;EOMONTH($E275,1),BR283*(1+BS278),IF(AND(BS$5&gt;$E266,BS$5&lt;=$E275),BS280,0)))</f>
        <v>0</v>
      </c>
      <c r="BT283" s="155">
        <f t="shared" ref="BT283" si="3003">IF(BT$5=EOMONTH($E275,1),BT280,IF(BT$5&gt;EOMONTH($E275,1),BS283*(1+BT278),IF(AND(BT$5&gt;$E266,BT$5&lt;=$E275),BT280,0)))</f>
        <v>0</v>
      </c>
      <c r="BU283" s="155">
        <f t="shared" ref="BU283" si="3004">IF(BU$5=EOMONTH($E275,1),BU280,IF(BU$5&gt;EOMONTH($E275,1),BT283*(1+BU278),IF(AND(BU$5&gt;$E266,BU$5&lt;=$E275),BU280,0)))</f>
        <v>0</v>
      </c>
      <c r="BV283" s="155">
        <f t="shared" ref="BV283" si="3005">IF(BV$5=EOMONTH($E275,1),BV280,IF(BV$5&gt;EOMONTH($E275,1),BU283*(1+BV278),IF(AND(BV$5&gt;$E266,BV$5&lt;=$E275),BV280,0)))</f>
        <v>0</v>
      </c>
      <c r="BW283" s="155">
        <f t="shared" ref="BW283" si="3006">IF(BW$5=EOMONTH($E275,1),BW280,IF(BW$5&gt;EOMONTH($E275,1),BV283*(1+BW278),IF(AND(BW$5&gt;$E266,BW$5&lt;=$E275),BW280,0)))</f>
        <v>0</v>
      </c>
      <c r="BX283" s="155">
        <f t="shared" ref="BX283" si="3007">IF(BX$5=EOMONTH($E275,1),BX280,IF(BX$5&gt;EOMONTH($E275,1),BW283*(1+BX278),IF(AND(BX$5&gt;$E266,BX$5&lt;=$E275),BX280,0)))</f>
        <v>0</v>
      </c>
      <c r="BY283" s="155">
        <f t="shared" ref="BY283" si="3008">IF(BY$5=EOMONTH($E275,1),BY280,IF(BY$5&gt;EOMONTH($E275,1),BX283*(1+BY278),IF(AND(BY$5&gt;$E266,BY$5&lt;=$E275),BY280,0)))</f>
        <v>0</v>
      </c>
    </row>
    <row r="284" spans="2:77" customFormat="1" outlineLevel="1" x14ac:dyDescent="0.25">
      <c r="B284" s="1"/>
      <c r="C284" s="44"/>
      <c r="D284" s="56"/>
      <c r="E284" s="1"/>
      <c r="F284" s="1"/>
      <c r="G284" s="106"/>
      <c r="H284" s="106"/>
      <c r="I284" s="106"/>
      <c r="J284" s="106"/>
      <c r="K284" s="96"/>
      <c r="L284" s="96"/>
      <c r="M284" s="96"/>
      <c r="N284" s="96"/>
      <c r="O284" s="96"/>
      <c r="P284" s="96"/>
    </row>
    <row r="285" spans="2:77" customFormat="1" outlineLevel="1" x14ac:dyDescent="0.25">
      <c r="B285" s="1"/>
      <c r="C285" s="50" t="s">
        <v>24</v>
      </c>
      <c r="D285" s="37" t="s">
        <v>101</v>
      </c>
      <c r="E285" s="1"/>
      <c r="F285" s="156">
        <f t="shared" ref="F285:BQ285" si="3009">+F280*$E263/Months</f>
        <v>19308.529984113062</v>
      </c>
      <c r="G285" s="156">
        <f t="shared" si="3009"/>
        <v>19402.515230153174</v>
      </c>
      <c r="H285" s="156">
        <f t="shared" si="3009"/>
        <v>19496.957954130787</v>
      </c>
      <c r="I285" s="156">
        <f t="shared" si="3009"/>
        <v>19591.860382842882</v>
      </c>
      <c r="J285" s="156">
        <f t="shared" si="3009"/>
        <v>19687.224753925508</v>
      </c>
      <c r="K285" s="156">
        <f t="shared" si="3009"/>
        <v>19783.053315906513</v>
      </c>
      <c r="L285" s="156">
        <f t="shared" si="3009"/>
        <v>19879.348328258569</v>
      </c>
      <c r="M285" s="156">
        <f t="shared" si="3009"/>
        <v>19976.112061452433</v>
      </c>
      <c r="N285" s="156">
        <f t="shared" si="3009"/>
        <v>20073.346797010516</v>
      </c>
      <c r="O285" s="156">
        <f t="shared" si="3009"/>
        <v>20171.054827560631</v>
      </c>
      <c r="P285" s="156">
        <f t="shared" si="3009"/>
        <v>20269.238456890089</v>
      </c>
      <c r="Q285" s="156">
        <f t="shared" si="3009"/>
        <v>20367.899999999998</v>
      </c>
      <c r="R285" s="156">
        <f t="shared" si="3009"/>
        <v>20434.57920450985</v>
      </c>
      <c r="S285" s="156">
        <f t="shared" si="3009"/>
        <v>20501.476699384151</v>
      </c>
      <c r="T285" s="156">
        <f t="shared" si="3009"/>
        <v>20568.593199248749</v>
      </c>
      <c r="U285" s="156">
        <f t="shared" si="3009"/>
        <v>20635.929421068995</v>
      </c>
      <c r="V285" s="156">
        <f t="shared" si="3009"/>
        <v>20703.486084157394</v>
      </c>
      <c r="W285" s="156">
        <f t="shared" si="3009"/>
        <v>20771.2639101813</v>
      </c>
      <c r="X285" s="156">
        <f t="shared" si="3009"/>
        <v>20839.263623170616</v>
      </c>
      <c r="Y285" s="156">
        <f t="shared" si="3009"/>
        <v>20907.485949525519</v>
      </c>
      <c r="Z285" s="156">
        <f t="shared" si="3009"/>
        <v>20975.931618024242</v>
      </c>
      <c r="AA285" s="156">
        <f t="shared" si="3009"/>
        <v>21044.601359830853</v>
      </c>
      <c r="AB285" s="156">
        <f t="shared" si="3009"/>
        <v>21113.495908503046</v>
      </c>
      <c r="AC285" s="156">
        <f t="shared" si="3009"/>
        <v>21182.616000000005</v>
      </c>
      <c r="AD285" s="156">
        <f t="shared" si="3009"/>
        <v>21234.858045539124</v>
      </c>
      <c r="AE285" s="156">
        <f t="shared" si="3009"/>
        <v>21287.228934055998</v>
      </c>
      <c r="AF285" s="156">
        <f t="shared" si="3009"/>
        <v>21339.728983312172</v>
      </c>
      <c r="AG285" s="156">
        <f t="shared" si="3009"/>
        <v>21392.358511852864</v>
      </c>
      <c r="AH285" s="156">
        <f t="shared" si="3009"/>
        <v>21445.11783900893</v>
      </c>
      <c r="AI285" s="156">
        <f t="shared" si="3009"/>
        <v>21498.007284898769</v>
      </c>
      <c r="AJ285" s="156">
        <f t="shared" si="3009"/>
        <v>21551.027170430276</v>
      </c>
      <c r="AK285" s="156">
        <f t="shared" si="3009"/>
        <v>21604.177817302807</v>
      </c>
      <c r="AL285" s="156">
        <f t="shared" si="3009"/>
        <v>21657.45954800909</v>
      </c>
      <c r="AM285" s="156">
        <f t="shared" si="3009"/>
        <v>21710.872685837236</v>
      </c>
      <c r="AN285" s="156">
        <f t="shared" si="3009"/>
        <v>21764.417554872653</v>
      </c>
      <c r="AO285" s="156">
        <f t="shared" si="3009"/>
        <v>21818.094480000029</v>
      </c>
      <c r="AP285" s="156">
        <f t="shared" si="3009"/>
        <v>21871.903786905317</v>
      </c>
      <c r="AQ285" s="156">
        <f t="shared" si="3009"/>
        <v>21925.8458020777</v>
      </c>
      <c r="AR285" s="156">
        <f t="shared" si="3009"/>
        <v>21979.920852811552</v>
      </c>
      <c r="AS285" s="156">
        <f t="shared" si="3009"/>
        <v>22034.129267208471</v>
      </c>
      <c r="AT285" s="156">
        <f t="shared" si="3009"/>
        <v>22088.471374179222</v>
      </c>
      <c r="AU285" s="156">
        <f t="shared" si="3009"/>
        <v>22142.947503445757</v>
      </c>
      <c r="AV285" s="156">
        <f t="shared" si="3009"/>
        <v>22197.557985543212</v>
      </c>
      <c r="AW285" s="156">
        <f t="shared" si="3009"/>
        <v>22252.30315182191</v>
      </c>
      <c r="AX285" s="156">
        <f t="shared" si="3009"/>
        <v>22307.183334449393</v>
      </c>
      <c r="AY285" s="156">
        <f t="shared" si="3009"/>
        <v>22362.198866412378</v>
      </c>
      <c r="AZ285" s="156">
        <f t="shared" si="3009"/>
        <v>22417.350081518856</v>
      </c>
      <c r="BA285" s="156">
        <f t="shared" si="3009"/>
        <v>22472.63731440005</v>
      </c>
      <c r="BB285" s="156">
        <f t="shared" si="3009"/>
        <v>22518.927267819276</v>
      </c>
      <c r="BC285" s="156">
        <f t="shared" si="3009"/>
        <v>22565.312570963481</v>
      </c>
      <c r="BD285" s="156">
        <f t="shared" si="3009"/>
        <v>22611.793420237489</v>
      </c>
      <c r="BE285" s="156">
        <f t="shared" si="3009"/>
        <v>22658.370012450687</v>
      </c>
      <c r="BF285" s="156">
        <f t="shared" si="3009"/>
        <v>22705.042544817847</v>
      </c>
      <c r="BG285" s="156">
        <f t="shared" si="3009"/>
        <v>22751.811214959987</v>
      </c>
      <c r="BH285" s="156">
        <f t="shared" si="3009"/>
        <v>22798.676220905178</v>
      </c>
      <c r="BI285" s="156">
        <f t="shared" si="3009"/>
        <v>22845.637761089398</v>
      </c>
      <c r="BJ285" s="156">
        <f t="shared" si="3009"/>
        <v>22892.696034357377</v>
      </c>
      <c r="BK285" s="156">
        <f t="shared" si="3009"/>
        <v>22939.851239963435</v>
      </c>
      <c r="BL285" s="156">
        <f t="shared" si="3009"/>
        <v>22987.103577572303</v>
      </c>
      <c r="BM285" s="156">
        <f t="shared" si="3009"/>
        <v>23034.453247260022</v>
      </c>
      <c r="BN285" s="156">
        <f t="shared" si="3009"/>
        <v>23081.900449514724</v>
      </c>
      <c r="BO285" s="156">
        <f t="shared" si="3009"/>
        <v>23129.445385237541</v>
      </c>
      <c r="BP285" s="156">
        <f t="shared" si="3009"/>
        <v>23177.088255743394</v>
      </c>
      <c r="BQ285" s="156">
        <f t="shared" si="3009"/>
        <v>23224.829262761923</v>
      </c>
      <c r="BR285" s="156">
        <f t="shared" ref="BR285:BY285" si="3010">+BR280*$E263/Months</f>
        <v>23272.668608438267</v>
      </c>
      <c r="BS285" s="156">
        <f t="shared" si="3010"/>
        <v>23320.606495333963</v>
      </c>
      <c r="BT285" s="156">
        <f t="shared" si="3010"/>
        <v>23368.643126427778</v>
      </c>
      <c r="BU285" s="156">
        <f t="shared" si="3010"/>
        <v>23416.778705116605</v>
      </c>
      <c r="BV285" s="156">
        <f t="shared" si="3010"/>
        <v>23465.013435216286</v>
      </c>
      <c r="BW285" s="156">
        <f t="shared" si="3010"/>
        <v>23513.347520962492</v>
      </c>
      <c r="BX285" s="156">
        <f t="shared" si="3010"/>
        <v>23561.781167011588</v>
      </c>
      <c r="BY285" s="156">
        <f t="shared" si="3010"/>
        <v>23610.314578441496</v>
      </c>
    </row>
    <row r="286" spans="2:77" customFormat="1" outlineLevel="1" x14ac:dyDescent="0.25">
      <c r="B286" s="1"/>
      <c r="C286" s="50" t="s">
        <v>277</v>
      </c>
      <c r="D286" s="37" t="s">
        <v>101</v>
      </c>
      <c r="E286" s="1"/>
      <c r="F286" s="13">
        <f t="shared" ref="F286:BQ286" si="3011">+F281*$E263/Months</f>
        <v>0</v>
      </c>
      <c r="G286" s="13">
        <f t="shared" si="3011"/>
        <v>0</v>
      </c>
      <c r="H286" s="13">
        <f t="shared" si="3011"/>
        <v>0</v>
      </c>
      <c r="I286" s="13">
        <f t="shared" si="3011"/>
        <v>0</v>
      </c>
      <c r="J286" s="13">
        <f t="shared" si="3011"/>
        <v>0</v>
      </c>
      <c r="K286" s="13">
        <f t="shared" si="3011"/>
        <v>0</v>
      </c>
      <c r="L286" s="13">
        <f t="shared" si="3011"/>
        <v>0</v>
      </c>
      <c r="M286" s="13">
        <f t="shared" si="3011"/>
        <v>0</v>
      </c>
      <c r="N286" s="13">
        <f t="shared" si="3011"/>
        <v>0</v>
      </c>
      <c r="O286" s="13">
        <f t="shared" si="3011"/>
        <v>0</v>
      </c>
      <c r="P286" s="13">
        <f t="shared" si="3011"/>
        <v>0</v>
      </c>
      <c r="Q286" s="13">
        <f t="shared" si="3011"/>
        <v>0</v>
      </c>
      <c r="R286" s="13">
        <f t="shared" si="3011"/>
        <v>0</v>
      </c>
      <c r="S286" s="13">
        <f t="shared" si="3011"/>
        <v>0</v>
      </c>
      <c r="T286" s="13">
        <f t="shared" si="3011"/>
        <v>0</v>
      </c>
      <c r="U286" s="13">
        <f t="shared" si="3011"/>
        <v>0</v>
      </c>
      <c r="V286" s="13">
        <f t="shared" si="3011"/>
        <v>0</v>
      </c>
      <c r="W286" s="13">
        <f t="shared" si="3011"/>
        <v>0</v>
      </c>
      <c r="X286" s="13">
        <f t="shared" si="3011"/>
        <v>0</v>
      </c>
      <c r="Y286" s="13">
        <f t="shared" si="3011"/>
        <v>0</v>
      </c>
      <c r="Z286" s="13">
        <f t="shared" si="3011"/>
        <v>0</v>
      </c>
      <c r="AA286" s="13">
        <f t="shared" si="3011"/>
        <v>0</v>
      </c>
      <c r="AB286" s="13">
        <f t="shared" si="3011"/>
        <v>0</v>
      </c>
      <c r="AC286" s="13">
        <f t="shared" si="3011"/>
        <v>0</v>
      </c>
      <c r="AD286" s="13">
        <f t="shared" si="3011"/>
        <v>0</v>
      </c>
      <c r="AE286" s="13">
        <f t="shared" si="3011"/>
        <v>0</v>
      </c>
      <c r="AF286" s="13">
        <f t="shared" si="3011"/>
        <v>0</v>
      </c>
      <c r="AG286" s="13">
        <f t="shared" si="3011"/>
        <v>0</v>
      </c>
      <c r="AH286" s="13">
        <f t="shared" si="3011"/>
        <v>0</v>
      </c>
      <c r="AI286" s="13">
        <f t="shared" si="3011"/>
        <v>0</v>
      </c>
      <c r="AJ286" s="13">
        <f t="shared" si="3011"/>
        <v>0</v>
      </c>
      <c r="AK286" s="13">
        <f t="shared" si="3011"/>
        <v>0</v>
      </c>
      <c r="AL286" s="13">
        <f t="shared" si="3011"/>
        <v>0</v>
      </c>
      <c r="AM286" s="13">
        <f t="shared" si="3011"/>
        <v>0</v>
      </c>
      <c r="AN286" s="13">
        <f t="shared" si="3011"/>
        <v>0</v>
      </c>
      <c r="AO286" s="13">
        <f t="shared" si="3011"/>
        <v>0</v>
      </c>
      <c r="AP286" s="13">
        <f t="shared" si="3011"/>
        <v>0</v>
      </c>
      <c r="AQ286" s="13">
        <f t="shared" si="3011"/>
        <v>0</v>
      </c>
      <c r="AR286" s="13">
        <f t="shared" si="3011"/>
        <v>0</v>
      </c>
      <c r="AS286" s="13">
        <f t="shared" si="3011"/>
        <v>0</v>
      </c>
      <c r="AT286" s="13">
        <f t="shared" si="3011"/>
        <v>0</v>
      </c>
      <c r="AU286" s="13">
        <f t="shared" si="3011"/>
        <v>0</v>
      </c>
      <c r="AV286" s="13">
        <f t="shared" si="3011"/>
        <v>0</v>
      </c>
      <c r="AW286" s="13">
        <f t="shared" si="3011"/>
        <v>0</v>
      </c>
      <c r="AX286" s="13">
        <f t="shared" si="3011"/>
        <v>0</v>
      </c>
      <c r="AY286" s="13">
        <f t="shared" si="3011"/>
        <v>0</v>
      </c>
      <c r="AZ286" s="13">
        <f t="shared" si="3011"/>
        <v>0</v>
      </c>
      <c r="BA286" s="13">
        <f t="shared" si="3011"/>
        <v>0</v>
      </c>
      <c r="BB286" s="13">
        <f t="shared" si="3011"/>
        <v>0</v>
      </c>
      <c r="BC286" s="13">
        <f t="shared" si="3011"/>
        <v>0</v>
      </c>
      <c r="BD286" s="13">
        <f t="shared" si="3011"/>
        <v>0</v>
      </c>
      <c r="BE286" s="13">
        <f t="shared" si="3011"/>
        <v>0</v>
      </c>
      <c r="BF286" s="13">
        <f t="shared" si="3011"/>
        <v>0</v>
      </c>
      <c r="BG286" s="13">
        <f t="shared" si="3011"/>
        <v>0</v>
      </c>
      <c r="BH286" s="13">
        <f t="shared" si="3011"/>
        <v>0</v>
      </c>
      <c r="BI286" s="13">
        <f t="shared" si="3011"/>
        <v>0</v>
      </c>
      <c r="BJ286" s="13">
        <f t="shared" si="3011"/>
        <v>0</v>
      </c>
      <c r="BK286" s="13">
        <f t="shared" si="3011"/>
        <v>0</v>
      </c>
      <c r="BL286" s="13">
        <f t="shared" si="3011"/>
        <v>0</v>
      </c>
      <c r="BM286" s="13">
        <f t="shared" si="3011"/>
        <v>0</v>
      </c>
      <c r="BN286" s="13">
        <f t="shared" si="3011"/>
        <v>0</v>
      </c>
      <c r="BO286" s="13">
        <f t="shared" si="3011"/>
        <v>0</v>
      </c>
      <c r="BP286" s="13">
        <f t="shared" si="3011"/>
        <v>0</v>
      </c>
      <c r="BQ286" s="13">
        <f t="shared" si="3011"/>
        <v>0</v>
      </c>
      <c r="BR286" s="13">
        <f t="shared" ref="BR286:BY286" si="3012">+BR281*$E263/Months</f>
        <v>0</v>
      </c>
      <c r="BS286" s="13">
        <f t="shared" si="3012"/>
        <v>0</v>
      </c>
      <c r="BT286" s="13">
        <f t="shared" si="3012"/>
        <v>0</v>
      </c>
      <c r="BU286" s="13">
        <f t="shared" si="3012"/>
        <v>0</v>
      </c>
      <c r="BV286" s="13">
        <f t="shared" si="3012"/>
        <v>0</v>
      </c>
      <c r="BW286" s="13">
        <f t="shared" si="3012"/>
        <v>0</v>
      </c>
      <c r="BX286" s="13">
        <f t="shared" si="3012"/>
        <v>0</v>
      </c>
      <c r="BY286" s="13">
        <f t="shared" si="3012"/>
        <v>0</v>
      </c>
    </row>
    <row r="287" spans="2:77" customFormat="1" outlineLevel="1" x14ac:dyDescent="0.25">
      <c r="B287" s="1"/>
      <c r="C287" s="50" t="s">
        <v>278</v>
      </c>
      <c r="D287" s="37" t="s">
        <v>101</v>
      </c>
      <c r="E287" s="1"/>
      <c r="F287" s="13">
        <f t="shared" ref="F287:BQ287" si="3013">+F282*$E263/Months*Renewal_Probability</f>
        <v>0</v>
      </c>
      <c r="G287" s="13">
        <f t="shared" si="3013"/>
        <v>0</v>
      </c>
      <c r="H287" s="13">
        <f t="shared" si="3013"/>
        <v>0</v>
      </c>
      <c r="I287" s="13">
        <f t="shared" si="3013"/>
        <v>0</v>
      </c>
      <c r="J287" s="13">
        <f t="shared" si="3013"/>
        <v>0</v>
      </c>
      <c r="K287" s="13">
        <f t="shared" si="3013"/>
        <v>0</v>
      </c>
      <c r="L287" s="13">
        <f t="shared" si="3013"/>
        <v>0</v>
      </c>
      <c r="M287" s="13">
        <f t="shared" si="3013"/>
        <v>0</v>
      </c>
      <c r="N287" s="13">
        <f t="shared" si="3013"/>
        <v>0</v>
      </c>
      <c r="O287" s="13">
        <f t="shared" si="3013"/>
        <v>0</v>
      </c>
      <c r="P287" s="13">
        <f t="shared" si="3013"/>
        <v>0</v>
      </c>
      <c r="Q287" s="13">
        <f t="shared" si="3013"/>
        <v>0</v>
      </c>
      <c r="R287" s="13">
        <f t="shared" si="3013"/>
        <v>0</v>
      </c>
      <c r="S287" s="13">
        <f t="shared" si="3013"/>
        <v>0</v>
      </c>
      <c r="T287" s="13">
        <f t="shared" si="3013"/>
        <v>0</v>
      </c>
      <c r="U287" s="13">
        <f t="shared" si="3013"/>
        <v>0</v>
      </c>
      <c r="V287" s="13">
        <f t="shared" si="3013"/>
        <v>0</v>
      </c>
      <c r="W287" s="13">
        <f t="shared" si="3013"/>
        <v>0</v>
      </c>
      <c r="X287" s="13">
        <f t="shared" si="3013"/>
        <v>0</v>
      </c>
      <c r="Y287" s="13">
        <f t="shared" si="3013"/>
        <v>0</v>
      </c>
      <c r="Z287" s="13">
        <f t="shared" si="3013"/>
        <v>0</v>
      </c>
      <c r="AA287" s="13">
        <f t="shared" si="3013"/>
        <v>0</v>
      </c>
      <c r="AB287" s="13">
        <f t="shared" si="3013"/>
        <v>0</v>
      </c>
      <c r="AC287" s="13">
        <f t="shared" si="3013"/>
        <v>0</v>
      </c>
      <c r="AD287" s="13">
        <f t="shared" si="3013"/>
        <v>0</v>
      </c>
      <c r="AE287" s="13">
        <f t="shared" si="3013"/>
        <v>0</v>
      </c>
      <c r="AF287" s="13">
        <f t="shared" si="3013"/>
        <v>0</v>
      </c>
      <c r="AG287" s="13">
        <f t="shared" si="3013"/>
        <v>0</v>
      </c>
      <c r="AH287" s="13">
        <f t="shared" si="3013"/>
        <v>0</v>
      </c>
      <c r="AI287" s="13">
        <f t="shared" si="3013"/>
        <v>0</v>
      </c>
      <c r="AJ287" s="13">
        <f t="shared" si="3013"/>
        <v>0</v>
      </c>
      <c r="AK287" s="13">
        <f t="shared" si="3013"/>
        <v>0</v>
      </c>
      <c r="AL287" s="13">
        <f t="shared" si="3013"/>
        <v>0</v>
      </c>
      <c r="AM287" s="13">
        <f t="shared" si="3013"/>
        <v>0</v>
      </c>
      <c r="AN287" s="13">
        <f t="shared" si="3013"/>
        <v>0</v>
      </c>
      <c r="AO287" s="13">
        <f t="shared" si="3013"/>
        <v>0</v>
      </c>
      <c r="AP287" s="13">
        <f t="shared" si="3013"/>
        <v>0</v>
      </c>
      <c r="AQ287" s="13">
        <f t="shared" si="3013"/>
        <v>0</v>
      </c>
      <c r="AR287" s="13">
        <f t="shared" si="3013"/>
        <v>0</v>
      </c>
      <c r="AS287" s="13">
        <f t="shared" si="3013"/>
        <v>0</v>
      </c>
      <c r="AT287" s="13">
        <f t="shared" si="3013"/>
        <v>0</v>
      </c>
      <c r="AU287" s="13">
        <f t="shared" si="3013"/>
        <v>0</v>
      </c>
      <c r="AV287" s="13">
        <f t="shared" si="3013"/>
        <v>0</v>
      </c>
      <c r="AW287" s="13">
        <f t="shared" si="3013"/>
        <v>0</v>
      </c>
      <c r="AX287" s="13">
        <f t="shared" si="3013"/>
        <v>0</v>
      </c>
      <c r="AY287" s="13">
        <f t="shared" si="3013"/>
        <v>0</v>
      </c>
      <c r="AZ287" s="13">
        <f t="shared" si="3013"/>
        <v>0</v>
      </c>
      <c r="BA287" s="13">
        <f t="shared" si="3013"/>
        <v>0</v>
      </c>
      <c r="BB287" s="13">
        <f t="shared" si="3013"/>
        <v>0</v>
      </c>
      <c r="BC287" s="13">
        <f t="shared" si="3013"/>
        <v>0</v>
      </c>
      <c r="BD287" s="13">
        <f t="shared" si="3013"/>
        <v>0</v>
      </c>
      <c r="BE287" s="13">
        <f t="shared" si="3013"/>
        <v>0</v>
      </c>
      <c r="BF287" s="13">
        <f t="shared" si="3013"/>
        <v>0</v>
      </c>
      <c r="BG287" s="13">
        <f t="shared" si="3013"/>
        <v>0</v>
      </c>
      <c r="BH287" s="13">
        <f t="shared" si="3013"/>
        <v>0</v>
      </c>
      <c r="BI287" s="13">
        <f t="shared" si="3013"/>
        <v>0</v>
      </c>
      <c r="BJ287" s="13">
        <f t="shared" si="3013"/>
        <v>0</v>
      </c>
      <c r="BK287" s="13">
        <f t="shared" si="3013"/>
        <v>0</v>
      </c>
      <c r="BL287" s="13">
        <f t="shared" si="3013"/>
        <v>0</v>
      </c>
      <c r="BM287" s="13">
        <f t="shared" si="3013"/>
        <v>0</v>
      </c>
      <c r="BN287" s="13">
        <f t="shared" si="3013"/>
        <v>0</v>
      </c>
      <c r="BO287" s="13">
        <f t="shared" si="3013"/>
        <v>0</v>
      </c>
      <c r="BP287" s="13">
        <f t="shared" si="3013"/>
        <v>0</v>
      </c>
      <c r="BQ287" s="13">
        <f t="shared" si="3013"/>
        <v>0</v>
      </c>
      <c r="BR287" s="13">
        <f t="shared" ref="BR287:BY287" si="3014">+BR282*$E263/Months*Renewal_Probability</f>
        <v>0</v>
      </c>
      <c r="BS287" s="13">
        <f t="shared" si="3014"/>
        <v>0</v>
      </c>
      <c r="BT287" s="13">
        <f t="shared" si="3014"/>
        <v>0</v>
      </c>
      <c r="BU287" s="13">
        <f t="shared" si="3014"/>
        <v>0</v>
      </c>
      <c r="BV287" s="13">
        <f t="shared" si="3014"/>
        <v>0</v>
      </c>
      <c r="BW287" s="13">
        <f t="shared" si="3014"/>
        <v>0</v>
      </c>
      <c r="BX287" s="13">
        <f t="shared" si="3014"/>
        <v>0</v>
      </c>
      <c r="BY287" s="13">
        <f t="shared" si="3014"/>
        <v>0</v>
      </c>
    </row>
    <row r="288" spans="2:77" customFormat="1" outlineLevel="1" x14ac:dyDescent="0.25">
      <c r="B288" s="1"/>
      <c r="C288" s="50" t="s">
        <v>279</v>
      </c>
      <c r="D288" s="37" t="s">
        <v>101</v>
      </c>
      <c r="E288" s="1"/>
      <c r="F288" s="13">
        <f t="shared" ref="F288:BQ288" si="3015">+F283*$E263/Months*(1-Renewal_Probability)</f>
        <v>0</v>
      </c>
      <c r="G288" s="13">
        <f t="shared" si="3015"/>
        <v>0</v>
      </c>
      <c r="H288" s="13">
        <f t="shared" si="3015"/>
        <v>0</v>
      </c>
      <c r="I288" s="13">
        <f t="shared" si="3015"/>
        <v>0</v>
      </c>
      <c r="J288" s="13">
        <f t="shared" si="3015"/>
        <v>0</v>
      </c>
      <c r="K288" s="13">
        <f t="shared" si="3015"/>
        <v>0</v>
      </c>
      <c r="L288" s="13">
        <f t="shared" si="3015"/>
        <v>0</v>
      </c>
      <c r="M288" s="13">
        <f t="shared" si="3015"/>
        <v>0</v>
      </c>
      <c r="N288" s="13">
        <f t="shared" si="3015"/>
        <v>0</v>
      </c>
      <c r="O288" s="13">
        <f t="shared" si="3015"/>
        <v>0</v>
      </c>
      <c r="P288" s="13">
        <f t="shared" si="3015"/>
        <v>0</v>
      </c>
      <c r="Q288" s="13">
        <f t="shared" si="3015"/>
        <v>0</v>
      </c>
      <c r="R288" s="13">
        <f t="shared" si="3015"/>
        <v>0</v>
      </c>
      <c r="S288" s="13">
        <f t="shared" si="3015"/>
        <v>0</v>
      </c>
      <c r="T288" s="13">
        <f t="shared" si="3015"/>
        <v>0</v>
      </c>
      <c r="U288" s="13">
        <f t="shared" si="3015"/>
        <v>0</v>
      </c>
      <c r="V288" s="13">
        <f t="shared" si="3015"/>
        <v>0</v>
      </c>
      <c r="W288" s="13">
        <f t="shared" si="3015"/>
        <v>0</v>
      </c>
      <c r="X288" s="13">
        <f t="shared" si="3015"/>
        <v>0</v>
      </c>
      <c r="Y288" s="13">
        <f t="shared" si="3015"/>
        <v>0</v>
      </c>
      <c r="Z288" s="13">
        <f t="shared" si="3015"/>
        <v>0</v>
      </c>
      <c r="AA288" s="13">
        <f t="shared" si="3015"/>
        <v>0</v>
      </c>
      <c r="AB288" s="13">
        <f t="shared" si="3015"/>
        <v>0</v>
      </c>
      <c r="AC288" s="13">
        <f t="shared" si="3015"/>
        <v>0</v>
      </c>
      <c r="AD288" s="13">
        <f t="shared" si="3015"/>
        <v>0</v>
      </c>
      <c r="AE288" s="13">
        <f t="shared" si="3015"/>
        <v>0</v>
      </c>
      <c r="AF288" s="13">
        <f t="shared" si="3015"/>
        <v>0</v>
      </c>
      <c r="AG288" s="13">
        <f t="shared" si="3015"/>
        <v>0</v>
      </c>
      <c r="AH288" s="13">
        <f t="shared" si="3015"/>
        <v>0</v>
      </c>
      <c r="AI288" s="13">
        <f t="shared" si="3015"/>
        <v>0</v>
      </c>
      <c r="AJ288" s="13">
        <f t="shared" si="3015"/>
        <v>0</v>
      </c>
      <c r="AK288" s="13">
        <f t="shared" si="3015"/>
        <v>0</v>
      </c>
      <c r="AL288" s="13">
        <f t="shared" si="3015"/>
        <v>0</v>
      </c>
      <c r="AM288" s="13">
        <f t="shared" si="3015"/>
        <v>0</v>
      </c>
      <c r="AN288" s="13">
        <f t="shared" si="3015"/>
        <v>0</v>
      </c>
      <c r="AO288" s="13">
        <f t="shared" si="3015"/>
        <v>0</v>
      </c>
      <c r="AP288" s="13">
        <f t="shared" si="3015"/>
        <v>0</v>
      </c>
      <c r="AQ288" s="13">
        <f t="shared" si="3015"/>
        <v>0</v>
      </c>
      <c r="AR288" s="13">
        <f t="shared" si="3015"/>
        <v>0</v>
      </c>
      <c r="AS288" s="13">
        <f t="shared" si="3015"/>
        <v>0</v>
      </c>
      <c r="AT288" s="13">
        <f t="shared" si="3015"/>
        <v>0</v>
      </c>
      <c r="AU288" s="13">
        <f t="shared" si="3015"/>
        <v>0</v>
      </c>
      <c r="AV288" s="13">
        <f t="shared" si="3015"/>
        <v>0</v>
      </c>
      <c r="AW288" s="13">
        <f t="shared" si="3015"/>
        <v>0</v>
      </c>
      <c r="AX288" s="13">
        <f t="shared" si="3015"/>
        <v>0</v>
      </c>
      <c r="AY288" s="13">
        <f t="shared" si="3015"/>
        <v>0</v>
      </c>
      <c r="AZ288" s="13">
        <f t="shared" si="3015"/>
        <v>0</v>
      </c>
      <c r="BA288" s="13">
        <f t="shared" si="3015"/>
        <v>0</v>
      </c>
      <c r="BB288" s="13">
        <f t="shared" si="3015"/>
        <v>0</v>
      </c>
      <c r="BC288" s="13">
        <f t="shared" si="3015"/>
        <v>0</v>
      </c>
      <c r="BD288" s="13">
        <f t="shared" si="3015"/>
        <v>0</v>
      </c>
      <c r="BE288" s="13">
        <f t="shared" si="3015"/>
        <v>0</v>
      </c>
      <c r="BF288" s="13">
        <f t="shared" si="3015"/>
        <v>0</v>
      </c>
      <c r="BG288" s="13">
        <f t="shared" si="3015"/>
        <v>0</v>
      </c>
      <c r="BH288" s="13">
        <f t="shared" si="3015"/>
        <v>0</v>
      </c>
      <c r="BI288" s="13">
        <f t="shared" si="3015"/>
        <v>0</v>
      </c>
      <c r="BJ288" s="13">
        <f t="shared" si="3015"/>
        <v>0</v>
      </c>
      <c r="BK288" s="13">
        <f t="shared" si="3015"/>
        <v>0</v>
      </c>
      <c r="BL288" s="13">
        <f t="shared" si="3015"/>
        <v>0</v>
      </c>
      <c r="BM288" s="13">
        <f t="shared" si="3015"/>
        <v>0</v>
      </c>
      <c r="BN288" s="13">
        <f t="shared" si="3015"/>
        <v>0</v>
      </c>
      <c r="BO288" s="13">
        <f t="shared" si="3015"/>
        <v>0</v>
      </c>
      <c r="BP288" s="13">
        <f t="shared" si="3015"/>
        <v>0</v>
      </c>
      <c r="BQ288" s="13">
        <f t="shared" si="3015"/>
        <v>0</v>
      </c>
      <c r="BR288" s="13">
        <f t="shared" ref="BR288:BY288" si="3016">+BR283*$E263/Months*(1-Renewal_Probability)</f>
        <v>0</v>
      </c>
      <c r="BS288" s="13">
        <f t="shared" si="3016"/>
        <v>0</v>
      </c>
      <c r="BT288" s="13">
        <f t="shared" si="3016"/>
        <v>0</v>
      </c>
      <c r="BU288" s="13">
        <f t="shared" si="3016"/>
        <v>0</v>
      </c>
      <c r="BV288" s="13">
        <f t="shared" si="3016"/>
        <v>0</v>
      </c>
      <c r="BW288" s="13">
        <f t="shared" si="3016"/>
        <v>0</v>
      </c>
      <c r="BX288" s="13">
        <f t="shared" si="3016"/>
        <v>0</v>
      </c>
      <c r="BY288" s="13">
        <f t="shared" si="3016"/>
        <v>0</v>
      </c>
    </row>
    <row r="289" spans="2:77" customFormat="1" outlineLevel="1" x14ac:dyDescent="0.25">
      <c r="B289" s="1"/>
      <c r="C289" s="50"/>
      <c r="D289" s="37"/>
      <c r="E289" s="1"/>
      <c r="F289" s="156"/>
      <c r="G289" s="156"/>
      <c r="H289" s="156"/>
      <c r="I289" s="156"/>
      <c r="J289" s="156"/>
      <c r="K289" s="156"/>
      <c r="L289" s="156"/>
      <c r="M289" s="156"/>
      <c r="N289" s="156"/>
      <c r="O289" s="156"/>
      <c r="P289" s="156"/>
      <c r="Q289" s="156"/>
      <c r="R289" s="156"/>
      <c r="S289" s="156"/>
      <c r="T289" s="156"/>
      <c r="U289" s="156"/>
      <c r="V289" s="156"/>
      <c r="W289" s="156"/>
      <c r="X289" s="156"/>
      <c r="Y289" s="156"/>
      <c r="Z289" s="156"/>
      <c r="AA289" s="156"/>
      <c r="AB289" s="156"/>
      <c r="AC289" s="156"/>
      <c r="AD289" s="156"/>
      <c r="AE289" s="156"/>
      <c r="AF289" s="156"/>
      <c r="AG289" s="156"/>
      <c r="AH289" s="156"/>
      <c r="AI289" s="156"/>
      <c r="AJ289" s="156"/>
      <c r="AK289" s="156"/>
      <c r="AL289" s="156"/>
      <c r="AM289" s="156"/>
      <c r="AN289" s="156"/>
      <c r="AO289" s="156"/>
      <c r="AP289" s="156"/>
      <c r="AQ289" s="156"/>
      <c r="AR289" s="156"/>
      <c r="AS289" s="156"/>
      <c r="AT289" s="156"/>
      <c r="AU289" s="156"/>
      <c r="AV289" s="156"/>
      <c r="AW289" s="156"/>
      <c r="AX289" s="156"/>
      <c r="AY289" s="156"/>
      <c r="AZ289" s="156"/>
      <c r="BA289" s="156"/>
      <c r="BB289" s="156"/>
      <c r="BC289" s="156"/>
      <c r="BD289" s="156"/>
      <c r="BE289" s="156"/>
      <c r="BF289" s="156"/>
      <c r="BG289" s="156"/>
      <c r="BH289" s="156"/>
      <c r="BI289" s="156"/>
      <c r="BJ289" s="156"/>
      <c r="BK289" s="156"/>
      <c r="BL289" s="156"/>
      <c r="BM289" s="156"/>
      <c r="BN289" s="156"/>
      <c r="BO289" s="156"/>
      <c r="BP289" s="156"/>
      <c r="BQ289" s="156"/>
      <c r="BR289" s="156"/>
      <c r="BS289" s="156"/>
      <c r="BT289" s="156"/>
      <c r="BU289" s="156"/>
      <c r="BV289" s="156"/>
      <c r="BW289" s="156"/>
      <c r="BX289" s="156"/>
      <c r="BY289" s="156"/>
    </row>
    <row r="290" spans="2:77" customFormat="1" outlineLevel="1" x14ac:dyDescent="0.25">
      <c r="B290" s="1"/>
      <c r="C290" s="50" t="s">
        <v>117</v>
      </c>
      <c r="D290" s="37" t="s">
        <v>101</v>
      </c>
      <c r="E290" s="1"/>
      <c r="F290" s="13">
        <f>IF(F$5&gt;$E264,SUM(F286:F288)-F285,0)</f>
        <v>0</v>
      </c>
      <c r="G290" s="13">
        <f t="shared" ref="G290:BR290" si="3017">IF(G$5&gt;$E264,SUM(G286:G288)-G285,0)</f>
        <v>0</v>
      </c>
      <c r="H290" s="13">
        <f t="shared" si="3017"/>
        <v>0</v>
      </c>
      <c r="I290" s="13">
        <f t="shared" si="3017"/>
        <v>0</v>
      </c>
      <c r="J290" s="13">
        <f t="shared" si="3017"/>
        <v>0</v>
      </c>
      <c r="K290" s="13">
        <f t="shared" si="3017"/>
        <v>0</v>
      </c>
      <c r="L290" s="13">
        <f t="shared" si="3017"/>
        <v>0</v>
      </c>
      <c r="M290" s="13">
        <f t="shared" si="3017"/>
        <v>0</v>
      </c>
      <c r="N290" s="13">
        <f t="shared" si="3017"/>
        <v>0</v>
      </c>
      <c r="O290" s="13">
        <f t="shared" si="3017"/>
        <v>0</v>
      </c>
      <c r="P290" s="13">
        <f t="shared" si="3017"/>
        <v>0</v>
      </c>
      <c r="Q290" s="13">
        <f t="shared" si="3017"/>
        <v>0</v>
      </c>
      <c r="R290" s="13">
        <f t="shared" si="3017"/>
        <v>0</v>
      </c>
      <c r="S290" s="13">
        <f t="shared" si="3017"/>
        <v>0</v>
      </c>
      <c r="T290" s="13">
        <f t="shared" si="3017"/>
        <v>0</v>
      </c>
      <c r="U290" s="13">
        <f t="shared" si="3017"/>
        <v>0</v>
      </c>
      <c r="V290" s="13">
        <f t="shared" si="3017"/>
        <v>0</v>
      </c>
      <c r="W290" s="13">
        <f t="shared" si="3017"/>
        <v>0</v>
      </c>
      <c r="X290" s="13">
        <f t="shared" si="3017"/>
        <v>0</v>
      </c>
      <c r="Y290" s="13">
        <f t="shared" si="3017"/>
        <v>0</v>
      </c>
      <c r="Z290" s="13">
        <f t="shared" si="3017"/>
        <v>0</v>
      </c>
      <c r="AA290" s="13">
        <f t="shared" si="3017"/>
        <v>0</v>
      </c>
      <c r="AB290" s="13">
        <f t="shared" si="3017"/>
        <v>0</v>
      </c>
      <c r="AC290" s="13">
        <f t="shared" si="3017"/>
        <v>0</v>
      </c>
      <c r="AD290" s="13">
        <f t="shared" si="3017"/>
        <v>0</v>
      </c>
      <c r="AE290" s="13">
        <f t="shared" si="3017"/>
        <v>0</v>
      </c>
      <c r="AF290" s="13">
        <f t="shared" si="3017"/>
        <v>0</v>
      </c>
      <c r="AG290" s="13">
        <f t="shared" si="3017"/>
        <v>0</v>
      </c>
      <c r="AH290" s="13">
        <f t="shared" si="3017"/>
        <v>0</v>
      </c>
      <c r="AI290" s="13">
        <f t="shared" si="3017"/>
        <v>0</v>
      </c>
      <c r="AJ290" s="13">
        <f t="shared" si="3017"/>
        <v>0</v>
      </c>
      <c r="AK290" s="13">
        <f t="shared" si="3017"/>
        <v>0</v>
      </c>
      <c r="AL290" s="13">
        <f t="shared" si="3017"/>
        <v>0</v>
      </c>
      <c r="AM290" s="13">
        <f t="shared" si="3017"/>
        <v>0</v>
      </c>
      <c r="AN290" s="13">
        <f t="shared" si="3017"/>
        <v>0</v>
      </c>
      <c r="AO290" s="13">
        <f t="shared" si="3017"/>
        <v>0</v>
      </c>
      <c r="AP290" s="13">
        <f t="shared" si="3017"/>
        <v>0</v>
      </c>
      <c r="AQ290" s="13">
        <f t="shared" si="3017"/>
        <v>0</v>
      </c>
      <c r="AR290" s="13">
        <f t="shared" si="3017"/>
        <v>0</v>
      </c>
      <c r="AS290" s="13">
        <f t="shared" si="3017"/>
        <v>0</v>
      </c>
      <c r="AT290" s="13">
        <f t="shared" si="3017"/>
        <v>0</v>
      </c>
      <c r="AU290" s="13">
        <f t="shared" si="3017"/>
        <v>0</v>
      </c>
      <c r="AV290" s="13">
        <f t="shared" si="3017"/>
        <v>0</v>
      </c>
      <c r="AW290" s="13">
        <f t="shared" si="3017"/>
        <v>0</v>
      </c>
      <c r="AX290" s="13">
        <f t="shared" si="3017"/>
        <v>0</v>
      </c>
      <c r="AY290" s="13">
        <f t="shared" si="3017"/>
        <v>0</v>
      </c>
      <c r="AZ290" s="13">
        <f t="shared" si="3017"/>
        <v>0</v>
      </c>
      <c r="BA290" s="13">
        <f t="shared" si="3017"/>
        <v>0</v>
      </c>
      <c r="BB290" s="13">
        <f t="shared" si="3017"/>
        <v>0</v>
      </c>
      <c r="BC290" s="13">
        <f t="shared" si="3017"/>
        <v>0</v>
      </c>
      <c r="BD290" s="13">
        <f t="shared" si="3017"/>
        <v>0</v>
      </c>
      <c r="BE290" s="13">
        <f t="shared" si="3017"/>
        <v>0</v>
      </c>
      <c r="BF290" s="13">
        <f t="shared" si="3017"/>
        <v>0</v>
      </c>
      <c r="BG290" s="13">
        <f t="shared" si="3017"/>
        <v>0</v>
      </c>
      <c r="BH290" s="13">
        <f t="shared" si="3017"/>
        <v>0</v>
      </c>
      <c r="BI290" s="13">
        <f t="shared" si="3017"/>
        <v>0</v>
      </c>
      <c r="BJ290" s="13">
        <f t="shared" si="3017"/>
        <v>0</v>
      </c>
      <c r="BK290" s="13">
        <f t="shared" si="3017"/>
        <v>0</v>
      </c>
      <c r="BL290" s="13">
        <f t="shared" si="3017"/>
        <v>0</v>
      </c>
      <c r="BM290" s="13">
        <f t="shared" si="3017"/>
        <v>0</v>
      </c>
      <c r="BN290" s="13">
        <f t="shared" si="3017"/>
        <v>0</v>
      </c>
      <c r="BO290" s="13">
        <f t="shared" si="3017"/>
        <v>0</v>
      </c>
      <c r="BP290" s="13">
        <f t="shared" si="3017"/>
        <v>0</v>
      </c>
      <c r="BQ290" s="13">
        <f t="shared" si="3017"/>
        <v>0</v>
      </c>
      <c r="BR290" s="13">
        <f t="shared" si="3017"/>
        <v>0</v>
      </c>
      <c r="BS290" s="13">
        <f t="shared" ref="BS290:BY290" si="3018">IF(BS$5&gt;$E264,SUM(BS286:BS288)-BS285,0)</f>
        <v>0</v>
      </c>
      <c r="BT290" s="13">
        <f t="shared" si="3018"/>
        <v>0</v>
      </c>
      <c r="BU290" s="13">
        <f t="shared" si="3018"/>
        <v>0</v>
      </c>
      <c r="BV290" s="13">
        <f t="shared" si="3018"/>
        <v>0</v>
      </c>
      <c r="BW290" s="13">
        <f t="shared" si="3018"/>
        <v>0</v>
      </c>
      <c r="BX290" s="13">
        <f t="shared" si="3018"/>
        <v>0</v>
      </c>
      <c r="BY290" s="13">
        <f t="shared" si="3018"/>
        <v>0</v>
      </c>
    </row>
    <row r="291" spans="2:77" customFormat="1" outlineLevel="1" x14ac:dyDescent="0.25">
      <c r="B291" s="1"/>
      <c r="C291" s="50" t="s">
        <v>25</v>
      </c>
      <c r="D291" s="37" t="s">
        <v>101</v>
      </c>
      <c r="E291" s="1"/>
      <c r="F291" s="62">
        <f>IF(AND(F$5&gt;$E266,F$5&lt;=$E275),-F288,0)</f>
        <v>0</v>
      </c>
      <c r="G291" s="62">
        <f t="shared" ref="G291:BR291" si="3019">IF(AND(G$5&gt;$E266,G$5&lt;=$E275),-G288,0)</f>
        <v>0</v>
      </c>
      <c r="H291" s="62">
        <f t="shared" si="3019"/>
        <v>0</v>
      </c>
      <c r="I291" s="62">
        <f t="shared" si="3019"/>
        <v>0</v>
      </c>
      <c r="J291" s="62">
        <f t="shared" si="3019"/>
        <v>0</v>
      </c>
      <c r="K291" s="62">
        <f t="shared" si="3019"/>
        <v>0</v>
      </c>
      <c r="L291" s="62">
        <f t="shared" si="3019"/>
        <v>0</v>
      </c>
      <c r="M291" s="62">
        <f t="shared" si="3019"/>
        <v>0</v>
      </c>
      <c r="N291" s="62">
        <f t="shared" si="3019"/>
        <v>0</v>
      </c>
      <c r="O291" s="62">
        <f t="shared" si="3019"/>
        <v>0</v>
      </c>
      <c r="P291" s="62">
        <f t="shared" si="3019"/>
        <v>0</v>
      </c>
      <c r="Q291" s="62">
        <f t="shared" si="3019"/>
        <v>0</v>
      </c>
      <c r="R291" s="62">
        <f t="shared" si="3019"/>
        <v>0</v>
      </c>
      <c r="S291" s="62">
        <f t="shared" si="3019"/>
        <v>0</v>
      </c>
      <c r="T291" s="62">
        <f t="shared" si="3019"/>
        <v>0</v>
      </c>
      <c r="U291" s="62">
        <f t="shared" si="3019"/>
        <v>0</v>
      </c>
      <c r="V291" s="62">
        <f t="shared" si="3019"/>
        <v>0</v>
      </c>
      <c r="W291" s="62">
        <f t="shared" si="3019"/>
        <v>0</v>
      </c>
      <c r="X291" s="62">
        <f t="shared" si="3019"/>
        <v>0</v>
      </c>
      <c r="Y291" s="62">
        <f t="shared" si="3019"/>
        <v>0</v>
      </c>
      <c r="Z291" s="62">
        <f t="shared" si="3019"/>
        <v>0</v>
      </c>
      <c r="AA291" s="62">
        <f t="shared" si="3019"/>
        <v>0</v>
      </c>
      <c r="AB291" s="62">
        <f t="shared" si="3019"/>
        <v>0</v>
      </c>
      <c r="AC291" s="62">
        <f t="shared" si="3019"/>
        <v>0</v>
      </c>
      <c r="AD291" s="62">
        <f t="shared" si="3019"/>
        <v>0</v>
      </c>
      <c r="AE291" s="62">
        <f t="shared" si="3019"/>
        <v>0</v>
      </c>
      <c r="AF291" s="62">
        <f t="shared" si="3019"/>
        <v>0</v>
      </c>
      <c r="AG291" s="62">
        <f t="shared" si="3019"/>
        <v>0</v>
      </c>
      <c r="AH291" s="62">
        <f t="shared" si="3019"/>
        <v>0</v>
      </c>
      <c r="AI291" s="62">
        <f t="shared" si="3019"/>
        <v>0</v>
      </c>
      <c r="AJ291" s="62">
        <f t="shared" si="3019"/>
        <v>0</v>
      </c>
      <c r="AK291" s="62">
        <f t="shared" si="3019"/>
        <v>0</v>
      </c>
      <c r="AL291" s="62">
        <f t="shared" si="3019"/>
        <v>0</v>
      </c>
      <c r="AM291" s="62">
        <f t="shared" si="3019"/>
        <v>0</v>
      </c>
      <c r="AN291" s="62">
        <f t="shared" si="3019"/>
        <v>0</v>
      </c>
      <c r="AO291" s="62">
        <f t="shared" si="3019"/>
        <v>0</v>
      </c>
      <c r="AP291" s="62">
        <f t="shared" si="3019"/>
        <v>0</v>
      </c>
      <c r="AQ291" s="62">
        <f t="shared" si="3019"/>
        <v>0</v>
      </c>
      <c r="AR291" s="62">
        <f t="shared" si="3019"/>
        <v>0</v>
      </c>
      <c r="AS291" s="62">
        <f t="shared" si="3019"/>
        <v>0</v>
      </c>
      <c r="AT291" s="62">
        <f t="shared" si="3019"/>
        <v>0</v>
      </c>
      <c r="AU291" s="62">
        <f t="shared" si="3019"/>
        <v>0</v>
      </c>
      <c r="AV291" s="62">
        <f t="shared" si="3019"/>
        <v>0</v>
      </c>
      <c r="AW291" s="62">
        <f t="shared" si="3019"/>
        <v>0</v>
      </c>
      <c r="AX291" s="62">
        <f t="shared" si="3019"/>
        <v>0</v>
      </c>
      <c r="AY291" s="62">
        <f t="shared" si="3019"/>
        <v>0</v>
      </c>
      <c r="AZ291" s="62">
        <f t="shared" si="3019"/>
        <v>0</v>
      </c>
      <c r="BA291" s="62">
        <f t="shared" si="3019"/>
        <v>0</v>
      </c>
      <c r="BB291" s="62">
        <f t="shared" si="3019"/>
        <v>0</v>
      </c>
      <c r="BC291" s="62">
        <f t="shared" si="3019"/>
        <v>0</v>
      </c>
      <c r="BD291" s="62">
        <f t="shared" si="3019"/>
        <v>0</v>
      </c>
      <c r="BE291" s="62">
        <f t="shared" si="3019"/>
        <v>0</v>
      </c>
      <c r="BF291" s="62">
        <f t="shared" si="3019"/>
        <v>0</v>
      </c>
      <c r="BG291" s="62">
        <f t="shared" si="3019"/>
        <v>0</v>
      </c>
      <c r="BH291" s="62">
        <f t="shared" si="3019"/>
        <v>0</v>
      </c>
      <c r="BI291" s="62">
        <f t="shared" si="3019"/>
        <v>0</v>
      </c>
      <c r="BJ291" s="62">
        <f t="shared" si="3019"/>
        <v>0</v>
      </c>
      <c r="BK291" s="62">
        <f t="shared" si="3019"/>
        <v>0</v>
      </c>
      <c r="BL291" s="62">
        <f t="shared" si="3019"/>
        <v>0</v>
      </c>
      <c r="BM291" s="62">
        <f t="shared" si="3019"/>
        <v>0</v>
      </c>
      <c r="BN291" s="62">
        <f t="shared" si="3019"/>
        <v>0</v>
      </c>
      <c r="BO291" s="62">
        <f t="shared" si="3019"/>
        <v>0</v>
      </c>
      <c r="BP291" s="62">
        <f t="shared" si="3019"/>
        <v>0</v>
      </c>
      <c r="BQ291" s="62">
        <f t="shared" si="3019"/>
        <v>0</v>
      </c>
      <c r="BR291" s="62">
        <f t="shared" si="3019"/>
        <v>0</v>
      </c>
      <c r="BS291" s="62">
        <f t="shared" ref="BS291:BY291" si="3020">IF(AND(BS$5&gt;$E266,BS$5&lt;=$E275),-BS288,0)</f>
        <v>0</v>
      </c>
      <c r="BT291" s="62">
        <f t="shared" si="3020"/>
        <v>0</v>
      </c>
      <c r="BU291" s="62">
        <f t="shared" si="3020"/>
        <v>0</v>
      </c>
      <c r="BV291" s="62">
        <f t="shared" si="3020"/>
        <v>0</v>
      </c>
      <c r="BW291" s="62">
        <f t="shared" si="3020"/>
        <v>0</v>
      </c>
      <c r="BX291" s="62">
        <f t="shared" si="3020"/>
        <v>0</v>
      </c>
      <c r="BY291" s="62">
        <f t="shared" si="3020"/>
        <v>0</v>
      </c>
    </row>
    <row r="292" spans="2:77" customFormat="1" outlineLevel="1" x14ac:dyDescent="0.25">
      <c r="B292" s="1"/>
      <c r="C292" s="50" t="s">
        <v>26</v>
      </c>
      <c r="D292" s="37" t="s">
        <v>101</v>
      </c>
      <c r="E292" s="1"/>
      <c r="F292" s="62">
        <f t="shared" ref="F292:BQ292" si="3021">IF(AND(F$5&gt;$E264,F$5&lt;=EOMONTH($E264,$E268)),-F286,0)+IF(AND(F$5&gt;$E266,F$5&lt;=EOMONTH($E266,Renewal_Free_Rent_Months)),-F287,0)+IF(AND(F$5&gt;$E275,F$5&lt;=EOMONTH($E275,New_Free_Rent_Months)),-F288,0)</f>
        <v>0</v>
      </c>
      <c r="G292" s="62">
        <f t="shared" si="3021"/>
        <v>0</v>
      </c>
      <c r="H292" s="62">
        <f t="shared" si="3021"/>
        <v>0</v>
      </c>
      <c r="I292" s="62">
        <f t="shared" si="3021"/>
        <v>0</v>
      </c>
      <c r="J292" s="62">
        <f t="shared" si="3021"/>
        <v>0</v>
      </c>
      <c r="K292" s="62">
        <f t="shared" si="3021"/>
        <v>0</v>
      </c>
      <c r="L292" s="62">
        <f t="shared" si="3021"/>
        <v>0</v>
      </c>
      <c r="M292" s="62">
        <f t="shared" si="3021"/>
        <v>0</v>
      </c>
      <c r="N292" s="62">
        <f t="shared" si="3021"/>
        <v>0</v>
      </c>
      <c r="O292" s="62">
        <f t="shared" si="3021"/>
        <v>0</v>
      </c>
      <c r="P292" s="62">
        <f t="shared" si="3021"/>
        <v>0</v>
      </c>
      <c r="Q292" s="62">
        <f t="shared" si="3021"/>
        <v>0</v>
      </c>
      <c r="R292" s="62">
        <f t="shared" si="3021"/>
        <v>0</v>
      </c>
      <c r="S292" s="62">
        <f t="shared" si="3021"/>
        <v>0</v>
      </c>
      <c r="T292" s="62">
        <f t="shared" si="3021"/>
        <v>0</v>
      </c>
      <c r="U292" s="62">
        <f t="shared" si="3021"/>
        <v>0</v>
      </c>
      <c r="V292" s="62">
        <f t="shared" si="3021"/>
        <v>0</v>
      </c>
      <c r="W292" s="62">
        <f t="shared" si="3021"/>
        <v>0</v>
      </c>
      <c r="X292" s="62">
        <f t="shared" si="3021"/>
        <v>0</v>
      </c>
      <c r="Y292" s="62">
        <f t="shared" si="3021"/>
        <v>0</v>
      </c>
      <c r="Z292" s="62">
        <f t="shared" si="3021"/>
        <v>0</v>
      </c>
      <c r="AA292" s="62">
        <f t="shared" si="3021"/>
        <v>0</v>
      </c>
      <c r="AB292" s="62">
        <f t="shared" si="3021"/>
        <v>0</v>
      </c>
      <c r="AC292" s="62">
        <f t="shared" si="3021"/>
        <v>0</v>
      </c>
      <c r="AD292" s="62">
        <f t="shared" si="3021"/>
        <v>0</v>
      </c>
      <c r="AE292" s="62">
        <f t="shared" si="3021"/>
        <v>0</v>
      </c>
      <c r="AF292" s="62">
        <f t="shared" si="3021"/>
        <v>0</v>
      </c>
      <c r="AG292" s="62">
        <f t="shared" si="3021"/>
        <v>0</v>
      </c>
      <c r="AH292" s="62">
        <f t="shared" si="3021"/>
        <v>0</v>
      </c>
      <c r="AI292" s="62">
        <f t="shared" si="3021"/>
        <v>0</v>
      </c>
      <c r="AJ292" s="62">
        <f t="shared" si="3021"/>
        <v>0</v>
      </c>
      <c r="AK292" s="62">
        <f t="shared" si="3021"/>
        <v>0</v>
      </c>
      <c r="AL292" s="62">
        <f t="shared" si="3021"/>
        <v>0</v>
      </c>
      <c r="AM292" s="62">
        <f t="shared" si="3021"/>
        <v>0</v>
      </c>
      <c r="AN292" s="62">
        <f t="shared" si="3021"/>
        <v>0</v>
      </c>
      <c r="AO292" s="62">
        <f t="shared" si="3021"/>
        <v>0</v>
      </c>
      <c r="AP292" s="62">
        <f t="shared" si="3021"/>
        <v>0</v>
      </c>
      <c r="AQ292" s="62">
        <f t="shared" si="3021"/>
        <v>0</v>
      </c>
      <c r="AR292" s="62">
        <f t="shared" si="3021"/>
        <v>0</v>
      </c>
      <c r="AS292" s="62">
        <f t="shared" si="3021"/>
        <v>0</v>
      </c>
      <c r="AT292" s="62">
        <f t="shared" si="3021"/>
        <v>0</v>
      </c>
      <c r="AU292" s="62">
        <f t="shared" si="3021"/>
        <v>0</v>
      </c>
      <c r="AV292" s="62">
        <f t="shared" si="3021"/>
        <v>0</v>
      </c>
      <c r="AW292" s="62">
        <f t="shared" si="3021"/>
        <v>0</v>
      </c>
      <c r="AX292" s="62">
        <f t="shared" si="3021"/>
        <v>0</v>
      </c>
      <c r="AY292" s="62">
        <f t="shared" si="3021"/>
        <v>0</v>
      </c>
      <c r="AZ292" s="62">
        <f t="shared" si="3021"/>
        <v>0</v>
      </c>
      <c r="BA292" s="62">
        <f t="shared" si="3021"/>
        <v>0</v>
      </c>
      <c r="BB292" s="62">
        <f t="shared" si="3021"/>
        <v>0</v>
      </c>
      <c r="BC292" s="62">
        <f t="shared" si="3021"/>
        <v>0</v>
      </c>
      <c r="BD292" s="62">
        <f t="shared" si="3021"/>
        <v>0</v>
      </c>
      <c r="BE292" s="62">
        <f t="shared" si="3021"/>
        <v>0</v>
      </c>
      <c r="BF292" s="62">
        <f t="shared" si="3021"/>
        <v>0</v>
      </c>
      <c r="BG292" s="62">
        <f t="shared" si="3021"/>
        <v>0</v>
      </c>
      <c r="BH292" s="62">
        <f t="shared" si="3021"/>
        <v>0</v>
      </c>
      <c r="BI292" s="62">
        <f t="shared" si="3021"/>
        <v>0</v>
      </c>
      <c r="BJ292" s="62">
        <f t="shared" si="3021"/>
        <v>0</v>
      </c>
      <c r="BK292" s="62">
        <f t="shared" si="3021"/>
        <v>0</v>
      </c>
      <c r="BL292" s="62">
        <f t="shared" si="3021"/>
        <v>0</v>
      </c>
      <c r="BM292" s="62">
        <f t="shared" si="3021"/>
        <v>0</v>
      </c>
      <c r="BN292" s="62">
        <f t="shared" si="3021"/>
        <v>0</v>
      </c>
      <c r="BO292" s="62">
        <f t="shared" si="3021"/>
        <v>0</v>
      </c>
      <c r="BP292" s="62">
        <f t="shared" si="3021"/>
        <v>0</v>
      </c>
      <c r="BQ292" s="62">
        <f t="shared" si="3021"/>
        <v>0</v>
      </c>
      <c r="BR292" s="62">
        <f t="shared" ref="BR292:BY292" si="3022">IF(AND(BR$5&gt;$E264,BR$5&lt;=EOMONTH($E264,$E268)),-BR286,0)+IF(AND(BR$5&gt;$E266,BR$5&lt;=EOMONTH($E266,Renewal_Free_Rent_Months)),-BR287,0)+IF(AND(BR$5&gt;$E275,BR$5&lt;=EOMONTH($E275,New_Free_Rent_Months)),-BR288,0)</f>
        <v>0</v>
      </c>
      <c r="BS292" s="62">
        <f t="shared" si="3022"/>
        <v>0</v>
      </c>
      <c r="BT292" s="62">
        <f t="shared" si="3022"/>
        <v>0</v>
      </c>
      <c r="BU292" s="62">
        <f t="shared" si="3022"/>
        <v>0</v>
      </c>
      <c r="BV292" s="62">
        <f t="shared" si="3022"/>
        <v>0</v>
      </c>
      <c r="BW292" s="62">
        <f t="shared" si="3022"/>
        <v>0</v>
      </c>
      <c r="BX292" s="62">
        <f t="shared" si="3022"/>
        <v>0</v>
      </c>
      <c r="BY292" s="62">
        <f t="shared" si="3022"/>
        <v>0</v>
      </c>
    </row>
    <row r="293" spans="2:77" customFormat="1" outlineLevel="1" x14ac:dyDescent="0.25">
      <c r="B293" s="1"/>
      <c r="C293" s="50" t="s">
        <v>27</v>
      </c>
      <c r="D293" s="37" t="s">
        <v>101</v>
      </c>
      <c r="E293" s="1"/>
      <c r="F293" s="62">
        <f t="shared" ref="F293:BQ293" si="3023">IF(F$5=EOMONTH($E264,1),-New_TIs*$E263*F$15,0)+IF(F$5=EOMONTH($E270,1),-Renewal_TIs*$E263*F$15*Renewal_Probability,0)+IF(F$5=EOMONTH($E275,1),-New_TIs*$E263*F$15*(1-Renewal_Probability),0)</f>
        <v>0</v>
      </c>
      <c r="G293" s="62">
        <f t="shared" si="3023"/>
        <v>0</v>
      </c>
      <c r="H293" s="62">
        <f t="shared" si="3023"/>
        <v>0</v>
      </c>
      <c r="I293" s="62">
        <f t="shared" si="3023"/>
        <v>0</v>
      </c>
      <c r="J293" s="62">
        <f t="shared" si="3023"/>
        <v>0</v>
      </c>
      <c r="K293" s="62">
        <f t="shared" si="3023"/>
        <v>0</v>
      </c>
      <c r="L293" s="62">
        <f t="shared" si="3023"/>
        <v>0</v>
      </c>
      <c r="M293" s="62">
        <f t="shared" si="3023"/>
        <v>0</v>
      </c>
      <c r="N293" s="62">
        <f t="shared" si="3023"/>
        <v>0</v>
      </c>
      <c r="O293" s="62">
        <f t="shared" si="3023"/>
        <v>0</v>
      </c>
      <c r="P293" s="62">
        <f t="shared" si="3023"/>
        <v>0</v>
      </c>
      <c r="Q293" s="62">
        <f t="shared" si="3023"/>
        <v>0</v>
      </c>
      <c r="R293" s="62">
        <f t="shared" si="3023"/>
        <v>0</v>
      </c>
      <c r="S293" s="62">
        <f t="shared" si="3023"/>
        <v>0</v>
      </c>
      <c r="T293" s="62">
        <f t="shared" si="3023"/>
        <v>0</v>
      </c>
      <c r="U293" s="62">
        <f t="shared" si="3023"/>
        <v>0</v>
      </c>
      <c r="V293" s="62">
        <f t="shared" si="3023"/>
        <v>0</v>
      </c>
      <c r="W293" s="62">
        <f t="shared" si="3023"/>
        <v>0</v>
      </c>
      <c r="X293" s="62">
        <f t="shared" si="3023"/>
        <v>0</v>
      </c>
      <c r="Y293" s="62">
        <f t="shared" si="3023"/>
        <v>0</v>
      </c>
      <c r="Z293" s="62">
        <f t="shared" si="3023"/>
        <v>0</v>
      </c>
      <c r="AA293" s="62">
        <f t="shared" si="3023"/>
        <v>0</v>
      </c>
      <c r="AB293" s="62">
        <f t="shared" si="3023"/>
        <v>0</v>
      </c>
      <c r="AC293" s="62">
        <f t="shared" si="3023"/>
        <v>0</v>
      </c>
      <c r="AD293" s="62">
        <f t="shared" si="3023"/>
        <v>0</v>
      </c>
      <c r="AE293" s="62">
        <f t="shared" si="3023"/>
        <v>0</v>
      </c>
      <c r="AF293" s="62">
        <f t="shared" si="3023"/>
        <v>0</v>
      </c>
      <c r="AG293" s="62">
        <f t="shared" si="3023"/>
        <v>0</v>
      </c>
      <c r="AH293" s="62">
        <f t="shared" si="3023"/>
        <v>0</v>
      </c>
      <c r="AI293" s="62">
        <f t="shared" si="3023"/>
        <v>0</v>
      </c>
      <c r="AJ293" s="62">
        <f t="shared" si="3023"/>
        <v>0</v>
      </c>
      <c r="AK293" s="62">
        <f t="shared" si="3023"/>
        <v>0</v>
      </c>
      <c r="AL293" s="62">
        <f t="shared" si="3023"/>
        <v>0</v>
      </c>
      <c r="AM293" s="62">
        <f t="shared" si="3023"/>
        <v>0</v>
      </c>
      <c r="AN293" s="62">
        <f t="shared" si="3023"/>
        <v>0</v>
      </c>
      <c r="AO293" s="62">
        <f t="shared" si="3023"/>
        <v>0</v>
      </c>
      <c r="AP293" s="62">
        <f t="shared" si="3023"/>
        <v>0</v>
      </c>
      <c r="AQ293" s="62">
        <f t="shared" si="3023"/>
        <v>0</v>
      </c>
      <c r="AR293" s="62">
        <f t="shared" si="3023"/>
        <v>0</v>
      </c>
      <c r="AS293" s="62">
        <f t="shared" si="3023"/>
        <v>0</v>
      </c>
      <c r="AT293" s="62">
        <f t="shared" si="3023"/>
        <v>0</v>
      </c>
      <c r="AU293" s="62">
        <f t="shared" si="3023"/>
        <v>0</v>
      </c>
      <c r="AV293" s="62">
        <f t="shared" si="3023"/>
        <v>0</v>
      </c>
      <c r="AW293" s="62">
        <f t="shared" si="3023"/>
        <v>0</v>
      </c>
      <c r="AX293" s="62">
        <f t="shared" si="3023"/>
        <v>0</v>
      </c>
      <c r="AY293" s="62">
        <f t="shared" si="3023"/>
        <v>0</v>
      </c>
      <c r="AZ293" s="62">
        <f t="shared" si="3023"/>
        <v>0</v>
      </c>
      <c r="BA293" s="62">
        <f t="shared" si="3023"/>
        <v>0</v>
      </c>
      <c r="BB293" s="62">
        <f t="shared" si="3023"/>
        <v>0</v>
      </c>
      <c r="BC293" s="62">
        <f t="shared" si="3023"/>
        <v>0</v>
      </c>
      <c r="BD293" s="62">
        <f t="shared" si="3023"/>
        <v>0</v>
      </c>
      <c r="BE293" s="62">
        <f t="shared" si="3023"/>
        <v>0</v>
      </c>
      <c r="BF293" s="62">
        <f t="shared" si="3023"/>
        <v>0</v>
      </c>
      <c r="BG293" s="62">
        <f t="shared" si="3023"/>
        <v>0</v>
      </c>
      <c r="BH293" s="62">
        <f t="shared" si="3023"/>
        <v>0</v>
      </c>
      <c r="BI293" s="62">
        <f t="shared" si="3023"/>
        <v>0</v>
      </c>
      <c r="BJ293" s="62">
        <f t="shared" si="3023"/>
        <v>0</v>
      </c>
      <c r="BK293" s="62">
        <f t="shared" si="3023"/>
        <v>0</v>
      </c>
      <c r="BL293" s="62">
        <f t="shared" si="3023"/>
        <v>0</v>
      </c>
      <c r="BM293" s="62">
        <f t="shared" si="3023"/>
        <v>0</v>
      </c>
      <c r="BN293" s="62">
        <f t="shared" si="3023"/>
        <v>0</v>
      </c>
      <c r="BO293" s="62">
        <f t="shared" si="3023"/>
        <v>0</v>
      </c>
      <c r="BP293" s="62">
        <f t="shared" si="3023"/>
        <v>0</v>
      </c>
      <c r="BQ293" s="62">
        <f t="shared" si="3023"/>
        <v>0</v>
      </c>
      <c r="BR293" s="62">
        <f t="shared" ref="BR293:BY293" si="3024">IF(BR$5=EOMONTH($E264,1),-New_TIs*$E263*BR$15,0)+IF(BR$5=EOMONTH($E270,1),-Renewal_TIs*$E263*BR$15*Renewal_Probability,0)+IF(BR$5=EOMONTH($E275,1),-New_TIs*$E263*BR$15*(1-Renewal_Probability),0)</f>
        <v>0</v>
      </c>
      <c r="BS293" s="62">
        <f t="shared" si="3024"/>
        <v>0</v>
      </c>
      <c r="BT293" s="62">
        <f t="shared" si="3024"/>
        <v>0</v>
      </c>
      <c r="BU293" s="62">
        <f t="shared" si="3024"/>
        <v>0</v>
      </c>
      <c r="BV293" s="62">
        <f t="shared" si="3024"/>
        <v>0</v>
      </c>
      <c r="BW293" s="62">
        <f t="shared" si="3024"/>
        <v>0</v>
      </c>
      <c r="BX293" s="62">
        <f t="shared" si="3024"/>
        <v>0</v>
      </c>
      <c r="BY293" s="62">
        <f t="shared" si="3024"/>
        <v>0</v>
      </c>
    </row>
    <row r="294" spans="2:77" customFormat="1" outlineLevel="1" x14ac:dyDescent="0.25">
      <c r="B294" s="1"/>
      <c r="C294" s="50" t="s">
        <v>28</v>
      </c>
      <c r="D294" s="37" t="s">
        <v>101</v>
      </c>
      <c r="E294" s="1"/>
      <c r="F294" s="62">
        <f t="shared" ref="F294:BQ294" si="3025">IF(F$5=EOMONTH($E264,1),-New_LC_Pct*FV($E267,$E265,-F281*$E263),0)+IF(F$5=EOMONTH($E270,1),-Renewal_LC_Pct*FV($E273,$E271,-F282*$E263)*Renewal_Probability,0)+IF(F$5=EOMONTH($E275,1),-New_LC_Pct*FV($E278,$E276,-F283*$E263)*(1-Renewal_Probability),0)</f>
        <v>0</v>
      </c>
      <c r="G294" s="62">
        <f t="shared" si="3025"/>
        <v>0</v>
      </c>
      <c r="H294" s="62">
        <f t="shared" si="3025"/>
        <v>0</v>
      </c>
      <c r="I294" s="62">
        <f t="shared" si="3025"/>
        <v>0</v>
      </c>
      <c r="J294" s="62">
        <f t="shared" si="3025"/>
        <v>0</v>
      </c>
      <c r="K294" s="62">
        <f t="shared" si="3025"/>
        <v>0</v>
      </c>
      <c r="L294" s="62">
        <f t="shared" si="3025"/>
        <v>0</v>
      </c>
      <c r="M294" s="62">
        <f t="shared" si="3025"/>
        <v>0</v>
      </c>
      <c r="N294" s="62">
        <f t="shared" si="3025"/>
        <v>0</v>
      </c>
      <c r="O294" s="62">
        <f t="shared" si="3025"/>
        <v>0</v>
      </c>
      <c r="P294" s="62">
        <f t="shared" si="3025"/>
        <v>0</v>
      </c>
      <c r="Q294" s="62">
        <f t="shared" si="3025"/>
        <v>0</v>
      </c>
      <c r="R294" s="62">
        <f t="shared" si="3025"/>
        <v>0</v>
      </c>
      <c r="S294" s="62">
        <f t="shared" si="3025"/>
        <v>0</v>
      </c>
      <c r="T294" s="62">
        <f t="shared" si="3025"/>
        <v>0</v>
      </c>
      <c r="U294" s="62">
        <f t="shared" si="3025"/>
        <v>0</v>
      </c>
      <c r="V294" s="62">
        <f t="shared" si="3025"/>
        <v>0</v>
      </c>
      <c r="W294" s="62">
        <f t="shared" si="3025"/>
        <v>0</v>
      </c>
      <c r="X294" s="62">
        <f t="shared" si="3025"/>
        <v>0</v>
      </c>
      <c r="Y294" s="62">
        <f t="shared" si="3025"/>
        <v>0</v>
      </c>
      <c r="Z294" s="62">
        <f t="shared" si="3025"/>
        <v>0</v>
      </c>
      <c r="AA294" s="62">
        <f t="shared" si="3025"/>
        <v>0</v>
      </c>
      <c r="AB294" s="62">
        <f t="shared" si="3025"/>
        <v>0</v>
      </c>
      <c r="AC294" s="62">
        <f t="shared" si="3025"/>
        <v>0</v>
      </c>
      <c r="AD294" s="62">
        <f t="shared" si="3025"/>
        <v>0</v>
      </c>
      <c r="AE294" s="62">
        <f t="shared" si="3025"/>
        <v>0</v>
      </c>
      <c r="AF294" s="62">
        <f t="shared" si="3025"/>
        <v>0</v>
      </c>
      <c r="AG294" s="62">
        <f t="shared" si="3025"/>
        <v>0</v>
      </c>
      <c r="AH294" s="62">
        <f t="shared" si="3025"/>
        <v>0</v>
      </c>
      <c r="AI294" s="62">
        <f t="shared" si="3025"/>
        <v>0</v>
      </c>
      <c r="AJ294" s="62">
        <f t="shared" si="3025"/>
        <v>0</v>
      </c>
      <c r="AK294" s="62">
        <f t="shared" si="3025"/>
        <v>0</v>
      </c>
      <c r="AL294" s="62">
        <f t="shared" si="3025"/>
        <v>0</v>
      </c>
      <c r="AM294" s="62">
        <f t="shared" si="3025"/>
        <v>0</v>
      </c>
      <c r="AN294" s="62">
        <f t="shared" si="3025"/>
        <v>0</v>
      </c>
      <c r="AO294" s="62">
        <f t="shared" si="3025"/>
        <v>0</v>
      </c>
      <c r="AP294" s="62">
        <f t="shared" si="3025"/>
        <v>0</v>
      </c>
      <c r="AQ294" s="62">
        <f t="shared" si="3025"/>
        <v>0</v>
      </c>
      <c r="AR294" s="62">
        <f t="shared" si="3025"/>
        <v>0</v>
      </c>
      <c r="AS294" s="62">
        <f t="shared" si="3025"/>
        <v>0</v>
      </c>
      <c r="AT294" s="62">
        <f t="shared" si="3025"/>
        <v>0</v>
      </c>
      <c r="AU294" s="62">
        <f t="shared" si="3025"/>
        <v>0</v>
      </c>
      <c r="AV294" s="62">
        <f t="shared" si="3025"/>
        <v>0</v>
      </c>
      <c r="AW294" s="62">
        <f t="shared" si="3025"/>
        <v>0</v>
      </c>
      <c r="AX294" s="62">
        <f t="shared" si="3025"/>
        <v>0</v>
      </c>
      <c r="AY294" s="62">
        <f t="shared" si="3025"/>
        <v>0</v>
      </c>
      <c r="AZ294" s="62">
        <f t="shared" si="3025"/>
        <v>0</v>
      </c>
      <c r="BA294" s="62">
        <f t="shared" si="3025"/>
        <v>0</v>
      </c>
      <c r="BB294" s="62">
        <f t="shared" si="3025"/>
        <v>0</v>
      </c>
      <c r="BC294" s="62">
        <f t="shared" si="3025"/>
        <v>0</v>
      </c>
      <c r="BD294" s="62">
        <f t="shared" si="3025"/>
        <v>0</v>
      </c>
      <c r="BE294" s="62">
        <f t="shared" si="3025"/>
        <v>0</v>
      </c>
      <c r="BF294" s="62">
        <f t="shared" si="3025"/>
        <v>0</v>
      </c>
      <c r="BG294" s="62">
        <f t="shared" si="3025"/>
        <v>0</v>
      </c>
      <c r="BH294" s="62">
        <f t="shared" si="3025"/>
        <v>0</v>
      </c>
      <c r="BI294" s="62">
        <f t="shared" si="3025"/>
        <v>0</v>
      </c>
      <c r="BJ294" s="62">
        <f t="shared" si="3025"/>
        <v>0</v>
      </c>
      <c r="BK294" s="62">
        <f t="shared" si="3025"/>
        <v>0</v>
      </c>
      <c r="BL294" s="62">
        <f t="shared" si="3025"/>
        <v>0</v>
      </c>
      <c r="BM294" s="62">
        <f t="shared" si="3025"/>
        <v>0</v>
      </c>
      <c r="BN294" s="62">
        <f t="shared" si="3025"/>
        <v>0</v>
      </c>
      <c r="BO294" s="62">
        <f t="shared" si="3025"/>
        <v>0</v>
      </c>
      <c r="BP294" s="62">
        <f t="shared" si="3025"/>
        <v>0</v>
      </c>
      <c r="BQ294" s="62">
        <f t="shared" si="3025"/>
        <v>0</v>
      </c>
      <c r="BR294" s="62">
        <f t="shared" ref="BR294:BY294" si="3026">IF(BR$5=EOMONTH($E264,1),-New_LC_Pct*FV($E267,$E265,-BR281*$E263),0)+IF(BR$5=EOMONTH($E270,1),-Renewal_LC_Pct*FV($E273,$E271,-BR282*$E263)*Renewal_Probability,0)+IF(BR$5=EOMONTH($E275,1),-New_LC_Pct*FV($E278,$E276,-BR283*$E263)*(1-Renewal_Probability),0)</f>
        <v>0</v>
      </c>
      <c r="BS294" s="62">
        <f t="shared" si="3026"/>
        <v>0</v>
      </c>
      <c r="BT294" s="62">
        <f t="shared" si="3026"/>
        <v>0</v>
      </c>
      <c r="BU294" s="62">
        <f t="shared" si="3026"/>
        <v>0</v>
      </c>
      <c r="BV294" s="62">
        <f t="shared" si="3026"/>
        <v>0</v>
      </c>
      <c r="BW294" s="62">
        <f t="shared" si="3026"/>
        <v>0</v>
      </c>
      <c r="BX294" s="62">
        <f t="shared" si="3026"/>
        <v>0</v>
      </c>
      <c r="BY294" s="62">
        <f t="shared" si="3026"/>
        <v>0</v>
      </c>
    </row>
    <row r="295" spans="2:77" customFormat="1" outlineLevel="1" x14ac:dyDescent="0.25">
      <c r="B295" s="1"/>
      <c r="C295" s="44"/>
      <c r="D295" s="56"/>
      <c r="E295" s="1"/>
      <c r="F295" s="93"/>
      <c r="G295" s="93"/>
      <c r="H295" s="1"/>
      <c r="I295" s="1"/>
      <c r="J295" s="1"/>
      <c r="K295" s="93"/>
      <c r="AP295" s="62"/>
    </row>
    <row r="296" spans="2:77" customFormat="1" outlineLevel="1" x14ac:dyDescent="0.25">
      <c r="B296" s="1"/>
      <c r="C296" s="50" t="s">
        <v>29</v>
      </c>
      <c r="D296" s="37" t="s">
        <v>101</v>
      </c>
      <c r="E296" s="1"/>
      <c r="F296" s="62">
        <f t="shared" ref="F296:AK296" si="3027">-IF(F$5&gt;$E264,SUM(F$340:F$341)*($E263/Rentable_Sq_Ft)*IF(AND(F$5&gt;$E266,F$5&lt;=$E275),Renewal_Probability,1),0)</f>
        <v>0</v>
      </c>
      <c r="G296" s="62">
        <f t="shared" si="3027"/>
        <v>0</v>
      </c>
      <c r="H296" s="62">
        <f t="shared" si="3027"/>
        <v>0</v>
      </c>
      <c r="I296" s="62">
        <f t="shared" si="3027"/>
        <v>0</v>
      </c>
      <c r="J296" s="62">
        <f t="shared" si="3027"/>
        <v>0</v>
      </c>
      <c r="K296" s="62">
        <f t="shared" si="3027"/>
        <v>0</v>
      </c>
      <c r="L296" s="62">
        <f t="shared" si="3027"/>
        <v>0</v>
      </c>
      <c r="M296" s="62">
        <f t="shared" si="3027"/>
        <v>0</v>
      </c>
      <c r="N296" s="62">
        <f t="shared" si="3027"/>
        <v>0</v>
      </c>
      <c r="O296" s="62">
        <f t="shared" si="3027"/>
        <v>0</v>
      </c>
      <c r="P296" s="62">
        <f t="shared" si="3027"/>
        <v>0</v>
      </c>
      <c r="Q296" s="62">
        <f t="shared" si="3027"/>
        <v>0</v>
      </c>
      <c r="R296" s="62">
        <f t="shared" si="3027"/>
        <v>0</v>
      </c>
      <c r="S296" s="62">
        <f t="shared" si="3027"/>
        <v>0</v>
      </c>
      <c r="T296" s="62">
        <f t="shared" si="3027"/>
        <v>0</v>
      </c>
      <c r="U296" s="62">
        <f t="shared" si="3027"/>
        <v>0</v>
      </c>
      <c r="V296" s="62">
        <f t="shared" si="3027"/>
        <v>0</v>
      </c>
      <c r="W296" s="62">
        <f t="shared" si="3027"/>
        <v>0</v>
      </c>
      <c r="X296" s="62">
        <f t="shared" si="3027"/>
        <v>0</v>
      </c>
      <c r="Y296" s="62">
        <f t="shared" si="3027"/>
        <v>0</v>
      </c>
      <c r="Z296" s="62">
        <f t="shared" si="3027"/>
        <v>0</v>
      </c>
      <c r="AA296" s="62">
        <f t="shared" si="3027"/>
        <v>0</v>
      </c>
      <c r="AB296" s="62">
        <f t="shared" si="3027"/>
        <v>0</v>
      </c>
      <c r="AC296" s="62">
        <f t="shared" si="3027"/>
        <v>0</v>
      </c>
      <c r="AD296" s="62">
        <f t="shared" si="3027"/>
        <v>0</v>
      </c>
      <c r="AE296" s="62">
        <f t="shared" si="3027"/>
        <v>0</v>
      </c>
      <c r="AF296" s="62">
        <f t="shared" si="3027"/>
        <v>0</v>
      </c>
      <c r="AG296" s="62">
        <f t="shared" si="3027"/>
        <v>0</v>
      </c>
      <c r="AH296" s="62">
        <f t="shared" si="3027"/>
        <v>0</v>
      </c>
      <c r="AI296" s="62">
        <f t="shared" si="3027"/>
        <v>0</v>
      </c>
      <c r="AJ296" s="62">
        <f t="shared" si="3027"/>
        <v>0</v>
      </c>
      <c r="AK296" s="62">
        <f t="shared" si="3027"/>
        <v>0</v>
      </c>
      <c r="AL296" s="62">
        <f t="shared" ref="AL296:BQ296" si="3028">-IF(AL$5&gt;$E264,SUM(AL$340:AL$341)*($E263/Rentable_Sq_Ft)*IF(AND(AL$5&gt;$E266,AL$5&lt;=$E275),Renewal_Probability,1),0)</f>
        <v>0</v>
      </c>
      <c r="AM296" s="62">
        <f t="shared" si="3028"/>
        <v>0</v>
      </c>
      <c r="AN296" s="62">
        <f t="shared" si="3028"/>
        <v>0</v>
      </c>
      <c r="AO296" s="62">
        <f t="shared" si="3028"/>
        <v>0</v>
      </c>
      <c r="AP296" s="62">
        <f t="shared" si="3028"/>
        <v>0</v>
      </c>
      <c r="AQ296" s="62">
        <f t="shared" si="3028"/>
        <v>0</v>
      </c>
      <c r="AR296" s="62">
        <f t="shared" si="3028"/>
        <v>0</v>
      </c>
      <c r="AS296" s="62">
        <f t="shared" si="3028"/>
        <v>0</v>
      </c>
      <c r="AT296" s="62">
        <f t="shared" si="3028"/>
        <v>0</v>
      </c>
      <c r="AU296" s="62">
        <f t="shared" si="3028"/>
        <v>0</v>
      </c>
      <c r="AV296" s="62">
        <f t="shared" si="3028"/>
        <v>0</v>
      </c>
      <c r="AW296" s="62">
        <f t="shared" si="3028"/>
        <v>0</v>
      </c>
      <c r="AX296" s="62">
        <f t="shared" si="3028"/>
        <v>0</v>
      </c>
      <c r="AY296" s="62">
        <f t="shared" si="3028"/>
        <v>0</v>
      </c>
      <c r="AZ296" s="62">
        <f t="shared" si="3028"/>
        <v>0</v>
      </c>
      <c r="BA296" s="62">
        <f t="shared" si="3028"/>
        <v>0</v>
      </c>
      <c r="BB296" s="62">
        <f t="shared" si="3028"/>
        <v>0</v>
      </c>
      <c r="BC296" s="62">
        <f t="shared" si="3028"/>
        <v>0</v>
      </c>
      <c r="BD296" s="62">
        <f t="shared" si="3028"/>
        <v>0</v>
      </c>
      <c r="BE296" s="62">
        <f t="shared" si="3028"/>
        <v>0</v>
      </c>
      <c r="BF296" s="62">
        <f t="shared" si="3028"/>
        <v>0</v>
      </c>
      <c r="BG296" s="62">
        <f t="shared" si="3028"/>
        <v>0</v>
      </c>
      <c r="BH296" s="62">
        <f t="shared" si="3028"/>
        <v>0</v>
      </c>
      <c r="BI296" s="62">
        <f t="shared" si="3028"/>
        <v>0</v>
      </c>
      <c r="BJ296" s="62">
        <f t="shared" si="3028"/>
        <v>0</v>
      </c>
      <c r="BK296" s="62">
        <f t="shared" si="3028"/>
        <v>0</v>
      </c>
      <c r="BL296" s="62">
        <f t="shared" si="3028"/>
        <v>0</v>
      </c>
      <c r="BM296" s="62">
        <f t="shared" si="3028"/>
        <v>0</v>
      </c>
      <c r="BN296" s="62">
        <f t="shared" si="3028"/>
        <v>0</v>
      </c>
      <c r="BO296" s="62">
        <f t="shared" si="3028"/>
        <v>0</v>
      </c>
      <c r="BP296" s="62">
        <f t="shared" si="3028"/>
        <v>0</v>
      </c>
      <c r="BQ296" s="62">
        <f t="shared" si="3028"/>
        <v>0</v>
      </c>
      <c r="BR296" s="62">
        <f t="shared" ref="BR296:BY296" si="3029">-IF(BR$5&gt;$E264,SUM(BR$340:BR$341)*($E263/Rentable_Sq_Ft)*IF(AND(BR$5&gt;$E266,BR$5&lt;=$E275),Renewal_Probability,1),0)</f>
        <v>0</v>
      </c>
      <c r="BS296" s="62">
        <f t="shared" si="3029"/>
        <v>0</v>
      </c>
      <c r="BT296" s="62">
        <f t="shared" si="3029"/>
        <v>0</v>
      </c>
      <c r="BU296" s="62">
        <f t="shared" si="3029"/>
        <v>0</v>
      </c>
      <c r="BV296" s="62">
        <f t="shared" si="3029"/>
        <v>0</v>
      </c>
      <c r="BW296" s="62">
        <f t="shared" si="3029"/>
        <v>0</v>
      </c>
      <c r="BX296" s="62">
        <f t="shared" si="3029"/>
        <v>0</v>
      </c>
      <c r="BY296" s="62">
        <f t="shared" si="3029"/>
        <v>0</v>
      </c>
    </row>
    <row r="297" spans="2:77" customFormat="1" outlineLevel="1" x14ac:dyDescent="0.25">
      <c r="B297" s="1"/>
      <c r="C297" s="50" t="s">
        <v>125</v>
      </c>
      <c r="D297" s="37" t="s">
        <v>101</v>
      </c>
      <c r="E297" s="1"/>
      <c r="F297" s="62">
        <f t="shared" ref="F297:BQ297" si="3030">IF(F$5&lt;=$E264,-F280*$E263/Months,0)</f>
        <v>-19308.529984113062</v>
      </c>
      <c r="G297" s="62">
        <f t="shared" si="3030"/>
        <v>-19402.515230153174</v>
      </c>
      <c r="H297" s="62">
        <f t="shared" si="3030"/>
        <v>-19496.957954130787</v>
      </c>
      <c r="I297" s="62">
        <f t="shared" si="3030"/>
        <v>-19591.860382842882</v>
      </c>
      <c r="J297" s="62">
        <f t="shared" si="3030"/>
        <v>-19687.224753925508</v>
      </c>
      <c r="K297" s="62">
        <f t="shared" si="3030"/>
        <v>-19783.053315906513</v>
      </c>
      <c r="L297" s="62">
        <f t="shared" si="3030"/>
        <v>-19879.348328258569</v>
      </c>
      <c r="M297" s="62">
        <f t="shared" si="3030"/>
        <v>-19976.112061452433</v>
      </c>
      <c r="N297" s="62">
        <f t="shared" si="3030"/>
        <v>-20073.346797010516</v>
      </c>
      <c r="O297" s="62">
        <f t="shared" si="3030"/>
        <v>-20171.054827560631</v>
      </c>
      <c r="P297" s="62">
        <f t="shared" si="3030"/>
        <v>-20269.238456890089</v>
      </c>
      <c r="Q297" s="62">
        <f t="shared" si="3030"/>
        <v>-20367.899999999998</v>
      </c>
      <c r="R297" s="62">
        <f t="shared" si="3030"/>
        <v>-20434.57920450985</v>
      </c>
      <c r="S297" s="62">
        <f t="shared" si="3030"/>
        <v>-20501.476699384151</v>
      </c>
      <c r="T297" s="62">
        <f t="shared" si="3030"/>
        <v>-20568.593199248749</v>
      </c>
      <c r="U297" s="62">
        <f t="shared" si="3030"/>
        <v>-20635.929421068995</v>
      </c>
      <c r="V297" s="62">
        <f t="shared" si="3030"/>
        <v>-20703.486084157394</v>
      </c>
      <c r="W297" s="62">
        <f t="shared" si="3030"/>
        <v>-20771.2639101813</v>
      </c>
      <c r="X297" s="62">
        <f t="shared" si="3030"/>
        <v>-20839.263623170616</v>
      </c>
      <c r="Y297" s="62">
        <f t="shared" si="3030"/>
        <v>-20907.485949525519</v>
      </c>
      <c r="Z297" s="62">
        <f t="shared" si="3030"/>
        <v>-20975.931618024242</v>
      </c>
      <c r="AA297" s="62">
        <f t="shared" si="3030"/>
        <v>-21044.601359830853</v>
      </c>
      <c r="AB297" s="62">
        <f t="shared" si="3030"/>
        <v>-21113.495908503046</v>
      </c>
      <c r="AC297" s="62">
        <f t="shared" si="3030"/>
        <v>-21182.616000000005</v>
      </c>
      <c r="AD297" s="62">
        <f t="shared" si="3030"/>
        <v>-21234.858045539124</v>
      </c>
      <c r="AE297" s="62">
        <f t="shared" si="3030"/>
        <v>-21287.228934055998</v>
      </c>
      <c r="AF297" s="62">
        <f t="shared" si="3030"/>
        <v>-21339.728983312172</v>
      </c>
      <c r="AG297" s="62">
        <f t="shared" si="3030"/>
        <v>-21392.358511852864</v>
      </c>
      <c r="AH297" s="62">
        <f t="shared" si="3030"/>
        <v>-21445.11783900893</v>
      </c>
      <c r="AI297" s="62">
        <f t="shared" si="3030"/>
        <v>-21498.007284898769</v>
      </c>
      <c r="AJ297" s="62">
        <f t="shared" si="3030"/>
        <v>-21551.027170430276</v>
      </c>
      <c r="AK297" s="62">
        <f t="shared" si="3030"/>
        <v>-21604.177817302807</v>
      </c>
      <c r="AL297" s="62">
        <f t="shared" si="3030"/>
        <v>-21657.45954800909</v>
      </c>
      <c r="AM297" s="62">
        <f t="shared" si="3030"/>
        <v>-21710.872685837236</v>
      </c>
      <c r="AN297" s="62">
        <f t="shared" si="3030"/>
        <v>-21764.417554872653</v>
      </c>
      <c r="AO297" s="62">
        <f t="shared" si="3030"/>
        <v>-21818.094480000029</v>
      </c>
      <c r="AP297" s="62">
        <f t="shared" si="3030"/>
        <v>-21871.903786905317</v>
      </c>
      <c r="AQ297" s="62">
        <f t="shared" si="3030"/>
        <v>-21925.8458020777</v>
      </c>
      <c r="AR297" s="62">
        <f t="shared" si="3030"/>
        <v>-21979.920852811552</v>
      </c>
      <c r="AS297" s="62">
        <f t="shared" si="3030"/>
        <v>-22034.129267208471</v>
      </c>
      <c r="AT297" s="62">
        <f t="shared" si="3030"/>
        <v>-22088.471374179222</v>
      </c>
      <c r="AU297" s="62">
        <f t="shared" si="3030"/>
        <v>-22142.947503445757</v>
      </c>
      <c r="AV297" s="62">
        <f t="shared" si="3030"/>
        <v>-22197.557985543212</v>
      </c>
      <c r="AW297" s="62">
        <f t="shared" si="3030"/>
        <v>-22252.30315182191</v>
      </c>
      <c r="AX297" s="62">
        <f t="shared" si="3030"/>
        <v>-22307.183334449393</v>
      </c>
      <c r="AY297" s="62">
        <f t="shared" si="3030"/>
        <v>-22362.198866412378</v>
      </c>
      <c r="AZ297" s="62">
        <f t="shared" si="3030"/>
        <v>-22417.350081518856</v>
      </c>
      <c r="BA297" s="62">
        <f t="shared" si="3030"/>
        <v>-22472.63731440005</v>
      </c>
      <c r="BB297" s="62">
        <f t="shared" si="3030"/>
        <v>-22518.927267819276</v>
      </c>
      <c r="BC297" s="62">
        <f t="shared" si="3030"/>
        <v>-22565.312570963481</v>
      </c>
      <c r="BD297" s="62">
        <f t="shared" si="3030"/>
        <v>-22611.793420237489</v>
      </c>
      <c r="BE297" s="62">
        <f t="shared" si="3030"/>
        <v>-22658.370012450687</v>
      </c>
      <c r="BF297" s="62">
        <f t="shared" si="3030"/>
        <v>-22705.042544817847</v>
      </c>
      <c r="BG297" s="62">
        <f t="shared" si="3030"/>
        <v>-22751.811214959987</v>
      </c>
      <c r="BH297" s="62">
        <f t="shared" si="3030"/>
        <v>-22798.676220905178</v>
      </c>
      <c r="BI297" s="62">
        <f t="shared" si="3030"/>
        <v>-22845.637761089398</v>
      </c>
      <c r="BJ297" s="62">
        <f t="shared" si="3030"/>
        <v>-22892.696034357377</v>
      </c>
      <c r="BK297" s="62">
        <f t="shared" si="3030"/>
        <v>-22939.851239963435</v>
      </c>
      <c r="BL297" s="62">
        <f t="shared" si="3030"/>
        <v>-22987.103577572303</v>
      </c>
      <c r="BM297" s="62">
        <f t="shared" si="3030"/>
        <v>-23034.453247260022</v>
      </c>
      <c r="BN297" s="62">
        <f t="shared" si="3030"/>
        <v>-23081.900449514724</v>
      </c>
      <c r="BO297" s="62">
        <f t="shared" si="3030"/>
        <v>-23129.445385237541</v>
      </c>
      <c r="BP297" s="62">
        <f t="shared" si="3030"/>
        <v>-23177.088255743394</v>
      </c>
      <c r="BQ297" s="62">
        <f t="shared" si="3030"/>
        <v>-23224.829262761923</v>
      </c>
      <c r="BR297" s="62">
        <f t="shared" ref="BR297:BY297" si="3031">IF(BR$5&lt;=$E264,-BR280*$E263/Months,0)</f>
        <v>-23272.668608438267</v>
      </c>
      <c r="BS297" s="62">
        <f t="shared" si="3031"/>
        <v>-23320.606495333963</v>
      </c>
      <c r="BT297" s="62">
        <f t="shared" si="3031"/>
        <v>-23368.643126427778</v>
      </c>
      <c r="BU297" s="62">
        <f t="shared" si="3031"/>
        <v>-23416.778705116605</v>
      </c>
      <c r="BV297" s="62">
        <f t="shared" si="3031"/>
        <v>-23465.013435216286</v>
      </c>
      <c r="BW297" s="62">
        <f t="shared" si="3031"/>
        <v>-23513.347520962492</v>
      </c>
      <c r="BX297" s="62">
        <f t="shared" si="3031"/>
        <v>-23561.781167011588</v>
      </c>
      <c r="BY297" s="62">
        <f t="shared" si="3031"/>
        <v>-23610.314578441496</v>
      </c>
    </row>
    <row r="298" spans="2:77" customFormat="1" outlineLevel="1" x14ac:dyDescent="0.25">
      <c r="B298" s="1"/>
      <c r="C298" s="1"/>
      <c r="D298" s="1"/>
      <c r="E298" s="1"/>
      <c r="F298" s="156"/>
      <c r="G298" s="1"/>
      <c r="H298" s="93"/>
      <c r="I298" s="1"/>
      <c r="J298" s="1"/>
      <c r="L298" s="93"/>
    </row>
    <row r="299" spans="2:77" customFormat="1" outlineLevel="1" x14ac:dyDescent="0.25">
      <c r="B299" s="1"/>
      <c r="C299" s="50" t="s">
        <v>144</v>
      </c>
      <c r="D299" s="36" t="s">
        <v>116</v>
      </c>
      <c r="E299" s="153">
        <v>900</v>
      </c>
      <c r="F299" s="1"/>
      <c r="G299" s="1"/>
      <c r="H299" s="93"/>
      <c r="I299" s="1"/>
      <c r="J299" s="1"/>
      <c r="L299" s="93"/>
    </row>
    <row r="300" spans="2:77" customFormat="1" outlineLevel="1" x14ac:dyDescent="0.25">
      <c r="B300" s="1"/>
      <c r="C300" s="50" t="s">
        <v>140</v>
      </c>
      <c r="D300" s="37" t="s">
        <v>101</v>
      </c>
      <c r="E300" s="156">
        <f>+E299*E263/Months</f>
        <v>308812.49999999994</v>
      </c>
      <c r="F300" s="1"/>
      <c r="G300" s="1"/>
      <c r="H300" s="93"/>
      <c r="I300" s="1"/>
      <c r="J300" s="1"/>
      <c r="L300" s="93"/>
    </row>
    <row r="301" spans="2:77" customFormat="1" outlineLevel="1" x14ac:dyDescent="0.25">
      <c r="B301" s="1"/>
      <c r="C301" s="19" t="s">
        <v>145</v>
      </c>
      <c r="D301" s="37" t="s">
        <v>101</v>
      </c>
      <c r="E301" s="165">
        <f>SUM(F285:Q285)/E302/Months</f>
        <v>396678.57015374029</v>
      </c>
      <c r="F301" s="1"/>
      <c r="G301" s="1"/>
      <c r="H301" s="93"/>
      <c r="I301" s="1"/>
      <c r="J301" s="1"/>
      <c r="L301" s="93"/>
    </row>
    <row r="302" spans="2:77" customFormat="1" outlineLevel="1" x14ac:dyDescent="0.25">
      <c r="B302" s="1"/>
      <c r="C302" s="19" t="s">
        <v>146</v>
      </c>
      <c r="D302" s="53" t="s">
        <v>16</v>
      </c>
      <c r="E302" s="11">
        <v>0.05</v>
      </c>
      <c r="F302" s="1"/>
      <c r="G302" s="1"/>
      <c r="H302" s="93"/>
      <c r="I302" s="1"/>
      <c r="J302" s="1"/>
      <c r="L302" s="93"/>
      <c r="Q302" s="161"/>
    </row>
    <row r="303" spans="2:77" customFormat="1" outlineLevel="1" x14ac:dyDescent="0.25">
      <c r="B303" s="1"/>
      <c r="C303" s="19" t="s">
        <v>139</v>
      </c>
      <c r="D303" s="53" t="s">
        <v>16</v>
      </c>
      <c r="E303" s="66"/>
      <c r="F303" s="11">
        <v>0.05</v>
      </c>
      <c r="G303" s="11">
        <v>7.4999999999999997E-2</v>
      </c>
      <c r="H303" s="11">
        <v>0.06</v>
      </c>
      <c r="I303" s="11">
        <v>0.08</v>
      </c>
      <c r="J303" s="11">
        <v>8.5000000000000006E-2</v>
      </c>
      <c r="K303" s="11">
        <v>0.09</v>
      </c>
      <c r="L303" s="11">
        <v>0.08</v>
      </c>
      <c r="M303" s="11">
        <v>0.09</v>
      </c>
      <c r="N303" s="11">
        <v>7.0000000000000007E-2</v>
      </c>
      <c r="O303" s="11">
        <v>7.0000000000000007E-2</v>
      </c>
      <c r="P303" s="11">
        <v>0.1</v>
      </c>
      <c r="Q303" s="11">
        <v>0.15</v>
      </c>
      <c r="R303" s="162">
        <f>+F303</f>
        <v>0.05</v>
      </c>
      <c r="S303" s="162">
        <f t="shared" ref="S303:BY303" si="3032">+G303</f>
        <v>7.4999999999999997E-2</v>
      </c>
      <c r="T303" s="162">
        <f t="shared" si="3032"/>
        <v>0.06</v>
      </c>
      <c r="U303" s="162">
        <f t="shared" si="3032"/>
        <v>0.08</v>
      </c>
      <c r="V303" s="162">
        <f t="shared" si="3032"/>
        <v>8.5000000000000006E-2</v>
      </c>
      <c r="W303" s="162">
        <f t="shared" si="3032"/>
        <v>0.09</v>
      </c>
      <c r="X303" s="162">
        <f t="shared" si="3032"/>
        <v>0.08</v>
      </c>
      <c r="Y303" s="162">
        <f t="shared" si="3032"/>
        <v>0.09</v>
      </c>
      <c r="Z303" s="162">
        <f t="shared" si="3032"/>
        <v>7.0000000000000007E-2</v>
      </c>
      <c r="AA303" s="162">
        <f t="shared" si="3032"/>
        <v>7.0000000000000007E-2</v>
      </c>
      <c r="AB303" s="162">
        <f t="shared" si="3032"/>
        <v>0.1</v>
      </c>
      <c r="AC303" s="162">
        <f t="shared" si="3032"/>
        <v>0.15</v>
      </c>
      <c r="AD303" s="162">
        <f t="shared" si="3032"/>
        <v>0.05</v>
      </c>
      <c r="AE303" s="162">
        <f t="shared" si="3032"/>
        <v>7.4999999999999997E-2</v>
      </c>
      <c r="AF303" s="162">
        <f t="shared" si="3032"/>
        <v>0.06</v>
      </c>
      <c r="AG303" s="162">
        <f t="shared" si="3032"/>
        <v>0.08</v>
      </c>
      <c r="AH303" s="162">
        <f t="shared" si="3032"/>
        <v>8.5000000000000006E-2</v>
      </c>
      <c r="AI303" s="162">
        <f t="shared" si="3032"/>
        <v>0.09</v>
      </c>
      <c r="AJ303" s="162">
        <f t="shared" si="3032"/>
        <v>0.08</v>
      </c>
      <c r="AK303" s="162">
        <f t="shared" si="3032"/>
        <v>0.09</v>
      </c>
      <c r="AL303" s="162">
        <f t="shared" si="3032"/>
        <v>7.0000000000000007E-2</v>
      </c>
      <c r="AM303" s="162">
        <f t="shared" si="3032"/>
        <v>7.0000000000000007E-2</v>
      </c>
      <c r="AN303" s="162">
        <f t="shared" si="3032"/>
        <v>0.1</v>
      </c>
      <c r="AO303" s="162">
        <f t="shared" si="3032"/>
        <v>0.15</v>
      </c>
      <c r="AP303" s="162">
        <f t="shared" si="3032"/>
        <v>0.05</v>
      </c>
      <c r="AQ303" s="162">
        <f t="shared" si="3032"/>
        <v>7.4999999999999997E-2</v>
      </c>
      <c r="AR303" s="162">
        <f t="shared" si="3032"/>
        <v>0.06</v>
      </c>
      <c r="AS303" s="162">
        <f t="shared" si="3032"/>
        <v>0.08</v>
      </c>
      <c r="AT303" s="162">
        <f t="shared" si="3032"/>
        <v>8.5000000000000006E-2</v>
      </c>
      <c r="AU303" s="162">
        <f t="shared" si="3032"/>
        <v>0.09</v>
      </c>
      <c r="AV303" s="162">
        <f t="shared" si="3032"/>
        <v>0.08</v>
      </c>
      <c r="AW303" s="162">
        <f t="shared" si="3032"/>
        <v>0.09</v>
      </c>
      <c r="AX303" s="162">
        <f t="shared" si="3032"/>
        <v>7.0000000000000007E-2</v>
      </c>
      <c r="AY303" s="162">
        <f t="shared" si="3032"/>
        <v>7.0000000000000007E-2</v>
      </c>
      <c r="AZ303" s="162">
        <f t="shared" si="3032"/>
        <v>0.1</v>
      </c>
      <c r="BA303" s="162">
        <f t="shared" si="3032"/>
        <v>0.15</v>
      </c>
      <c r="BB303" s="162">
        <f t="shared" si="3032"/>
        <v>0.05</v>
      </c>
      <c r="BC303" s="162">
        <f t="shared" si="3032"/>
        <v>7.4999999999999997E-2</v>
      </c>
      <c r="BD303" s="162">
        <f t="shared" si="3032"/>
        <v>0.06</v>
      </c>
      <c r="BE303" s="162">
        <f t="shared" si="3032"/>
        <v>0.08</v>
      </c>
      <c r="BF303" s="162">
        <f t="shared" si="3032"/>
        <v>8.5000000000000006E-2</v>
      </c>
      <c r="BG303" s="162">
        <f t="shared" si="3032"/>
        <v>0.09</v>
      </c>
      <c r="BH303" s="162">
        <f t="shared" si="3032"/>
        <v>0.08</v>
      </c>
      <c r="BI303" s="162">
        <f t="shared" si="3032"/>
        <v>0.09</v>
      </c>
      <c r="BJ303" s="162">
        <f t="shared" si="3032"/>
        <v>7.0000000000000007E-2</v>
      </c>
      <c r="BK303" s="162">
        <f t="shared" si="3032"/>
        <v>7.0000000000000007E-2</v>
      </c>
      <c r="BL303" s="162">
        <f t="shared" si="3032"/>
        <v>0.1</v>
      </c>
      <c r="BM303" s="162">
        <f t="shared" si="3032"/>
        <v>0.15</v>
      </c>
      <c r="BN303" s="162">
        <f t="shared" si="3032"/>
        <v>0.05</v>
      </c>
      <c r="BO303" s="162">
        <f t="shared" si="3032"/>
        <v>7.4999999999999997E-2</v>
      </c>
      <c r="BP303" s="162">
        <f t="shared" si="3032"/>
        <v>0.06</v>
      </c>
      <c r="BQ303" s="162">
        <f t="shared" si="3032"/>
        <v>0.08</v>
      </c>
      <c r="BR303" s="162">
        <f t="shared" si="3032"/>
        <v>8.5000000000000006E-2</v>
      </c>
      <c r="BS303" s="162">
        <f t="shared" si="3032"/>
        <v>0.09</v>
      </c>
      <c r="BT303" s="162">
        <f t="shared" si="3032"/>
        <v>0.08</v>
      </c>
      <c r="BU303" s="162">
        <f t="shared" si="3032"/>
        <v>0.09</v>
      </c>
      <c r="BV303" s="162">
        <f t="shared" si="3032"/>
        <v>7.0000000000000007E-2</v>
      </c>
      <c r="BW303" s="162">
        <f t="shared" si="3032"/>
        <v>7.0000000000000007E-2</v>
      </c>
      <c r="BX303" s="162">
        <f t="shared" si="3032"/>
        <v>0.1</v>
      </c>
      <c r="BY303" s="162">
        <f t="shared" si="3032"/>
        <v>0.15</v>
      </c>
    </row>
    <row r="304" spans="2:77" customFormat="1" outlineLevel="1" x14ac:dyDescent="0.25">
      <c r="B304" s="1"/>
      <c r="C304" s="19" t="s">
        <v>131</v>
      </c>
      <c r="D304" s="37" t="s">
        <v>101</v>
      </c>
      <c r="E304" s="66"/>
      <c r="F304" s="156">
        <f>+$E299*$E263*F$18*F303</f>
        <v>185287.49999999997</v>
      </c>
      <c r="G304" s="156">
        <f t="shared" ref="G304" si="3033">+$E299*$E263*G$18*G303</f>
        <v>277931.24999999994</v>
      </c>
      <c r="H304" s="156">
        <f t="shared" ref="H304" si="3034">+$E299*$E263*H$18*H303</f>
        <v>222344.99999999994</v>
      </c>
      <c r="I304" s="156">
        <f t="shared" ref="I304" si="3035">+$E299*$E263*I$18*I303</f>
        <v>296459.99999999994</v>
      </c>
      <c r="J304" s="156">
        <f t="shared" ref="J304" si="3036">+$E299*$E263*J$18*J303</f>
        <v>314988.74999999994</v>
      </c>
      <c r="K304" s="156">
        <f t="shared" ref="K304" si="3037">+$E299*$E263*K$18*K303</f>
        <v>333517.49999999988</v>
      </c>
      <c r="L304" s="156">
        <f t="shared" ref="L304" si="3038">+$E299*$E263*L$18*L303</f>
        <v>296459.99999999994</v>
      </c>
      <c r="M304" s="156">
        <f t="shared" ref="M304" si="3039">+$E299*$E263*M$18*M303</f>
        <v>333517.49999999988</v>
      </c>
      <c r="N304" s="156">
        <f t="shared" ref="N304" si="3040">+$E299*$E263*N$18*N303</f>
        <v>259402.49999999997</v>
      </c>
      <c r="O304" s="156">
        <f t="shared" ref="O304" si="3041">+$E299*$E263*O$18*O303</f>
        <v>259402.49999999997</v>
      </c>
      <c r="P304" s="156">
        <f t="shared" ref="P304" si="3042">+$E299*$E263*P$18*P303</f>
        <v>370574.99999999994</v>
      </c>
      <c r="Q304" s="156">
        <f t="shared" ref="Q304" si="3043">+$E299*$E263*Q$18*Q303</f>
        <v>555862.49999999988</v>
      </c>
      <c r="R304" s="156">
        <f t="shared" ref="R304" si="3044">+$E299*$E263*R$18*R303</f>
        <v>190846.12499999997</v>
      </c>
      <c r="S304" s="156">
        <f t="shared" ref="S304" si="3045">+$E299*$E263*S$18*S303</f>
        <v>286269.18749999994</v>
      </c>
      <c r="T304" s="156">
        <f t="shared" ref="T304" si="3046">+$E299*$E263*T$18*T303</f>
        <v>229015.34999999995</v>
      </c>
      <c r="U304" s="156">
        <f t="shared" ref="U304" si="3047">+$E299*$E263*U$18*U303</f>
        <v>305353.79999999993</v>
      </c>
      <c r="V304" s="156">
        <f t="shared" ref="V304" si="3048">+$E299*$E263*V$18*V303</f>
        <v>324438.41249999992</v>
      </c>
      <c r="W304" s="156">
        <f t="shared" ref="W304" si="3049">+$E299*$E263*W$18*W303</f>
        <v>343523.02499999991</v>
      </c>
      <c r="X304" s="156">
        <f t="shared" ref="X304" si="3050">+$E299*$E263*X$18*X303</f>
        <v>305353.79999999993</v>
      </c>
      <c r="Y304" s="156">
        <f t="shared" ref="Y304" si="3051">+$E299*$E263*Y$18*Y303</f>
        <v>343523.02499999991</v>
      </c>
      <c r="Z304" s="156">
        <f t="shared" ref="Z304" si="3052">+$E299*$E263*Z$18*Z303</f>
        <v>267184.57499999995</v>
      </c>
      <c r="AA304" s="156">
        <f t="shared" ref="AA304" si="3053">+$E299*$E263*AA$18*AA303</f>
        <v>267184.57499999995</v>
      </c>
      <c r="AB304" s="156">
        <f t="shared" ref="AB304" si="3054">+$E299*$E263*AB$18*AB303</f>
        <v>381692.24999999994</v>
      </c>
      <c r="AC304" s="156">
        <f t="shared" ref="AC304" si="3055">+$E299*$E263*AC$18*AC303</f>
        <v>572538.37499999988</v>
      </c>
      <c r="AD304" s="156">
        <f t="shared" ref="AD304" si="3056">+$E299*$E263*AD$18*AD303</f>
        <v>196571.50874999995</v>
      </c>
      <c r="AE304" s="156">
        <f t="shared" ref="AE304" si="3057">+$E299*$E263*AE$18*AE303</f>
        <v>294857.26312499988</v>
      </c>
      <c r="AF304" s="156">
        <f t="shared" ref="AF304" si="3058">+$E299*$E263*AF$18*AF303</f>
        <v>235885.81049999993</v>
      </c>
      <c r="AG304" s="156">
        <f t="shared" ref="AG304" si="3059">+$E299*$E263*AG$18*AG303</f>
        <v>314514.41399999993</v>
      </c>
      <c r="AH304" s="156">
        <f t="shared" ref="AH304" si="3060">+$E299*$E263*AH$18*AH303</f>
        <v>334171.56487499992</v>
      </c>
      <c r="AI304" s="156">
        <f t="shared" ref="AI304" si="3061">+$E299*$E263*AI$18*AI303</f>
        <v>353828.71574999986</v>
      </c>
      <c r="AJ304" s="156">
        <f t="shared" ref="AJ304" si="3062">+$E299*$E263*AJ$18*AJ303</f>
        <v>314514.41399999993</v>
      </c>
      <c r="AK304" s="156">
        <f t="shared" ref="AK304" si="3063">+$E299*$E263*AK$18*AK303</f>
        <v>353828.71574999986</v>
      </c>
      <c r="AL304" s="156">
        <f t="shared" ref="AL304" si="3064">+$E299*$E263*AL$18*AL303</f>
        <v>275200.11224999995</v>
      </c>
      <c r="AM304" s="156">
        <f t="shared" ref="AM304" si="3065">+$E299*$E263*AM$18*AM303</f>
        <v>275200.11224999995</v>
      </c>
      <c r="AN304" s="156">
        <f t="shared" ref="AN304" si="3066">+$E299*$E263*AN$18*AN303</f>
        <v>393143.0174999999</v>
      </c>
      <c r="AO304" s="156">
        <f t="shared" ref="AO304" si="3067">+$E299*$E263*AO$18*AO303</f>
        <v>589714.52624999976</v>
      </c>
      <c r="AP304" s="156">
        <f t="shared" ref="AP304" si="3068">+$E299*$E263*AP$18*AP303</f>
        <v>201485.79646874996</v>
      </c>
      <c r="AQ304" s="156">
        <f t="shared" ref="AQ304" si="3069">+$E299*$E263*AQ$18*AQ303</f>
        <v>302228.69470312493</v>
      </c>
      <c r="AR304" s="156">
        <f t="shared" ref="AR304" si="3070">+$E299*$E263*AR$18*AR303</f>
        <v>241782.95576249991</v>
      </c>
      <c r="AS304" s="156">
        <f t="shared" ref="AS304" si="3071">+$E299*$E263*AS$18*AS303</f>
        <v>322377.27434999991</v>
      </c>
      <c r="AT304" s="156">
        <f t="shared" ref="AT304" si="3072">+$E299*$E263*AT$18*AT303</f>
        <v>342525.85399687494</v>
      </c>
      <c r="AU304" s="156">
        <f t="shared" ref="AU304" si="3073">+$E299*$E263*AU$18*AU303</f>
        <v>362674.43364374992</v>
      </c>
      <c r="AV304" s="156">
        <f t="shared" ref="AV304" si="3074">+$E299*$E263*AV$18*AV303</f>
        <v>322377.27434999991</v>
      </c>
      <c r="AW304" s="156">
        <f t="shared" ref="AW304" si="3075">+$E299*$E263*AW$18*AW303</f>
        <v>362674.43364374992</v>
      </c>
      <c r="AX304" s="156">
        <f t="shared" ref="AX304" si="3076">+$E299*$E263*AX$18*AX303</f>
        <v>282080.11505624995</v>
      </c>
      <c r="AY304" s="156">
        <f t="shared" ref="AY304" si="3077">+$E299*$E263*AY$18*AY303</f>
        <v>282080.11505624995</v>
      </c>
      <c r="AZ304" s="156">
        <f t="shared" ref="AZ304" si="3078">+$E299*$E263*AZ$18*AZ303</f>
        <v>402971.59293749993</v>
      </c>
      <c r="BA304" s="156">
        <f t="shared" ref="BA304" si="3079">+$E299*$E263*BA$18*BA303</f>
        <v>604457.38940624986</v>
      </c>
      <c r="BB304" s="156">
        <f t="shared" ref="BB304" si="3080">+$E299*$E263*BB$18*BB303</f>
        <v>206522.94138046869</v>
      </c>
      <c r="BC304" s="156">
        <f t="shared" ref="BC304" si="3081">+$E299*$E263*BC$18*BC303</f>
        <v>309784.41207070299</v>
      </c>
      <c r="BD304" s="156">
        <f t="shared" ref="BD304" si="3082">+$E299*$E263*BD$18*BD303</f>
        <v>247827.5296565624</v>
      </c>
      <c r="BE304" s="156">
        <f t="shared" ref="BE304" si="3083">+$E299*$E263*BE$18*BE303</f>
        <v>330436.70620874991</v>
      </c>
      <c r="BF304" s="156">
        <f t="shared" ref="BF304" si="3084">+$E299*$E263*BF$18*BF303</f>
        <v>351089.00034679682</v>
      </c>
      <c r="BG304" s="156">
        <f t="shared" ref="BG304" si="3085">+$E299*$E263*BG$18*BG303</f>
        <v>371741.29448484362</v>
      </c>
      <c r="BH304" s="156">
        <f t="shared" ref="BH304" si="3086">+$E299*$E263*BH$18*BH303</f>
        <v>330436.70620874991</v>
      </c>
      <c r="BI304" s="156">
        <f t="shared" ref="BI304" si="3087">+$E299*$E263*BI$18*BI303</f>
        <v>371741.29448484362</v>
      </c>
      <c r="BJ304" s="156">
        <f t="shared" ref="BJ304" si="3088">+$E299*$E263*BJ$18*BJ303</f>
        <v>289132.1179326562</v>
      </c>
      <c r="BK304" s="156">
        <f t="shared" ref="BK304" si="3089">+$E299*$E263*BK$18*BK303</f>
        <v>289132.1179326562</v>
      </c>
      <c r="BL304" s="156">
        <f t="shared" ref="BL304" si="3090">+$E299*$E263*BL$18*BL303</f>
        <v>413045.88276093738</v>
      </c>
      <c r="BM304" s="156">
        <f t="shared" ref="BM304" si="3091">+$E299*$E263*BM$18*BM303</f>
        <v>619568.82414140599</v>
      </c>
      <c r="BN304" s="156">
        <f t="shared" ref="BN304" si="3092">+$E299*$E263*BN$18*BN303</f>
        <v>210653.40020807806</v>
      </c>
      <c r="BO304" s="156">
        <f t="shared" ref="BO304" si="3093">+$E299*$E263*BO$18*BO303</f>
        <v>315980.10031211708</v>
      </c>
      <c r="BP304" s="156">
        <f t="shared" ref="BP304" si="3094">+$E299*$E263*BP$18*BP303</f>
        <v>252784.08024969365</v>
      </c>
      <c r="BQ304" s="156">
        <f t="shared" ref="BQ304" si="3095">+$E299*$E263*BQ$18*BQ303</f>
        <v>337045.44033292489</v>
      </c>
      <c r="BR304" s="156">
        <f t="shared" ref="BR304" si="3096">+$E299*$E263*BR$18*BR303</f>
        <v>358110.7803537327</v>
      </c>
      <c r="BS304" s="156">
        <f t="shared" ref="BS304" si="3097">+$E299*$E263*BS$18*BS303</f>
        <v>379176.12037454045</v>
      </c>
      <c r="BT304" s="156">
        <f t="shared" ref="BT304" si="3098">+$E299*$E263*BT$18*BT303</f>
        <v>337045.44033292489</v>
      </c>
      <c r="BU304" s="156">
        <f t="shared" ref="BU304" si="3099">+$E299*$E263*BU$18*BU303</f>
        <v>379176.12037454045</v>
      </c>
      <c r="BV304" s="156">
        <f t="shared" ref="BV304" si="3100">+$E299*$E263*BV$18*BV303</f>
        <v>294914.76029130927</v>
      </c>
      <c r="BW304" s="156">
        <f t="shared" ref="BW304" si="3101">+$E299*$E263*BW$18*BW303</f>
        <v>294914.76029130927</v>
      </c>
      <c r="BX304" s="156">
        <f t="shared" ref="BX304" si="3102">+$E299*$E263*BX$18*BX303</f>
        <v>421306.80041615613</v>
      </c>
      <c r="BY304" s="156">
        <f t="shared" ref="BY304" si="3103">+$E299*$E263*BY$18*BY303</f>
        <v>631960.20062423416</v>
      </c>
    </row>
    <row r="305" spans="2:77" customFormat="1" outlineLevel="1" x14ac:dyDescent="0.25">
      <c r="B305" s="1"/>
      <c r="C305" s="66"/>
      <c r="D305" s="66"/>
      <c r="E305" s="66"/>
      <c r="F305" s="297"/>
      <c r="G305" s="156"/>
      <c r="H305" s="156"/>
      <c r="I305" s="163"/>
      <c r="J305" s="66"/>
      <c r="K305" s="66"/>
      <c r="L305" s="66"/>
      <c r="M305" s="66"/>
      <c r="N305" s="66"/>
      <c r="O305" s="66"/>
      <c r="P305" s="66"/>
      <c r="Q305" s="66"/>
      <c r="AV305" s="236"/>
      <c r="AW305" s="236"/>
      <c r="AX305" s="236"/>
      <c r="AY305" s="236"/>
      <c r="AZ305" s="236"/>
      <c r="BA305" s="236"/>
      <c r="BB305" s="236"/>
    </row>
    <row r="306" spans="2:77" customFormat="1" outlineLevel="1" x14ac:dyDescent="0.25">
      <c r="B306" s="1"/>
      <c r="C306" s="19" t="s">
        <v>126</v>
      </c>
      <c r="D306" s="37" t="s">
        <v>101</v>
      </c>
      <c r="E306" s="66"/>
      <c r="F306" s="62">
        <f t="shared" ref="F306:AK306" si="3104">IF(F$5&gt;$E264,MAX(0,F304-$E301*F$18)*$E302*IF(AND(F$5&gt;$E266,F$5&lt;=$E275),Renewal_Probability,1),0)</f>
        <v>0</v>
      </c>
      <c r="G306" s="62">
        <f t="shared" si="3104"/>
        <v>0</v>
      </c>
      <c r="H306" s="62">
        <f t="shared" si="3104"/>
        <v>0</v>
      </c>
      <c r="I306" s="62">
        <f t="shared" si="3104"/>
        <v>0</v>
      </c>
      <c r="J306" s="62">
        <f t="shared" si="3104"/>
        <v>0</v>
      </c>
      <c r="K306" s="62">
        <f t="shared" si="3104"/>
        <v>0</v>
      </c>
      <c r="L306" s="62">
        <f t="shared" si="3104"/>
        <v>0</v>
      </c>
      <c r="M306" s="62">
        <f t="shared" si="3104"/>
        <v>0</v>
      </c>
      <c r="N306" s="62">
        <f t="shared" si="3104"/>
        <v>0</v>
      </c>
      <c r="O306" s="62">
        <f t="shared" si="3104"/>
        <v>0</v>
      </c>
      <c r="P306" s="62">
        <f t="shared" si="3104"/>
        <v>0</v>
      </c>
      <c r="Q306" s="62">
        <f t="shared" si="3104"/>
        <v>0</v>
      </c>
      <c r="R306" s="62">
        <f t="shared" si="3104"/>
        <v>0</v>
      </c>
      <c r="S306" s="62">
        <f t="shared" si="3104"/>
        <v>0</v>
      </c>
      <c r="T306" s="62">
        <f t="shared" si="3104"/>
        <v>0</v>
      </c>
      <c r="U306" s="62">
        <f t="shared" si="3104"/>
        <v>0</v>
      </c>
      <c r="V306" s="62">
        <f t="shared" si="3104"/>
        <v>0</v>
      </c>
      <c r="W306" s="62">
        <f t="shared" si="3104"/>
        <v>0</v>
      </c>
      <c r="X306" s="62">
        <f t="shared" si="3104"/>
        <v>0</v>
      </c>
      <c r="Y306" s="62">
        <f t="shared" si="3104"/>
        <v>0</v>
      </c>
      <c r="Z306" s="62">
        <f t="shared" si="3104"/>
        <v>0</v>
      </c>
      <c r="AA306" s="62">
        <f t="shared" si="3104"/>
        <v>0</v>
      </c>
      <c r="AB306" s="62">
        <f t="shared" si="3104"/>
        <v>0</v>
      </c>
      <c r="AC306" s="62">
        <f t="shared" si="3104"/>
        <v>0</v>
      </c>
      <c r="AD306" s="62">
        <f t="shared" si="3104"/>
        <v>0</v>
      </c>
      <c r="AE306" s="62">
        <f t="shared" si="3104"/>
        <v>0</v>
      </c>
      <c r="AF306" s="62">
        <f t="shared" si="3104"/>
        <v>0</v>
      </c>
      <c r="AG306" s="62">
        <f t="shared" si="3104"/>
        <v>0</v>
      </c>
      <c r="AH306" s="62">
        <f t="shared" si="3104"/>
        <v>0</v>
      </c>
      <c r="AI306" s="62">
        <f t="shared" si="3104"/>
        <v>0</v>
      </c>
      <c r="AJ306" s="62">
        <f t="shared" si="3104"/>
        <v>0</v>
      </c>
      <c r="AK306" s="62">
        <f t="shared" si="3104"/>
        <v>0</v>
      </c>
      <c r="AL306" s="62">
        <f t="shared" ref="AL306:BQ306" si="3105">IF(AL$5&gt;$E264,MAX(0,AL304-$E301*AL$18)*$E302*IF(AND(AL$5&gt;$E266,AL$5&lt;=$E275),Renewal_Probability,1),0)</f>
        <v>0</v>
      </c>
      <c r="AM306" s="62">
        <f t="shared" si="3105"/>
        <v>0</v>
      </c>
      <c r="AN306" s="62">
        <f t="shared" si="3105"/>
        <v>0</v>
      </c>
      <c r="AO306" s="62">
        <f t="shared" si="3105"/>
        <v>0</v>
      </c>
      <c r="AP306" s="62">
        <f t="shared" si="3105"/>
        <v>0</v>
      </c>
      <c r="AQ306" s="62">
        <f t="shared" si="3105"/>
        <v>0</v>
      </c>
      <c r="AR306" s="62">
        <f t="shared" si="3105"/>
        <v>0</v>
      </c>
      <c r="AS306" s="62">
        <f t="shared" si="3105"/>
        <v>0</v>
      </c>
      <c r="AT306" s="62">
        <f t="shared" si="3105"/>
        <v>0</v>
      </c>
      <c r="AU306" s="62">
        <f t="shared" si="3105"/>
        <v>0</v>
      </c>
      <c r="AV306" s="62">
        <f t="shared" si="3105"/>
        <v>0</v>
      </c>
      <c r="AW306" s="62">
        <f t="shared" si="3105"/>
        <v>0</v>
      </c>
      <c r="AX306" s="62">
        <f t="shared" si="3105"/>
        <v>0</v>
      </c>
      <c r="AY306" s="62">
        <f t="shared" si="3105"/>
        <v>0</v>
      </c>
      <c r="AZ306" s="62">
        <f t="shared" si="3105"/>
        <v>0</v>
      </c>
      <c r="BA306" s="62">
        <f t="shared" si="3105"/>
        <v>0</v>
      </c>
      <c r="BB306" s="62">
        <f t="shared" si="3105"/>
        <v>0</v>
      </c>
      <c r="BC306" s="62">
        <f t="shared" si="3105"/>
        <v>0</v>
      </c>
      <c r="BD306" s="62">
        <f t="shared" si="3105"/>
        <v>0</v>
      </c>
      <c r="BE306" s="62">
        <f t="shared" si="3105"/>
        <v>0</v>
      </c>
      <c r="BF306" s="62">
        <f t="shared" si="3105"/>
        <v>0</v>
      </c>
      <c r="BG306" s="62">
        <f t="shared" si="3105"/>
        <v>0</v>
      </c>
      <c r="BH306" s="62">
        <f t="shared" si="3105"/>
        <v>0</v>
      </c>
      <c r="BI306" s="62">
        <f t="shared" si="3105"/>
        <v>0</v>
      </c>
      <c r="BJ306" s="62">
        <f t="shared" si="3105"/>
        <v>0</v>
      </c>
      <c r="BK306" s="62">
        <f t="shared" si="3105"/>
        <v>0</v>
      </c>
      <c r="BL306" s="62">
        <f t="shared" si="3105"/>
        <v>0</v>
      </c>
      <c r="BM306" s="62">
        <f t="shared" si="3105"/>
        <v>0</v>
      </c>
      <c r="BN306" s="62">
        <f t="shared" si="3105"/>
        <v>0</v>
      </c>
      <c r="BO306" s="62">
        <f t="shared" si="3105"/>
        <v>0</v>
      </c>
      <c r="BP306" s="62">
        <f t="shared" si="3105"/>
        <v>0</v>
      </c>
      <c r="BQ306" s="62">
        <f t="shared" si="3105"/>
        <v>0</v>
      </c>
      <c r="BR306" s="62">
        <f t="shared" ref="BR306:BY306" si="3106">IF(BR$5&gt;$E264,MAX(0,BR304-$E301*BR$18)*$E302*IF(AND(BR$5&gt;$E266,BR$5&lt;=$E275),Renewal_Probability,1),0)</f>
        <v>0</v>
      </c>
      <c r="BS306" s="62">
        <f t="shared" si="3106"/>
        <v>0</v>
      </c>
      <c r="BT306" s="62">
        <f t="shared" si="3106"/>
        <v>0</v>
      </c>
      <c r="BU306" s="62">
        <f t="shared" si="3106"/>
        <v>0</v>
      </c>
      <c r="BV306" s="62">
        <f t="shared" si="3106"/>
        <v>0</v>
      </c>
      <c r="BW306" s="62">
        <f t="shared" si="3106"/>
        <v>0</v>
      </c>
      <c r="BX306" s="62">
        <f t="shared" si="3106"/>
        <v>0</v>
      </c>
      <c r="BY306" s="62">
        <f t="shared" si="3106"/>
        <v>0</v>
      </c>
    </row>
    <row r="307" spans="2:77" customFormat="1" outlineLevel="1" x14ac:dyDescent="0.25">
      <c r="B307" s="1"/>
      <c r="C307" s="44"/>
      <c r="D307" s="56"/>
      <c r="E307" s="1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</row>
    <row r="308" spans="2:77" customFormat="1" outlineLevel="1" x14ac:dyDescent="0.25">
      <c r="B308" s="1"/>
      <c r="C308" s="46" t="s">
        <v>179</v>
      </c>
      <c r="D308" s="47"/>
      <c r="E308" s="48"/>
      <c r="F308" s="48"/>
      <c r="G308" s="48"/>
      <c r="H308" s="48"/>
      <c r="I308" s="48"/>
      <c r="J308" s="48"/>
      <c r="K308" s="48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49"/>
      <c r="BJ308" s="49"/>
      <c r="BK308" s="49"/>
      <c r="BL308" s="49"/>
      <c r="BM308" s="49"/>
      <c r="BN308" s="49"/>
      <c r="BO308" s="49"/>
      <c r="BP308" s="49"/>
      <c r="BQ308" s="49"/>
      <c r="BR308" s="49"/>
      <c r="BS308" s="49"/>
      <c r="BT308" s="49"/>
      <c r="BU308" s="49"/>
      <c r="BV308" s="49"/>
      <c r="BW308" s="49"/>
      <c r="BX308" s="49"/>
      <c r="BY308" s="49"/>
    </row>
    <row r="309" spans="2:77" customFormat="1" outlineLevel="1" x14ac:dyDescent="0.25">
      <c r="B309" s="1"/>
      <c r="C309" s="44"/>
      <c r="D309" s="199"/>
      <c r="E309" s="1"/>
      <c r="F309" s="186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  <c r="AA309" s="93"/>
      <c r="AB309" s="93"/>
      <c r="AC309" s="93"/>
      <c r="AD309" s="93"/>
      <c r="AE309" s="93"/>
      <c r="AF309" s="93"/>
      <c r="AG309" s="93"/>
      <c r="AH309" s="93"/>
      <c r="AI309" s="93"/>
      <c r="AJ309" s="93"/>
      <c r="AK309" s="93"/>
      <c r="AL309" s="93"/>
      <c r="AM309" s="93"/>
      <c r="AN309" s="93"/>
      <c r="AO309" s="93"/>
      <c r="AP309" s="93"/>
      <c r="AQ309" s="93"/>
      <c r="AR309" s="93"/>
      <c r="AS309" s="93"/>
      <c r="AT309" s="93"/>
      <c r="AU309" s="93"/>
      <c r="AV309" s="93"/>
      <c r="AW309" s="93"/>
      <c r="AX309" s="93"/>
      <c r="AY309" s="93"/>
      <c r="AZ309" s="93"/>
      <c r="BA309" s="93"/>
      <c r="BB309" s="93"/>
      <c r="BC309" s="93"/>
      <c r="BD309" s="93"/>
      <c r="BE309" s="93"/>
      <c r="BF309" s="93"/>
      <c r="BG309" s="93"/>
      <c r="BH309" s="93"/>
      <c r="BI309" s="93"/>
      <c r="BJ309" s="93"/>
      <c r="BK309" s="93"/>
      <c r="BL309" s="93"/>
      <c r="BM309" s="93"/>
      <c r="BN309" s="93"/>
      <c r="BO309" s="93"/>
      <c r="BP309" s="93"/>
      <c r="BQ309" s="93"/>
      <c r="BR309" s="93"/>
      <c r="BS309" s="93"/>
      <c r="BT309" s="93"/>
      <c r="BU309" s="93"/>
      <c r="BV309" s="93"/>
      <c r="BW309" s="93"/>
      <c r="BX309" s="93"/>
      <c r="BY309" s="93"/>
    </row>
    <row r="310" spans="2:77" customFormat="1" outlineLevel="1" x14ac:dyDescent="0.25">
      <c r="B310" s="1"/>
      <c r="C310" s="183" t="s">
        <v>157</v>
      </c>
      <c r="D310" s="36" t="s">
        <v>16</v>
      </c>
      <c r="E310" s="186">
        <f>SUM(F310:BY310)</f>
        <v>1.0000000000000004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0.06</v>
      </c>
      <c r="Y310" s="11">
        <v>0.04</v>
      </c>
      <c r="Z310" s="11">
        <v>0.08</v>
      </c>
      <c r="AA310" s="11">
        <v>7.0000000000000007E-2</v>
      </c>
      <c r="AB310" s="11">
        <v>0.08</v>
      </c>
      <c r="AC310" s="11">
        <v>0.08</v>
      </c>
      <c r="AD310" s="11">
        <v>0.03</v>
      </c>
      <c r="AE310" s="11">
        <v>0.02</v>
      </c>
      <c r="AF310" s="11">
        <v>0.05</v>
      </c>
      <c r="AG310" s="11">
        <v>0.05</v>
      </c>
      <c r="AH310" s="11">
        <v>0.05</v>
      </c>
      <c r="AI310" s="11">
        <v>0.01</v>
      </c>
      <c r="AJ310" s="11">
        <v>0.01</v>
      </c>
      <c r="AK310" s="11">
        <v>0.03</v>
      </c>
      <c r="AL310" s="11">
        <v>0.03</v>
      </c>
      <c r="AM310" s="11">
        <v>0.03</v>
      </c>
      <c r="AN310" s="11">
        <v>0.01</v>
      </c>
      <c r="AO310" s="11">
        <v>0.01</v>
      </c>
      <c r="AP310" s="11">
        <v>0.05</v>
      </c>
      <c r="AQ310" s="11">
        <v>0.04</v>
      </c>
      <c r="AR310" s="11">
        <v>0.01</v>
      </c>
      <c r="AS310" s="11">
        <v>0.04</v>
      </c>
      <c r="AT310" s="11">
        <v>5.0000000000000001E-3</v>
      </c>
      <c r="AU310" s="11">
        <v>5.0000000000000001E-3</v>
      </c>
      <c r="AV310" s="11">
        <v>0.01</v>
      </c>
      <c r="AW310" s="11">
        <v>0.03</v>
      </c>
      <c r="AX310" s="11">
        <v>0.03</v>
      </c>
      <c r="AY310" s="11">
        <v>0.02</v>
      </c>
      <c r="AZ310" s="11">
        <v>0.01</v>
      </c>
      <c r="BA310" s="11">
        <v>0.01</v>
      </c>
      <c r="BB310" s="11">
        <v>0</v>
      </c>
      <c r="BC310" s="11">
        <v>0</v>
      </c>
      <c r="BD310" s="11">
        <v>0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0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  <c r="BP310" s="11">
        <v>0</v>
      </c>
      <c r="BQ310" s="11">
        <v>0</v>
      </c>
      <c r="BR310" s="11">
        <v>0</v>
      </c>
      <c r="BS310" s="11">
        <v>0</v>
      </c>
      <c r="BT310" s="11">
        <v>0</v>
      </c>
      <c r="BU310" s="11">
        <v>0</v>
      </c>
      <c r="BV310" s="11">
        <v>0</v>
      </c>
      <c r="BW310" s="11">
        <v>0</v>
      </c>
      <c r="BX310" s="11">
        <v>0</v>
      </c>
      <c r="BY310" s="11">
        <v>0</v>
      </c>
    </row>
    <row r="311" spans="2:77" customFormat="1" outlineLevel="1" x14ac:dyDescent="0.25">
      <c r="B311" s="1"/>
      <c r="C311" s="183" t="s">
        <v>243</v>
      </c>
      <c r="D311" s="36" t="s">
        <v>19</v>
      </c>
      <c r="E311" s="1"/>
      <c r="F311" s="250">
        <f>IF(OR(E311=1,AND(F310&gt;0,E311=0)),1,0)</f>
        <v>0</v>
      </c>
      <c r="G311" s="250">
        <f t="shared" ref="G311:BR311" si="3107">IF(OR(F311=1,AND(G310&gt;0,F311=0)),1,0)</f>
        <v>0</v>
      </c>
      <c r="H311" s="250">
        <f t="shared" si="3107"/>
        <v>0</v>
      </c>
      <c r="I311" s="250">
        <f t="shared" si="3107"/>
        <v>0</v>
      </c>
      <c r="J311" s="250">
        <f t="shared" si="3107"/>
        <v>0</v>
      </c>
      <c r="K311" s="250">
        <f t="shared" si="3107"/>
        <v>0</v>
      </c>
      <c r="L311" s="250">
        <f t="shared" si="3107"/>
        <v>0</v>
      </c>
      <c r="M311" s="250">
        <f t="shared" si="3107"/>
        <v>0</v>
      </c>
      <c r="N311" s="250">
        <f t="shared" si="3107"/>
        <v>0</v>
      </c>
      <c r="O311" s="250">
        <f t="shared" si="3107"/>
        <v>0</v>
      </c>
      <c r="P311" s="250">
        <f t="shared" si="3107"/>
        <v>0</v>
      </c>
      <c r="Q311" s="250">
        <f t="shared" si="3107"/>
        <v>0</v>
      </c>
      <c r="R311" s="250">
        <f t="shared" si="3107"/>
        <v>0</v>
      </c>
      <c r="S311" s="250">
        <f t="shared" si="3107"/>
        <v>0</v>
      </c>
      <c r="T311" s="250">
        <f t="shared" si="3107"/>
        <v>0</v>
      </c>
      <c r="U311" s="250">
        <f t="shared" si="3107"/>
        <v>0</v>
      </c>
      <c r="V311" s="250">
        <f t="shared" si="3107"/>
        <v>0</v>
      </c>
      <c r="W311" s="250">
        <f t="shared" si="3107"/>
        <v>0</v>
      </c>
      <c r="X311" s="250">
        <f t="shared" si="3107"/>
        <v>1</v>
      </c>
      <c r="Y311" s="250">
        <f t="shared" si="3107"/>
        <v>1</v>
      </c>
      <c r="Z311" s="250">
        <f t="shared" si="3107"/>
        <v>1</v>
      </c>
      <c r="AA311" s="250">
        <f t="shared" si="3107"/>
        <v>1</v>
      </c>
      <c r="AB311" s="250">
        <f t="shared" si="3107"/>
        <v>1</v>
      </c>
      <c r="AC311" s="250">
        <f t="shared" si="3107"/>
        <v>1</v>
      </c>
      <c r="AD311" s="250">
        <f t="shared" si="3107"/>
        <v>1</v>
      </c>
      <c r="AE311" s="250">
        <f t="shared" si="3107"/>
        <v>1</v>
      </c>
      <c r="AF311" s="250">
        <f t="shared" si="3107"/>
        <v>1</v>
      </c>
      <c r="AG311" s="250">
        <f t="shared" si="3107"/>
        <v>1</v>
      </c>
      <c r="AH311" s="250">
        <f t="shared" si="3107"/>
        <v>1</v>
      </c>
      <c r="AI311" s="250">
        <f t="shared" si="3107"/>
        <v>1</v>
      </c>
      <c r="AJ311" s="250">
        <f t="shared" si="3107"/>
        <v>1</v>
      </c>
      <c r="AK311" s="250">
        <f t="shared" si="3107"/>
        <v>1</v>
      </c>
      <c r="AL311" s="250">
        <f t="shared" si="3107"/>
        <v>1</v>
      </c>
      <c r="AM311" s="250">
        <f t="shared" si="3107"/>
        <v>1</v>
      </c>
      <c r="AN311" s="250">
        <f t="shared" si="3107"/>
        <v>1</v>
      </c>
      <c r="AO311" s="250">
        <f t="shared" si="3107"/>
        <v>1</v>
      </c>
      <c r="AP311" s="250">
        <f t="shared" si="3107"/>
        <v>1</v>
      </c>
      <c r="AQ311" s="250">
        <f t="shared" si="3107"/>
        <v>1</v>
      </c>
      <c r="AR311" s="250">
        <f t="shared" si="3107"/>
        <v>1</v>
      </c>
      <c r="AS311" s="250">
        <f t="shared" si="3107"/>
        <v>1</v>
      </c>
      <c r="AT311" s="250">
        <f t="shared" si="3107"/>
        <v>1</v>
      </c>
      <c r="AU311" s="250">
        <f t="shared" si="3107"/>
        <v>1</v>
      </c>
      <c r="AV311" s="250">
        <f t="shared" si="3107"/>
        <v>1</v>
      </c>
      <c r="AW311" s="250">
        <f t="shared" si="3107"/>
        <v>1</v>
      </c>
      <c r="AX311" s="250">
        <f t="shared" si="3107"/>
        <v>1</v>
      </c>
      <c r="AY311" s="250">
        <f t="shared" si="3107"/>
        <v>1</v>
      </c>
      <c r="AZ311" s="250">
        <f t="shared" si="3107"/>
        <v>1</v>
      </c>
      <c r="BA311" s="250">
        <f t="shared" si="3107"/>
        <v>1</v>
      </c>
      <c r="BB311" s="250">
        <f t="shared" si="3107"/>
        <v>1</v>
      </c>
      <c r="BC311" s="250">
        <f t="shared" si="3107"/>
        <v>1</v>
      </c>
      <c r="BD311" s="250">
        <f t="shared" si="3107"/>
        <v>1</v>
      </c>
      <c r="BE311" s="250">
        <f t="shared" si="3107"/>
        <v>1</v>
      </c>
      <c r="BF311" s="250">
        <f t="shared" si="3107"/>
        <v>1</v>
      </c>
      <c r="BG311" s="250">
        <f t="shared" si="3107"/>
        <v>1</v>
      </c>
      <c r="BH311" s="250">
        <f t="shared" si="3107"/>
        <v>1</v>
      </c>
      <c r="BI311" s="250">
        <f t="shared" si="3107"/>
        <v>1</v>
      </c>
      <c r="BJ311" s="250">
        <f t="shared" si="3107"/>
        <v>1</v>
      </c>
      <c r="BK311" s="250">
        <f t="shared" si="3107"/>
        <v>1</v>
      </c>
      <c r="BL311" s="250">
        <f t="shared" si="3107"/>
        <v>1</v>
      </c>
      <c r="BM311" s="250">
        <f t="shared" si="3107"/>
        <v>1</v>
      </c>
      <c r="BN311" s="250">
        <f t="shared" si="3107"/>
        <v>1</v>
      </c>
      <c r="BO311" s="250">
        <f t="shared" si="3107"/>
        <v>1</v>
      </c>
      <c r="BP311" s="250">
        <f t="shared" si="3107"/>
        <v>1</v>
      </c>
      <c r="BQ311" s="250">
        <f t="shared" si="3107"/>
        <v>1</v>
      </c>
      <c r="BR311" s="250">
        <f t="shared" si="3107"/>
        <v>1</v>
      </c>
      <c r="BS311" s="250">
        <f t="shared" ref="BS311:BY311" si="3108">IF(OR(BR311=1,AND(BS310&gt;0,BR311=0)),1,0)</f>
        <v>1</v>
      </c>
      <c r="BT311" s="250">
        <f t="shared" si="3108"/>
        <v>1</v>
      </c>
      <c r="BU311" s="250">
        <f t="shared" si="3108"/>
        <v>1</v>
      </c>
      <c r="BV311" s="250">
        <f t="shared" si="3108"/>
        <v>1</v>
      </c>
      <c r="BW311" s="250">
        <f t="shared" si="3108"/>
        <v>1</v>
      </c>
      <c r="BX311" s="250">
        <f t="shared" si="3108"/>
        <v>1</v>
      </c>
      <c r="BY311" s="250">
        <f t="shared" si="3108"/>
        <v>1</v>
      </c>
    </row>
    <row r="312" spans="2:77" customFormat="1" outlineLevel="1" x14ac:dyDescent="0.25">
      <c r="B312" s="1"/>
      <c r="C312" s="183"/>
      <c r="D312" s="36"/>
      <c r="E312" s="1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W312" s="70"/>
      <c r="AX312" s="70"/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  <c r="BI312" s="70"/>
      <c r="BJ312" s="70"/>
      <c r="BK312" s="70"/>
      <c r="BL312" s="70"/>
      <c r="BM312" s="70"/>
      <c r="BN312" s="70"/>
      <c r="BO312" s="70"/>
      <c r="BP312" s="70"/>
      <c r="BQ312" s="70"/>
      <c r="BR312" s="70"/>
      <c r="BS312" s="70"/>
      <c r="BT312" s="70"/>
      <c r="BU312" s="70"/>
      <c r="BV312" s="70"/>
      <c r="BW312" s="70"/>
      <c r="BX312" s="70"/>
      <c r="BY312" s="70"/>
    </row>
    <row r="313" spans="2:77" customFormat="1" outlineLevel="1" x14ac:dyDescent="0.25">
      <c r="B313" s="1"/>
      <c r="C313" s="195" t="s">
        <v>297</v>
      </c>
      <c r="D313" s="37" t="s">
        <v>101</v>
      </c>
      <c r="E313" s="1"/>
      <c r="F313" s="13">
        <f t="shared" ref="F313:AK313" si="3109">-F310*Renovation_Costs</f>
        <v>0</v>
      </c>
      <c r="G313" s="13">
        <f t="shared" si="3109"/>
        <v>0</v>
      </c>
      <c r="H313" s="13">
        <f t="shared" si="3109"/>
        <v>0</v>
      </c>
      <c r="I313" s="13">
        <f t="shared" si="3109"/>
        <v>0</v>
      </c>
      <c r="J313" s="13">
        <f t="shared" si="3109"/>
        <v>0</v>
      </c>
      <c r="K313" s="13">
        <f t="shared" si="3109"/>
        <v>0</v>
      </c>
      <c r="L313" s="13">
        <f t="shared" si="3109"/>
        <v>0</v>
      </c>
      <c r="M313" s="13">
        <f t="shared" si="3109"/>
        <v>0</v>
      </c>
      <c r="N313" s="13">
        <f t="shared" si="3109"/>
        <v>0</v>
      </c>
      <c r="O313" s="13">
        <f t="shared" si="3109"/>
        <v>0</v>
      </c>
      <c r="P313" s="13">
        <f t="shared" si="3109"/>
        <v>0</v>
      </c>
      <c r="Q313" s="13">
        <f t="shared" si="3109"/>
        <v>0</v>
      </c>
      <c r="R313" s="13">
        <f t="shared" si="3109"/>
        <v>0</v>
      </c>
      <c r="S313" s="13">
        <f t="shared" si="3109"/>
        <v>0</v>
      </c>
      <c r="T313" s="13">
        <f t="shared" si="3109"/>
        <v>0</v>
      </c>
      <c r="U313" s="13">
        <f t="shared" si="3109"/>
        <v>0</v>
      </c>
      <c r="V313" s="13">
        <f t="shared" si="3109"/>
        <v>0</v>
      </c>
      <c r="W313" s="13">
        <f t="shared" si="3109"/>
        <v>0</v>
      </c>
      <c r="X313" s="13">
        <f t="shared" si="3109"/>
        <v>-184500</v>
      </c>
      <c r="Y313" s="13">
        <f t="shared" si="3109"/>
        <v>-123000</v>
      </c>
      <c r="Z313" s="13">
        <f t="shared" si="3109"/>
        <v>-246000</v>
      </c>
      <c r="AA313" s="13">
        <f t="shared" si="3109"/>
        <v>-215250.00000000003</v>
      </c>
      <c r="AB313" s="13">
        <f t="shared" si="3109"/>
        <v>-246000</v>
      </c>
      <c r="AC313" s="13">
        <f t="shared" si="3109"/>
        <v>-246000</v>
      </c>
      <c r="AD313" s="13">
        <f t="shared" si="3109"/>
        <v>-92250</v>
      </c>
      <c r="AE313" s="13">
        <f t="shared" si="3109"/>
        <v>-61500</v>
      </c>
      <c r="AF313" s="13">
        <f t="shared" si="3109"/>
        <v>-153750</v>
      </c>
      <c r="AG313" s="13">
        <f t="shared" si="3109"/>
        <v>-153750</v>
      </c>
      <c r="AH313" s="13">
        <f t="shared" si="3109"/>
        <v>-153750</v>
      </c>
      <c r="AI313" s="13">
        <f t="shared" si="3109"/>
        <v>-30750</v>
      </c>
      <c r="AJ313" s="13">
        <f t="shared" si="3109"/>
        <v>-30750</v>
      </c>
      <c r="AK313" s="13">
        <f t="shared" si="3109"/>
        <v>-92250</v>
      </c>
      <c r="AL313" s="13">
        <f t="shared" ref="AL313:BQ313" si="3110">-AL310*Renovation_Costs</f>
        <v>-92250</v>
      </c>
      <c r="AM313" s="13">
        <f t="shared" si="3110"/>
        <v>-92250</v>
      </c>
      <c r="AN313" s="13">
        <f t="shared" si="3110"/>
        <v>-30750</v>
      </c>
      <c r="AO313" s="13">
        <f t="shared" si="3110"/>
        <v>-30750</v>
      </c>
      <c r="AP313" s="13">
        <f t="shared" si="3110"/>
        <v>-153750</v>
      </c>
      <c r="AQ313" s="13">
        <f t="shared" si="3110"/>
        <v>-123000</v>
      </c>
      <c r="AR313" s="13">
        <f t="shared" si="3110"/>
        <v>-30750</v>
      </c>
      <c r="AS313" s="13">
        <f t="shared" si="3110"/>
        <v>-123000</v>
      </c>
      <c r="AT313" s="13">
        <f t="shared" si="3110"/>
        <v>-15375</v>
      </c>
      <c r="AU313" s="13">
        <f t="shared" si="3110"/>
        <v>-15375</v>
      </c>
      <c r="AV313" s="13">
        <f t="shared" si="3110"/>
        <v>-30750</v>
      </c>
      <c r="AW313" s="13">
        <f t="shared" si="3110"/>
        <v>-92250</v>
      </c>
      <c r="AX313" s="13">
        <f t="shared" si="3110"/>
        <v>-92250</v>
      </c>
      <c r="AY313" s="13">
        <f t="shared" si="3110"/>
        <v>-61500</v>
      </c>
      <c r="AZ313" s="13">
        <f t="shared" si="3110"/>
        <v>-30750</v>
      </c>
      <c r="BA313" s="13">
        <f t="shared" si="3110"/>
        <v>-30750</v>
      </c>
      <c r="BB313" s="13">
        <f t="shared" si="3110"/>
        <v>0</v>
      </c>
      <c r="BC313" s="13">
        <f t="shared" si="3110"/>
        <v>0</v>
      </c>
      <c r="BD313" s="13">
        <f t="shared" si="3110"/>
        <v>0</v>
      </c>
      <c r="BE313" s="13">
        <f t="shared" si="3110"/>
        <v>0</v>
      </c>
      <c r="BF313" s="13">
        <f t="shared" si="3110"/>
        <v>0</v>
      </c>
      <c r="BG313" s="13">
        <f t="shared" si="3110"/>
        <v>0</v>
      </c>
      <c r="BH313" s="13">
        <f t="shared" si="3110"/>
        <v>0</v>
      </c>
      <c r="BI313" s="13">
        <f t="shared" si="3110"/>
        <v>0</v>
      </c>
      <c r="BJ313" s="13">
        <f t="shared" si="3110"/>
        <v>0</v>
      </c>
      <c r="BK313" s="13">
        <f t="shared" si="3110"/>
        <v>0</v>
      </c>
      <c r="BL313" s="13">
        <f t="shared" si="3110"/>
        <v>0</v>
      </c>
      <c r="BM313" s="13">
        <f t="shared" si="3110"/>
        <v>0</v>
      </c>
      <c r="BN313" s="13">
        <f t="shared" si="3110"/>
        <v>0</v>
      </c>
      <c r="BO313" s="13">
        <f t="shared" si="3110"/>
        <v>0</v>
      </c>
      <c r="BP313" s="13">
        <f t="shared" si="3110"/>
        <v>0</v>
      </c>
      <c r="BQ313" s="13">
        <f t="shared" si="3110"/>
        <v>0</v>
      </c>
      <c r="BR313" s="13">
        <f t="shared" ref="BR313:BY313" si="3111">-BR310*Renovation_Costs</f>
        <v>0</v>
      </c>
      <c r="BS313" s="13">
        <f t="shared" si="3111"/>
        <v>0</v>
      </c>
      <c r="BT313" s="13">
        <f t="shared" si="3111"/>
        <v>0</v>
      </c>
      <c r="BU313" s="13">
        <f t="shared" si="3111"/>
        <v>0</v>
      </c>
      <c r="BV313" s="13">
        <f t="shared" si="3111"/>
        <v>0</v>
      </c>
      <c r="BW313" s="13">
        <f t="shared" si="3111"/>
        <v>0</v>
      </c>
      <c r="BX313" s="13">
        <f t="shared" si="3111"/>
        <v>0</v>
      </c>
      <c r="BY313" s="13">
        <f t="shared" si="3111"/>
        <v>0</v>
      </c>
    </row>
    <row r="314" spans="2:77" customFormat="1" outlineLevel="1" x14ac:dyDescent="0.25">
      <c r="B314" s="1"/>
      <c r="C314" s="50" t="s">
        <v>298</v>
      </c>
      <c r="D314" s="37" t="s">
        <v>101</v>
      </c>
      <c r="E314" s="1"/>
      <c r="F314" s="13">
        <f>+F53+F92+F131+F170+F209+F256+F293</f>
        <v>0</v>
      </c>
      <c r="G314" s="13">
        <f t="shared" ref="G314:BR314" si="3112">+G53+G92+G131+G170+G209+G256+G293</f>
        <v>0</v>
      </c>
      <c r="H314" s="13">
        <f t="shared" si="3112"/>
        <v>0</v>
      </c>
      <c r="I314" s="13">
        <f t="shared" si="3112"/>
        <v>0</v>
      </c>
      <c r="J314" s="13">
        <f t="shared" si="3112"/>
        <v>0</v>
      </c>
      <c r="K314" s="13">
        <f t="shared" si="3112"/>
        <v>0</v>
      </c>
      <c r="L314" s="13">
        <f t="shared" si="3112"/>
        <v>0</v>
      </c>
      <c r="M314" s="13">
        <f t="shared" si="3112"/>
        <v>0</v>
      </c>
      <c r="N314" s="13">
        <f t="shared" si="3112"/>
        <v>0</v>
      </c>
      <c r="O314" s="13">
        <f t="shared" si="3112"/>
        <v>0</v>
      </c>
      <c r="P314" s="13">
        <f t="shared" si="3112"/>
        <v>0</v>
      </c>
      <c r="Q314" s="13">
        <f t="shared" si="3112"/>
        <v>0</v>
      </c>
      <c r="R314" s="13">
        <f t="shared" si="3112"/>
        <v>0</v>
      </c>
      <c r="S314" s="13">
        <f t="shared" si="3112"/>
        <v>0</v>
      </c>
      <c r="T314" s="13">
        <f t="shared" si="3112"/>
        <v>0</v>
      </c>
      <c r="U314" s="13">
        <f t="shared" si="3112"/>
        <v>0</v>
      </c>
      <c r="V314" s="13">
        <f t="shared" si="3112"/>
        <v>0</v>
      </c>
      <c r="W314" s="13">
        <f t="shared" si="3112"/>
        <v>0</v>
      </c>
      <c r="X314" s="13">
        <f t="shared" si="3112"/>
        <v>-69706.826427267762</v>
      </c>
      <c r="Y314" s="13">
        <f t="shared" si="3112"/>
        <v>0</v>
      </c>
      <c r="Z314" s="13">
        <f t="shared" si="3112"/>
        <v>0</v>
      </c>
      <c r="AA314" s="13">
        <f t="shared" si="3112"/>
        <v>0</v>
      </c>
      <c r="AB314" s="13">
        <f t="shared" si="3112"/>
        <v>0</v>
      </c>
      <c r="AC314" s="13">
        <f t="shared" si="3112"/>
        <v>0</v>
      </c>
      <c r="AD314" s="13">
        <f t="shared" si="3112"/>
        <v>-106030.81376387093</v>
      </c>
      <c r="AE314" s="13">
        <f t="shared" si="3112"/>
        <v>0</v>
      </c>
      <c r="AF314" s="13">
        <f t="shared" si="3112"/>
        <v>0</v>
      </c>
      <c r="AG314" s="13">
        <f t="shared" si="3112"/>
        <v>0</v>
      </c>
      <c r="AH314" s="13">
        <f t="shared" si="3112"/>
        <v>0</v>
      </c>
      <c r="AI314" s="13">
        <f t="shared" si="3112"/>
        <v>0</v>
      </c>
      <c r="AJ314" s="13">
        <f t="shared" si="3112"/>
        <v>-267714.68180669117</v>
      </c>
      <c r="AK314" s="13">
        <f t="shared" si="3112"/>
        <v>0</v>
      </c>
      <c r="AL314" s="13">
        <f t="shared" si="3112"/>
        <v>0</v>
      </c>
      <c r="AM314" s="13">
        <f t="shared" si="3112"/>
        <v>0</v>
      </c>
      <c r="AN314" s="13">
        <f t="shared" si="3112"/>
        <v>-179658.45225951666</v>
      </c>
      <c r="AO314" s="13">
        <f t="shared" si="3112"/>
        <v>0</v>
      </c>
      <c r="AP314" s="13">
        <f t="shared" si="3112"/>
        <v>0</v>
      </c>
      <c r="AQ314" s="13">
        <f t="shared" si="3112"/>
        <v>0</v>
      </c>
      <c r="AR314" s="13">
        <f t="shared" si="3112"/>
        <v>0</v>
      </c>
      <c r="AS314" s="13">
        <f t="shared" si="3112"/>
        <v>0</v>
      </c>
      <c r="AT314" s="13">
        <f t="shared" si="3112"/>
        <v>-272169.21387202153</v>
      </c>
      <c r="AU314" s="13">
        <f t="shared" si="3112"/>
        <v>0</v>
      </c>
      <c r="AV314" s="13">
        <f t="shared" si="3112"/>
        <v>-145636.78690284007</v>
      </c>
      <c r="AW314" s="13">
        <f t="shared" si="3112"/>
        <v>0</v>
      </c>
      <c r="AX314" s="13">
        <f t="shared" si="3112"/>
        <v>0</v>
      </c>
      <c r="AY314" s="13">
        <f t="shared" si="3112"/>
        <v>0</v>
      </c>
      <c r="AZ314" s="13">
        <f t="shared" si="3112"/>
        <v>-109950.97278282426</v>
      </c>
      <c r="BA314" s="13">
        <f t="shared" si="3112"/>
        <v>0</v>
      </c>
      <c r="BB314" s="13">
        <f t="shared" si="3112"/>
        <v>-220538.58796232898</v>
      </c>
      <c r="BC314" s="13">
        <f t="shared" si="3112"/>
        <v>0</v>
      </c>
      <c r="BD314" s="13">
        <f t="shared" si="3112"/>
        <v>0</v>
      </c>
      <c r="BE314" s="13">
        <f t="shared" si="3112"/>
        <v>0</v>
      </c>
      <c r="BF314" s="13">
        <f t="shared" si="3112"/>
        <v>-166226.85969639078</v>
      </c>
      <c r="BG314" s="13">
        <f t="shared" si="3112"/>
        <v>0</v>
      </c>
      <c r="BH314" s="13">
        <f t="shared" si="3112"/>
        <v>0</v>
      </c>
      <c r="BI314" s="13">
        <f t="shared" si="3112"/>
        <v>0</v>
      </c>
      <c r="BJ314" s="13">
        <f t="shared" si="3112"/>
        <v>0</v>
      </c>
      <c r="BK314" s="13">
        <f t="shared" si="3112"/>
        <v>0</v>
      </c>
      <c r="BL314" s="13">
        <f t="shared" si="3112"/>
        <v>0</v>
      </c>
      <c r="BM314" s="13">
        <f t="shared" si="3112"/>
        <v>0</v>
      </c>
      <c r="BN314" s="13">
        <f t="shared" si="3112"/>
        <v>-93269.444492401555</v>
      </c>
      <c r="BO314" s="13">
        <f t="shared" si="3112"/>
        <v>0</v>
      </c>
      <c r="BP314" s="13">
        <f t="shared" si="3112"/>
        <v>0</v>
      </c>
      <c r="BQ314" s="13">
        <f t="shared" si="3112"/>
        <v>0</v>
      </c>
      <c r="BR314" s="13">
        <f t="shared" si="3112"/>
        <v>0</v>
      </c>
      <c r="BS314" s="13">
        <f t="shared" ref="BS314:BY314" si="3113">+BS53+BS92+BS131+BS170+BS209+BS256+BS293</f>
        <v>0</v>
      </c>
      <c r="BT314" s="13">
        <f t="shared" si="3113"/>
        <v>-140949.54242169418</v>
      </c>
      <c r="BU314" s="13">
        <f t="shared" si="3113"/>
        <v>0</v>
      </c>
      <c r="BV314" s="13">
        <f t="shared" si="3113"/>
        <v>0</v>
      </c>
      <c r="BW314" s="13">
        <f t="shared" si="3113"/>
        <v>0</v>
      </c>
      <c r="BX314" s="13">
        <f t="shared" si="3113"/>
        <v>0</v>
      </c>
      <c r="BY314" s="13">
        <f t="shared" si="3113"/>
        <v>0</v>
      </c>
    </row>
    <row r="315" spans="2:77" customFormat="1" outlineLevel="1" x14ac:dyDescent="0.25">
      <c r="B315" s="1"/>
      <c r="C315" s="50" t="s">
        <v>299</v>
      </c>
      <c r="D315" s="37" t="s">
        <v>101</v>
      </c>
      <c r="E315" s="1"/>
      <c r="F315" s="13">
        <f>+F54+F93+F132+F171+F210+F257+F294</f>
        <v>0</v>
      </c>
      <c r="G315" s="13">
        <f t="shared" ref="G315:BR315" si="3114">+G54+G93+G132+G171+G210+G257+G294</f>
        <v>0</v>
      </c>
      <c r="H315" s="13">
        <f t="shared" si="3114"/>
        <v>0</v>
      </c>
      <c r="I315" s="13">
        <f t="shared" si="3114"/>
        <v>0</v>
      </c>
      <c r="J315" s="13">
        <f t="shared" si="3114"/>
        <v>0</v>
      </c>
      <c r="K315" s="13">
        <f t="shared" si="3114"/>
        <v>0</v>
      </c>
      <c r="L315" s="13">
        <f t="shared" si="3114"/>
        <v>0</v>
      </c>
      <c r="M315" s="13">
        <f t="shared" si="3114"/>
        <v>0</v>
      </c>
      <c r="N315" s="13">
        <f t="shared" si="3114"/>
        <v>0</v>
      </c>
      <c r="O315" s="13">
        <f t="shared" si="3114"/>
        <v>0</v>
      </c>
      <c r="P315" s="13">
        <f t="shared" si="3114"/>
        <v>0</v>
      </c>
      <c r="Q315" s="13">
        <f t="shared" si="3114"/>
        <v>0</v>
      </c>
      <c r="R315" s="13">
        <f t="shared" si="3114"/>
        <v>0</v>
      </c>
      <c r="S315" s="13">
        <f t="shared" si="3114"/>
        <v>0</v>
      </c>
      <c r="T315" s="13">
        <f t="shared" si="3114"/>
        <v>0</v>
      </c>
      <c r="U315" s="13">
        <f t="shared" si="3114"/>
        <v>0</v>
      </c>
      <c r="V315" s="13">
        <f t="shared" si="3114"/>
        <v>0</v>
      </c>
      <c r="W315" s="13">
        <f t="shared" si="3114"/>
        <v>0</v>
      </c>
      <c r="X315" s="13">
        <f t="shared" si="3114"/>
        <v>-26173.903447373388</v>
      </c>
      <c r="Y315" s="13">
        <f t="shared" si="3114"/>
        <v>0</v>
      </c>
      <c r="Z315" s="13">
        <f t="shared" si="3114"/>
        <v>0</v>
      </c>
      <c r="AA315" s="13">
        <f t="shared" si="3114"/>
        <v>0</v>
      </c>
      <c r="AB315" s="13">
        <f t="shared" si="3114"/>
        <v>0</v>
      </c>
      <c r="AC315" s="13">
        <f t="shared" si="3114"/>
        <v>0</v>
      </c>
      <c r="AD315" s="13">
        <f t="shared" si="3114"/>
        <v>-35561.021365114713</v>
      </c>
      <c r="AE315" s="13">
        <f t="shared" si="3114"/>
        <v>0</v>
      </c>
      <c r="AF315" s="13">
        <f t="shared" si="3114"/>
        <v>0</v>
      </c>
      <c r="AG315" s="13">
        <f t="shared" si="3114"/>
        <v>0</v>
      </c>
      <c r="AH315" s="13">
        <f t="shared" si="3114"/>
        <v>0</v>
      </c>
      <c r="AI315" s="13">
        <f t="shared" si="3114"/>
        <v>0</v>
      </c>
      <c r="AJ315" s="13">
        <f t="shared" si="3114"/>
        <v>-116515.82947571132</v>
      </c>
      <c r="AK315" s="13">
        <f t="shared" si="3114"/>
        <v>0</v>
      </c>
      <c r="AL315" s="13">
        <f t="shared" si="3114"/>
        <v>0</v>
      </c>
      <c r="AM315" s="13">
        <f t="shared" si="3114"/>
        <v>0</v>
      </c>
      <c r="AN315" s="13">
        <f t="shared" si="3114"/>
        <v>-69130.846865871892</v>
      </c>
      <c r="AO315" s="13">
        <f t="shared" si="3114"/>
        <v>0</v>
      </c>
      <c r="AP315" s="13">
        <f t="shared" si="3114"/>
        <v>0</v>
      </c>
      <c r="AQ315" s="13">
        <f t="shared" si="3114"/>
        <v>0</v>
      </c>
      <c r="AR315" s="13">
        <f t="shared" si="3114"/>
        <v>0</v>
      </c>
      <c r="AS315" s="13">
        <f t="shared" si="3114"/>
        <v>0</v>
      </c>
      <c r="AT315" s="13">
        <f t="shared" si="3114"/>
        <v>-93546.862485963968</v>
      </c>
      <c r="AU315" s="13">
        <f t="shared" si="3114"/>
        <v>0</v>
      </c>
      <c r="AV315" s="13">
        <f t="shared" si="3114"/>
        <v>-57605.426092791728</v>
      </c>
      <c r="AW315" s="13">
        <f t="shared" si="3114"/>
        <v>0</v>
      </c>
      <c r="AX315" s="13">
        <f t="shared" si="3114"/>
        <v>0</v>
      </c>
      <c r="AY315" s="13">
        <f t="shared" si="3114"/>
        <v>0</v>
      </c>
      <c r="AZ315" s="13">
        <f t="shared" si="3114"/>
        <v>-44540.857548773085</v>
      </c>
      <c r="BA315" s="13">
        <f t="shared" si="3114"/>
        <v>0</v>
      </c>
      <c r="BB315" s="13">
        <f t="shared" si="3114"/>
        <v>-77919.225845183042</v>
      </c>
      <c r="BC315" s="13">
        <f t="shared" si="3114"/>
        <v>0</v>
      </c>
      <c r="BD315" s="13">
        <f t="shared" si="3114"/>
        <v>0</v>
      </c>
      <c r="BE315" s="13">
        <f t="shared" si="3114"/>
        <v>0</v>
      </c>
      <c r="BF315" s="13">
        <f t="shared" si="3114"/>
        <v>-59551.608431821318</v>
      </c>
      <c r="BG315" s="13">
        <f t="shared" si="3114"/>
        <v>0</v>
      </c>
      <c r="BH315" s="13">
        <f t="shared" si="3114"/>
        <v>0</v>
      </c>
      <c r="BI315" s="13">
        <f t="shared" si="3114"/>
        <v>0</v>
      </c>
      <c r="BJ315" s="13">
        <f t="shared" si="3114"/>
        <v>0</v>
      </c>
      <c r="BK315" s="13">
        <f t="shared" si="3114"/>
        <v>0</v>
      </c>
      <c r="BL315" s="13">
        <f t="shared" si="3114"/>
        <v>0</v>
      </c>
      <c r="BM315" s="13">
        <f t="shared" si="3114"/>
        <v>0</v>
      </c>
      <c r="BN315" s="13">
        <f t="shared" si="3114"/>
        <v>-37065.333674590991</v>
      </c>
      <c r="BO315" s="13">
        <f t="shared" si="3114"/>
        <v>0</v>
      </c>
      <c r="BP315" s="13">
        <f t="shared" si="3114"/>
        <v>0</v>
      </c>
      <c r="BQ315" s="13">
        <f t="shared" si="3114"/>
        <v>0</v>
      </c>
      <c r="BR315" s="13">
        <f t="shared" si="3114"/>
        <v>0</v>
      </c>
      <c r="BS315" s="13">
        <f t="shared" ref="BS315:BY315" si="3115">+BS54+BS93+BS132+BS171+BS210+BS257+BS294</f>
        <v>0</v>
      </c>
      <c r="BT315" s="13">
        <f t="shared" si="3115"/>
        <v>-50034.387009451129</v>
      </c>
      <c r="BU315" s="13">
        <f t="shared" si="3115"/>
        <v>0</v>
      </c>
      <c r="BV315" s="13">
        <f t="shared" si="3115"/>
        <v>0</v>
      </c>
      <c r="BW315" s="13">
        <f t="shared" si="3115"/>
        <v>0</v>
      </c>
      <c r="BX315" s="13">
        <f t="shared" si="3115"/>
        <v>0</v>
      </c>
      <c r="BY315" s="13">
        <f t="shared" si="3115"/>
        <v>0</v>
      </c>
    </row>
    <row r="316" spans="2:77" customFormat="1" outlineLevel="1" x14ac:dyDescent="0.25">
      <c r="B316" s="1"/>
      <c r="C316" s="196" t="s">
        <v>180</v>
      </c>
      <c r="D316" s="197" t="s">
        <v>101</v>
      </c>
      <c r="E316" s="123"/>
      <c r="F316" s="198">
        <f>SUM(F313:F315)</f>
        <v>0</v>
      </c>
      <c r="G316" s="198">
        <f t="shared" ref="G316:BR316" si="3116">SUM(G313:G315)</f>
        <v>0</v>
      </c>
      <c r="H316" s="198">
        <f t="shared" si="3116"/>
        <v>0</v>
      </c>
      <c r="I316" s="198">
        <f t="shared" si="3116"/>
        <v>0</v>
      </c>
      <c r="J316" s="198">
        <f t="shared" si="3116"/>
        <v>0</v>
      </c>
      <c r="K316" s="198">
        <f t="shared" si="3116"/>
        <v>0</v>
      </c>
      <c r="L316" s="198">
        <f t="shared" si="3116"/>
        <v>0</v>
      </c>
      <c r="M316" s="198">
        <f t="shared" si="3116"/>
        <v>0</v>
      </c>
      <c r="N316" s="198">
        <f t="shared" si="3116"/>
        <v>0</v>
      </c>
      <c r="O316" s="198">
        <f t="shared" si="3116"/>
        <v>0</v>
      </c>
      <c r="P316" s="198">
        <f t="shared" si="3116"/>
        <v>0</v>
      </c>
      <c r="Q316" s="198">
        <f t="shared" si="3116"/>
        <v>0</v>
      </c>
      <c r="R316" s="198">
        <f t="shared" si="3116"/>
        <v>0</v>
      </c>
      <c r="S316" s="198">
        <f t="shared" si="3116"/>
        <v>0</v>
      </c>
      <c r="T316" s="198">
        <f t="shared" si="3116"/>
        <v>0</v>
      </c>
      <c r="U316" s="198">
        <f t="shared" si="3116"/>
        <v>0</v>
      </c>
      <c r="V316" s="198">
        <f t="shared" si="3116"/>
        <v>0</v>
      </c>
      <c r="W316" s="198">
        <f t="shared" si="3116"/>
        <v>0</v>
      </c>
      <c r="X316" s="198">
        <f t="shared" si="3116"/>
        <v>-280380.72987464111</v>
      </c>
      <c r="Y316" s="198">
        <f t="shared" si="3116"/>
        <v>-123000</v>
      </c>
      <c r="Z316" s="198">
        <f t="shared" si="3116"/>
        <v>-246000</v>
      </c>
      <c r="AA316" s="198">
        <f t="shared" si="3116"/>
        <v>-215250.00000000003</v>
      </c>
      <c r="AB316" s="198">
        <f t="shared" si="3116"/>
        <v>-246000</v>
      </c>
      <c r="AC316" s="198">
        <f t="shared" si="3116"/>
        <v>-246000</v>
      </c>
      <c r="AD316" s="198">
        <f t="shared" si="3116"/>
        <v>-233841.83512898564</v>
      </c>
      <c r="AE316" s="198">
        <f t="shared" si="3116"/>
        <v>-61500</v>
      </c>
      <c r="AF316" s="198">
        <f t="shared" si="3116"/>
        <v>-153750</v>
      </c>
      <c r="AG316" s="198">
        <f t="shared" si="3116"/>
        <v>-153750</v>
      </c>
      <c r="AH316" s="198">
        <f t="shared" si="3116"/>
        <v>-153750</v>
      </c>
      <c r="AI316" s="198">
        <f t="shared" si="3116"/>
        <v>-30750</v>
      </c>
      <c r="AJ316" s="198">
        <f t="shared" si="3116"/>
        <v>-414980.5112824025</v>
      </c>
      <c r="AK316" s="198">
        <f t="shared" si="3116"/>
        <v>-92250</v>
      </c>
      <c r="AL316" s="198">
        <f t="shared" si="3116"/>
        <v>-92250</v>
      </c>
      <c r="AM316" s="198">
        <f t="shared" si="3116"/>
        <v>-92250</v>
      </c>
      <c r="AN316" s="198">
        <f t="shared" si="3116"/>
        <v>-279539.29912538856</v>
      </c>
      <c r="AO316" s="198">
        <f t="shared" si="3116"/>
        <v>-30750</v>
      </c>
      <c r="AP316" s="198">
        <f t="shared" si="3116"/>
        <v>-153750</v>
      </c>
      <c r="AQ316" s="198">
        <f t="shared" si="3116"/>
        <v>-123000</v>
      </c>
      <c r="AR316" s="198">
        <f t="shared" si="3116"/>
        <v>-30750</v>
      </c>
      <c r="AS316" s="198">
        <f t="shared" si="3116"/>
        <v>-123000</v>
      </c>
      <c r="AT316" s="198">
        <f t="shared" si="3116"/>
        <v>-381091.0763579855</v>
      </c>
      <c r="AU316" s="198">
        <f t="shared" si="3116"/>
        <v>-15375</v>
      </c>
      <c r="AV316" s="198">
        <f t="shared" si="3116"/>
        <v>-233992.21299563179</v>
      </c>
      <c r="AW316" s="198">
        <f t="shared" si="3116"/>
        <v>-92250</v>
      </c>
      <c r="AX316" s="198">
        <f t="shared" si="3116"/>
        <v>-92250</v>
      </c>
      <c r="AY316" s="198">
        <f t="shared" si="3116"/>
        <v>-61500</v>
      </c>
      <c r="AZ316" s="198">
        <f t="shared" si="3116"/>
        <v>-185241.83033159733</v>
      </c>
      <c r="BA316" s="198">
        <f t="shared" si="3116"/>
        <v>-30750</v>
      </c>
      <c r="BB316" s="198">
        <f t="shared" si="3116"/>
        <v>-298457.81380751205</v>
      </c>
      <c r="BC316" s="198">
        <f t="shared" si="3116"/>
        <v>0</v>
      </c>
      <c r="BD316" s="198">
        <f t="shared" si="3116"/>
        <v>0</v>
      </c>
      <c r="BE316" s="198">
        <f t="shared" si="3116"/>
        <v>0</v>
      </c>
      <c r="BF316" s="198">
        <f t="shared" si="3116"/>
        <v>-225778.46812821209</v>
      </c>
      <c r="BG316" s="198">
        <f t="shared" si="3116"/>
        <v>0</v>
      </c>
      <c r="BH316" s="198">
        <f t="shared" si="3116"/>
        <v>0</v>
      </c>
      <c r="BI316" s="198">
        <f t="shared" si="3116"/>
        <v>0</v>
      </c>
      <c r="BJ316" s="198">
        <f t="shared" si="3116"/>
        <v>0</v>
      </c>
      <c r="BK316" s="198">
        <f t="shared" si="3116"/>
        <v>0</v>
      </c>
      <c r="BL316" s="198">
        <f t="shared" si="3116"/>
        <v>0</v>
      </c>
      <c r="BM316" s="198">
        <f t="shared" si="3116"/>
        <v>0</v>
      </c>
      <c r="BN316" s="198">
        <f t="shared" si="3116"/>
        <v>-130334.77816699255</v>
      </c>
      <c r="BO316" s="198">
        <f t="shared" si="3116"/>
        <v>0</v>
      </c>
      <c r="BP316" s="198">
        <f t="shared" si="3116"/>
        <v>0</v>
      </c>
      <c r="BQ316" s="198">
        <f t="shared" si="3116"/>
        <v>0</v>
      </c>
      <c r="BR316" s="198">
        <f t="shared" si="3116"/>
        <v>0</v>
      </c>
      <c r="BS316" s="198">
        <f t="shared" ref="BS316:BY316" si="3117">SUM(BS313:BS315)</f>
        <v>0</v>
      </c>
      <c r="BT316" s="198">
        <f t="shared" si="3117"/>
        <v>-190983.92943114531</v>
      </c>
      <c r="BU316" s="198">
        <f t="shared" si="3117"/>
        <v>0</v>
      </c>
      <c r="BV316" s="198">
        <f t="shared" si="3117"/>
        <v>0</v>
      </c>
      <c r="BW316" s="198">
        <f t="shared" si="3117"/>
        <v>0</v>
      </c>
      <c r="BX316" s="198">
        <f t="shared" si="3117"/>
        <v>0</v>
      </c>
      <c r="BY316" s="198">
        <f t="shared" si="3117"/>
        <v>0</v>
      </c>
    </row>
    <row r="317" spans="2:77" customFormat="1" outlineLevel="1" x14ac:dyDescent="0.25">
      <c r="B317" s="1"/>
      <c r="C317" s="44"/>
      <c r="D317" s="37"/>
      <c r="E317" s="1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186"/>
      <c r="V317" s="93"/>
      <c r="W317" s="93"/>
      <c r="X317" s="93"/>
      <c r="Y317" s="93"/>
      <c r="Z317" s="93"/>
      <c r="AA317" s="93"/>
      <c r="AB317" s="93"/>
      <c r="AC317" s="93"/>
      <c r="AD317" s="93"/>
      <c r="AE317" s="93"/>
      <c r="AF317" s="93"/>
      <c r="AG317" s="93"/>
      <c r="AH317" s="93"/>
      <c r="AI317" s="93"/>
      <c r="AJ317" s="93"/>
      <c r="AK317" s="93"/>
      <c r="AL317" s="93"/>
      <c r="AM317" s="93"/>
      <c r="AN317" s="93"/>
      <c r="AO317" s="93"/>
      <c r="AP317" s="93"/>
      <c r="AQ317" s="93"/>
      <c r="AR317" s="93"/>
      <c r="AS317" s="93"/>
      <c r="AT317" s="93"/>
      <c r="AU317" s="93"/>
      <c r="AV317" s="93"/>
      <c r="AW317" s="93"/>
      <c r="AX317" s="93"/>
      <c r="AY317" s="93"/>
      <c r="AZ317" s="93"/>
      <c r="BA317" s="93"/>
      <c r="BB317" s="93"/>
      <c r="BC317" s="93"/>
      <c r="BD317" s="93"/>
      <c r="BE317" s="93"/>
      <c r="BF317" s="93"/>
      <c r="BG317" s="93"/>
      <c r="BH317" s="93"/>
      <c r="BI317" s="93"/>
      <c r="BJ317" s="93"/>
      <c r="BK317" s="93"/>
      <c r="BL317" s="93"/>
      <c r="BM317" s="93"/>
      <c r="BN317" s="93"/>
      <c r="BO317" s="93"/>
      <c r="BP317" s="93"/>
      <c r="BQ317" s="93"/>
      <c r="BR317" s="93"/>
      <c r="BS317" s="93"/>
      <c r="BT317" s="93"/>
      <c r="BU317" s="93"/>
      <c r="BV317" s="93"/>
      <c r="BW317" s="93"/>
      <c r="BX317" s="93"/>
      <c r="BY317" s="93"/>
    </row>
    <row r="318" spans="2:77" customFormat="1" outlineLevel="1" x14ac:dyDescent="0.25">
      <c r="B318" s="1"/>
      <c r="C318" s="44" t="s">
        <v>242</v>
      </c>
      <c r="D318" s="37" t="s">
        <v>101</v>
      </c>
      <c r="E318" s="251"/>
      <c r="F318" s="62">
        <f>MIN(Senior_Loan_Holdback-SUM($E318:E318),Holdback_Release_per_SF*Rentable_Sq_Ft/Months*F311)</f>
        <v>0</v>
      </c>
      <c r="G318" s="57">
        <f>MIN(Senior_Loan_Holdback-SUM($E318:F318),Holdback_Release_per_SF*Rentable_Sq_Ft/Months*G311)</f>
        <v>0</v>
      </c>
      <c r="H318" s="57">
        <f>MIN(Senior_Loan_Holdback-SUM($E318:G318),Holdback_Release_per_SF*Rentable_Sq_Ft/Months*H311)</f>
        <v>0</v>
      </c>
      <c r="I318" s="57">
        <f>MIN(Senior_Loan_Holdback-SUM($E318:H318),Holdback_Release_per_SF*Rentable_Sq_Ft/Months*I311)</f>
        <v>0</v>
      </c>
      <c r="J318" s="57">
        <f>MIN(Senior_Loan_Holdback-SUM($E318:I318),Holdback_Release_per_SF*Rentable_Sq_Ft/Months*J311)</f>
        <v>0</v>
      </c>
      <c r="K318" s="57">
        <f>MIN(Senior_Loan_Holdback-SUM($E318:J318),Holdback_Release_per_SF*Rentable_Sq_Ft/Months*K311)</f>
        <v>0</v>
      </c>
      <c r="L318" s="57">
        <f>MIN(Senior_Loan_Holdback-SUM($E318:K318),Holdback_Release_per_SF*Rentable_Sq_Ft/Months*L311)</f>
        <v>0</v>
      </c>
      <c r="M318" s="57">
        <f>MIN(Senior_Loan_Holdback-SUM($E318:L318),Holdback_Release_per_SF*Rentable_Sq_Ft/Months*M311)</f>
        <v>0</v>
      </c>
      <c r="N318" s="57">
        <f>MIN(Senior_Loan_Holdback-SUM($E318:M318),Holdback_Release_per_SF*Rentable_Sq_Ft/Months*N311)</f>
        <v>0</v>
      </c>
      <c r="O318" s="57">
        <f>MIN(Senior_Loan_Holdback-SUM($E318:N318),Holdback_Release_per_SF*Rentable_Sq_Ft/Months*O311)</f>
        <v>0</v>
      </c>
      <c r="P318" s="57">
        <f>MIN(Senior_Loan_Holdback-SUM($E318:O318),Holdback_Release_per_SF*Rentable_Sq_Ft/Months*P311)</f>
        <v>0</v>
      </c>
      <c r="Q318" s="57">
        <f>MIN(Senior_Loan_Holdback-SUM($E318:P318),Holdback_Release_per_SF*Rentable_Sq_Ft/Months*Q311)</f>
        <v>0</v>
      </c>
      <c r="R318" s="57">
        <f>MIN(Senior_Loan_Holdback-SUM($E318:Q318),Holdback_Release_per_SF*Rentable_Sq_Ft/Months*R311)</f>
        <v>0</v>
      </c>
      <c r="S318" s="57">
        <f>MIN(Senior_Loan_Holdback-SUM($E318:R318),Holdback_Release_per_SF*Rentable_Sq_Ft/Months*S311)</f>
        <v>0</v>
      </c>
      <c r="T318" s="57">
        <f>MIN(Senior_Loan_Holdback-SUM($E318:S318),Holdback_Release_per_SF*Rentable_Sq_Ft/Months*T311)</f>
        <v>0</v>
      </c>
      <c r="U318" s="57">
        <f>MIN(Senior_Loan_Holdback-SUM($E318:T318),Holdback_Release_per_SF*Rentable_Sq_Ft/Months*U311)</f>
        <v>0</v>
      </c>
      <c r="V318" s="57">
        <f>MIN(Senior_Loan_Holdback-SUM($E318:U318),Holdback_Release_per_SF*Rentable_Sq_Ft/Months*V311)</f>
        <v>0</v>
      </c>
      <c r="W318" s="57">
        <f>MIN(Senior_Loan_Holdback-SUM($E318:V318),Holdback_Release_per_SF*Rentable_Sq_Ft/Months*W311)</f>
        <v>0</v>
      </c>
      <c r="X318" s="57">
        <f>MIN(Senior_Loan_Holdback-SUM($E318:W318),Holdback_Release_per_SF*Rentable_Sq_Ft/Months*X311)</f>
        <v>160125</v>
      </c>
      <c r="Y318" s="57">
        <f>MIN(Senior_Loan_Holdback-SUM($E318:X318),Holdback_Release_per_SF*Rentable_Sq_Ft/Months*Y311)</f>
        <v>160125</v>
      </c>
      <c r="Z318" s="57">
        <f>MIN(Senior_Loan_Holdback-SUM($E318:Y318),Holdback_Release_per_SF*Rentable_Sq_Ft/Months*Z311)</f>
        <v>160125</v>
      </c>
      <c r="AA318" s="57">
        <f>MIN(Senior_Loan_Holdback-SUM($E318:Z318),Holdback_Release_per_SF*Rentable_Sq_Ft/Months*AA311)</f>
        <v>160125</v>
      </c>
      <c r="AB318" s="57">
        <f>MIN(Senior_Loan_Holdback-SUM($E318:AA318),Holdback_Release_per_SF*Rentable_Sq_Ft/Months*AB311)</f>
        <v>160125</v>
      </c>
      <c r="AC318" s="57">
        <f>MIN(Senior_Loan_Holdback-SUM($E318:AB318),Holdback_Release_per_SF*Rentable_Sq_Ft/Months*AC311)</f>
        <v>160125</v>
      </c>
      <c r="AD318" s="57">
        <f>MIN(Senior_Loan_Holdback-SUM($E318:AC318),Holdback_Release_per_SF*Rentable_Sq_Ft/Months*AD311)</f>
        <v>160125</v>
      </c>
      <c r="AE318" s="57">
        <f>MIN(Senior_Loan_Holdback-SUM($E318:AD318),Holdback_Release_per_SF*Rentable_Sq_Ft/Months*AE311)</f>
        <v>160125</v>
      </c>
      <c r="AF318" s="57">
        <f>MIN(Senior_Loan_Holdback-SUM($E318:AE318),Holdback_Release_per_SF*Rentable_Sq_Ft/Months*AF311)</f>
        <v>160125</v>
      </c>
      <c r="AG318" s="57">
        <f>MIN(Senior_Loan_Holdback-SUM($E318:AF318),Holdback_Release_per_SF*Rentable_Sq_Ft/Months*AG311)</f>
        <v>160125</v>
      </c>
      <c r="AH318" s="57">
        <f>MIN(Senior_Loan_Holdback-SUM($E318:AG318),Holdback_Release_per_SF*Rentable_Sq_Ft/Months*AH311)</f>
        <v>160125</v>
      </c>
      <c r="AI318" s="57">
        <f>MIN(Senior_Loan_Holdback-SUM($E318:AH318),Holdback_Release_per_SF*Rentable_Sq_Ft/Months*AI311)</f>
        <v>160125</v>
      </c>
      <c r="AJ318" s="57">
        <f>MIN(Senior_Loan_Holdback-SUM($E318:AI318),Holdback_Release_per_SF*Rentable_Sq_Ft/Months*AJ311)</f>
        <v>160125</v>
      </c>
      <c r="AK318" s="57">
        <f>MIN(Senior_Loan_Holdback-SUM($E318:AJ318),Holdback_Release_per_SF*Rentable_Sq_Ft/Months*AK311)</f>
        <v>160125</v>
      </c>
      <c r="AL318" s="57">
        <f>MIN(Senior_Loan_Holdback-SUM($E318:AK318),Holdback_Release_per_SF*Rentable_Sq_Ft/Months*AL311)</f>
        <v>160125</v>
      </c>
      <c r="AM318" s="57">
        <f>MIN(Senior_Loan_Holdback-SUM($E318:AL318),Holdback_Release_per_SF*Rentable_Sq_Ft/Months*AM311)</f>
        <v>160125</v>
      </c>
      <c r="AN318" s="57">
        <f>MIN(Senior_Loan_Holdback-SUM($E318:AM318),Holdback_Release_per_SF*Rentable_Sq_Ft/Months*AN311)</f>
        <v>160125</v>
      </c>
      <c r="AO318" s="57">
        <f>MIN(Senior_Loan_Holdback-SUM($E318:AN318),Holdback_Release_per_SF*Rentable_Sq_Ft/Months*AO311)</f>
        <v>160125</v>
      </c>
      <c r="AP318" s="57">
        <f>MIN(Senior_Loan_Holdback-SUM($E318:AO318),Holdback_Release_per_SF*Rentable_Sq_Ft/Months*AP311)</f>
        <v>160125</v>
      </c>
      <c r="AQ318" s="57">
        <f>MIN(Senior_Loan_Holdback-SUM($E318:AP318),Holdback_Release_per_SF*Rentable_Sq_Ft/Months*AQ311)</f>
        <v>160125</v>
      </c>
      <c r="AR318" s="57">
        <f>MIN(Senior_Loan_Holdback-SUM($E318:AQ318),Holdback_Release_per_SF*Rentable_Sq_Ft/Months*AR311)</f>
        <v>77500</v>
      </c>
      <c r="AS318" s="57">
        <f>MIN(Senior_Loan_Holdback-SUM($E318:AR318),Holdback_Release_per_SF*Rentable_Sq_Ft/Months*AS311)</f>
        <v>0</v>
      </c>
      <c r="AT318" s="57">
        <f>MIN(Senior_Loan_Holdback-SUM($E318:AS318),Holdback_Release_per_SF*Rentable_Sq_Ft/Months*AT311)</f>
        <v>0</v>
      </c>
      <c r="AU318" s="57">
        <f>MIN(Senior_Loan_Holdback-SUM($E318:AT318),Holdback_Release_per_SF*Rentable_Sq_Ft/Months*AU311)</f>
        <v>0</v>
      </c>
      <c r="AV318" s="57">
        <f>MIN(Senior_Loan_Holdback-SUM($E318:AU318),Holdback_Release_per_SF*Rentable_Sq_Ft/Months*AV311)</f>
        <v>0</v>
      </c>
      <c r="AW318" s="57">
        <f>MIN(Senior_Loan_Holdback-SUM($E318:AV318),Holdback_Release_per_SF*Rentable_Sq_Ft/Months*AW311)</f>
        <v>0</v>
      </c>
      <c r="AX318" s="57">
        <f>MIN(Senior_Loan_Holdback-SUM($E318:AW318),Holdback_Release_per_SF*Rentable_Sq_Ft/Months*AX311)</f>
        <v>0</v>
      </c>
      <c r="AY318" s="57">
        <f>MIN(Senior_Loan_Holdback-SUM($E318:AX318),Holdback_Release_per_SF*Rentable_Sq_Ft/Months*AY311)</f>
        <v>0</v>
      </c>
      <c r="AZ318" s="57">
        <f>MIN(Senior_Loan_Holdback-SUM($E318:AY318),Holdback_Release_per_SF*Rentable_Sq_Ft/Months*AZ311)</f>
        <v>0</v>
      </c>
      <c r="BA318" s="57">
        <f>MIN(Senior_Loan_Holdback-SUM($E318:AZ318),Holdback_Release_per_SF*Rentable_Sq_Ft/Months*BA311)</f>
        <v>0</v>
      </c>
      <c r="BB318" s="57">
        <f>MIN(Senior_Loan_Holdback-SUM($E318:BA318),Holdback_Release_per_SF*Rentable_Sq_Ft/Months*BB311)</f>
        <v>0</v>
      </c>
      <c r="BC318" s="57">
        <f>MIN(Senior_Loan_Holdback-SUM($E318:BB318),Holdback_Release_per_SF*Rentable_Sq_Ft/Months*BC311)</f>
        <v>0</v>
      </c>
      <c r="BD318" s="57">
        <f>MIN(Senior_Loan_Holdback-SUM($E318:BC318),Holdback_Release_per_SF*Rentable_Sq_Ft/Months*BD311)</f>
        <v>0</v>
      </c>
      <c r="BE318" s="57">
        <f>MIN(Senior_Loan_Holdback-SUM($E318:BD318),Holdback_Release_per_SF*Rentable_Sq_Ft/Months*BE311)</f>
        <v>0</v>
      </c>
      <c r="BF318" s="57">
        <f>MIN(Senior_Loan_Holdback-SUM($E318:BE318),Holdback_Release_per_SF*Rentable_Sq_Ft/Months*BF311)</f>
        <v>0</v>
      </c>
      <c r="BG318" s="57">
        <f>MIN(Senior_Loan_Holdback-SUM($E318:BF318),Holdback_Release_per_SF*Rentable_Sq_Ft/Months*BG311)</f>
        <v>0</v>
      </c>
      <c r="BH318" s="57">
        <f>MIN(Senior_Loan_Holdback-SUM($E318:BG318),Holdback_Release_per_SF*Rentable_Sq_Ft/Months*BH311)</f>
        <v>0</v>
      </c>
      <c r="BI318" s="57">
        <f>MIN(Senior_Loan_Holdback-SUM($E318:BH318),Holdback_Release_per_SF*Rentable_Sq_Ft/Months*BI311)</f>
        <v>0</v>
      </c>
      <c r="BJ318" s="57">
        <f>MIN(Senior_Loan_Holdback-SUM($E318:BI318),Holdback_Release_per_SF*Rentable_Sq_Ft/Months*BJ311)</f>
        <v>0</v>
      </c>
      <c r="BK318" s="57">
        <f>MIN(Senior_Loan_Holdback-SUM($E318:BJ318),Holdback_Release_per_SF*Rentable_Sq_Ft/Months*BK311)</f>
        <v>0</v>
      </c>
      <c r="BL318" s="57">
        <f>MIN(Senior_Loan_Holdback-SUM($E318:BK318),Holdback_Release_per_SF*Rentable_Sq_Ft/Months*BL311)</f>
        <v>0</v>
      </c>
      <c r="BM318" s="57">
        <f>MIN(Senior_Loan_Holdback-SUM($E318:BL318),Holdback_Release_per_SF*Rentable_Sq_Ft/Months*BM311)</f>
        <v>0</v>
      </c>
      <c r="BN318" s="57">
        <f>MIN(Senior_Loan_Holdback-SUM($E318:BM318),Holdback_Release_per_SF*Rentable_Sq_Ft/Months*BN311)</f>
        <v>0</v>
      </c>
      <c r="BO318" s="57">
        <f>MIN(Senior_Loan_Holdback-SUM($E318:BN318),Holdback_Release_per_SF*Rentable_Sq_Ft/Months*BO311)</f>
        <v>0</v>
      </c>
      <c r="BP318" s="57">
        <f>MIN(Senior_Loan_Holdback-SUM($E318:BO318),Holdback_Release_per_SF*Rentable_Sq_Ft/Months*BP311)</f>
        <v>0</v>
      </c>
      <c r="BQ318" s="57">
        <f>MIN(Senior_Loan_Holdback-SUM($E318:BP318),Holdback_Release_per_SF*Rentable_Sq_Ft/Months*BQ311)</f>
        <v>0</v>
      </c>
      <c r="BR318" s="57">
        <f>MIN(Senior_Loan_Holdback-SUM($E318:BQ318),Holdback_Release_per_SF*Rentable_Sq_Ft/Months*BR311)</f>
        <v>0</v>
      </c>
      <c r="BS318" s="57">
        <f>MIN(Senior_Loan_Holdback-SUM($E318:BR318),Holdback_Release_per_SF*Rentable_Sq_Ft/Months*BS311)</f>
        <v>0</v>
      </c>
      <c r="BT318" s="57">
        <f>MIN(Senior_Loan_Holdback-SUM($E318:BS318),Holdback_Release_per_SF*Rentable_Sq_Ft/Months*BT311)</f>
        <v>0</v>
      </c>
      <c r="BU318" s="57">
        <f>MIN(Senior_Loan_Holdback-SUM($E318:BT318),Holdback_Release_per_SF*Rentable_Sq_Ft/Months*BU311)</f>
        <v>0</v>
      </c>
      <c r="BV318" s="57">
        <f>MIN(Senior_Loan_Holdback-SUM($E318:BU318),Holdback_Release_per_SF*Rentable_Sq_Ft/Months*BV311)</f>
        <v>0</v>
      </c>
      <c r="BW318" s="57">
        <f>MIN(Senior_Loan_Holdback-SUM($E318:BV318),Holdback_Release_per_SF*Rentable_Sq_Ft/Months*BW311)</f>
        <v>0</v>
      </c>
      <c r="BX318" s="57">
        <f>MIN(Senior_Loan_Holdback-SUM($E318:BW318),Holdback_Release_per_SF*Rentable_Sq_Ft/Months*BX311)</f>
        <v>0</v>
      </c>
      <c r="BY318" s="57">
        <f>MIN(Senior_Loan_Holdback-SUM($E318:BX318),Holdback_Release_per_SF*Rentable_Sq_Ft/Months*BY311)</f>
        <v>0</v>
      </c>
    </row>
    <row r="319" spans="2:77" customFormat="1" outlineLevel="1" x14ac:dyDescent="0.25">
      <c r="B319" s="1"/>
      <c r="C319" s="44"/>
      <c r="D319" s="37"/>
      <c r="E319" s="1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186"/>
      <c r="V319" s="93"/>
      <c r="W319" s="93"/>
      <c r="X319" s="93"/>
      <c r="Y319" s="93"/>
      <c r="Z319" s="93"/>
      <c r="AA319" s="93"/>
      <c r="AB319" s="93"/>
      <c r="AC319" s="93"/>
      <c r="AD319" s="93"/>
      <c r="AE319" s="93"/>
      <c r="AF319" s="93"/>
      <c r="AG319" s="93"/>
      <c r="AH319" s="93"/>
      <c r="AI319" s="93"/>
      <c r="AJ319" s="93"/>
      <c r="AK319" s="93"/>
      <c r="AL319" s="93"/>
      <c r="AM319" s="93"/>
      <c r="AN319" s="93"/>
      <c r="AO319" s="93"/>
      <c r="AP319" s="93"/>
      <c r="AQ319" s="93"/>
      <c r="AR319" s="93"/>
      <c r="AS319" s="93"/>
      <c r="AT319" s="93"/>
      <c r="AU319" s="93"/>
      <c r="AV319" s="93"/>
      <c r="AW319" s="93"/>
      <c r="AX319" s="93"/>
      <c r="AY319" s="93"/>
      <c r="AZ319" s="93"/>
      <c r="BA319" s="93"/>
      <c r="BB319" s="93"/>
      <c r="BC319" s="93"/>
      <c r="BD319" s="93"/>
      <c r="BE319" s="93"/>
      <c r="BF319" s="93"/>
      <c r="BG319" s="93"/>
      <c r="BH319" s="93"/>
      <c r="BI319" s="93"/>
      <c r="BJ319" s="93"/>
      <c r="BK319" s="93"/>
      <c r="BL319" s="93"/>
      <c r="BM319" s="93"/>
      <c r="BN319" s="93"/>
      <c r="BO319" s="93"/>
      <c r="BP319" s="93"/>
      <c r="BQ319" s="93"/>
      <c r="BR319" s="93"/>
      <c r="BS319" s="93"/>
      <c r="BT319" s="93"/>
      <c r="BU319" s="93"/>
      <c r="BV319" s="93"/>
      <c r="BW319" s="93"/>
      <c r="BX319" s="93"/>
      <c r="BY319" s="93"/>
    </row>
    <row r="320" spans="2:77" customFormat="1" outlineLevel="1" x14ac:dyDescent="0.25">
      <c r="B320" s="1"/>
      <c r="C320" s="58" t="s">
        <v>86</v>
      </c>
      <c r="D320" s="37" t="s">
        <v>101</v>
      </c>
      <c r="E320" s="21">
        <v>0</v>
      </c>
      <c r="F320" s="62">
        <f>+E320-F342-F351+F318</f>
        <v>13769.932078510679</v>
      </c>
      <c r="G320" s="57">
        <f t="shared" ref="G320:BR320" si="3118">+F320-G342-G351+G318</f>
        <v>27584.943331464958</v>
      </c>
      <c r="H320" s="57">
        <f t="shared" si="3118"/>
        <v>41445.18133634956</v>
      </c>
      <c r="I320" s="57">
        <f t="shared" si="3118"/>
        <v>55350.794153781491</v>
      </c>
      <c r="J320" s="57">
        <f t="shared" si="3118"/>
        <v>69301.930329089708</v>
      </c>
      <c r="K320" s="57">
        <f t="shared" si="3118"/>
        <v>83298.7388939019</v>
      </c>
      <c r="L320" s="57">
        <f t="shared" si="3118"/>
        <v>97341.369367736552</v>
      </c>
      <c r="M320" s="57">
        <f t="shared" si="3118"/>
        <v>111429.97175960011</v>
      </c>
      <c r="N320" s="57">
        <f t="shared" si="3118"/>
        <v>125564.69656958949</v>
      </c>
      <c r="O320" s="57">
        <f t="shared" si="3118"/>
        <v>139745.69479049978</v>
      </c>
      <c r="P320" s="57">
        <f t="shared" si="3118"/>
        <v>153973.11790943713</v>
      </c>
      <c r="Q320" s="57">
        <f t="shared" si="3118"/>
        <v>168247.11790943713</v>
      </c>
      <c r="R320" s="57">
        <f t="shared" si="3118"/>
        <v>182556.321444167</v>
      </c>
      <c r="S320" s="57">
        <f t="shared" si="3118"/>
        <v>196900.8153350403</v>
      </c>
      <c r="T320" s="57">
        <f t="shared" si="3118"/>
        <v>211280.68661759567</v>
      </c>
      <c r="U320" s="57">
        <f t="shared" si="3118"/>
        <v>225696.02254202482</v>
      </c>
      <c r="V320" s="57">
        <f t="shared" si="3118"/>
        <v>240146.91057370199</v>
      </c>
      <c r="W320" s="57">
        <f t="shared" si="3118"/>
        <v>254633.43839371463</v>
      </c>
      <c r="X320" s="57">
        <f t="shared" si="3118"/>
        <v>148899.9640247543</v>
      </c>
      <c r="Y320" s="57">
        <f t="shared" si="3118"/>
        <v>200583.03533021442</v>
      </c>
      <c r="Z320" s="57">
        <f t="shared" si="3118"/>
        <v>129302.01076687823</v>
      </c>
      <c r="AA320" s="57">
        <f t="shared" si="3118"/>
        <v>88806.97888401919</v>
      </c>
      <c r="AB320" s="57">
        <f t="shared" si="3118"/>
        <v>17598.028449297242</v>
      </c>
      <c r="AC320" s="57">
        <f t="shared" si="3118"/>
        <v>0</v>
      </c>
      <c r="AD320" s="57">
        <f t="shared" si="3118"/>
        <v>0</v>
      </c>
      <c r="AE320" s="57">
        <f t="shared" si="3118"/>
        <v>113375.82392684871</v>
      </c>
      <c r="AF320" s="57">
        <f t="shared" si="3118"/>
        <v>134526.01003868293</v>
      </c>
      <c r="AG320" s="57">
        <f t="shared" si="3118"/>
        <v>155700.59857163182</v>
      </c>
      <c r="AH320" s="57">
        <f t="shared" si="3118"/>
        <v>176899.62982827786</v>
      </c>
      <c r="AI320" s="57">
        <f t="shared" si="3118"/>
        <v>321123.14417776646</v>
      </c>
      <c r="AJ320" s="57">
        <f t="shared" si="3118"/>
        <v>81140.670773513441</v>
      </c>
      <c r="AK320" s="57">
        <f t="shared" si="3118"/>
        <v>163913.27268292525</v>
      </c>
      <c r="AL320" s="57">
        <f t="shared" si="3118"/>
        <v>246710.4791930941</v>
      </c>
      <c r="AM320" s="57">
        <f t="shared" si="3118"/>
        <v>329532.33094051853</v>
      </c>
      <c r="AN320" s="57">
        <f t="shared" si="3118"/>
        <v>225089.569503423</v>
      </c>
      <c r="AO320" s="57">
        <f t="shared" si="3118"/>
        <v>369460.83390342304</v>
      </c>
      <c r="AP320" s="57">
        <f t="shared" si="3118"/>
        <v>390856.86585330474</v>
      </c>
      <c r="AQ320" s="57">
        <f t="shared" si="3118"/>
        <v>443027.70625869045</v>
      </c>
      <c r="AR320" s="57">
        <f t="shared" si="3118"/>
        <v>504848.39609276137</v>
      </c>
      <c r="AS320" s="57">
        <f t="shared" si="3118"/>
        <v>396943.97639636928</v>
      </c>
      <c r="AT320" s="57">
        <f t="shared" si="3118"/>
        <v>30973.411920162733</v>
      </c>
      <c r="AU320" s="57">
        <f t="shared" si="3118"/>
        <v>30743.896556641113</v>
      </c>
      <c r="AV320" s="57">
        <f t="shared" si="3118"/>
        <v>0</v>
      </c>
      <c r="AW320" s="57">
        <f t="shared" si="3118"/>
        <v>0</v>
      </c>
      <c r="AX320" s="57">
        <f t="shared" si="3118"/>
        <v>0</v>
      </c>
      <c r="AY320" s="57">
        <f t="shared" si="3118"/>
        <v>0</v>
      </c>
      <c r="AZ320" s="57">
        <f t="shared" si="3118"/>
        <v>0</v>
      </c>
      <c r="BA320" s="57">
        <f t="shared" si="3118"/>
        <v>0</v>
      </c>
      <c r="BB320" s="57">
        <f t="shared" si="3118"/>
        <v>0</v>
      </c>
      <c r="BC320" s="57">
        <f t="shared" si="3118"/>
        <v>15334.193327103281</v>
      </c>
      <c r="BD320" s="57">
        <f t="shared" si="3118"/>
        <v>30687.423866863821</v>
      </c>
      <c r="BE320" s="57">
        <f t="shared" si="3118"/>
        <v>46059.715253747287</v>
      </c>
      <c r="BF320" s="57">
        <f t="shared" si="3118"/>
        <v>0</v>
      </c>
      <c r="BG320" s="57">
        <f t="shared" si="3118"/>
        <v>15410.484101930348</v>
      </c>
      <c r="BH320" s="57">
        <f t="shared" si="3118"/>
        <v>30840.100130577779</v>
      </c>
      <c r="BI320" s="57">
        <f t="shared" si="3118"/>
        <v>46288.871837994302</v>
      </c>
      <c r="BJ320" s="57">
        <f t="shared" si="3118"/>
        <v>61756.823005719816</v>
      </c>
      <c r="BK320" s="57">
        <f t="shared" si="3118"/>
        <v>77243.977444818694</v>
      </c>
      <c r="BL320" s="57">
        <f t="shared" si="3118"/>
        <v>92750.358995916467</v>
      </c>
      <c r="BM320" s="57">
        <f t="shared" si="3118"/>
        <v>108275.9915292365</v>
      </c>
      <c r="BN320" s="57">
        <f t="shared" si="3118"/>
        <v>0</v>
      </c>
      <c r="BO320" s="57">
        <f t="shared" si="3118"/>
        <v>15564.206227009819</v>
      </c>
      <c r="BP320" s="57">
        <f t="shared" si="3118"/>
        <v>31147.735224866752</v>
      </c>
      <c r="BQ320" s="57">
        <f t="shared" si="3118"/>
        <v>46750.610982553459</v>
      </c>
      <c r="BR320" s="57">
        <f t="shared" si="3118"/>
        <v>62372.857518834615</v>
      </c>
      <c r="BS320" s="57">
        <f t="shared" ref="BS320:BY320" si="3119">+BR320-BS342-BS351+BS318</f>
        <v>78014.498882293905</v>
      </c>
      <c r="BT320" s="57">
        <f t="shared" si="3119"/>
        <v>0</v>
      </c>
      <c r="BU320" s="57">
        <f t="shared" si="3119"/>
        <v>15680.503283027761</v>
      </c>
      <c r="BV320" s="57">
        <f t="shared" si="3119"/>
        <v>31380.473718269142</v>
      </c>
      <c r="BW320" s="57">
        <f t="shared" si="3119"/>
        <v>47099.935473954494</v>
      </c>
      <c r="BX320" s="57">
        <f t="shared" si="3119"/>
        <v>62838.912748318719</v>
      </c>
      <c r="BY320" s="57">
        <f t="shared" si="3119"/>
        <v>78597.429769638547</v>
      </c>
    </row>
    <row r="322" spans="2:77" x14ac:dyDescent="0.25">
      <c r="B322" s="34" t="s">
        <v>34</v>
      </c>
      <c r="C322" s="34"/>
      <c r="D322" s="59" t="str">
        <f>+Annual!$D$5</f>
        <v>Units:</v>
      </c>
      <c r="E322" s="59"/>
      <c r="F322" s="94">
        <f>EOMONTH(Acq_Date,-Months+1)</f>
        <v>43131</v>
      </c>
      <c r="G322" s="94">
        <f>EOMONTH(F322,1)</f>
        <v>43159</v>
      </c>
      <c r="H322" s="94">
        <f t="shared" ref="H322" si="3120">EOMONTH(G322,1)</f>
        <v>43190</v>
      </c>
      <c r="I322" s="94">
        <f t="shared" ref="I322" si="3121">EOMONTH(H322,1)</f>
        <v>43220</v>
      </c>
      <c r="J322" s="94">
        <f t="shared" ref="J322" si="3122">EOMONTH(I322,1)</f>
        <v>43251</v>
      </c>
      <c r="K322" s="94">
        <f t="shared" ref="K322" si="3123">EOMONTH(J322,1)</f>
        <v>43281</v>
      </c>
      <c r="L322" s="94">
        <f t="shared" ref="L322" si="3124">EOMONTH(K322,1)</f>
        <v>43312</v>
      </c>
      <c r="M322" s="94">
        <f t="shared" ref="M322" si="3125">EOMONTH(L322,1)</f>
        <v>43343</v>
      </c>
      <c r="N322" s="94">
        <f t="shared" ref="N322" si="3126">EOMONTH(M322,1)</f>
        <v>43373</v>
      </c>
      <c r="O322" s="94">
        <f t="shared" ref="O322" si="3127">EOMONTH(N322,1)</f>
        <v>43404</v>
      </c>
      <c r="P322" s="94">
        <f t="shared" ref="P322" si="3128">EOMONTH(O322,1)</f>
        <v>43434</v>
      </c>
      <c r="Q322" s="94">
        <f t="shared" ref="Q322" si="3129">EOMONTH(P322,1)</f>
        <v>43465</v>
      </c>
      <c r="R322" s="94">
        <f t="shared" ref="R322" si="3130">EOMONTH(Q322,1)</f>
        <v>43496</v>
      </c>
      <c r="S322" s="94">
        <f t="shared" ref="S322" si="3131">EOMONTH(R322,1)</f>
        <v>43524</v>
      </c>
      <c r="T322" s="94">
        <f t="shared" ref="T322" si="3132">EOMONTH(S322,1)</f>
        <v>43555</v>
      </c>
      <c r="U322" s="94">
        <f t="shared" ref="U322" si="3133">EOMONTH(T322,1)</f>
        <v>43585</v>
      </c>
      <c r="V322" s="94">
        <f t="shared" ref="V322" si="3134">EOMONTH(U322,1)</f>
        <v>43616</v>
      </c>
      <c r="W322" s="94">
        <f t="shared" ref="W322" si="3135">EOMONTH(V322,1)</f>
        <v>43646</v>
      </c>
      <c r="X322" s="94">
        <f t="shared" ref="X322" si="3136">EOMONTH(W322,1)</f>
        <v>43677</v>
      </c>
      <c r="Y322" s="94">
        <f t="shared" ref="Y322" si="3137">EOMONTH(X322,1)</f>
        <v>43708</v>
      </c>
      <c r="Z322" s="94">
        <f t="shared" ref="Z322" si="3138">EOMONTH(Y322,1)</f>
        <v>43738</v>
      </c>
      <c r="AA322" s="94">
        <f t="shared" ref="AA322" si="3139">EOMONTH(Z322,1)</f>
        <v>43769</v>
      </c>
      <c r="AB322" s="94">
        <f t="shared" ref="AB322" si="3140">EOMONTH(AA322,1)</f>
        <v>43799</v>
      </c>
      <c r="AC322" s="94">
        <f t="shared" ref="AC322" si="3141">EOMONTH(AB322,1)</f>
        <v>43830</v>
      </c>
      <c r="AD322" s="94">
        <f t="shared" ref="AD322" si="3142">EOMONTH(AC322,1)</f>
        <v>43861</v>
      </c>
      <c r="AE322" s="94">
        <f t="shared" ref="AE322" si="3143">EOMONTH(AD322,1)</f>
        <v>43890</v>
      </c>
      <c r="AF322" s="94">
        <f t="shared" ref="AF322" si="3144">EOMONTH(AE322,1)</f>
        <v>43921</v>
      </c>
      <c r="AG322" s="94">
        <f t="shared" ref="AG322" si="3145">EOMONTH(AF322,1)</f>
        <v>43951</v>
      </c>
      <c r="AH322" s="94">
        <f t="shared" ref="AH322" si="3146">EOMONTH(AG322,1)</f>
        <v>43982</v>
      </c>
      <c r="AI322" s="94">
        <f t="shared" ref="AI322" si="3147">EOMONTH(AH322,1)</f>
        <v>44012</v>
      </c>
      <c r="AJ322" s="94">
        <f t="shared" ref="AJ322" si="3148">EOMONTH(AI322,1)</f>
        <v>44043</v>
      </c>
      <c r="AK322" s="94">
        <f t="shared" ref="AK322" si="3149">EOMONTH(AJ322,1)</f>
        <v>44074</v>
      </c>
      <c r="AL322" s="94">
        <f t="shared" ref="AL322" si="3150">EOMONTH(AK322,1)</f>
        <v>44104</v>
      </c>
      <c r="AM322" s="94">
        <f t="shared" ref="AM322" si="3151">EOMONTH(AL322,1)</f>
        <v>44135</v>
      </c>
      <c r="AN322" s="94">
        <f t="shared" ref="AN322" si="3152">EOMONTH(AM322,1)</f>
        <v>44165</v>
      </c>
      <c r="AO322" s="94">
        <f t="shared" ref="AO322" si="3153">EOMONTH(AN322,1)</f>
        <v>44196</v>
      </c>
      <c r="AP322" s="94">
        <f t="shared" ref="AP322" si="3154">EOMONTH(AO322,1)</f>
        <v>44227</v>
      </c>
      <c r="AQ322" s="94">
        <f t="shared" ref="AQ322" si="3155">EOMONTH(AP322,1)</f>
        <v>44255</v>
      </c>
      <c r="AR322" s="94">
        <f t="shared" ref="AR322" si="3156">EOMONTH(AQ322,1)</f>
        <v>44286</v>
      </c>
      <c r="AS322" s="94">
        <f t="shared" ref="AS322" si="3157">EOMONTH(AR322,1)</f>
        <v>44316</v>
      </c>
      <c r="AT322" s="94">
        <f t="shared" ref="AT322" si="3158">EOMONTH(AS322,1)</f>
        <v>44347</v>
      </c>
      <c r="AU322" s="94">
        <f t="shared" ref="AU322" si="3159">EOMONTH(AT322,1)</f>
        <v>44377</v>
      </c>
      <c r="AV322" s="94">
        <f t="shared" ref="AV322" si="3160">EOMONTH(AU322,1)</f>
        <v>44408</v>
      </c>
      <c r="AW322" s="94">
        <f t="shared" ref="AW322" si="3161">EOMONTH(AV322,1)</f>
        <v>44439</v>
      </c>
      <c r="AX322" s="94">
        <f t="shared" ref="AX322" si="3162">EOMONTH(AW322,1)</f>
        <v>44469</v>
      </c>
      <c r="AY322" s="94">
        <f t="shared" ref="AY322" si="3163">EOMONTH(AX322,1)</f>
        <v>44500</v>
      </c>
      <c r="AZ322" s="94">
        <f t="shared" ref="AZ322" si="3164">EOMONTH(AY322,1)</f>
        <v>44530</v>
      </c>
      <c r="BA322" s="94">
        <f t="shared" ref="BA322" si="3165">EOMONTH(AZ322,1)</f>
        <v>44561</v>
      </c>
      <c r="BB322" s="94">
        <f t="shared" ref="BB322" si="3166">EOMONTH(BA322,1)</f>
        <v>44592</v>
      </c>
      <c r="BC322" s="94">
        <f t="shared" ref="BC322" si="3167">EOMONTH(BB322,1)</f>
        <v>44620</v>
      </c>
      <c r="BD322" s="94">
        <f t="shared" ref="BD322" si="3168">EOMONTH(BC322,1)</f>
        <v>44651</v>
      </c>
      <c r="BE322" s="94">
        <f t="shared" ref="BE322" si="3169">EOMONTH(BD322,1)</f>
        <v>44681</v>
      </c>
      <c r="BF322" s="94">
        <f t="shared" ref="BF322" si="3170">EOMONTH(BE322,1)</f>
        <v>44712</v>
      </c>
      <c r="BG322" s="94">
        <f t="shared" ref="BG322" si="3171">EOMONTH(BF322,1)</f>
        <v>44742</v>
      </c>
      <c r="BH322" s="94">
        <f t="shared" ref="BH322" si="3172">EOMONTH(BG322,1)</f>
        <v>44773</v>
      </c>
      <c r="BI322" s="94">
        <f t="shared" ref="BI322" si="3173">EOMONTH(BH322,1)</f>
        <v>44804</v>
      </c>
      <c r="BJ322" s="94">
        <f t="shared" ref="BJ322" si="3174">EOMONTH(BI322,1)</f>
        <v>44834</v>
      </c>
      <c r="BK322" s="94">
        <f t="shared" ref="BK322" si="3175">EOMONTH(BJ322,1)</f>
        <v>44865</v>
      </c>
      <c r="BL322" s="94">
        <f t="shared" ref="BL322" si="3176">EOMONTH(BK322,1)</f>
        <v>44895</v>
      </c>
      <c r="BM322" s="94">
        <f t="shared" ref="BM322" si="3177">EOMONTH(BL322,1)</f>
        <v>44926</v>
      </c>
      <c r="BN322" s="94">
        <f t="shared" ref="BN322" si="3178">EOMONTH(BM322,1)</f>
        <v>44957</v>
      </c>
      <c r="BO322" s="94">
        <f t="shared" ref="BO322" si="3179">EOMONTH(BN322,1)</f>
        <v>44985</v>
      </c>
      <c r="BP322" s="94">
        <f t="shared" ref="BP322" si="3180">EOMONTH(BO322,1)</f>
        <v>45016</v>
      </c>
      <c r="BQ322" s="94">
        <f t="shared" ref="BQ322" si="3181">EOMONTH(BP322,1)</f>
        <v>45046</v>
      </c>
      <c r="BR322" s="94">
        <f t="shared" ref="BR322" si="3182">EOMONTH(BQ322,1)</f>
        <v>45077</v>
      </c>
      <c r="BS322" s="94">
        <f t="shared" ref="BS322" si="3183">EOMONTH(BR322,1)</f>
        <v>45107</v>
      </c>
      <c r="BT322" s="94">
        <f t="shared" ref="BT322" si="3184">EOMONTH(BS322,1)</f>
        <v>45138</v>
      </c>
      <c r="BU322" s="94">
        <f t="shared" ref="BU322" si="3185">EOMONTH(BT322,1)</f>
        <v>45169</v>
      </c>
      <c r="BV322" s="94">
        <f t="shared" ref="BV322" si="3186">EOMONTH(BU322,1)</f>
        <v>45199</v>
      </c>
      <c r="BW322" s="94">
        <f t="shared" ref="BW322" si="3187">EOMONTH(BV322,1)</f>
        <v>45230</v>
      </c>
      <c r="BX322" s="94">
        <f t="shared" ref="BX322" si="3188">EOMONTH(BW322,1)</f>
        <v>45260</v>
      </c>
      <c r="BY322" s="94">
        <f t="shared" ref="BY322" si="3189">EOMONTH(BX322,1)</f>
        <v>45291</v>
      </c>
    </row>
    <row r="323" spans="2:77" outlineLevel="1" x14ac:dyDescent="0.25"/>
    <row r="324" spans="2:77" outlineLevel="1" x14ac:dyDescent="0.25">
      <c r="C324" s="78" t="s">
        <v>33</v>
      </c>
    </row>
    <row r="325" spans="2:77" outlineLevel="1" x14ac:dyDescent="0.25">
      <c r="C325" s="79" t="s">
        <v>24</v>
      </c>
      <c r="D325" s="37" t="s">
        <v>101</v>
      </c>
      <c r="E325" s="116"/>
      <c r="F325" s="156">
        <f>+F45+F84+F123+F162+F201+F248+F285</f>
        <v>227564.81766990398</v>
      </c>
      <c r="G325" s="156">
        <f t="shared" ref="G325:BR325" si="3190">+G45+G84+G123+G162+G201+G248+G285</f>
        <v>228672.50092680537</v>
      </c>
      <c r="H325" s="156">
        <f t="shared" si="3190"/>
        <v>229785.57588796999</v>
      </c>
      <c r="I325" s="156">
        <f t="shared" si="3190"/>
        <v>230904.06879779117</v>
      </c>
      <c r="J325" s="156">
        <f t="shared" si="3190"/>
        <v>232028.00602840784</v>
      </c>
      <c r="K325" s="156">
        <f t="shared" si="3190"/>
        <v>233157.41408032685</v>
      </c>
      <c r="L325" s="156">
        <f t="shared" si="3190"/>
        <v>234292.3195830475</v>
      </c>
      <c r="M325" s="156">
        <f t="shared" si="3190"/>
        <v>235432.74929568946</v>
      </c>
      <c r="N325" s="156">
        <f t="shared" si="3190"/>
        <v>236578.73010762397</v>
      </c>
      <c r="O325" s="156">
        <f t="shared" si="3190"/>
        <v>237730.28903910753</v>
      </c>
      <c r="P325" s="156">
        <f t="shared" si="3190"/>
        <v>238887.45324191899</v>
      </c>
      <c r="Q325" s="156">
        <f t="shared" si="3190"/>
        <v>240050.25000000006</v>
      </c>
      <c r="R325" s="156">
        <f t="shared" si="3190"/>
        <v>240836.11205315182</v>
      </c>
      <c r="S325" s="156">
        <f t="shared" si="3190"/>
        <v>241624.54681417038</v>
      </c>
      <c r="T325" s="156">
        <f t="shared" si="3190"/>
        <v>242415.56270543172</v>
      </c>
      <c r="U325" s="156">
        <f t="shared" si="3190"/>
        <v>243209.16817688459</v>
      </c>
      <c r="V325" s="156">
        <f t="shared" si="3190"/>
        <v>244005.37170614078</v>
      </c>
      <c r="W325" s="156">
        <f t="shared" si="3190"/>
        <v>244804.18179856541</v>
      </c>
      <c r="X325" s="156">
        <f t="shared" si="3190"/>
        <v>245605.606987368</v>
      </c>
      <c r="Y325" s="156">
        <f t="shared" si="3190"/>
        <v>246409.65583369363</v>
      </c>
      <c r="Z325" s="156">
        <f t="shared" si="3190"/>
        <v>247216.33692671434</v>
      </c>
      <c r="AA325" s="156">
        <f t="shared" si="3190"/>
        <v>248025.65888372078</v>
      </c>
      <c r="AB325" s="156">
        <f t="shared" si="3190"/>
        <v>248837.63035021455</v>
      </c>
      <c r="AC325" s="156">
        <f t="shared" si="3190"/>
        <v>249652.26000000015</v>
      </c>
      <c r="AD325" s="156">
        <f t="shared" si="3190"/>
        <v>250267.96982242545</v>
      </c>
      <c r="AE325" s="156">
        <f t="shared" si="3190"/>
        <v>250885.19815137432</v>
      </c>
      <c r="AF325" s="156">
        <f t="shared" si="3190"/>
        <v>251503.94873189347</v>
      </c>
      <c r="AG325" s="156">
        <f t="shared" si="3190"/>
        <v>252124.22531826596</v>
      </c>
      <c r="AH325" s="156">
        <f t="shared" si="3190"/>
        <v>252746.0316740339</v>
      </c>
      <c r="AI325" s="156">
        <f t="shared" si="3190"/>
        <v>253369.37157202128</v>
      </c>
      <c r="AJ325" s="156">
        <f t="shared" si="3190"/>
        <v>253994.24879435691</v>
      </c>
      <c r="AK325" s="156">
        <f t="shared" si="3190"/>
        <v>254620.66713249742</v>
      </c>
      <c r="AL325" s="156">
        <f t="shared" si="3190"/>
        <v>255248.63038725007</v>
      </c>
      <c r="AM325" s="156">
        <f t="shared" si="3190"/>
        <v>255878.14236879605</v>
      </c>
      <c r="AN325" s="156">
        <f t="shared" si="3190"/>
        <v>256509.20689671344</v>
      </c>
      <c r="AO325" s="156">
        <f t="shared" si="3190"/>
        <v>257141.82780000041</v>
      </c>
      <c r="AP325" s="156">
        <f t="shared" si="3190"/>
        <v>257776.00891709846</v>
      </c>
      <c r="AQ325" s="156">
        <f t="shared" si="3190"/>
        <v>258411.75409591576</v>
      </c>
      <c r="AR325" s="156">
        <f t="shared" si="3190"/>
        <v>259049.06719385047</v>
      </c>
      <c r="AS325" s="156">
        <f t="shared" si="3190"/>
        <v>259687.95207781417</v>
      </c>
      <c r="AT325" s="156">
        <f t="shared" si="3190"/>
        <v>260328.41262425511</v>
      </c>
      <c r="AU325" s="156">
        <f t="shared" si="3190"/>
        <v>260970.45271918218</v>
      </c>
      <c r="AV325" s="156">
        <f t="shared" si="3190"/>
        <v>261614.07625818788</v>
      </c>
      <c r="AW325" s="156">
        <f t="shared" si="3190"/>
        <v>262259.28714647255</v>
      </c>
      <c r="AX325" s="156">
        <f t="shared" si="3190"/>
        <v>262906.08929886785</v>
      </c>
      <c r="AY325" s="156">
        <f t="shared" si="3190"/>
        <v>263554.4866398602</v>
      </c>
      <c r="AZ325" s="156">
        <f t="shared" si="3190"/>
        <v>264204.48310361512</v>
      </c>
      <c r="BA325" s="156">
        <f t="shared" si="3190"/>
        <v>264856.08263400063</v>
      </c>
      <c r="BB325" s="156">
        <f t="shared" si="3190"/>
        <v>265401.64279929863</v>
      </c>
      <c r="BC325" s="156">
        <f t="shared" si="3190"/>
        <v>265948.32672921248</v>
      </c>
      <c r="BD325" s="156">
        <f t="shared" si="3190"/>
        <v>266496.13673851336</v>
      </c>
      <c r="BE325" s="156">
        <f t="shared" si="3190"/>
        <v>267045.0751467403</v>
      </c>
      <c r="BF325" s="156">
        <f t="shared" si="3190"/>
        <v>267595.14427821041</v>
      </c>
      <c r="BG325" s="156">
        <f t="shared" si="3190"/>
        <v>268146.34646202851</v>
      </c>
      <c r="BH325" s="156">
        <f t="shared" si="3190"/>
        <v>268698.68403209676</v>
      </c>
      <c r="BI325" s="156">
        <f t="shared" si="3190"/>
        <v>269252.15932712506</v>
      </c>
      <c r="BJ325" s="156">
        <f t="shared" si="3190"/>
        <v>269806.77469064057</v>
      </c>
      <c r="BK325" s="156">
        <f t="shared" si="3190"/>
        <v>270362.53247099766</v>
      </c>
      <c r="BL325" s="156">
        <f t="shared" si="3190"/>
        <v>270919.43502138794</v>
      </c>
      <c r="BM325" s="156">
        <f t="shared" si="3190"/>
        <v>271477.48469985032</v>
      </c>
      <c r="BN325" s="156">
        <f t="shared" si="3190"/>
        <v>272036.68386928074</v>
      </c>
      <c r="BO325" s="156">
        <f t="shared" si="3190"/>
        <v>272597.03489744244</v>
      </c>
      <c r="BP325" s="156">
        <f t="shared" si="3190"/>
        <v>273158.5401569758</v>
      </c>
      <c r="BQ325" s="156">
        <f t="shared" si="3190"/>
        <v>273721.20202540845</v>
      </c>
      <c r="BR325" s="156">
        <f t="shared" si="3190"/>
        <v>274285.02288516535</v>
      </c>
      <c r="BS325" s="156">
        <f t="shared" ref="BS325:BY325" si="3191">+BS45+BS84+BS123+BS162+BS201+BS248+BS285</f>
        <v>274850.00512357883</v>
      </c>
      <c r="BT325" s="156">
        <f t="shared" si="3191"/>
        <v>275416.15113289881</v>
      </c>
      <c r="BU325" s="156">
        <f t="shared" si="3191"/>
        <v>275983.46331030293</v>
      </c>
      <c r="BV325" s="156">
        <f t="shared" si="3191"/>
        <v>276551.94405790628</v>
      </c>
      <c r="BW325" s="156">
        <f t="shared" si="3191"/>
        <v>277121.59578277229</v>
      </c>
      <c r="BX325" s="156">
        <f t="shared" si="3191"/>
        <v>277692.42089692235</v>
      </c>
      <c r="BY325" s="156">
        <f t="shared" si="3191"/>
        <v>278264.42181734624</v>
      </c>
    </row>
    <row r="326" spans="2:77" outlineLevel="1" x14ac:dyDescent="0.25">
      <c r="C326" s="79" t="s">
        <v>117</v>
      </c>
      <c r="D326" s="37" t="s">
        <v>101</v>
      </c>
      <c r="E326" s="116"/>
      <c r="F326" s="13">
        <f>+F50+F89+F128+F167+F206+F253+F290</f>
        <v>-17345.173422772266</v>
      </c>
      <c r="G326" s="13">
        <f t="shared" ref="G326:BR326" si="3192">+G50+G89+G128+G167+G206+G253+G290</f>
        <v>-18224.606796433342</v>
      </c>
      <c r="H326" s="13">
        <f t="shared" si="3192"/>
        <v>-19108.320856509519</v>
      </c>
      <c r="I326" s="13">
        <f t="shared" si="3192"/>
        <v>-19996.336439458435</v>
      </c>
      <c r="J326" s="13">
        <f t="shared" si="3192"/>
        <v>-20888.674483160172</v>
      </c>
      <c r="K326" s="13">
        <f t="shared" si="3192"/>
        <v>-21785.356027411006</v>
      </c>
      <c r="L326" s="13">
        <f t="shared" si="3192"/>
        <v>-21041.689714419525</v>
      </c>
      <c r="M326" s="13">
        <f t="shared" si="3192"/>
        <v>-21947.12178930498</v>
      </c>
      <c r="N326" s="13">
        <f t="shared" si="3192"/>
        <v>-22856.961100598448</v>
      </c>
      <c r="O326" s="13">
        <f t="shared" si="3192"/>
        <v>-23771.229100745972</v>
      </c>
      <c r="P326" s="13">
        <f t="shared" si="3192"/>
        <v>-22533.978596614474</v>
      </c>
      <c r="Q326" s="13">
        <f t="shared" si="3192"/>
        <v>-23457.168750000059</v>
      </c>
      <c r="R326" s="13">
        <f t="shared" si="3192"/>
        <v>-23577.845592199352</v>
      </c>
      <c r="S326" s="13">
        <f t="shared" si="3192"/>
        <v>-24203.815008523161</v>
      </c>
      <c r="T326" s="13">
        <f t="shared" si="3192"/>
        <v>-24831.833685827609</v>
      </c>
      <c r="U326" s="13">
        <f t="shared" si="3192"/>
        <v>-25461.908332859904</v>
      </c>
      <c r="V326" s="13">
        <f t="shared" si="3192"/>
        <v>-26094.045680329949</v>
      </c>
      <c r="W326" s="13">
        <f t="shared" si="3192"/>
        <v>-26728.252480982235</v>
      </c>
      <c r="X326" s="13">
        <f t="shared" si="3192"/>
        <v>-23517.405612862025</v>
      </c>
      <c r="Y326" s="13">
        <f t="shared" si="3192"/>
        <v>-24125.883790303604</v>
      </c>
      <c r="Z326" s="13">
        <f t="shared" si="3192"/>
        <v>-24736.353966961298</v>
      </c>
      <c r="AA326" s="13">
        <f t="shared" si="3192"/>
        <v>-25348.822664122141</v>
      </c>
      <c r="AB326" s="13">
        <f t="shared" si="3192"/>
        <v>-23748.796268172249</v>
      </c>
      <c r="AC326" s="13">
        <f t="shared" si="3192"/>
        <v>-24365.281655666575</v>
      </c>
      <c r="AD326" s="13">
        <f t="shared" si="3192"/>
        <v>-24317.915947546408</v>
      </c>
      <c r="AE326" s="13">
        <f t="shared" si="3192"/>
        <v>-24807.957832954296</v>
      </c>
      <c r="AF326" s="13">
        <f t="shared" si="3192"/>
        <v>-25299.208293851323</v>
      </c>
      <c r="AG326" s="13">
        <f t="shared" si="3192"/>
        <v>-25791.670310910689</v>
      </c>
      <c r="AH326" s="13">
        <f t="shared" si="3192"/>
        <v>-26285.346872156737</v>
      </c>
      <c r="AI326" s="13">
        <f t="shared" si="3192"/>
        <v>-26780.240972983076</v>
      </c>
      <c r="AJ326" s="13">
        <f t="shared" si="3192"/>
        <v>-25642.412809028265</v>
      </c>
      <c r="AK326" s="13">
        <f t="shared" si="3192"/>
        <v>-26215.680500296228</v>
      </c>
      <c r="AL326" s="13">
        <f t="shared" si="3192"/>
        <v>-26790.362024342616</v>
      </c>
      <c r="AM326" s="13">
        <f t="shared" si="3192"/>
        <v>-27366.460868060458</v>
      </c>
      <c r="AN326" s="13">
        <f t="shared" si="3192"/>
        <v>-17743.624652596282</v>
      </c>
      <c r="AO326" s="13">
        <f t="shared" si="3192"/>
        <v>-18262.501595494301</v>
      </c>
      <c r="AP326" s="13">
        <f t="shared" si="3192"/>
        <v>-17979.990223170706</v>
      </c>
      <c r="AQ326" s="13">
        <f t="shared" si="3192"/>
        <v>-18501.429703170372</v>
      </c>
      <c r="AR326" s="13">
        <f t="shared" si="3192"/>
        <v>-19024.155193597639</v>
      </c>
      <c r="AS326" s="13">
        <f t="shared" si="3192"/>
        <v>-19548.16986610118</v>
      </c>
      <c r="AT326" s="13">
        <f t="shared" si="3192"/>
        <v>-20073.47690015176</v>
      </c>
      <c r="AU326" s="13">
        <f t="shared" si="3192"/>
        <v>-20661.04086581224</v>
      </c>
      <c r="AV326" s="13">
        <f t="shared" si="3192"/>
        <v>-11313.441462335311</v>
      </c>
      <c r="AW326" s="13">
        <f t="shared" si="3192"/>
        <v>-11853.854460886498</v>
      </c>
      <c r="AX326" s="13">
        <f t="shared" si="3192"/>
        <v>-12395.600263680601</v>
      </c>
      <c r="AY326" s="13">
        <f t="shared" si="3192"/>
        <v>-12938.682157772368</v>
      </c>
      <c r="AZ326" s="13">
        <f t="shared" si="3192"/>
        <v>-7084.1882277377445</v>
      </c>
      <c r="BA326" s="13">
        <f t="shared" si="3192"/>
        <v>-7591.251135019611</v>
      </c>
      <c r="BB326" s="13">
        <f t="shared" si="3192"/>
        <v>-7194.283903465137</v>
      </c>
      <c r="BC326" s="13">
        <f t="shared" si="3192"/>
        <v>-7662.1128180338383</v>
      </c>
      <c r="BD326" s="13">
        <f t="shared" si="3192"/>
        <v>-8130.905383568861</v>
      </c>
      <c r="BE326" s="13">
        <f t="shared" si="3192"/>
        <v>-8600.6635850333914</v>
      </c>
      <c r="BF326" s="13">
        <f t="shared" si="3192"/>
        <v>-8453.4381289874254</v>
      </c>
      <c r="BG326" s="13">
        <f t="shared" si="3192"/>
        <v>-8957.8716426633509</v>
      </c>
      <c r="BH326" s="13">
        <f t="shared" si="3192"/>
        <v>-7477.5127284589398</v>
      </c>
      <c r="BI326" s="13">
        <f t="shared" si="3192"/>
        <v>-7984.0264833030378</v>
      </c>
      <c r="BJ326" s="13">
        <f t="shared" si="3192"/>
        <v>-8491.5835735505498</v>
      </c>
      <c r="BK326" s="13">
        <f t="shared" si="3192"/>
        <v>-9000.1861483015746</v>
      </c>
      <c r="BL326" s="13">
        <f t="shared" si="3192"/>
        <v>-7985.2194788484994</v>
      </c>
      <c r="BM326" s="13">
        <f t="shared" si="3192"/>
        <v>-8495.9194876231304</v>
      </c>
      <c r="BN326" s="13">
        <f t="shared" si="3192"/>
        <v>-2459.4257578209399</v>
      </c>
      <c r="BO326" s="13">
        <f t="shared" si="3192"/>
        <v>-2945.0633155610885</v>
      </c>
      <c r="BP326" s="13">
        <f t="shared" si="3192"/>
        <v>-3431.7012071566569</v>
      </c>
      <c r="BQ326" s="13">
        <f t="shared" si="3192"/>
        <v>-3919.3414931316256</v>
      </c>
      <c r="BR326" s="13">
        <f t="shared" si="3192"/>
        <v>-3456.7155780725916</v>
      </c>
      <c r="BS326" s="13">
        <f t="shared" ref="BS326:BY326" si="3193">+BS50+BS89+BS128+BS167+BS206+BS253+BS290</f>
        <v>-3946.3668513642951</v>
      </c>
      <c r="BT326" s="13">
        <f t="shared" si="3193"/>
        <v>-2399.370206737367</v>
      </c>
      <c r="BU326" s="13">
        <f t="shared" si="3193"/>
        <v>-2918.5468054526136</v>
      </c>
      <c r="BV326" s="13">
        <f t="shared" si="3193"/>
        <v>-3438.7928229562858</v>
      </c>
      <c r="BW326" s="13">
        <f t="shared" si="3193"/>
        <v>-3960.1104620760925</v>
      </c>
      <c r="BX326" s="13">
        <f t="shared" si="3193"/>
        <v>-2919.7696258866963</v>
      </c>
      <c r="BY326" s="13">
        <f t="shared" si="3193"/>
        <v>-3443.2371348807137</v>
      </c>
    </row>
    <row r="327" spans="2:77" outlineLevel="1" x14ac:dyDescent="0.25">
      <c r="C327" s="79" t="s">
        <v>25</v>
      </c>
      <c r="D327" s="37" t="s">
        <v>101</v>
      </c>
      <c r="F327" s="4">
        <f>+F51+F90+F129+F168+F207+F254+F291</f>
        <v>0</v>
      </c>
      <c r="G327" s="4">
        <f t="shared" ref="G327:BR327" si="3194">+G51+G90+G129+G168+G207+G254+G291</f>
        <v>0</v>
      </c>
      <c r="H327" s="4">
        <f t="shared" si="3194"/>
        <v>0</v>
      </c>
      <c r="I327" s="4">
        <f t="shared" si="3194"/>
        <v>0</v>
      </c>
      <c r="J327" s="4">
        <f t="shared" si="3194"/>
        <v>0</v>
      </c>
      <c r="K327" s="4">
        <f t="shared" si="3194"/>
        <v>0</v>
      </c>
      <c r="L327" s="4">
        <f t="shared" si="3194"/>
        <v>0</v>
      </c>
      <c r="M327" s="4">
        <f t="shared" si="3194"/>
        <v>0</v>
      </c>
      <c r="N327" s="4">
        <f t="shared" si="3194"/>
        <v>0</v>
      </c>
      <c r="O327" s="4">
        <f t="shared" si="3194"/>
        <v>0</v>
      </c>
      <c r="P327" s="4">
        <f t="shared" si="3194"/>
        <v>0</v>
      </c>
      <c r="Q327" s="4">
        <f t="shared" si="3194"/>
        <v>0</v>
      </c>
      <c r="R327" s="4">
        <f t="shared" si="3194"/>
        <v>0</v>
      </c>
      <c r="S327" s="4">
        <f t="shared" si="3194"/>
        <v>0</v>
      </c>
      <c r="T327" s="4">
        <f t="shared" si="3194"/>
        <v>0</v>
      </c>
      <c r="U327" s="4">
        <f t="shared" si="3194"/>
        <v>0</v>
      </c>
      <c r="V327" s="4">
        <f t="shared" si="3194"/>
        <v>0</v>
      </c>
      <c r="W327" s="4">
        <f t="shared" si="3194"/>
        <v>0</v>
      </c>
      <c r="X327" s="4">
        <f t="shared" si="3194"/>
        <v>-9129.5821587223672</v>
      </c>
      <c r="Y327" s="4">
        <f t="shared" si="3194"/>
        <v>-9159.4700350302282</v>
      </c>
      <c r="Z327" s="4">
        <f t="shared" si="3194"/>
        <v>-9189.4557564677652</v>
      </c>
      <c r="AA327" s="4">
        <f t="shared" si="3194"/>
        <v>-9219.539643354472</v>
      </c>
      <c r="AB327" s="4">
        <f t="shared" si="3194"/>
        <v>-9249.7220170584806</v>
      </c>
      <c r="AC327" s="4">
        <f t="shared" si="3194"/>
        <v>-9280.0032000000065</v>
      </c>
      <c r="AD327" s="4">
        <f t="shared" si="3194"/>
        <v>0</v>
      </c>
      <c r="AE327" s="4">
        <f t="shared" si="3194"/>
        <v>0</v>
      </c>
      <c r="AF327" s="4">
        <f t="shared" si="3194"/>
        <v>0</v>
      </c>
      <c r="AG327" s="4">
        <f t="shared" si="3194"/>
        <v>0</v>
      </c>
      <c r="AH327" s="4">
        <f t="shared" si="3194"/>
        <v>0</v>
      </c>
      <c r="AI327" s="4">
        <f t="shared" si="3194"/>
        <v>0</v>
      </c>
      <c r="AJ327" s="4">
        <f t="shared" si="3194"/>
        <v>0</v>
      </c>
      <c r="AK327" s="4">
        <f t="shared" si="3194"/>
        <v>0</v>
      </c>
      <c r="AL327" s="4">
        <f t="shared" si="3194"/>
        <v>0</v>
      </c>
      <c r="AM327" s="4">
        <f t="shared" si="3194"/>
        <v>0</v>
      </c>
      <c r="AN327" s="4">
        <f t="shared" si="3194"/>
        <v>-24355.419644738446</v>
      </c>
      <c r="AO327" s="4">
        <f t="shared" si="3194"/>
        <v>-24415.486680000042</v>
      </c>
      <c r="AP327" s="4">
        <f t="shared" si="3194"/>
        <v>-24475.701856775006</v>
      </c>
      <c r="AQ327" s="4">
        <f t="shared" si="3194"/>
        <v>-24536.065540420284</v>
      </c>
      <c r="AR327" s="4">
        <f t="shared" si="3194"/>
        <v>-24596.578097193888</v>
      </c>
      <c r="AS327" s="4">
        <f t="shared" si="3194"/>
        <v>-24657.239894257102</v>
      </c>
      <c r="AT327" s="4">
        <f t="shared" si="3194"/>
        <v>0</v>
      </c>
      <c r="AU327" s="4">
        <f t="shared" si="3194"/>
        <v>0</v>
      </c>
      <c r="AV327" s="4">
        <f t="shared" si="3194"/>
        <v>-20294.91015821094</v>
      </c>
      <c r="AW327" s="4">
        <f t="shared" si="3194"/>
        <v>-20344.96288166575</v>
      </c>
      <c r="AX327" s="4">
        <f t="shared" si="3194"/>
        <v>-20395.139048639445</v>
      </c>
      <c r="AY327" s="4">
        <f t="shared" si="3194"/>
        <v>-20445.438963577035</v>
      </c>
      <c r="AZ327" s="4">
        <f t="shared" si="3194"/>
        <v>-36188.00798873759</v>
      </c>
      <c r="BA327" s="4">
        <f t="shared" si="3194"/>
        <v>-36277.257378960094</v>
      </c>
      <c r="BB327" s="4">
        <f t="shared" si="3194"/>
        <v>-15763.249087473494</v>
      </c>
      <c r="BC327" s="4">
        <f t="shared" si="3194"/>
        <v>-15795.71879967444</v>
      </c>
      <c r="BD327" s="4">
        <f t="shared" si="3194"/>
        <v>-15828.255394166246</v>
      </c>
      <c r="BE327" s="4">
        <f t="shared" si="3194"/>
        <v>-15860.859008715486</v>
      </c>
      <c r="BF327" s="4">
        <f t="shared" si="3194"/>
        <v>0</v>
      </c>
      <c r="BG327" s="4">
        <f t="shared" si="3194"/>
        <v>0</v>
      </c>
      <c r="BH327" s="4">
        <f t="shared" si="3194"/>
        <v>0</v>
      </c>
      <c r="BI327" s="4">
        <f t="shared" si="3194"/>
        <v>0</v>
      </c>
      <c r="BJ327" s="4">
        <f t="shared" si="3194"/>
        <v>0</v>
      </c>
      <c r="BK327" s="4">
        <f t="shared" si="3194"/>
        <v>0</v>
      </c>
      <c r="BL327" s="4">
        <f t="shared" si="3194"/>
        <v>0</v>
      </c>
      <c r="BM327" s="4">
        <f t="shared" si="3194"/>
        <v>0</v>
      </c>
      <c r="BN327" s="4">
        <f t="shared" si="3194"/>
        <v>-13189.657399722704</v>
      </c>
      <c r="BO327" s="4">
        <f t="shared" si="3194"/>
        <v>-13216.825934421453</v>
      </c>
      <c r="BP327" s="4">
        <f t="shared" si="3194"/>
        <v>-13244.050431853373</v>
      </c>
      <c r="BQ327" s="4">
        <f t="shared" si="3194"/>
        <v>-13271.331007292532</v>
      </c>
      <c r="BR327" s="4">
        <f t="shared" si="3194"/>
        <v>-13298.667776250441</v>
      </c>
      <c r="BS327" s="4">
        <f t="shared" ref="BS327:BY327" si="3195">+BS51+BS90+BS129+BS168+BS207+BS254+BS291</f>
        <v>-13326.060854476551</v>
      </c>
      <c r="BT327" s="4">
        <f t="shared" si="3195"/>
        <v>0</v>
      </c>
      <c r="BU327" s="4">
        <f t="shared" si="3195"/>
        <v>0</v>
      </c>
      <c r="BV327" s="4">
        <f t="shared" si="3195"/>
        <v>0</v>
      </c>
      <c r="BW327" s="4">
        <f t="shared" si="3195"/>
        <v>0</v>
      </c>
      <c r="BX327" s="4">
        <f t="shared" si="3195"/>
        <v>0</v>
      </c>
      <c r="BY327" s="4">
        <f t="shared" si="3195"/>
        <v>0</v>
      </c>
    </row>
    <row r="328" spans="2:77" outlineLevel="1" x14ac:dyDescent="0.25">
      <c r="C328" s="79" t="s">
        <v>26</v>
      </c>
      <c r="D328" s="37" t="s">
        <v>101</v>
      </c>
      <c r="F328" s="4">
        <f>+F52+F91+F130+F169+F208+F255+F292</f>
        <v>-30881.25</v>
      </c>
      <c r="G328" s="4">
        <f t="shared" ref="G328:BR328" si="3196">+G52+G91+G130+G169+G208+G255+G292</f>
        <v>-30881.25</v>
      </c>
      <c r="H328" s="4">
        <f t="shared" si="3196"/>
        <v>0</v>
      </c>
      <c r="I328" s="4">
        <f t="shared" si="3196"/>
        <v>0</v>
      </c>
      <c r="J328" s="4">
        <f t="shared" si="3196"/>
        <v>0</v>
      </c>
      <c r="K328" s="4">
        <f t="shared" si="3196"/>
        <v>0</v>
      </c>
      <c r="L328" s="4">
        <f t="shared" si="3196"/>
        <v>0</v>
      </c>
      <c r="M328" s="4">
        <f t="shared" si="3196"/>
        <v>0</v>
      </c>
      <c r="N328" s="4">
        <f t="shared" si="3196"/>
        <v>0</v>
      </c>
      <c r="O328" s="4">
        <f t="shared" si="3196"/>
        <v>0</v>
      </c>
      <c r="P328" s="4">
        <f t="shared" si="3196"/>
        <v>0</v>
      </c>
      <c r="Q328" s="4">
        <f t="shared" si="3196"/>
        <v>0</v>
      </c>
      <c r="R328" s="4">
        <f t="shared" si="3196"/>
        <v>0</v>
      </c>
      <c r="S328" s="4">
        <f t="shared" si="3196"/>
        <v>0</v>
      </c>
      <c r="T328" s="4">
        <f t="shared" si="3196"/>
        <v>0</v>
      </c>
      <c r="U328" s="4">
        <f t="shared" si="3196"/>
        <v>0</v>
      </c>
      <c r="V328" s="4">
        <f t="shared" si="3196"/>
        <v>0</v>
      </c>
      <c r="W328" s="4">
        <f t="shared" si="3196"/>
        <v>0</v>
      </c>
      <c r="X328" s="4">
        <f t="shared" si="3196"/>
        <v>-13694.373238083548</v>
      </c>
      <c r="Y328" s="4">
        <f t="shared" si="3196"/>
        <v>-13694.373238083548</v>
      </c>
      <c r="Z328" s="4">
        <f t="shared" si="3196"/>
        <v>0</v>
      </c>
      <c r="AA328" s="4">
        <f t="shared" si="3196"/>
        <v>0</v>
      </c>
      <c r="AB328" s="4">
        <f t="shared" si="3196"/>
        <v>0</v>
      </c>
      <c r="AC328" s="4">
        <f t="shared" si="3196"/>
        <v>0</v>
      </c>
      <c r="AD328" s="4">
        <f t="shared" si="3196"/>
        <v>-9302.8901913790487</v>
      </c>
      <c r="AE328" s="4">
        <f t="shared" si="3196"/>
        <v>-9302.8901913790487</v>
      </c>
      <c r="AF328" s="4">
        <f t="shared" si="3196"/>
        <v>-9302.8901913790487</v>
      </c>
      <c r="AG328" s="4">
        <f t="shared" si="3196"/>
        <v>0</v>
      </c>
      <c r="AH328" s="4">
        <f t="shared" si="3196"/>
        <v>0</v>
      </c>
      <c r="AI328" s="4">
        <f t="shared" si="3196"/>
        <v>0</v>
      </c>
      <c r="AJ328" s="4">
        <f t="shared" si="3196"/>
        <v>-30787.181672043265</v>
      </c>
      <c r="AK328" s="4">
        <f t="shared" si="3196"/>
        <v>-30787.181672043265</v>
      </c>
      <c r="AL328" s="4">
        <f t="shared" si="3196"/>
        <v>-30787.181672043265</v>
      </c>
      <c r="AM328" s="4">
        <f t="shared" si="3196"/>
        <v>0</v>
      </c>
      <c r="AN328" s="4">
        <f t="shared" si="3196"/>
        <v>-36533.129467107668</v>
      </c>
      <c r="AO328" s="4">
        <f t="shared" si="3196"/>
        <v>-36533.129467107668</v>
      </c>
      <c r="AP328" s="4">
        <f t="shared" si="3196"/>
        <v>0</v>
      </c>
      <c r="AQ328" s="4">
        <f t="shared" si="3196"/>
        <v>0</v>
      </c>
      <c r="AR328" s="4">
        <f t="shared" si="3196"/>
        <v>0</v>
      </c>
      <c r="AS328" s="4">
        <f t="shared" si="3196"/>
        <v>0</v>
      </c>
      <c r="AT328" s="4">
        <f t="shared" si="3196"/>
        <v>-24718.051299676754</v>
      </c>
      <c r="AU328" s="4">
        <f t="shared" si="3196"/>
        <v>-24718.051299676754</v>
      </c>
      <c r="AV328" s="4">
        <f t="shared" si="3196"/>
        <v>-55160.416536993158</v>
      </c>
      <c r="AW328" s="4">
        <f t="shared" si="3196"/>
        <v>-30442.365237316404</v>
      </c>
      <c r="AX328" s="4">
        <f t="shared" si="3196"/>
        <v>0</v>
      </c>
      <c r="AY328" s="4">
        <f t="shared" si="3196"/>
        <v>0</v>
      </c>
      <c r="AZ328" s="4">
        <f t="shared" si="3196"/>
        <v>-23538.217585594801</v>
      </c>
      <c r="BA328" s="4">
        <f t="shared" si="3196"/>
        <v>-23538.217585594801</v>
      </c>
      <c r="BB328" s="4">
        <f t="shared" si="3196"/>
        <v>-20588.733502006198</v>
      </c>
      <c r="BC328" s="4">
        <f t="shared" si="3196"/>
        <v>-20588.733502006198</v>
      </c>
      <c r="BD328" s="4">
        <f t="shared" si="3196"/>
        <v>-20588.733502006198</v>
      </c>
      <c r="BE328" s="4">
        <f t="shared" si="3196"/>
        <v>0</v>
      </c>
      <c r="BF328" s="4">
        <f t="shared" si="3196"/>
        <v>-15893.529781372499</v>
      </c>
      <c r="BG328" s="4">
        <f t="shared" si="3196"/>
        <v>-15893.529781372499</v>
      </c>
      <c r="BH328" s="4">
        <f t="shared" si="3196"/>
        <v>-15893.529781372499</v>
      </c>
      <c r="BI328" s="4">
        <f t="shared" si="3196"/>
        <v>0</v>
      </c>
      <c r="BJ328" s="4">
        <f t="shared" si="3196"/>
        <v>0</v>
      </c>
      <c r="BK328" s="4">
        <f t="shared" si="3196"/>
        <v>0</v>
      </c>
      <c r="BL328" s="4">
        <f t="shared" si="3196"/>
        <v>0</v>
      </c>
      <c r="BM328" s="4">
        <f t="shared" si="3196"/>
        <v>0</v>
      </c>
      <c r="BN328" s="4">
        <f t="shared" si="3196"/>
        <v>-19784.486099584054</v>
      </c>
      <c r="BO328" s="4">
        <f t="shared" si="3196"/>
        <v>-19784.486099584054</v>
      </c>
      <c r="BP328" s="4">
        <f t="shared" si="3196"/>
        <v>0</v>
      </c>
      <c r="BQ328" s="4">
        <f t="shared" si="3196"/>
        <v>0</v>
      </c>
      <c r="BR328" s="4">
        <f t="shared" si="3196"/>
        <v>0</v>
      </c>
      <c r="BS328" s="4">
        <f t="shared" ref="BS328:BY328" si="3197">+BS52+BS91+BS130+BS169+BS208+BS255+BS292</f>
        <v>0</v>
      </c>
      <c r="BT328" s="4">
        <f t="shared" si="3197"/>
        <v>-13353.510357958734</v>
      </c>
      <c r="BU328" s="4">
        <f t="shared" si="3197"/>
        <v>-13353.510357958734</v>
      </c>
      <c r="BV328" s="4">
        <f t="shared" si="3197"/>
        <v>-13353.510357958734</v>
      </c>
      <c r="BW328" s="4">
        <f t="shared" si="3197"/>
        <v>0</v>
      </c>
      <c r="BX328" s="4">
        <f t="shared" si="3197"/>
        <v>0</v>
      </c>
      <c r="BY328" s="4">
        <f t="shared" si="3197"/>
        <v>0</v>
      </c>
    </row>
    <row r="329" spans="2:77" outlineLevel="1" x14ac:dyDescent="0.25">
      <c r="C329" s="79" t="s">
        <v>29</v>
      </c>
      <c r="D329" s="98" t="s">
        <v>101</v>
      </c>
      <c r="E329" s="5"/>
      <c r="F329" s="4">
        <f>+F56+F95+F134+F173+F212+F296</f>
        <v>56883.73990738859</v>
      </c>
      <c r="G329" s="4">
        <f t="shared" ref="G329:BR329" si="3198">+G56+G95+G134+G173+G212+G296</f>
        <v>57069.962469683654</v>
      </c>
      <c r="H329" s="4">
        <f t="shared" si="3198"/>
        <v>57256.79467618926</v>
      </c>
      <c r="I329" s="4">
        <f t="shared" si="3198"/>
        <v>57444.238522721891</v>
      </c>
      <c r="J329" s="4">
        <f t="shared" si="3198"/>
        <v>57632.296011631843</v>
      </c>
      <c r="K329" s="4">
        <f t="shared" si="3198"/>
        <v>57820.969151824582</v>
      </c>
      <c r="L329" s="4">
        <f t="shared" si="3198"/>
        <v>58010.259958782233</v>
      </c>
      <c r="M329" s="4">
        <f t="shared" si="3198"/>
        <v>58200.170454584986</v>
      </c>
      <c r="N329" s="4">
        <f t="shared" si="3198"/>
        <v>58390.702667932914</v>
      </c>
      <c r="O329" s="4">
        <f t="shared" si="3198"/>
        <v>58581.858634167467</v>
      </c>
      <c r="P329" s="4">
        <f t="shared" si="3198"/>
        <v>58773.640395293281</v>
      </c>
      <c r="Q329" s="4">
        <f t="shared" si="3198"/>
        <v>58966.050000000017</v>
      </c>
      <c r="R329" s="4">
        <f t="shared" si="3198"/>
        <v>59111.476186707172</v>
      </c>
      <c r="S329" s="4">
        <f t="shared" si="3198"/>
        <v>59257.261033622694</v>
      </c>
      <c r="T329" s="4">
        <f t="shared" si="3198"/>
        <v>59403.405425299432</v>
      </c>
      <c r="U329" s="4">
        <f t="shared" si="3198"/>
        <v>59549.910248471744</v>
      </c>
      <c r="V329" s="4">
        <f t="shared" si="3198"/>
        <v>59696.77639206095</v>
      </c>
      <c r="W329" s="4">
        <f t="shared" si="3198"/>
        <v>59844.004747180661</v>
      </c>
      <c r="X329" s="4">
        <f t="shared" si="3198"/>
        <v>57082.912754674719</v>
      </c>
      <c r="Y329" s="4">
        <f t="shared" si="3198"/>
        <v>57223.694616916626</v>
      </c>
      <c r="Z329" s="4">
        <f t="shared" si="3198"/>
        <v>57364.823685209863</v>
      </c>
      <c r="AA329" s="4">
        <f t="shared" si="3198"/>
        <v>57506.300815858223</v>
      </c>
      <c r="AB329" s="4">
        <f t="shared" si="3198"/>
        <v>57648.126867277395</v>
      </c>
      <c r="AC329" s="4">
        <f t="shared" si="3198"/>
        <v>57790.30270000008</v>
      </c>
      <c r="AD329" s="4">
        <f t="shared" si="3198"/>
        <v>60835.34034239703</v>
      </c>
      <c r="AE329" s="4">
        <f t="shared" si="3198"/>
        <v>60935.814853002477</v>
      </c>
      <c r="AF329" s="4">
        <f t="shared" si="3198"/>
        <v>61036.45530543098</v>
      </c>
      <c r="AG329" s="4">
        <f t="shared" si="3198"/>
        <v>61137.261973748922</v>
      </c>
      <c r="AH329" s="4">
        <f t="shared" si="3198"/>
        <v>61238.235132475362</v>
      </c>
      <c r="AI329" s="4">
        <f t="shared" si="3198"/>
        <v>61339.37505658275</v>
      </c>
      <c r="AJ329" s="4">
        <f t="shared" si="3198"/>
        <v>61440.682021497669</v>
      </c>
      <c r="AK329" s="4">
        <f t="shared" si="3198"/>
        <v>61542.156303101598</v>
      </c>
      <c r="AL329" s="4">
        <f t="shared" si="3198"/>
        <v>61643.798177731667</v>
      </c>
      <c r="AM329" s="4">
        <f t="shared" si="3198"/>
        <v>61745.607922181342</v>
      </c>
      <c r="AN329" s="4">
        <f t="shared" si="3198"/>
        <v>54350.908745373876</v>
      </c>
      <c r="AO329" s="4">
        <f t="shared" si="3198"/>
        <v>54440.673690000112</v>
      </c>
      <c r="AP329" s="4">
        <f t="shared" si="3198"/>
        <v>54530.586888730446</v>
      </c>
      <c r="AQ329" s="4">
        <f t="shared" si="3198"/>
        <v>54620.648586418618</v>
      </c>
      <c r="AR329" s="4">
        <f t="shared" si="3198"/>
        <v>54710.859028322702</v>
      </c>
      <c r="AS329" s="4">
        <f t="shared" si="3198"/>
        <v>54801.218460105883</v>
      </c>
      <c r="AT329" s="4">
        <f t="shared" si="3198"/>
        <v>62462.999835124916</v>
      </c>
      <c r="AU329" s="4">
        <f t="shared" si="3198"/>
        <v>62566.162557714444</v>
      </c>
      <c r="AV329" s="4">
        <f t="shared" si="3198"/>
        <v>56592.4536583468</v>
      </c>
      <c r="AW329" s="4">
        <f t="shared" si="3198"/>
        <v>56685.920696638714</v>
      </c>
      <c r="AX329" s="4">
        <f t="shared" si="3198"/>
        <v>56779.542103343418</v>
      </c>
      <c r="AY329" s="4">
        <f t="shared" si="3198"/>
        <v>56873.318133412889</v>
      </c>
      <c r="AZ329" s="4">
        <f t="shared" si="3198"/>
        <v>52379.282676403804</v>
      </c>
      <c r="BA329" s="4">
        <f t="shared" si="3198"/>
        <v>52465.791320280157</v>
      </c>
      <c r="BB329" s="4">
        <f t="shared" si="3198"/>
        <v>58665.925724291432</v>
      </c>
      <c r="BC329" s="4">
        <f t="shared" si="3198"/>
        <v>58738.75875045226</v>
      </c>
      <c r="BD329" s="4">
        <f t="shared" si="3198"/>
        <v>58811.682197920418</v>
      </c>
      <c r="BE329" s="4">
        <f t="shared" si="3198"/>
        <v>58884.696178952858</v>
      </c>
      <c r="BF329" s="4">
        <f t="shared" si="3198"/>
        <v>63581.942045627897</v>
      </c>
      <c r="BG329" s="4">
        <f t="shared" si="3198"/>
        <v>63660.878245665532</v>
      </c>
      <c r="BH329" s="4">
        <f t="shared" si="3198"/>
        <v>63739.912444025904</v>
      </c>
      <c r="BI329" s="4">
        <f t="shared" si="3198"/>
        <v>63819.044762372716</v>
      </c>
      <c r="BJ329" s="4">
        <f t="shared" si="3198"/>
        <v>63898.275322520727</v>
      </c>
      <c r="BK329" s="4">
        <f t="shared" si="3198"/>
        <v>63977.604246435927</v>
      </c>
      <c r="BL329" s="4">
        <f t="shared" si="3198"/>
        <v>64057.031656235726</v>
      </c>
      <c r="BM329" s="4">
        <f t="shared" si="3198"/>
        <v>64136.557674189149</v>
      </c>
      <c r="BN329" s="4">
        <f t="shared" si="3198"/>
        <v>60324.292578915949</v>
      </c>
      <c r="BO329" s="4">
        <f t="shared" si="3198"/>
        <v>60399.184447156178</v>
      </c>
      <c r="BP329" s="4">
        <f t="shared" si="3198"/>
        <v>60474.169292730869</v>
      </c>
      <c r="BQ329" s="4">
        <f t="shared" si="3198"/>
        <v>60549.24723107028</v>
      </c>
      <c r="BR329" s="4">
        <f t="shared" si="3198"/>
        <v>60624.418377747897</v>
      </c>
      <c r="BS329" s="4">
        <f t="shared" ref="BS329:BY329" si="3199">+BS56+BS95+BS134+BS173+BS212+BS296</f>
        <v>60699.682848480748</v>
      </c>
      <c r="BT329" s="4">
        <f t="shared" si="3199"/>
        <v>64696.011130686238</v>
      </c>
      <c r="BU329" s="4">
        <f t="shared" si="3199"/>
        <v>64776.33043380826</v>
      </c>
      <c r="BV329" s="4">
        <f t="shared" si="3199"/>
        <v>64856.749452358483</v>
      </c>
      <c r="BW329" s="4">
        <f t="shared" si="3199"/>
        <v>64937.268310132415</v>
      </c>
      <c r="BX329" s="4">
        <f t="shared" si="3199"/>
        <v>65017.887131079216</v>
      </c>
      <c r="BY329" s="4">
        <f t="shared" si="3199"/>
        <v>65098.606039301922</v>
      </c>
    </row>
    <row r="330" spans="2:77" outlineLevel="1" x14ac:dyDescent="0.25">
      <c r="C330" s="80" t="s">
        <v>5</v>
      </c>
      <c r="D330" s="37" t="s">
        <v>101</v>
      </c>
      <c r="F330" s="22">
        <f>SUM(F325:F329)</f>
        <v>236222.13415452029</v>
      </c>
      <c r="G330" s="22">
        <f t="shared" ref="G330:BR330" si="3200">SUM(G325:G329)</f>
        <v>236636.6066000557</v>
      </c>
      <c r="H330" s="22">
        <f t="shared" si="3200"/>
        <v>267934.04970764974</v>
      </c>
      <c r="I330" s="22">
        <f t="shared" si="3200"/>
        <v>268351.97088105464</v>
      </c>
      <c r="J330" s="22">
        <f t="shared" si="3200"/>
        <v>268771.62755687954</v>
      </c>
      <c r="K330" s="22">
        <f t="shared" si="3200"/>
        <v>269193.02720474044</v>
      </c>
      <c r="L330" s="22">
        <f t="shared" si="3200"/>
        <v>271260.88982741022</v>
      </c>
      <c r="M330" s="22">
        <f t="shared" si="3200"/>
        <v>271685.79796096944</v>
      </c>
      <c r="N330" s="22">
        <f t="shared" si="3200"/>
        <v>272112.47167495842</v>
      </c>
      <c r="O330" s="22">
        <f t="shared" si="3200"/>
        <v>272540.91857252904</v>
      </c>
      <c r="P330" s="22">
        <f t="shared" si="3200"/>
        <v>275127.1150405978</v>
      </c>
      <c r="Q330" s="22">
        <f t="shared" si="3200"/>
        <v>275559.13124999998</v>
      </c>
      <c r="R330" s="22">
        <f t="shared" si="3200"/>
        <v>276369.74264765962</v>
      </c>
      <c r="S330" s="22">
        <f t="shared" si="3200"/>
        <v>276677.99283926992</v>
      </c>
      <c r="T330" s="22">
        <f t="shared" si="3200"/>
        <v>276987.13444490352</v>
      </c>
      <c r="U330" s="22">
        <f t="shared" si="3200"/>
        <v>277297.17009249644</v>
      </c>
      <c r="V330" s="22">
        <f t="shared" si="3200"/>
        <v>277608.10241787176</v>
      </c>
      <c r="W330" s="22">
        <f t="shared" si="3200"/>
        <v>277919.93406476383</v>
      </c>
      <c r="X330" s="22">
        <f t="shared" si="3200"/>
        <v>256347.15873237478</v>
      </c>
      <c r="Y330" s="22">
        <f t="shared" si="3200"/>
        <v>256653.62338719287</v>
      </c>
      <c r="Z330" s="22">
        <f t="shared" si="3200"/>
        <v>270655.35088849516</v>
      </c>
      <c r="AA330" s="22">
        <f t="shared" si="3200"/>
        <v>270963.59739210241</v>
      </c>
      <c r="AB330" s="22">
        <f t="shared" si="3200"/>
        <v>273487.23893226119</v>
      </c>
      <c r="AC330" s="22">
        <f t="shared" si="3200"/>
        <v>273797.27784433367</v>
      </c>
      <c r="AD330" s="22">
        <f t="shared" si="3200"/>
        <v>277482.50402589701</v>
      </c>
      <c r="AE330" s="22">
        <f t="shared" si="3200"/>
        <v>277710.16498004342</v>
      </c>
      <c r="AF330" s="22">
        <f t="shared" si="3200"/>
        <v>277938.30555209407</v>
      </c>
      <c r="AG330" s="22">
        <f t="shared" si="3200"/>
        <v>287469.8169811042</v>
      </c>
      <c r="AH330" s="22">
        <f t="shared" si="3200"/>
        <v>287698.91993435251</v>
      </c>
      <c r="AI330" s="22">
        <f t="shared" si="3200"/>
        <v>287928.50565562095</v>
      </c>
      <c r="AJ330" s="22">
        <f t="shared" si="3200"/>
        <v>259005.33633478306</v>
      </c>
      <c r="AK330" s="22">
        <f t="shared" si="3200"/>
        <v>259159.96126325952</v>
      </c>
      <c r="AL330" s="22">
        <f t="shared" si="3200"/>
        <v>259314.88486859587</v>
      </c>
      <c r="AM330" s="22">
        <f t="shared" si="3200"/>
        <v>290257.28942291695</v>
      </c>
      <c r="AN330" s="22">
        <f t="shared" si="3200"/>
        <v>232227.94187764492</v>
      </c>
      <c r="AO330" s="22">
        <f t="shared" si="3200"/>
        <v>232371.3837473985</v>
      </c>
      <c r="AP330" s="22">
        <f t="shared" si="3200"/>
        <v>269850.90372588322</v>
      </c>
      <c r="AQ330" s="22">
        <f t="shared" si="3200"/>
        <v>269994.90743874368</v>
      </c>
      <c r="AR330" s="22">
        <f t="shared" si="3200"/>
        <v>270139.19293138164</v>
      </c>
      <c r="AS330" s="22">
        <f t="shared" si="3200"/>
        <v>270283.76077756181</v>
      </c>
      <c r="AT330" s="22">
        <f t="shared" si="3200"/>
        <v>277999.88425955153</v>
      </c>
      <c r="AU330" s="22">
        <f t="shared" si="3200"/>
        <v>278157.52311140765</v>
      </c>
      <c r="AV330" s="22">
        <f t="shared" si="3200"/>
        <v>231437.76175899524</v>
      </c>
      <c r="AW330" s="22">
        <f t="shared" si="3200"/>
        <v>256304.0252632426</v>
      </c>
      <c r="AX330" s="22">
        <f t="shared" si="3200"/>
        <v>286894.89208989125</v>
      </c>
      <c r="AY330" s="22">
        <f t="shared" si="3200"/>
        <v>287043.68365192367</v>
      </c>
      <c r="AZ330" s="22">
        <f t="shared" si="3200"/>
        <v>249773.3519779488</v>
      </c>
      <c r="BA330" s="22">
        <f t="shared" si="3200"/>
        <v>249915.14785470627</v>
      </c>
      <c r="BB330" s="22">
        <f t="shared" si="3200"/>
        <v>280521.30203064525</v>
      </c>
      <c r="BC330" s="22">
        <f t="shared" si="3200"/>
        <v>280640.52035995026</v>
      </c>
      <c r="BD330" s="22">
        <f t="shared" si="3200"/>
        <v>280759.92465669248</v>
      </c>
      <c r="BE330" s="22">
        <f t="shared" si="3200"/>
        <v>301468.2487319443</v>
      </c>
      <c r="BF330" s="22">
        <f t="shared" si="3200"/>
        <v>306830.11841347843</v>
      </c>
      <c r="BG330" s="22">
        <f t="shared" si="3200"/>
        <v>306955.82328365819</v>
      </c>
      <c r="BH330" s="22">
        <f t="shared" si="3200"/>
        <v>309067.55396629125</v>
      </c>
      <c r="BI330" s="22">
        <f t="shared" si="3200"/>
        <v>325087.17760619475</v>
      </c>
      <c r="BJ330" s="22">
        <f t="shared" si="3200"/>
        <v>325213.46643961075</v>
      </c>
      <c r="BK330" s="22">
        <f t="shared" si="3200"/>
        <v>325339.95056913199</v>
      </c>
      <c r="BL330" s="22">
        <f t="shared" si="3200"/>
        <v>326991.24719877518</v>
      </c>
      <c r="BM330" s="22">
        <f t="shared" si="3200"/>
        <v>327118.12288641633</v>
      </c>
      <c r="BN330" s="22">
        <f t="shared" si="3200"/>
        <v>296927.40719106898</v>
      </c>
      <c r="BO330" s="22">
        <f t="shared" si="3200"/>
        <v>297049.84399503202</v>
      </c>
      <c r="BP330" s="22">
        <f t="shared" si="3200"/>
        <v>316956.95781069668</v>
      </c>
      <c r="BQ330" s="22">
        <f t="shared" si="3200"/>
        <v>317079.77675605455</v>
      </c>
      <c r="BR330" s="22">
        <f t="shared" si="3200"/>
        <v>318154.05790859018</v>
      </c>
      <c r="BS330" s="22">
        <f t="shared" ref="BS330:BY330" si="3201">SUM(BS325:BS329)</f>
        <v>318277.26026621868</v>
      </c>
      <c r="BT330" s="22">
        <f t="shared" si="3201"/>
        <v>324359.28169888898</v>
      </c>
      <c r="BU330" s="22">
        <f t="shared" si="3201"/>
        <v>324487.73658069986</v>
      </c>
      <c r="BV330" s="22">
        <f t="shared" si="3201"/>
        <v>324616.39032934973</v>
      </c>
      <c r="BW330" s="22">
        <f t="shared" si="3201"/>
        <v>338098.75363082864</v>
      </c>
      <c r="BX330" s="22">
        <f t="shared" si="3201"/>
        <v>339790.53840211488</v>
      </c>
      <c r="BY330" s="22">
        <f t="shared" si="3201"/>
        <v>339919.79072176741</v>
      </c>
    </row>
    <row r="331" spans="2:77" outlineLevel="1" x14ac:dyDescent="0.25">
      <c r="C331" s="79" t="s">
        <v>125</v>
      </c>
      <c r="D331" s="37" t="s">
        <v>101</v>
      </c>
      <c r="E331" s="2"/>
      <c r="F331" s="4">
        <f>+F57+F96+F135+F174+F213+F259+F297</f>
        <v>-46892.144247131728</v>
      </c>
      <c r="G331" s="4">
        <f t="shared" ref="G331:BR331" si="3202">+G57+G96+G135+G174+G213+G259+G297</f>
        <v>-47120.394130372006</v>
      </c>
      <c r="H331" s="4">
        <f t="shared" si="3202"/>
        <v>-47349.755031460489</v>
      </c>
      <c r="I331" s="4">
        <f t="shared" si="3202"/>
        <v>-47580.232358332723</v>
      </c>
      <c r="J331" s="4">
        <f t="shared" si="3202"/>
        <v>-47811.831545247667</v>
      </c>
      <c r="K331" s="4">
        <f t="shared" si="3202"/>
        <v>-48044.558052915825</v>
      </c>
      <c r="L331" s="4">
        <f t="shared" si="3202"/>
        <v>-48278.417368627961</v>
      </c>
      <c r="M331" s="4">
        <f t="shared" si="3202"/>
        <v>-48513.415006384486</v>
      </c>
      <c r="N331" s="4">
        <f t="shared" si="3202"/>
        <v>-48749.55650702554</v>
      </c>
      <c r="O331" s="4">
        <f t="shared" si="3202"/>
        <v>-48986.847438361539</v>
      </c>
      <c r="P331" s="4">
        <f t="shared" si="3202"/>
        <v>-49225.293395304514</v>
      </c>
      <c r="Q331" s="4">
        <f t="shared" si="3202"/>
        <v>-49464.9</v>
      </c>
      <c r="R331" s="4">
        <f t="shared" si="3202"/>
        <v>-49626.8352109525</v>
      </c>
      <c r="S331" s="4">
        <f t="shared" si="3202"/>
        <v>-49789.300555647227</v>
      </c>
      <c r="T331" s="4">
        <f t="shared" si="3202"/>
        <v>-49952.297769604105</v>
      </c>
      <c r="U331" s="4">
        <f t="shared" si="3202"/>
        <v>-50115.828594024701</v>
      </c>
      <c r="V331" s="4">
        <f t="shared" si="3202"/>
        <v>-50279.894775810826</v>
      </c>
      <c r="W331" s="4">
        <f t="shared" si="3202"/>
        <v>-50444.498067583161</v>
      </c>
      <c r="X331" s="4">
        <f t="shared" si="3202"/>
        <v>-50609.640227700074</v>
      </c>
      <c r="Y331" s="4">
        <f t="shared" si="3202"/>
        <v>-50775.323020276264</v>
      </c>
      <c r="Z331" s="4">
        <f t="shared" si="3202"/>
        <v>-50941.548215201736</v>
      </c>
      <c r="AA331" s="4">
        <f t="shared" si="3202"/>
        <v>-51108.317588160644</v>
      </c>
      <c r="AB331" s="4">
        <f t="shared" si="3202"/>
        <v>-51275.632920650263</v>
      </c>
      <c r="AC331" s="4">
        <f t="shared" si="3202"/>
        <v>-51443.496000000028</v>
      </c>
      <c r="AD331" s="4">
        <f t="shared" si="3202"/>
        <v>-51570.369539166451</v>
      </c>
      <c r="AE331" s="4">
        <f t="shared" si="3202"/>
        <v>-51697.555982707425</v>
      </c>
      <c r="AF331" s="4">
        <f t="shared" si="3202"/>
        <v>-51825.056102329567</v>
      </c>
      <c r="AG331" s="4">
        <f t="shared" si="3202"/>
        <v>-51952.870671642682</v>
      </c>
      <c r="AH331" s="4">
        <f t="shared" si="3202"/>
        <v>-52081.000466164551</v>
      </c>
      <c r="AI331" s="4">
        <f t="shared" si="3202"/>
        <v>-52209.44626332559</v>
      </c>
      <c r="AJ331" s="4">
        <f t="shared" si="3202"/>
        <v>-21551.027170430276</v>
      </c>
      <c r="AK331" s="4">
        <f t="shared" si="3202"/>
        <v>-21604.177817302807</v>
      </c>
      <c r="AL331" s="4">
        <f t="shared" si="3202"/>
        <v>-21657.45954800909</v>
      </c>
      <c r="AM331" s="4">
        <f t="shared" si="3202"/>
        <v>-21710.872685837236</v>
      </c>
      <c r="AN331" s="4">
        <f t="shared" si="3202"/>
        <v>-21764.417554872653</v>
      </c>
      <c r="AO331" s="4">
        <f t="shared" si="3202"/>
        <v>-21818.094480000029</v>
      </c>
      <c r="AP331" s="4">
        <f t="shared" si="3202"/>
        <v>-21871.903786905317</v>
      </c>
      <c r="AQ331" s="4">
        <f t="shared" si="3202"/>
        <v>-21925.8458020777</v>
      </c>
      <c r="AR331" s="4">
        <f t="shared" si="3202"/>
        <v>-21979.920852811552</v>
      </c>
      <c r="AS331" s="4">
        <f t="shared" si="3202"/>
        <v>-22034.129267208471</v>
      </c>
      <c r="AT331" s="4">
        <f t="shared" si="3202"/>
        <v>-22088.471374179222</v>
      </c>
      <c r="AU331" s="4">
        <f t="shared" si="3202"/>
        <v>-22142.947503445757</v>
      </c>
      <c r="AV331" s="4">
        <f t="shared" si="3202"/>
        <v>-22197.557985543212</v>
      </c>
      <c r="AW331" s="4">
        <f t="shared" si="3202"/>
        <v>-22252.30315182191</v>
      </c>
      <c r="AX331" s="4">
        <f t="shared" si="3202"/>
        <v>-22307.183334449393</v>
      </c>
      <c r="AY331" s="4">
        <f t="shared" si="3202"/>
        <v>-22362.198866412378</v>
      </c>
      <c r="AZ331" s="4">
        <f t="shared" si="3202"/>
        <v>-22417.350081518856</v>
      </c>
      <c r="BA331" s="4">
        <f t="shared" si="3202"/>
        <v>-22472.63731440005</v>
      </c>
      <c r="BB331" s="4">
        <f t="shared" si="3202"/>
        <v>-22518.927267819276</v>
      </c>
      <c r="BC331" s="4">
        <f t="shared" si="3202"/>
        <v>-22565.312570963481</v>
      </c>
      <c r="BD331" s="4">
        <f t="shared" si="3202"/>
        <v>-22611.793420237489</v>
      </c>
      <c r="BE331" s="4">
        <f t="shared" si="3202"/>
        <v>-22658.370012450687</v>
      </c>
      <c r="BF331" s="4">
        <f t="shared" si="3202"/>
        <v>-22705.042544817847</v>
      </c>
      <c r="BG331" s="4">
        <f t="shared" si="3202"/>
        <v>-22751.811214959987</v>
      </c>
      <c r="BH331" s="4">
        <f t="shared" si="3202"/>
        <v>-22798.676220905178</v>
      </c>
      <c r="BI331" s="4">
        <f t="shared" si="3202"/>
        <v>-22845.637761089398</v>
      </c>
      <c r="BJ331" s="4">
        <f t="shared" si="3202"/>
        <v>-22892.696034357377</v>
      </c>
      <c r="BK331" s="4">
        <f t="shared" si="3202"/>
        <v>-22939.851239963435</v>
      </c>
      <c r="BL331" s="4">
        <f t="shared" si="3202"/>
        <v>-22987.103577572303</v>
      </c>
      <c r="BM331" s="4">
        <f t="shared" si="3202"/>
        <v>-23034.453247260022</v>
      </c>
      <c r="BN331" s="4">
        <f t="shared" si="3202"/>
        <v>-23081.900449514724</v>
      </c>
      <c r="BO331" s="4">
        <f t="shared" si="3202"/>
        <v>-23129.445385237541</v>
      </c>
      <c r="BP331" s="4">
        <f t="shared" si="3202"/>
        <v>-23177.088255743394</v>
      </c>
      <c r="BQ331" s="4">
        <f t="shared" si="3202"/>
        <v>-23224.829262761923</v>
      </c>
      <c r="BR331" s="4">
        <f t="shared" si="3202"/>
        <v>-23272.668608438267</v>
      </c>
      <c r="BS331" s="4">
        <f t="shared" ref="BS331:BY331" si="3203">+BS57+BS96+BS135+BS174+BS213+BS259+BS297</f>
        <v>-23320.606495333963</v>
      </c>
      <c r="BT331" s="4">
        <f t="shared" si="3203"/>
        <v>-23368.643126427778</v>
      </c>
      <c r="BU331" s="4">
        <f t="shared" si="3203"/>
        <v>-23416.778705116605</v>
      </c>
      <c r="BV331" s="4">
        <f t="shared" si="3203"/>
        <v>-23465.013435216286</v>
      </c>
      <c r="BW331" s="4">
        <f t="shared" si="3203"/>
        <v>-23513.347520962492</v>
      </c>
      <c r="BX331" s="4">
        <f t="shared" si="3203"/>
        <v>-23561.781167011588</v>
      </c>
      <c r="BY331" s="4">
        <f t="shared" si="3203"/>
        <v>-23610.314578441496</v>
      </c>
    </row>
    <row r="332" spans="2:77" outlineLevel="1" x14ac:dyDescent="0.25">
      <c r="C332" s="79" t="s">
        <v>126</v>
      </c>
      <c r="D332" s="98" t="s">
        <v>101</v>
      </c>
      <c r="E332" s="5"/>
      <c r="F332" s="20">
        <f>+F222+F306</f>
        <v>1635.6846057571984</v>
      </c>
      <c r="G332" s="20">
        <f t="shared" ref="G332:BR332" si="3204">+G222+G306</f>
        <v>4538.0325406758438</v>
      </c>
      <c r="H332" s="20">
        <f t="shared" si="3204"/>
        <v>8525.0963704630776</v>
      </c>
      <c r="I332" s="20">
        <f t="shared" si="3204"/>
        <v>8202.6132665832301</v>
      </c>
      <c r="J332" s="20">
        <f t="shared" si="3204"/>
        <v>10137.51188986233</v>
      </c>
      <c r="K332" s="20">
        <f t="shared" si="3204"/>
        <v>7235.1639549436841</v>
      </c>
      <c r="L332" s="20">
        <f t="shared" si="3204"/>
        <v>7586.9637046307889</v>
      </c>
      <c r="M332" s="20">
        <f t="shared" si="3204"/>
        <v>11280.861076345431</v>
      </c>
      <c r="N332" s="20">
        <f t="shared" si="3204"/>
        <v>5915.914893617025</v>
      </c>
      <c r="O332" s="20">
        <f t="shared" si="3204"/>
        <v>7938.7634543178974</v>
      </c>
      <c r="P332" s="20">
        <f t="shared" si="3204"/>
        <v>13157.126408010014</v>
      </c>
      <c r="Q332" s="20">
        <f t="shared" si="3204"/>
        <v>25206.267834793496</v>
      </c>
      <c r="R332" s="20">
        <f t="shared" si="3204"/>
        <v>1684.7551439299154</v>
      </c>
      <c r="S332" s="20">
        <f t="shared" si="3204"/>
        <v>4674.1735168961204</v>
      </c>
      <c r="T332" s="20">
        <f t="shared" si="3204"/>
        <v>8780.8492615769719</v>
      </c>
      <c r="U332" s="20">
        <f t="shared" si="3204"/>
        <v>8448.6916645807269</v>
      </c>
      <c r="V332" s="20">
        <f t="shared" si="3204"/>
        <v>10441.637246558201</v>
      </c>
      <c r="W332" s="20">
        <f t="shared" si="3204"/>
        <v>7452.2188735919963</v>
      </c>
      <c r="X332" s="20">
        <f t="shared" si="3204"/>
        <v>7814.5726157697154</v>
      </c>
      <c r="Y332" s="20">
        <f t="shared" si="3204"/>
        <v>11619.286908635795</v>
      </c>
      <c r="Z332" s="20">
        <f t="shared" si="3204"/>
        <v>6093.3923404255374</v>
      </c>
      <c r="AA332" s="20">
        <f t="shared" si="3204"/>
        <v>8176.9263579474346</v>
      </c>
      <c r="AB332" s="20">
        <f t="shared" si="3204"/>
        <v>13551.840200250312</v>
      </c>
      <c r="AC332" s="20">
        <f t="shared" si="3204"/>
        <v>25962.4558698373</v>
      </c>
      <c r="AD332" s="20">
        <f t="shared" si="3204"/>
        <v>1735.2977982478124</v>
      </c>
      <c r="AE332" s="20">
        <f t="shared" si="3204"/>
        <v>4814.3987224030034</v>
      </c>
      <c r="AF332" s="20">
        <f t="shared" si="3204"/>
        <v>9044.2747394242797</v>
      </c>
      <c r="AG332" s="20">
        <f t="shared" si="3204"/>
        <v>8702.1524145181484</v>
      </c>
      <c r="AH332" s="20">
        <f t="shared" si="3204"/>
        <v>10754.886363954945</v>
      </c>
      <c r="AI332" s="20">
        <f t="shared" si="3204"/>
        <v>7675.7854397997544</v>
      </c>
      <c r="AJ332" s="20">
        <f t="shared" si="3204"/>
        <v>8049.0097942428056</v>
      </c>
      <c r="AK332" s="20">
        <f t="shared" si="3204"/>
        <v>11967.865515894866</v>
      </c>
      <c r="AL332" s="20">
        <f t="shared" si="3204"/>
        <v>6276.1941106382992</v>
      </c>
      <c r="AM332" s="20">
        <f t="shared" si="3204"/>
        <v>8422.2341486858531</v>
      </c>
      <c r="AN332" s="20">
        <f t="shared" si="3204"/>
        <v>13958.395406257823</v>
      </c>
      <c r="AO332" s="20">
        <f t="shared" si="3204"/>
        <v>26741.329545932422</v>
      </c>
      <c r="AP332" s="20">
        <f t="shared" si="3204"/>
        <v>1778.6802432040079</v>
      </c>
      <c r="AQ332" s="20">
        <f t="shared" si="3204"/>
        <v>4934.7586904630762</v>
      </c>
      <c r="AR332" s="20">
        <f t="shared" si="3204"/>
        <v>9270.381607909887</v>
      </c>
      <c r="AS332" s="20">
        <f t="shared" si="3204"/>
        <v>8919.7062248811035</v>
      </c>
      <c r="AT332" s="20">
        <f t="shared" si="3204"/>
        <v>11023.758523053821</v>
      </c>
      <c r="AU332" s="20">
        <f t="shared" si="3204"/>
        <v>7867.6800757947476</v>
      </c>
      <c r="AV332" s="20">
        <f t="shared" si="3204"/>
        <v>4950.1410234593268</v>
      </c>
      <c r="AW332" s="20">
        <f t="shared" si="3204"/>
        <v>7360.2372922753448</v>
      </c>
      <c r="AX332" s="20">
        <f t="shared" si="3204"/>
        <v>3859.8593780425563</v>
      </c>
      <c r="AY332" s="20">
        <f t="shared" si="3204"/>
        <v>5179.6740014418019</v>
      </c>
      <c r="AZ332" s="20">
        <f t="shared" si="3204"/>
        <v>8584.4131748485615</v>
      </c>
      <c r="BA332" s="20">
        <f t="shared" si="3204"/>
        <v>16445.917670748444</v>
      </c>
      <c r="BB332" s="20">
        <f t="shared" si="3204"/>
        <v>1823.1472492841026</v>
      </c>
      <c r="BC332" s="20">
        <f t="shared" si="3204"/>
        <v>5058.1276577246517</v>
      </c>
      <c r="BD332" s="20">
        <f t="shared" si="3204"/>
        <v>9502.1411481076302</v>
      </c>
      <c r="BE332" s="20">
        <f t="shared" si="3204"/>
        <v>9142.6988805031269</v>
      </c>
      <c r="BF332" s="20">
        <f t="shared" si="3204"/>
        <v>11299.352486130163</v>
      </c>
      <c r="BG332" s="20">
        <f t="shared" si="3204"/>
        <v>8064.3720776896134</v>
      </c>
      <c r="BH332" s="20">
        <f t="shared" si="3204"/>
        <v>8456.4909150763415</v>
      </c>
      <c r="BI332" s="20">
        <f t="shared" si="3204"/>
        <v>12573.738707637041</v>
      </c>
      <c r="BJ332" s="20">
        <f t="shared" si="3204"/>
        <v>6593.9264374893628</v>
      </c>
      <c r="BK332" s="20">
        <f t="shared" si="3204"/>
        <v>8848.609752463075</v>
      </c>
      <c r="BL332" s="20">
        <f t="shared" si="3204"/>
        <v>14665.039173699623</v>
      </c>
      <c r="BM332" s="20">
        <f t="shared" si="3204"/>
        <v>28095.10935419525</v>
      </c>
      <c r="BN332" s="20">
        <f t="shared" si="3204"/>
        <v>1859.6101942697912</v>
      </c>
      <c r="BO332" s="20">
        <f t="shared" si="3204"/>
        <v>5159.2902108791468</v>
      </c>
      <c r="BP332" s="20">
        <f t="shared" si="3204"/>
        <v>9692.1839710697914</v>
      </c>
      <c r="BQ332" s="20">
        <f t="shared" si="3204"/>
        <v>9325.5528581131948</v>
      </c>
      <c r="BR332" s="20">
        <f t="shared" si="3204"/>
        <v>11525.339535852774</v>
      </c>
      <c r="BS332" s="20">
        <f t="shared" ref="BS332:BY332" si="3205">+BS222+BS306</f>
        <v>8225.6595192434124</v>
      </c>
      <c r="BT332" s="20">
        <f t="shared" si="3205"/>
        <v>8625.6207333778784</v>
      </c>
      <c r="BU332" s="20">
        <f t="shared" si="3205"/>
        <v>12825.21348178979</v>
      </c>
      <c r="BV332" s="20">
        <f t="shared" si="3205"/>
        <v>6725.8049662391568</v>
      </c>
      <c r="BW332" s="20">
        <f t="shared" si="3205"/>
        <v>9025.581947512339</v>
      </c>
      <c r="BX332" s="20">
        <f t="shared" si="3205"/>
        <v>14958.339957173621</v>
      </c>
      <c r="BY332" s="20">
        <f t="shared" si="3205"/>
        <v>28657.011541279164</v>
      </c>
    </row>
    <row r="333" spans="2:77" outlineLevel="1" x14ac:dyDescent="0.25">
      <c r="C333" s="80" t="s">
        <v>51</v>
      </c>
      <c r="D333" s="37" t="s">
        <v>101</v>
      </c>
      <c r="F333" s="23">
        <f>SUM(F330:F332)</f>
        <v>190965.67451314579</v>
      </c>
      <c r="G333" s="23">
        <f t="shared" ref="G333:BR333" si="3206">SUM(G330:G332)</f>
        <v>194054.24501035953</v>
      </c>
      <c r="H333" s="23">
        <f t="shared" si="3206"/>
        <v>229109.39104665234</v>
      </c>
      <c r="I333" s="23">
        <f t="shared" si="3206"/>
        <v>228974.35178930516</v>
      </c>
      <c r="J333" s="23">
        <f t="shared" si="3206"/>
        <v>231097.3079014942</v>
      </c>
      <c r="K333" s="23">
        <f t="shared" si="3206"/>
        <v>228383.63310676831</v>
      </c>
      <c r="L333" s="23">
        <f t="shared" si="3206"/>
        <v>230569.43616341305</v>
      </c>
      <c r="M333" s="23">
        <f t="shared" si="3206"/>
        <v>234453.24403093039</v>
      </c>
      <c r="N333" s="23">
        <f t="shared" si="3206"/>
        <v>229278.8300615499</v>
      </c>
      <c r="O333" s="23">
        <f t="shared" si="3206"/>
        <v>231492.83458848539</v>
      </c>
      <c r="P333" s="23">
        <f t="shared" si="3206"/>
        <v>239058.94805330329</v>
      </c>
      <c r="Q333" s="23">
        <f t="shared" si="3206"/>
        <v>251300.49908479347</v>
      </c>
      <c r="R333" s="23">
        <f t="shared" si="3206"/>
        <v>228427.66258063703</v>
      </c>
      <c r="S333" s="23">
        <f t="shared" si="3206"/>
        <v>231562.8658005188</v>
      </c>
      <c r="T333" s="23">
        <f t="shared" si="3206"/>
        <v>235815.6859368764</v>
      </c>
      <c r="U333" s="23">
        <f t="shared" si="3206"/>
        <v>235630.03316305246</v>
      </c>
      <c r="V333" s="23">
        <f t="shared" si="3206"/>
        <v>237769.84488861915</v>
      </c>
      <c r="W333" s="23">
        <f t="shared" si="3206"/>
        <v>234927.65487077268</v>
      </c>
      <c r="X333" s="23">
        <f t="shared" si="3206"/>
        <v>213552.09112044444</v>
      </c>
      <c r="Y333" s="23">
        <f t="shared" si="3206"/>
        <v>217497.58727555239</v>
      </c>
      <c r="Z333" s="23">
        <f t="shared" si="3206"/>
        <v>225807.19501371897</v>
      </c>
      <c r="AA333" s="23">
        <f t="shared" si="3206"/>
        <v>228032.20616188922</v>
      </c>
      <c r="AB333" s="23">
        <f t="shared" si="3206"/>
        <v>235763.44621186121</v>
      </c>
      <c r="AC333" s="23">
        <f t="shared" si="3206"/>
        <v>248316.23771417094</v>
      </c>
      <c r="AD333" s="23">
        <f t="shared" si="3206"/>
        <v>227647.43228497836</v>
      </c>
      <c r="AE333" s="23">
        <f t="shared" si="3206"/>
        <v>230827.00771973902</v>
      </c>
      <c r="AF333" s="23">
        <f t="shared" si="3206"/>
        <v>235157.52418918879</v>
      </c>
      <c r="AG333" s="23">
        <f t="shared" si="3206"/>
        <v>244219.09872397967</v>
      </c>
      <c r="AH333" s="23">
        <f t="shared" si="3206"/>
        <v>246372.80583214291</v>
      </c>
      <c r="AI333" s="23">
        <f t="shared" si="3206"/>
        <v>243394.84483209511</v>
      </c>
      <c r="AJ333" s="23">
        <f t="shared" si="3206"/>
        <v>245503.31895859557</v>
      </c>
      <c r="AK333" s="23">
        <f t="shared" si="3206"/>
        <v>249523.64896185158</v>
      </c>
      <c r="AL333" s="23">
        <f t="shared" si="3206"/>
        <v>243933.61943122506</v>
      </c>
      <c r="AM333" s="23">
        <f t="shared" si="3206"/>
        <v>276968.65088576562</v>
      </c>
      <c r="AN333" s="23">
        <f t="shared" si="3206"/>
        <v>224421.91972903008</v>
      </c>
      <c r="AO333" s="23">
        <f t="shared" si="3206"/>
        <v>237294.61881333089</v>
      </c>
      <c r="AP333" s="23">
        <f t="shared" si="3206"/>
        <v>249757.68018218191</v>
      </c>
      <c r="AQ333" s="23">
        <f t="shared" si="3206"/>
        <v>253003.82032712907</v>
      </c>
      <c r="AR333" s="23">
        <f t="shared" si="3206"/>
        <v>257429.65368647999</v>
      </c>
      <c r="AS333" s="23">
        <f t="shared" si="3206"/>
        <v>257169.33773523444</v>
      </c>
      <c r="AT333" s="23">
        <f t="shared" si="3206"/>
        <v>266935.17140842613</v>
      </c>
      <c r="AU333" s="23">
        <f t="shared" si="3206"/>
        <v>263882.25568375661</v>
      </c>
      <c r="AV333" s="23">
        <f t="shared" si="3206"/>
        <v>214190.34479691135</v>
      </c>
      <c r="AW333" s="23">
        <f t="shared" si="3206"/>
        <v>241411.95940369603</v>
      </c>
      <c r="AX333" s="23">
        <f t="shared" si="3206"/>
        <v>268447.5681334844</v>
      </c>
      <c r="AY333" s="23">
        <f t="shared" si="3206"/>
        <v>269861.15878695308</v>
      </c>
      <c r="AZ333" s="23">
        <f t="shared" si="3206"/>
        <v>235940.41507127852</v>
      </c>
      <c r="BA333" s="23">
        <f t="shared" si="3206"/>
        <v>243888.42821105465</v>
      </c>
      <c r="BB333" s="23">
        <f t="shared" si="3206"/>
        <v>259825.5220121101</v>
      </c>
      <c r="BC333" s="23">
        <f t="shared" si="3206"/>
        <v>263133.3354467114</v>
      </c>
      <c r="BD333" s="23">
        <f t="shared" si="3206"/>
        <v>267650.27238456265</v>
      </c>
      <c r="BE333" s="23">
        <f t="shared" si="3206"/>
        <v>287952.57759999676</v>
      </c>
      <c r="BF333" s="23">
        <f t="shared" si="3206"/>
        <v>295424.42835479073</v>
      </c>
      <c r="BG333" s="23">
        <f t="shared" si="3206"/>
        <v>292268.38414638781</v>
      </c>
      <c r="BH333" s="23">
        <f t="shared" si="3206"/>
        <v>294725.36866046244</v>
      </c>
      <c r="BI333" s="23">
        <f t="shared" si="3206"/>
        <v>314815.27855274244</v>
      </c>
      <c r="BJ333" s="23">
        <f t="shared" si="3206"/>
        <v>308914.69684274273</v>
      </c>
      <c r="BK333" s="23">
        <f t="shared" si="3206"/>
        <v>311248.70908163162</v>
      </c>
      <c r="BL333" s="23">
        <f t="shared" si="3206"/>
        <v>318669.18279490247</v>
      </c>
      <c r="BM333" s="23">
        <f t="shared" si="3206"/>
        <v>332178.77899335156</v>
      </c>
      <c r="BN333" s="23">
        <f t="shared" si="3206"/>
        <v>275705.11693582404</v>
      </c>
      <c r="BO333" s="23">
        <f t="shared" si="3206"/>
        <v>279079.68882067368</v>
      </c>
      <c r="BP333" s="23">
        <f t="shared" si="3206"/>
        <v>303472.05352602311</v>
      </c>
      <c r="BQ333" s="23">
        <f t="shared" si="3206"/>
        <v>303180.50035140582</v>
      </c>
      <c r="BR333" s="23">
        <f t="shared" si="3206"/>
        <v>306406.72883600468</v>
      </c>
      <c r="BS333" s="23">
        <f t="shared" ref="BS333:BY333" si="3207">SUM(BS330:BS332)</f>
        <v>303182.31329012814</v>
      </c>
      <c r="BT333" s="23">
        <f t="shared" si="3207"/>
        <v>309616.25930583908</v>
      </c>
      <c r="BU333" s="23">
        <f t="shared" si="3207"/>
        <v>313896.17135737307</v>
      </c>
      <c r="BV333" s="23">
        <f t="shared" si="3207"/>
        <v>307877.1818603726</v>
      </c>
      <c r="BW333" s="23">
        <f t="shared" si="3207"/>
        <v>323610.9880573785</v>
      </c>
      <c r="BX333" s="23">
        <f t="shared" si="3207"/>
        <v>331187.09719227691</v>
      </c>
      <c r="BY333" s="23">
        <f t="shared" si="3207"/>
        <v>344966.48768460506</v>
      </c>
    </row>
    <row r="334" spans="2:77" outlineLevel="1" x14ac:dyDescent="0.25">
      <c r="C334" s="166" t="s">
        <v>148</v>
      </c>
      <c r="D334" s="36" t="s">
        <v>16</v>
      </c>
      <c r="F334" s="170"/>
      <c r="G334" s="170"/>
      <c r="H334" s="170"/>
      <c r="I334" s="170"/>
      <c r="J334" s="170"/>
      <c r="K334" s="170"/>
      <c r="L334" s="170"/>
      <c r="M334" s="170"/>
      <c r="N334" s="170"/>
      <c r="O334" s="170"/>
      <c r="P334" s="170"/>
      <c r="Q334" s="170"/>
      <c r="R334" s="169">
        <f>+R333/F333-1</f>
        <v>0.19617131802874033</v>
      </c>
      <c r="S334" s="169">
        <f t="shared" ref="S334:BY334" si="3208">+S333/G333-1</f>
        <v>0.19328935982903594</v>
      </c>
      <c r="T334" s="169">
        <f t="shared" si="3208"/>
        <v>2.9271147985629575E-2</v>
      </c>
      <c r="U334" s="169">
        <f t="shared" si="3208"/>
        <v>2.9067366374167625E-2</v>
      </c>
      <c r="V334" s="169">
        <f t="shared" si="3208"/>
        <v>2.8873278740092934E-2</v>
      </c>
      <c r="W334" s="169">
        <f t="shared" si="3208"/>
        <v>2.8653637193629677E-2</v>
      </c>
      <c r="X334" s="169">
        <f t="shared" si="3208"/>
        <v>-7.380572779346084E-2</v>
      </c>
      <c r="Y334" s="169">
        <f t="shared" si="3208"/>
        <v>-7.2319992096765873E-2</v>
      </c>
      <c r="Z334" s="169">
        <f t="shared" si="3208"/>
        <v>-1.5141542055579049E-2</v>
      </c>
      <c r="AA334" s="169">
        <f t="shared" si="3208"/>
        <v>-1.4949181613970852E-2</v>
      </c>
      <c r="AB334" s="169">
        <f t="shared" si="3208"/>
        <v>-1.3785310561591158E-2</v>
      </c>
      <c r="AC334" s="169">
        <f t="shared" si="3208"/>
        <v>-1.1875270369501201E-2</v>
      </c>
      <c r="AD334" s="169">
        <f t="shared" si="3208"/>
        <v>-3.4156559098145189E-3</v>
      </c>
      <c r="AE334" s="169">
        <f t="shared" si="3208"/>
        <v>-3.1777896608590206E-3</v>
      </c>
      <c r="AF334" s="169">
        <f t="shared" si="3208"/>
        <v>-2.7910007134291925E-3</v>
      </c>
      <c r="AG334" s="169">
        <f t="shared" si="3208"/>
        <v>3.6451488995817849E-2</v>
      </c>
      <c r="AH334" s="169">
        <f t="shared" si="3208"/>
        <v>3.6181883987659313E-2</v>
      </c>
      <c r="AI334" s="169">
        <f t="shared" si="3208"/>
        <v>3.6041691072854043E-2</v>
      </c>
      <c r="AJ334" s="169">
        <f t="shared" si="3208"/>
        <v>0.14961795817831858</v>
      </c>
      <c r="AK334" s="169">
        <f t="shared" si="3208"/>
        <v>0.14724789404548511</v>
      </c>
      <c r="AL334" s="169">
        <f t="shared" si="3208"/>
        <v>8.0273900999500158E-2</v>
      </c>
      <c r="AM334" s="169">
        <f t="shared" si="3208"/>
        <v>0.21460321569285012</v>
      </c>
      <c r="AN334" s="169">
        <f t="shared" si="3208"/>
        <v>-4.8105534021755991E-2</v>
      </c>
      <c r="AO334" s="169">
        <f t="shared" si="3208"/>
        <v>-4.4385413544831054E-2</v>
      </c>
      <c r="AP334" s="169">
        <f t="shared" si="3208"/>
        <v>9.7124960625626811E-2</v>
      </c>
      <c r="AQ334" s="169">
        <f t="shared" si="3208"/>
        <v>9.6075467192800357E-2</v>
      </c>
      <c r="AR334" s="169">
        <f t="shared" si="3208"/>
        <v>9.471153251032205E-2</v>
      </c>
      <c r="AS334" s="169">
        <f t="shared" si="3208"/>
        <v>5.3027134564489264E-2</v>
      </c>
      <c r="AT334" s="169">
        <f t="shared" si="3208"/>
        <v>8.3460370176944965E-2</v>
      </c>
      <c r="AU334" s="169">
        <f t="shared" si="3208"/>
        <v>8.4173561135999497E-2</v>
      </c>
      <c r="AV334" s="169">
        <f t="shared" si="3208"/>
        <v>-0.12754603194169112</v>
      </c>
      <c r="AW334" s="169">
        <f t="shared" si="3208"/>
        <v>-3.2508700445446403E-2</v>
      </c>
      <c r="AX334" s="169">
        <f t="shared" si="3208"/>
        <v>0.10049434251587797</v>
      </c>
      <c r="AY334" s="169">
        <f t="shared" si="3208"/>
        <v>-2.5661720472993088E-2</v>
      </c>
      <c r="AZ334" s="169">
        <f t="shared" si="3208"/>
        <v>5.1325179626642514E-2</v>
      </c>
      <c r="BA334" s="169">
        <f t="shared" si="3208"/>
        <v>2.7787437535238935E-2</v>
      </c>
      <c r="BB334" s="169">
        <f t="shared" si="3208"/>
        <v>4.0310439393032249E-2</v>
      </c>
      <c r="BC334" s="169">
        <f t="shared" si="3208"/>
        <v>4.0037004605246951E-2</v>
      </c>
      <c r="BD334" s="169">
        <f t="shared" si="3208"/>
        <v>3.9702569427103374E-2</v>
      </c>
      <c r="BE334" s="169">
        <f t="shared" si="3208"/>
        <v>0.11970027273023831</v>
      </c>
      <c r="BF334" s="169">
        <f t="shared" si="3208"/>
        <v>0.10672725065058741</v>
      </c>
      <c r="BG334" s="169">
        <f t="shared" si="3208"/>
        <v>0.10757119075353772</v>
      </c>
      <c r="BH334" s="169">
        <f t="shared" si="3208"/>
        <v>0.37599745189220313</v>
      </c>
      <c r="BI334" s="169">
        <f t="shared" si="3208"/>
        <v>0.30405833799766002</v>
      </c>
      <c r="BJ334" s="169">
        <f t="shared" si="3208"/>
        <v>0.15074500018989268</v>
      </c>
      <c r="BK334" s="169">
        <f t="shared" si="3208"/>
        <v>0.15336608825337739</v>
      </c>
      <c r="BL334" s="169">
        <f t="shared" si="3208"/>
        <v>0.35063415353673633</v>
      </c>
      <c r="BM334" s="169">
        <f t="shared" si="3208"/>
        <v>0.3620112337018826</v>
      </c>
      <c r="BN334" s="169">
        <f t="shared" si="3208"/>
        <v>6.1116378409407535E-2</v>
      </c>
      <c r="BO334" s="169">
        <f t="shared" si="3208"/>
        <v>6.0601798502233795E-2</v>
      </c>
      <c r="BP334" s="169">
        <f t="shared" si="3208"/>
        <v>0.13383801489277536</v>
      </c>
      <c r="BQ334" s="169">
        <f t="shared" si="3208"/>
        <v>5.2883439621653983E-2</v>
      </c>
      <c r="BR334" s="169">
        <f t="shared" si="3208"/>
        <v>3.71746525579284E-2</v>
      </c>
      <c r="BS334" s="169">
        <f t="shared" si="3208"/>
        <v>3.7342147614139121E-2</v>
      </c>
      <c r="BT334" s="169">
        <f t="shared" si="3208"/>
        <v>5.0524631500356687E-2</v>
      </c>
      <c r="BU334" s="169">
        <f t="shared" si="3208"/>
        <v>-2.9195126729384402E-3</v>
      </c>
      <c r="BV334" s="169">
        <f t="shared" si="3208"/>
        <v>-3.3585808411643603E-3</v>
      </c>
      <c r="BW334" s="169">
        <f t="shared" si="3208"/>
        <v>3.9718330116847556E-2</v>
      </c>
      <c r="BX334" s="169">
        <f t="shared" si="3208"/>
        <v>3.9281847989145025E-2</v>
      </c>
      <c r="BY334" s="169">
        <f t="shared" si="3208"/>
        <v>3.8496464855479084E-2</v>
      </c>
    </row>
    <row r="335" spans="2:77" outlineLevel="1" x14ac:dyDescent="0.25">
      <c r="C335" s="81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</row>
    <row r="336" spans="2:77" outlineLevel="1" x14ac:dyDescent="0.25">
      <c r="C336" s="82" t="s">
        <v>6</v>
      </c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  <c r="BE336" s="45"/>
      <c r="BF336" s="45"/>
      <c r="BG336" s="45"/>
      <c r="BH336" s="45"/>
      <c r="BI336" s="45"/>
      <c r="BJ336" s="45"/>
      <c r="BK336" s="45"/>
      <c r="BL336" s="45"/>
      <c r="BM336" s="45"/>
      <c r="BN336" s="45"/>
      <c r="BO336" s="45"/>
      <c r="BP336" s="45"/>
      <c r="BQ336" s="45"/>
      <c r="BR336" s="45"/>
      <c r="BS336" s="45"/>
      <c r="BT336" s="45"/>
      <c r="BU336" s="45"/>
      <c r="BV336" s="45"/>
      <c r="BW336" s="45"/>
      <c r="BX336" s="45"/>
      <c r="BY336" s="45"/>
    </row>
    <row r="337" spans="3:77" outlineLevel="1" x14ac:dyDescent="0.25">
      <c r="C337" s="50" t="s">
        <v>58</v>
      </c>
      <c r="D337" s="37" t="s">
        <v>101</v>
      </c>
      <c r="F337" s="4">
        <f t="shared" ref="F337:AK337" si="3209">-F333*Prop_Mgmt_Fee_Pct</f>
        <v>-5728.9702353943749</v>
      </c>
      <c r="G337" s="4">
        <f t="shared" si="3209"/>
        <v>-5821.6273503107868</v>
      </c>
      <c r="H337" s="4">
        <f t="shared" si="3209"/>
        <v>-6873.2817313995711</v>
      </c>
      <c r="I337" s="4">
        <f t="shared" si="3209"/>
        <v>-6869.2305536791564</v>
      </c>
      <c r="J337" s="4">
        <f t="shared" si="3209"/>
        <v>-6932.9192370448272</v>
      </c>
      <c r="K337" s="4">
        <f t="shared" si="3209"/>
        <v>-6851.5089932030505</v>
      </c>
      <c r="L337" s="4">
        <f t="shared" si="3209"/>
        <v>-6917.0830849023923</v>
      </c>
      <c r="M337" s="4">
        <f t="shared" si="3209"/>
        <v>-7033.5973209279127</v>
      </c>
      <c r="N337" s="4">
        <f t="shared" si="3209"/>
        <v>-6878.3649018464985</v>
      </c>
      <c r="O337" s="4">
        <f t="shared" si="3209"/>
        <v>-6944.785037654563</v>
      </c>
      <c r="P337" s="4">
        <f t="shared" si="3209"/>
        <v>-7171.7684415990998</v>
      </c>
      <c r="Q337" s="4">
        <f t="shared" si="3209"/>
        <v>-7539.0149725438059</v>
      </c>
      <c r="R337" s="4">
        <f t="shared" si="3209"/>
        <v>-6852.8298774191126</v>
      </c>
      <c r="S337" s="4">
        <f t="shared" si="3209"/>
        <v>-6946.8859740155658</v>
      </c>
      <c r="T337" s="4">
        <f t="shared" si="3209"/>
        <v>-7074.470578106293</v>
      </c>
      <c r="U337" s="4">
        <f t="shared" si="3209"/>
        <v>-7068.9009948915755</v>
      </c>
      <c r="V337" s="4">
        <f t="shared" si="3209"/>
        <v>-7133.0953466585761</v>
      </c>
      <c r="W337" s="4">
        <f t="shared" si="3209"/>
        <v>-7047.8296461231821</v>
      </c>
      <c r="X337" s="4">
        <f t="shared" si="3209"/>
        <v>-6406.5627336133348</v>
      </c>
      <c r="Y337" s="4">
        <f t="shared" si="3209"/>
        <v>-6524.9276182665726</v>
      </c>
      <c r="Z337" s="4">
        <f t="shared" si="3209"/>
        <v>-6774.2158504115705</v>
      </c>
      <c r="AA337" s="4">
        <f t="shared" si="3209"/>
        <v>-6840.9661848566775</v>
      </c>
      <c r="AB337" s="4">
        <f t="shared" si="3209"/>
        <v>-7072.9033863558379</v>
      </c>
      <c r="AC337" s="4">
        <f t="shared" si="3209"/>
        <v>-7449.4871314251295</v>
      </c>
      <c r="AD337" s="4">
        <f t="shared" si="3209"/>
        <v>-6829.4229685493519</v>
      </c>
      <c r="AE337" s="4">
        <f t="shared" si="3209"/>
        <v>-6924.8102315921724</v>
      </c>
      <c r="AF337" s="4">
        <f t="shared" si="3209"/>
        <v>-7054.7257256756648</v>
      </c>
      <c r="AG337" s="4">
        <f t="shared" si="3209"/>
        <v>-7326.5729617193911</v>
      </c>
      <c r="AH337" s="4">
        <f t="shared" si="3209"/>
        <v>-7391.184174964289</v>
      </c>
      <c r="AI337" s="4">
        <f t="shared" si="3209"/>
        <v>-7301.8453449628551</v>
      </c>
      <c r="AJ337" s="4">
        <f t="shared" si="3209"/>
        <v>-7365.0995687578688</v>
      </c>
      <c r="AK337" s="4">
        <f t="shared" si="3209"/>
        <v>-7485.7094688555489</v>
      </c>
      <c r="AL337" s="4">
        <f t="shared" ref="AL337:BQ337" si="3210">-AL333*Prop_Mgmt_Fee_Pct</f>
        <v>-7318.0085829367536</v>
      </c>
      <c r="AM337" s="4">
        <f t="shared" si="3210"/>
        <v>-8309.0595265729698</v>
      </c>
      <c r="AN337" s="4">
        <f t="shared" si="3210"/>
        <v>-6732.6575918709041</v>
      </c>
      <c r="AO337" s="4">
        <f t="shared" si="3210"/>
        <v>-7118.8385643999281</v>
      </c>
      <c r="AP337" s="4">
        <f t="shared" si="3210"/>
        <v>-7492.7304054654587</v>
      </c>
      <c r="AQ337" s="4">
        <f t="shared" si="3210"/>
        <v>-7590.1146098138734</v>
      </c>
      <c r="AR337" s="4">
        <f t="shared" si="3210"/>
        <v>-7722.8896105944013</v>
      </c>
      <c r="AS337" s="4">
        <f t="shared" si="3210"/>
        <v>-7715.0801320570345</v>
      </c>
      <c r="AT337" s="4">
        <f t="shared" si="3210"/>
        <v>-8008.0551422527851</v>
      </c>
      <c r="AU337" s="4">
        <f t="shared" si="3210"/>
        <v>-7916.4676705126994</v>
      </c>
      <c r="AV337" s="4">
        <f t="shared" si="3210"/>
        <v>-6425.7103439073417</v>
      </c>
      <c r="AW337" s="4">
        <f t="shared" si="3210"/>
        <v>-7242.3587821108822</v>
      </c>
      <c r="AX337" s="4">
        <f t="shared" si="3210"/>
        <v>-8053.4270440045339</v>
      </c>
      <c r="AY337" s="4">
        <f t="shared" si="3210"/>
        <v>-8095.8347636085937</v>
      </c>
      <c r="AZ337" s="4">
        <f t="shared" si="3210"/>
        <v>-7078.2124521383566</v>
      </c>
      <c r="BA337" s="4">
        <f t="shared" si="3210"/>
        <v>-7316.6528463316408</v>
      </c>
      <c r="BB337" s="4">
        <f t="shared" si="3210"/>
        <v>-7794.765660363305</v>
      </c>
      <c r="BC337" s="4">
        <f t="shared" si="3210"/>
        <v>-7894.0000634013431</v>
      </c>
      <c r="BD337" s="4">
        <f t="shared" si="3210"/>
        <v>-8029.5081715368806</v>
      </c>
      <c r="BE337" s="4">
        <f t="shared" si="3210"/>
        <v>-8638.5773279999048</v>
      </c>
      <c r="BF337" s="4">
        <f t="shared" si="3210"/>
        <v>-8862.7328506437243</v>
      </c>
      <c r="BG337" s="4">
        <f t="shared" si="3210"/>
        <v>-8768.0515243916361</v>
      </c>
      <c r="BH337" s="4">
        <f t="shared" si="3210"/>
        <v>-8841.7610598138745</v>
      </c>
      <c r="BI337" s="4">
        <f t="shared" si="3210"/>
        <v>-9444.4583565822759</v>
      </c>
      <c r="BJ337" s="4">
        <f t="shared" si="3210"/>
        <v>-9267.440905282283</v>
      </c>
      <c r="BK337" s="4">
        <f t="shared" si="3210"/>
        <v>-9337.4612724489507</v>
      </c>
      <c r="BL337" s="4">
        <f t="shared" si="3210"/>
        <v>-9560.0754838470766</v>
      </c>
      <c r="BM337" s="4">
        <f t="shared" si="3210"/>
        <v>-9965.3633698005488</v>
      </c>
      <c r="BN337" s="4">
        <f t="shared" si="3210"/>
        <v>-8271.1535080747235</v>
      </c>
      <c r="BO337" s="4">
        <f t="shared" si="3210"/>
        <v>-8372.3906646202122</v>
      </c>
      <c r="BP337" s="4">
        <f t="shared" si="3210"/>
        <v>-9104.161605780695</v>
      </c>
      <c r="BQ337" s="4">
        <f t="shared" si="3210"/>
        <v>-9095.4150105421759</v>
      </c>
      <c r="BR337" s="4">
        <f t="shared" ref="BR337:BY337" si="3211">-BR333*Prop_Mgmt_Fee_Pct</f>
        <v>-9192.2018650801419</v>
      </c>
      <c r="BS337" s="4">
        <f t="shared" si="3211"/>
        <v>-9095.4693987038463</v>
      </c>
      <c r="BT337" s="4">
        <f t="shared" si="3211"/>
        <v>-9288.4877791751733</v>
      </c>
      <c r="BU337" s="4">
        <f t="shared" si="3211"/>
        <v>-9416.8851407211932</v>
      </c>
      <c r="BV337" s="4">
        <f t="shared" si="3211"/>
        <v>-9236.3154558111801</v>
      </c>
      <c r="BW337" s="4">
        <f t="shared" si="3211"/>
        <v>-9708.3296417213569</v>
      </c>
      <c r="BX337" s="4">
        <f t="shared" si="3211"/>
        <v>-9935.6129157683099</v>
      </c>
      <c r="BY337" s="4">
        <f t="shared" si="3211"/>
        <v>-10348.994630538155</v>
      </c>
    </row>
    <row r="338" spans="3:77" outlineLevel="1" x14ac:dyDescent="0.25">
      <c r="C338" s="50" t="s">
        <v>127</v>
      </c>
      <c r="D338" s="37" t="s">
        <v>101</v>
      </c>
      <c r="F338" s="4">
        <f t="shared" ref="F338:BQ338" si="3212">-CAM_per_SF*Rentable_Sq_Ft/Months*F$15</f>
        <v>-11474.9433987589</v>
      </c>
      <c r="G338" s="4">
        <f t="shared" si="3212"/>
        <v>-11512.509377461898</v>
      </c>
      <c r="H338" s="4">
        <f t="shared" si="3212"/>
        <v>-11550.198337403834</v>
      </c>
      <c r="I338" s="4">
        <f t="shared" si="3212"/>
        <v>-11588.01068119328</v>
      </c>
      <c r="J338" s="4">
        <f t="shared" si="3212"/>
        <v>-11625.946812756847</v>
      </c>
      <c r="K338" s="4">
        <f t="shared" si="3212"/>
        <v>-11664.007137343498</v>
      </c>
      <c r="L338" s="4">
        <f t="shared" si="3212"/>
        <v>-11702.192061528873</v>
      </c>
      <c r="M338" s="4">
        <f t="shared" si="3212"/>
        <v>-11740.501993219632</v>
      </c>
      <c r="N338" s="4">
        <f t="shared" si="3212"/>
        <v>-11778.93734165782</v>
      </c>
      <c r="O338" s="4">
        <f t="shared" si="3212"/>
        <v>-11817.498517425232</v>
      </c>
      <c r="P338" s="4">
        <f t="shared" si="3212"/>
        <v>-11856.185932447803</v>
      </c>
      <c r="Q338" s="4">
        <f t="shared" si="3212"/>
        <v>-11895.000000000005</v>
      </c>
      <c r="R338" s="4">
        <f t="shared" si="3212"/>
        <v>-11924.336278941559</v>
      </c>
      <c r="S338" s="4">
        <f t="shared" si="3212"/>
        <v>-11953.744909061095</v>
      </c>
      <c r="T338" s="4">
        <f t="shared" si="3212"/>
        <v>-11983.226068796142</v>
      </c>
      <c r="U338" s="4">
        <f t="shared" si="3212"/>
        <v>-12012.779937024297</v>
      </c>
      <c r="V338" s="4">
        <f t="shared" si="3212"/>
        <v>-12042.406693064315</v>
      </c>
      <c r="W338" s="4">
        <f t="shared" si="3212"/>
        <v>-12072.106516677206</v>
      </c>
      <c r="X338" s="4">
        <f t="shared" si="3212"/>
        <v>-12101.879588067319</v>
      </c>
      <c r="Y338" s="4">
        <f t="shared" si="3212"/>
        <v>-12131.726087883428</v>
      </c>
      <c r="Z338" s="4">
        <f t="shared" si="3212"/>
        <v>-12161.646197219841</v>
      </c>
      <c r="AA338" s="4">
        <f t="shared" si="3212"/>
        <v>-12191.640097617497</v>
      </c>
      <c r="AB338" s="4">
        <f t="shared" si="3212"/>
        <v>-12221.707971065058</v>
      </c>
      <c r="AC338" s="4">
        <f t="shared" si="3212"/>
        <v>-12251.85000000002</v>
      </c>
      <c r="AD338" s="4">
        <f t="shared" si="3212"/>
        <v>-12272.084926373951</v>
      </c>
      <c r="AE338" s="4">
        <f t="shared" si="3212"/>
        <v>-12292.353272373928</v>
      </c>
      <c r="AF338" s="4">
        <f t="shared" si="3212"/>
        <v>-12312.655093195177</v>
      </c>
      <c r="AG338" s="4">
        <f t="shared" si="3212"/>
        <v>-12332.990444124092</v>
      </c>
      <c r="AH338" s="4">
        <f t="shared" si="3212"/>
        <v>-12353.35938053837</v>
      </c>
      <c r="AI338" s="4">
        <f t="shared" si="3212"/>
        <v>-12373.761957907167</v>
      </c>
      <c r="AJ338" s="4">
        <f t="shared" si="3212"/>
        <v>-12394.198231791257</v>
      </c>
      <c r="AK338" s="4">
        <f t="shared" si="3212"/>
        <v>-12414.668257843176</v>
      </c>
      <c r="AL338" s="4">
        <f t="shared" si="3212"/>
        <v>-12435.172091807373</v>
      </c>
      <c r="AM338" s="4">
        <f t="shared" si="3212"/>
        <v>-12455.709789520362</v>
      </c>
      <c r="AN338" s="4">
        <f t="shared" si="3212"/>
        <v>-12476.281406910877</v>
      </c>
      <c r="AO338" s="4">
        <f t="shared" si="3212"/>
        <v>-12496.887000000026</v>
      </c>
      <c r="AP338" s="4">
        <f t="shared" si="3212"/>
        <v>-12517.526624901437</v>
      </c>
      <c r="AQ338" s="4">
        <f t="shared" si="3212"/>
        <v>-12538.200337821414</v>
      </c>
      <c r="AR338" s="4">
        <f t="shared" si="3212"/>
        <v>-12558.90819505909</v>
      </c>
      <c r="AS338" s="4">
        <f t="shared" si="3212"/>
        <v>-12579.650253006581</v>
      </c>
      <c r="AT338" s="4">
        <f t="shared" si="3212"/>
        <v>-12600.426568149143</v>
      </c>
      <c r="AU338" s="4">
        <f t="shared" si="3212"/>
        <v>-12621.237197065318</v>
      </c>
      <c r="AV338" s="4">
        <f t="shared" si="3212"/>
        <v>-12642.082196427091</v>
      </c>
      <c r="AW338" s="4">
        <f t="shared" si="3212"/>
        <v>-12662.961623000048</v>
      </c>
      <c r="AX338" s="4">
        <f t="shared" si="3212"/>
        <v>-12683.875533643528</v>
      </c>
      <c r="AY338" s="4">
        <f t="shared" si="3212"/>
        <v>-12704.823985310779</v>
      </c>
      <c r="AZ338" s="4">
        <f t="shared" si="3212"/>
        <v>-12725.807035049105</v>
      </c>
      <c r="BA338" s="4">
        <f t="shared" si="3212"/>
        <v>-12746.824740000038</v>
      </c>
      <c r="BB338" s="4">
        <f t="shared" si="3212"/>
        <v>-12762.649766338482</v>
      </c>
      <c r="BC338" s="4">
        <f t="shared" si="3212"/>
        <v>-12778.494439252734</v>
      </c>
      <c r="BD338" s="4">
        <f t="shared" si="3212"/>
        <v>-12794.358783133781</v>
      </c>
      <c r="BE338" s="4">
        <f t="shared" si="3212"/>
        <v>-12810.242822402886</v>
      </c>
      <c r="BF338" s="4">
        <f t="shared" si="3212"/>
        <v>-12826.146581511632</v>
      </c>
      <c r="BG338" s="4">
        <f t="shared" si="3212"/>
        <v>-12842.070084941955</v>
      </c>
      <c r="BH338" s="4">
        <f t="shared" si="3212"/>
        <v>-12858.013357206193</v>
      </c>
      <c r="BI338" s="4">
        <f t="shared" si="3212"/>
        <v>-12873.976422847105</v>
      </c>
      <c r="BJ338" s="4">
        <f t="shared" si="3212"/>
        <v>-12889.959306437928</v>
      </c>
      <c r="BK338" s="4">
        <f t="shared" si="3212"/>
        <v>-12905.9620325824</v>
      </c>
      <c r="BL338" s="4">
        <f t="shared" si="3212"/>
        <v>-12921.984625914813</v>
      </c>
      <c r="BM338" s="4">
        <f t="shared" si="3212"/>
        <v>-12938.027111100031</v>
      </c>
      <c r="BN338" s="4">
        <f t="shared" si="3212"/>
        <v>-12954.089512833549</v>
      </c>
      <c r="BO338" s="4">
        <f t="shared" si="3212"/>
        <v>-12970.171855841516</v>
      </c>
      <c r="BP338" s="4">
        <f t="shared" si="3212"/>
        <v>-12986.274164880779</v>
      </c>
      <c r="BQ338" s="4">
        <f t="shared" si="3212"/>
        <v>-13002.396464738922</v>
      </c>
      <c r="BR338" s="4">
        <f t="shared" ref="BR338:BY338" si="3213">-CAM_per_SF*Rentable_Sq_Ft/Months*BR$15</f>
        <v>-13018.538780234298</v>
      </c>
      <c r="BS338" s="4">
        <f t="shared" si="3213"/>
        <v>-13034.701136216077</v>
      </c>
      <c r="BT338" s="4">
        <f t="shared" si="3213"/>
        <v>-13050.883557564275</v>
      </c>
      <c r="BU338" s="4">
        <f t="shared" si="3213"/>
        <v>-13067.086069189801</v>
      </c>
      <c r="BV338" s="4">
        <f t="shared" si="3213"/>
        <v>-13083.308696034484</v>
      </c>
      <c r="BW338" s="4">
        <f t="shared" si="3213"/>
        <v>-13099.551463071124</v>
      </c>
      <c r="BX338" s="4">
        <f t="shared" si="3213"/>
        <v>-13115.814395303521</v>
      </c>
      <c r="BY338" s="4">
        <f t="shared" si="3213"/>
        <v>-13132.09751776652</v>
      </c>
    </row>
    <row r="339" spans="3:77" outlineLevel="1" x14ac:dyDescent="0.25">
      <c r="C339" s="50" t="s">
        <v>128</v>
      </c>
      <c r="D339" s="37" t="s">
        <v>101</v>
      </c>
      <c r="F339" s="4">
        <f t="shared" ref="F339:BQ339" si="3214">-Utilities_per_SF*Rentable_Sq_Ft/Months*F$15</f>
        <v>-9179.9547190071207</v>
      </c>
      <c r="G339" s="4">
        <f t="shared" si="3214"/>
        <v>-9210.0075019695178</v>
      </c>
      <c r="H339" s="4">
        <f t="shared" si="3214"/>
        <v>-9240.1586699230666</v>
      </c>
      <c r="I339" s="4">
        <f t="shared" si="3214"/>
        <v>-9270.4085449546237</v>
      </c>
      <c r="J339" s="4">
        <f t="shared" si="3214"/>
        <v>-9300.7574502054777</v>
      </c>
      <c r="K339" s="4">
        <f t="shared" si="3214"/>
        <v>-9331.2057098747991</v>
      </c>
      <c r="L339" s="4">
        <f t="shared" si="3214"/>
        <v>-9361.7536492230975</v>
      </c>
      <c r="M339" s="4">
        <f t="shared" si="3214"/>
        <v>-9392.4015945757055</v>
      </c>
      <c r="N339" s="4">
        <f t="shared" si="3214"/>
        <v>-9423.1498733262561</v>
      </c>
      <c r="O339" s="4">
        <f t="shared" si="3214"/>
        <v>-9453.9988139401848</v>
      </c>
      <c r="P339" s="4">
        <f t="shared" si="3214"/>
        <v>-9484.9487459582433</v>
      </c>
      <c r="Q339" s="4">
        <f t="shared" si="3214"/>
        <v>-9516.0000000000036</v>
      </c>
      <c r="R339" s="4">
        <f t="shared" si="3214"/>
        <v>-9539.4690231532477</v>
      </c>
      <c r="S339" s="4">
        <f t="shared" si="3214"/>
        <v>-9562.9959272488759</v>
      </c>
      <c r="T339" s="4">
        <f t="shared" si="3214"/>
        <v>-9586.5808550369147</v>
      </c>
      <c r="U339" s="4">
        <f t="shared" si="3214"/>
        <v>-9610.2239496194379</v>
      </c>
      <c r="V339" s="4">
        <f t="shared" si="3214"/>
        <v>-9633.9253544514522</v>
      </c>
      <c r="W339" s="4">
        <f t="shared" si="3214"/>
        <v>-9657.6852133417651</v>
      </c>
      <c r="X339" s="4">
        <f t="shared" si="3214"/>
        <v>-9681.5036704538543</v>
      </c>
      <c r="Y339" s="4">
        <f t="shared" si="3214"/>
        <v>-9705.3808703067425</v>
      </c>
      <c r="Z339" s="4">
        <f t="shared" si="3214"/>
        <v>-9729.3169577758727</v>
      </c>
      <c r="AA339" s="4">
        <f t="shared" si="3214"/>
        <v>-9753.3120780939971</v>
      </c>
      <c r="AB339" s="4">
        <f t="shared" si="3214"/>
        <v>-9777.3663768520455</v>
      </c>
      <c r="AC339" s="4">
        <f t="shared" si="3214"/>
        <v>-9801.4800000000159</v>
      </c>
      <c r="AD339" s="4">
        <f t="shared" si="3214"/>
        <v>-9817.6679410991601</v>
      </c>
      <c r="AE339" s="4">
        <f t="shared" si="3214"/>
        <v>-9833.8826178991421</v>
      </c>
      <c r="AF339" s="4">
        <f t="shared" si="3214"/>
        <v>-9850.1240745561427</v>
      </c>
      <c r="AG339" s="4">
        <f t="shared" si="3214"/>
        <v>-9866.3923552992746</v>
      </c>
      <c r="AH339" s="4">
        <f t="shared" si="3214"/>
        <v>-9882.6875044306962</v>
      </c>
      <c r="AI339" s="4">
        <f t="shared" si="3214"/>
        <v>-9899.0095663257325</v>
      </c>
      <c r="AJ339" s="4">
        <f t="shared" si="3214"/>
        <v>-9915.3585854330067</v>
      </c>
      <c r="AK339" s="4">
        <f t="shared" si="3214"/>
        <v>-9931.7346062745401</v>
      </c>
      <c r="AL339" s="4">
        <f t="shared" si="3214"/>
        <v>-9948.1376734458991</v>
      </c>
      <c r="AM339" s="4">
        <f t="shared" si="3214"/>
        <v>-9964.5678316162903</v>
      </c>
      <c r="AN339" s="4">
        <f t="shared" si="3214"/>
        <v>-9981.0251255287021</v>
      </c>
      <c r="AO339" s="4">
        <f t="shared" si="3214"/>
        <v>-9997.5096000000212</v>
      </c>
      <c r="AP339" s="4">
        <f t="shared" si="3214"/>
        <v>-10014.021299921149</v>
      </c>
      <c r="AQ339" s="4">
        <f t="shared" si="3214"/>
        <v>-10030.56027025713</v>
      </c>
      <c r="AR339" s="4">
        <f t="shared" si="3214"/>
        <v>-10047.126556047271</v>
      </c>
      <c r="AS339" s="4">
        <f t="shared" si="3214"/>
        <v>-10063.720202405266</v>
      </c>
      <c r="AT339" s="4">
        <f t="shared" si="3214"/>
        <v>-10080.341254519315</v>
      </c>
      <c r="AU339" s="4">
        <f t="shared" si="3214"/>
        <v>-10096.989757652254</v>
      </c>
      <c r="AV339" s="4">
        <f t="shared" si="3214"/>
        <v>-10113.665757141673</v>
      </c>
      <c r="AW339" s="4">
        <f t="shared" si="3214"/>
        <v>-10130.369298400039</v>
      </c>
      <c r="AX339" s="4">
        <f t="shared" si="3214"/>
        <v>-10147.100426914823</v>
      </c>
      <c r="AY339" s="4">
        <f t="shared" si="3214"/>
        <v>-10163.859188248623</v>
      </c>
      <c r="AZ339" s="4">
        <f t="shared" si="3214"/>
        <v>-10180.645628039283</v>
      </c>
      <c r="BA339" s="4">
        <f t="shared" si="3214"/>
        <v>-10197.459792000031</v>
      </c>
      <c r="BB339" s="4">
        <f t="shared" si="3214"/>
        <v>-10210.119813070785</v>
      </c>
      <c r="BC339" s="4">
        <f t="shared" si="3214"/>
        <v>-10222.795551402187</v>
      </c>
      <c r="BD339" s="4">
        <f t="shared" si="3214"/>
        <v>-10235.487026507026</v>
      </c>
      <c r="BE339" s="4">
        <f t="shared" si="3214"/>
        <v>-10248.194257922309</v>
      </c>
      <c r="BF339" s="4">
        <f t="shared" si="3214"/>
        <v>-10260.917265209306</v>
      </c>
      <c r="BG339" s="4">
        <f t="shared" si="3214"/>
        <v>-10273.656067953565</v>
      </c>
      <c r="BH339" s="4">
        <f t="shared" si="3214"/>
        <v>-10286.410685764955</v>
      </c>
      <c r="BI339" s="4">
        <f t="shared" si="3214"/>
        <v>-10299.181138277685</v>
      </c>
      <c r="BJ339" s="4">
        <f t="shared" si="3214"/>
        <v>-10311.967445150342</v>
      </c>
      <c r="BK339" s="4">
        <f t="shared" si="3214"/>
        <v>-10324.76962606592</v>
      </c>
      <c r="BL339" s="4">
        <f t="shared" si="3214"/>
        <v>-10337.58770073185</v>
      </c>
      <c r="BM339" s="4">
        <f t="shared" si="3214"/>
        <v>-10350.421688880026</v>
      </c>
      <c r="BN339" s="4">
        <f t="shared" si="3214"/>
        <v>-10363.271610266838</v>
      </c>
      <c r="BO339" s="4">
        <f t="shared" si="3214"/>
        <v>-10376.137484673214</v>
      </c>
      <c r="BP339" s="4">
        <f t="shared" si="3214"/>
        <v>-10389.019331904623</v>
      </c>
      <c r="BQ339" s="4">
        <f t="shared" si="3214"/>
        <v>-10401.917171791138</v>
      </c>
      <c r="BR339" s="4">
        <f t="shared" ref="BR339:BY339" si="3215">-Utilities_per_SF*Rentable_Sq_Ft/Months*BR$15</f>
        <v>-10414.831024187439</v>
      </c>
      <c r="BS339" s="4">
        <f t="shared" si="3215"/>
        <v>-10427.760908972861</v>
      </c>
      <c r="BT339" s="4">
        <f t="shared" si="3215"/>
        <v>-10440.70684605142</v>
      </c>
      <c r="BU339" s="4">
        <f t="shared" si="3215"/>
        <v>-10453.668855351842</v>
      </c>
      <c r="BV339" s="4">
        <f t="shared" si="3215"/>
        <v>-10466.646956827588</v>
      </c>
      <c r="BW339" s="4">
        <f t="shared" si="3215"/>
        <v>-10479.6411704569</v>
      </c>
      <c r="BX339" s="4">
        <f t="shared" si="3215"/>
        <v>-10492.651516242817</v>
      </c>
      <c r="BY339" s="4">
        <f t="shared" si="3215"/>
        <v>-10505.678014213217</v>
      </c>
    </row>
    <row r="340" spans="3:77" outlineLevel="1" x14ac:dyDescent="0.25">
      <c r="C340" s="50" t="s">
        <v>129</v>
      </c>
      <c r="D340" s="37" t="s">
        <v>101</v>
      </c>
      <c r="F340" s="4">
        <f t="shared" ref="F340:AK340" si="3216">-Insurance_per_SF*Rentable_Sq_Ft/Months*F$15</f>
        <v>-4589.9773595035604</v>
      </c>
      <c r="G340" s="4">
        <f t="shared" si="3216"/>
        <v>-4605.0037509847589</v>
      </c>
      <c r="H340" s="4">
        <f t="shared" si="3216"/>
        <v>-4620.0793349615333</v>
      </c>
      <c r="I340" s="4">
        <f t="shared" si="3216"/>
        <v>-4635.2042724773119</v>
      </c>
      <c r="J340" s="4">
        <f t="shared" si="3216"/>
        <v>-4650.3787251027388</v>
      </c>
      <c r="K340" s="4">
        <f t="shared" si="3216"/>
        <v>-4665.6028549373996</v>
      </c>
      <c r="L340" s="4">
        <f t="shared" si="3216"/>
        <v>-4680.8768246115487</v>
      </c>
      <c r="M340" s="4">
        <f t="shared" si="3216"/>
        <v>-4696.2007972878528</v>
      </c>
      <c r="N340" s="4">
        <f t="shared" si="3216"/>
        <v>-4711.574936663128</v>
      </c>
      <c r="O340" s="4">
        <f t="shared" si="3216"/>
        <v>-4726.9994069700924</v>
      </c>
      <c r="P340" s="4">
        <f t="shared" si="3216"/>
        <v>-4742.4743729791217</v>
      </c>
      <c r="Q340" s="4">
        <f t="shared" si="3216"/>
        <v>-4758.0000000000018</v>
      </c>
      <c r="R340" s="4">
        <f t="shared" si="3216"/>
        <v>-4769.7345115766238</v>
      </c>
      <c r="S340" s="4">
        <f t="shared" si="3216"/>
        <v>-4781.4979636244379</v>
      </c>
      <c r="T340" s="4">
        <f t="shared" si="3216"/>
        <v>-4793.2904275184574</v>
      </c>
      <c r="U340" s="4">
        <f t="shared" si="3216"/>
        <v>-4805.111974809719</v>
      </c>
      <c r="V340" s="4">
        <f t="shared" si="3216"/>
        <v>-4816.9626772257261</v>
      </c>
      <c r="W340" s="4">
        <f t="shared" si="3216"/>
        <v>-4828.8426066708826</v>
      </c>
      <c r="X340" s="4">
        <f t="shared" si="3216"/>
        <v>-4840.7518352269271</v>
      </c>
      <c r="Y340" s="4">
        <f t="shared" si="3216"/>
        <v>-4852.6904351533713</v>
      </c>
      <c r="Z340" s="4">
        <f t="shared" si="3216"/>
        <v>-4864.6584788879363</v>
      </c>
      <c r="AA340" s="4">
        <f t="shared" si="3216"/>
        <v>-4876.6560390469986</v>
      </c>
      <c r="AB340" s="4">
        <f t="shared" si="3216"/>
        <v>-4888.6831884260228</v>
      </c>
      <c r="AC340" s="4">
        <f t="shared" si="3216"/>
        <v>-4900.740000000008</v>
      </c>
      <c r="AD340" s="4">
        <f t="shared" si="3216"/>
        <v>-4908.83397054958</v>
      </c>
      <c r="AE340" s="4">
        <f t="shared" si="3216"/>
        <v>-4916.9413089495711</v>
      </c>
      <c r="AF340" s="4">
        <f t="shared" si="3216"/>
        <v>-4925.0620372780713</v>
      </c>
      <c r="AG340" s="4">
        <f t="shared" si="3216"/>
        <v>-4933.1961776496373</v>
      </c>
      <c r="AH340" s="4">
        <f t="shared" si="3216"/>
        <v>-4941.3437522153481</v>
      </c>
      <c r="AI340" s="4">
        <f t="shared" si="3216"/>
        <v>-4949.5047831628663</v>
      </c>
      <c r="AJ340" s="4">
        <f t="shared" si="3216"/>
        <v>-4957.6792927165034</v>
      </c>
      <c r="AK340" s="4">
        <f t="shared" si="3216"/>
        <v>-4965.86730313727</v>
      </c>
      <c r="AL340" s="4">
        <f t="shared" ref="AL340:BY340" si="3217">-Insurance_per_SF*Rentable_Sq_Ft/Months*AL$15</f>
        <v>-4974.0688367229495</v>
      </c>
      <c r="AM340" s="4">
        <f t="shared" si="3217"/>
        <v>-4982.2839158081451</v>
      </c>
      <c r="AN340" s="4">
        <f t="shared" si="3217"/>
        <v>-4990.5125627643511</v>
      </c>
      <c r="AO340" s="4">
        <f t="shared" si="3217"/>
        <v>-4998.7548000000106</v>
      </c>
      <c r="AP340" s="4">
        <f t="shared" si="3217"/>
        <v>-5007.0106499605745</v>
      </c>
      <c r="AQ340" s="4">
        <f t="shared" si="3217"/>
        <v>-5015.2801351285652</v>
      </c>
      <c r="AR340" s="4">
        <f t="shared" si="3217"/>
        <v>-5023.5632780236356</v>
      </c>
      <c r="AS340" s="4">
        <f t="shared" si="3217"/>
        <v>-5031.8601012026329</v>
      </c>
      <c r="AT340" s="4">
        <f t="shared" si="3217"/>
        <v>-5040.1706272596575</v>
      </c>
      <c r="AU340" s="4">
        <f t="shared" si="3217"/>
        <v>-5048.4948788261272</v>
      </c>
      <c r="AV340" s="4">
        <f t="shared" si="3217"/>
        <v>-5056.8328785708363</v>
      </c>
      <c r="AW340" s="4">
        <f t="shared" si="3217"/>
        <v>-5065.1846492000195</v>
      </c>
      <c r="AX340" s="4">
        <f t="shared" si="3217"/>
        <v>-5073.5502134574117</v>
      </c>
      <c r="AY340" s="4">
        <f t="shared" si="3217"/>
        <v>-5081.9295941243117</v>
      </c>
      <c r="AZ340" s="4">
        <f t="shared" si="3217"/>
        <v>-5090.3228140196416</v>
      </c>
      <c r="BA340" s="4">
        <f t="shared" si="3217"/>
        <v>-5098.7298960000153</v>
      </c>
      <c r="BB340" s="4">
        <f t="shared" si="3217"/>
        <v>-5105.0599065353927</v>
      </c>
      <c r="BC340" s="4">
        <f t="shared" si="3217"/>
        <v>-5111.3977757010935</v>
      </c>
      <c r="BD340" s="4">
        <f t="shared" si="3217"/>
        <v>-5117.7435132535129</v>
      </c>
      <c r="BE340" s="4">
        <f t="shared" si="3217"/>
        <v>-5124.0971289611543</v>
      </c>
      <c r="BF340" s="4">
        <f t="shared" si="3217"/>
        <v>-5130.4586326046528</v>
      </c>
      <c r="BG340" s="4">
        <f t="shared" si="3217"/>
        <v>-5136.8280339767825</v>
      </c>
      <c r="BH340" s="4">
        <f t="shared" si="3217"/>
        <v>-5143.2053428824775</v>
      </c>
      <c r="BI340" s="4">
        <f t="shared" si="3217"/>
        <v>-5149.5905691388425</v>
      </c>
      <c r="BJ340" s="4">
        <f t="shared" si="3217"/>
        <v>-5155.9837225751708</v>
      </c>
      <c r="BK340" s="4">
        <f t="shared" si="3217"/>
        <v>-5162.3848130329598</v>
      </c>
      <c r="BL340" s="4">
        <f t="shared" si="3217"/>
        <v>-5168.7938503659252</v>
      </c>
      <c r="BM340" s="4">
        <f t="shared" si="3217"/>
        <v>-5175.2108444400128</v>
      </c>
      <c r="BN340" s="4">
        <f t="shared" si="3217"/>
        <v>-5181.6358051334191</v>
      </c>
      <c r="BO340" s="4">
        <f t="shared" si="3217"/>
        <v>-5188.0687423366071</v>
      </c>
      <c r="BP340" s="4">
        <f t="shared" si="3217"/>
        <v>-5194.5096659523115</v>
      </c>
      <c r="BQ340" s="4">
        <f t="shared" si="3217"/>
        <v>-5200.9585858955688</v>
      </c>
      <c r="BR340" s="4">
        <f t="shared" si="3217"/>
        <v>-5207.4155120937194</v>
      </c>
      <c r="BS340" s="4">
        <f t="shared" si="3217"/>
        <v>-5213.8804544864306</v>
      </c>
      <c r="BT340" s="4">
        <f t="shared" si="3217"/>
        <v>-5220.3534230257101</v>
      </c>
      <c r="BU340" s="4">
        <f t="shared" si="3217"/>
        <v>-5226.8344276759208</v>
      </c>
      <c r="BV340" s="4">
        <f t="shared" si="3217"/>
        <v>-5233.323478413794</v>
      </c>
      <c r="BW340" s="4">
        <f t="shared" si="3217"/>
        <v>-5239.82058522845</v>
      </c>
      <c r="BX340" s="4">
        <f t="shared" si="3217"/>
        <v>-5246.3257581214084</v>
      </c>
      <c r="BY340" s="4">
        <f t="shared" si="3217"/>
        <v>-5252.8390071066087</v>
      </c>
    </row>
    <row r="341" spans="3:77" outlineLevel="1" x14ac:dyDescent="0.25">
      <c r="C341" s="50" t="s">
        <v>130</v>
      </c>
      <c r="D341" s="37" t="s">
        <v>101</v>
      </c>
      <c r="F341" s="4">
        <f t="shared" ref="F341:BQ341" si="3218">-Acq_Price*RE_Taxes_Pct_Property_Value/Months*F$15</f>
        <v>-43705.112289262033</v>
      </c>
      <c r="G341" s="4">
        <f t="shared" si="3218"/>
        <v>-43848.191454048858</v>
      </c>
      <c r="H341" s="4">
        <f t="shared" si="3218"/>
        <v>-43991.739022789458</v>
      </c>
      <c r="I341" s="4">
        <f t="shared" si="3218"/>
        <v>-44135.75652891647</v>
      </c>
      <c r="J341" s="4">
        <f t="shared" si="3218"/>
        <v>-44280.245510882633</v>
      </c>
      <c r="K341" s="4">
        <f t="shared" si="3218"/>
        <v>-44425.207512177141</v>
      </c>
      <c r="L341" s="4">
        <f t="shared" si="3218"/>
        <v>-44570.644081342201</v>
      </c>
      <c r="M341" s="4">
        <f t="shared" si="3218"/>
        <v>-44716.556771989519</v>
      </c>
      <c r="N341" s="4">
        <f t="shared" si="3218"/>
        <v>-44862.947142816935</v>
      </c>
      <c r="O341" s="4">
        <f t="shared" si="3218"/>
        <v>-45009.816757625056</v>
      </c>
      <c r="P341" s="4">
        <f t="shared" si="3218"/>
        <v>-45157.167185333972</v>
      </c>
      <c r="Q341" s="4">
        <f t="shared" si="3218"/>
        <v>-45305.000000000015</v>
      </c>
      <c r="R341" s="4">
        <f t="shared" si="3218"/>
        <v>-45416.734352034233</v>
      </c>
      <c r="S341" s="4">
        <f t="shared" si="3218"/>
        <v>-45528.744271123396</v>
      </c>
      <c r="T341" s="4">
        <f t="shared" si="3218"/>
        <v>-45641.030436890222</v>
      </c>
      <c r="U341" s="4">
        <f t="shared" si="3218"/>
        <v>-45753.593530633516</v>
      </c>
      <c r="V341" s="4">
        <f t="shared" si="3218"/>
        <v>-45866.434235332388</v>
      </c>
      <c r="W341" s="4">
        <f t="shared" si="3218"/>
        <v>-45979.553235650339</v>
      </c>
      <c r="X341" s="4">
        <f t="shared" si="3218"/>
        <v>-46092.951217939451</v>
      </c>
      <c r="Y341" s="4">
        <f t="shared" si="3218"/>
        <v>-46206.628870244524</v>
      </c>
      <c r="Z341" s="4">
        <f t="shared" si="3218"/>
        <v>-46320.58688230726</v>
      </c>
      <c r="AA341" s="4">
        <f t="shared" si="3218"/>
        <v>-46434.825945570461</v>
      </c>
      <c r="AB341" s="4">
        <f t="shared" si="3218"/>
        <v>-46549.346753182203</v>
      </c>
      <c r="AC341" s="4">
        <f t="shared" si="3218"/>
        <v>-46664.150000000067</v>
      </c>
      <c r="AD341" s="4">
        <f t="shared" si="3218"/>
        <v>-46741.219637610069</v>
      </c>
      <c r="AE341" s="4">
        <f t="shared" si="3218"/>
        <v>-46818.41656199249</v>
      </c>
      <c r="AF341" s="4">
        <f t="shared" si="3218"/>
        <v>-46895.74098337179</v>
      </c>
      <c r="AG341" s="4">
        <f t="shared" si="3218"/>
        <v>-46973.193112319626</v>
      </c>
      <c r="AH341" s="4">
        <f t="shared" si="3218"/>
        <v>-47050.773159755423</v>
      </c>
      <c r="AI341" s="4">
        <f t="shared" si="3218"/>
        <v>-47128.481336946963</v>
      </c>
      <c r="AJ341" s="4">
        <f t="shared" si="3218"/>
        <v>-47206.317855510955</v>
      </c>
      <c r="AK341" s="4">
        <f t="shared" si="3218"/>
        <v>-47284.282927413617</v>
      </c>
      <c r="AL341" s="4">
        <f t="shared" si="3218"/>
        <v>-47362.376764971246</v>
      </c>
      <c r="AM341" s="4">
        <f t="shared" si="3218"/>
        <v>-47440.599580850772</v>
      </c>
      <c r="AN341" s="4">
        <f t="shared" si="3218"/>
        <v>-47518.951588070384</v>
      </c>
      <c r="AO341" s="4">
        <f t="shared" si="3218"/>
        <v>-47597.433000000092</v>
      </c>
      <c r="AP341" s="4">
        <f t="shared" si="3218"/>
        <v>-47676.044030362296</v>
      </c>
      <c r="AQ341" s="4">
        <f t="shared" si="3218"/>
        <v>-47754.784893232369</v>
      </c>
      <c r="AR341" s="4">
        <f t="shared" si="3218"/>
        <v>-47833.655803039255</v>
      </c>
      <c r="AS341" s="4">
        <f t="shared" si="3218"/>
        <v>-47912.656974566045</v>
      </c>
      <c r="AT341" s="4">
        <f t="shared" si="3218"/>
        <v>-47991.78862295056</v>
      </c>
      <c r="AU341" s="4">
        <f t="shared" si="3218"/>
        <v>-48071.050963685928</v>
      </c>
      <c r="AV341" s="4">
        <f t="shared" si="3218"/>
        <v>-48150.444212621209</v>
      </c>
      <c r="AW341" s="4">
        <f t="shared" si="3218"/>
        <v>-48229.968585961928</v>
      </c>
      <c r="AX341" s="4">
        <f t="shared" si="3218"/>
        <v>-48309.624300270698</v>
      </c>
      <c r="AY341" s="4">
        <f t="shared" si="3218"/>
        <v>-48389.411572467819</v>
      </c>
      <c r="AZ341" s="4">
        <f t="shared" si="3218"/>
        <v>-48469.330619831831</v>
      </c>
      <c r="BA341" s="4">
        <f t="shared" si="3218"/>
        <v>-48549.381660000137</v>
      </c>
      <c r="BB341" s="4">
        <f t="shared" si="3218"/>
        <v>-48609.655120972238</v>
      </c>
      <c r="BC341" s="4">
        <f t="shared" si="3218"/>
        <v>-48670.003410705758</v>
      </c>
      <c r="BD341" s="4">
        <f t="shared" si="3218"/>
        <v>-48730.426622099694</v>
      </c>
      <c r="BE341" s="4">
        <f t="shared" si="3218"/>
        <v>-48790.924848168368</v>
      </c>
      <c r="BF341" s="4">
        <f t="shared" si="3218"/>
        <v>-48851.498182041563</v>
      </c>
      <c r="BG341" s="4">
        <f t="shared" si="3218"/>
        <v>-48912.146716964708</v>
      </c>
      <c r="BH341" s="4">
        <f t="shared" si="3218"/>
        <v>-48972.870546298989</v>
      </c>
      <c r="BI341" s="4">
        <f t="shared" si="3218"/>
        <v>-49033.66976352148</v>
      </c>
      <c r="BJ341" s="4">
        <f t="shared" si="3218"/>
        <v>-49094.54446222532</v>
      </c>
      <c r="BK341" s="4">
        <f t="shared" si="3218"/>
        <v>-49155.494736119843</v>
      </c>
      <c r="BL341" s="4">
        <f t="shared" si="3218"/>
        <v>-49216.52067903072</v>
      </c>
      <c r="BM341" s="4">
        <f t="shared" si="3218"/>
        <v>-49277.622384900111</v>
      </c>
      <c r="BN341" s="4">
        <f t="shared" si="3218"/>
        <v>-49338.799947786785</v>
      </c>
      <c r="BO341" s="4">
        <f t="shared" si="3218"/>
        <v>-49400.053461866315</v>
      </c>
      <c r="BP341" s="4">
        <f t="shared" si="3218"/>
        <v>-49461.383021431153</v>
      </c>
      <c r="BQ341" s="4">
        <f t="shared" si="3218"/>
        <v>-49522.788720890858</v>
      </c>
      <c r="BR341" s="4">
        <f t="shared" ref="BR341:BY341" si="3219">-Acq_Price*RE_Taxes_Pct_Property_Value/Months*BR$15</f>
        <v>-49584.270654772154</v>
      </c>
      <c r="BS341" s="4">
        <f t="shared" si="3219"/>
        <v>-49645.828917719147</v>
      </c>
      <c r="BT341" s="4">
        <f t="shared" si="3219"/>
        <v>-49707.463604493438</v>
      </c>
      <c r="BU341" s="4">
        <f t="shared" si="3219"/>
        <v>-49769.174809974262</v>
      </c>
      <c r="BV341" s="4">
        <f t="shared" si="3219"/>
        <v>-49830.962629158654</v>
      </c>
      <c r="BW341" s="4">
        <f t="shared" si="3219"/>
        <v>-49892.827157161599</v>
      </c>
      <c r="BX341" s="4">
        <f t="shared" si="3219"/>
        <v>-49954.768489216141</v>
      </c>
      <c r="BY341" s="4">
        <f t="shared" si="3219"/>
        <v>-50016.786720673568</v>
      </c>
    </row>
    <row r="342" spans="3:77" outlineLevel="1" x14ac:dyDescent="0.25">
      <c r="C342" s="109" t="s">
        <v>59</v>
      </c>
      <c r="D342" s="98" t="s">
        <v>101</v>
      </c>
      <c r="E342" s="5"/>
      <c r="F342" s="20">
        <f t="shared" ref="F342:AK342" si="3220">-Reserves_per_SF*Rentable_Sq_Ft/Months*F$15</f>
        <v>-13769.932078510679</v>
      </c>
      <c r="G342" s="20">
        <f t="shared" si="3220"/>
        <v>-13815.011252954277</v>
      </c>
      <c r="H342" s="20">
        <f t="shared" si="3220"/>
        <v>-13860.238004884601</v>
      </c>
      <c r="I342" s="20">
        <f t="shared" si="3220"/>
        <v>-13905.612817431935</v>
      </c>
      <c r="J342" s="20">
        <f t="shared" si="3220"/>
        <v>-13951.136175308216</v>
      </c>
      <c r="K342" s="20">
        <f t="shared" si="3220"/>
        <v>-13996.808564812198</v>
      </c>
      <c r="L342" s="20">
        <f t="shared" si="3220"/>
        <v>-14042.630473834646</v>
      </c>
      <c r="M342" s="20">
        <f t="shared" si="3220"/>
        <v>-14088.602391863556</v>
      </c>
      <c r="N342" s="20">
        <f t="shared" si="3220"/>
        <v>-14134.724809989384</v>
      </c>
      <c r="O342" s="20">
        <f t="shared" si="3220"/>
        <v>-14180.998220910278</v>
      </c>
      <c r="P342" s="20">
        <f t="shared" si="3220"/>
        <v>-14227.423118937364</v>
      </c>
      <c r="Q342" s="20">
        <f t="shared" si="3220"/>
        <v>-14274.000000000007</v>
      </c>
      <c r="R342" s="20">
        <f t="shared" si="3220"/>
        <v>-14309.20353472987</v>
      </c>
      <c r="S342" s="20">
        <f t="shared" si="3220"/>
        <v>-14344.493890873315</v>
      </c>
      <c r="T342" s="20">
        <f t="shared" si="3220"/>
        <v>-14379.871282555372</v>
      </c>
      <c r="U342" s="20">
        <f t="shared" si="3220"/>
        <v>-14415.335924429157</v>
      </c>
      <c r="V342" s="20">
        <f t="shared" si="3220"/>
        <v>-14450.888031677179</v>
      </c>
      <c r="W342" s="20">
        <f t="shared" si="3220"/>
        <v>-14486.527820012649</v>
      </c>
      <c r="X342" s="20">
        <f t="shared" si="3220"/>
        <v>-14522.255505680783</v>
      </c>
      <c r="Y342" s="20">
        <f t="shared" si="3220"/>
        <v>-14558.071305460113</v>
      </c>
      <c r="Z342" s="20">
        <f t="shared" si="3220"/>
        <v>-14593.97543666381</v>
      </c>
      <c r="AA342" s="20">
        <f t="shared" si="3220"/>
        <v>-14629.968117140996</v>
      </c>
      <c r="AB342" s="20">
        <f t="shared" si="3220"/>
        <v>-14666.049565278068</v>
      </c>
      <c r="AC342" s="20">
        <f t="shared" si="3220"/>
        <v>-14702.220000000023</v>
      </c>
      <c r="AD342" s="20">
        <f t="shared" si="3220"/>
        <v>-14726.50191164874</v>
      </c>
      <c r="AE342" s="20">
        <f t="shared" si="3220"/>
        <v>-14750.823926848712</v>
      </c>
      <c r="AF342" s="20">
        <f t="shared" si="3220"/>
        <v>-14775.186111834213</v>
      </c>
      <c r="AG342" s="20">
        <f t="shared" si="3220"/>
        <v>-14799.58853294891</v>
      </c>
      <c r="AH342" s="20">
        <f t="shared" si="3220"/>
        <v>-14824.031256646043</v>
      </c>
      <c r="AI342" s="20">
        <f t="shared" si="3220"/>
        <v>-14848.5143494886</v>
      </c>
      <c r="AJ342" s="20">
        <f t="shared" si="3220"/>
        <v>-14873.037878149509</v>
      </c>
      <c r="AK342" s="20">
        <f t="shared" si="3220"/>
        <v>-14897.601909411811</v>
      </c>
      <c r="AL342" s="20">
        <f t="shared" ref="AL342:BQ342" si="3221">-Reserves_per_SF*Rentable_Sq_Ft/Months*AL$15</f>
        <v>-14922.206510168848</v>
      </c>
      <c r="AM342" s="20">
        <f t="shared" si="3221"/>
        <v>-14946.851747424435</v>
      </c>
      <c r="AN342" s="20">
        <f t="shared" si="3221"/>
        <v>-14971.537688293054</v>
      </c>
      <c r="AO342" s="20">
        <f t="shared" si="3221"/>
        <v>-14996.264400000031</v>
      </c>
      <c r="AP342" s="20">
        <f t="shared" si="3221"/>
        <v>-15021.031949881724</v>
      </c>
      <c r="AQ342" s="20">
        <f t="shared" si="3221"/>
        <v>-15045.840405385696</v>
      </c>
      <c r="AR342" s="20">
        <f t="shared" si="3221"/>
        <v>-15070.689834070907</v>
      </c>
      <c r="AS342" s="20">
        <f t="shared" si="3221"/>
        <v>-15095.580303607898</v>
      </c>
      <c r="AT342" s="20">
        <f t="shared" si="3221"/>
        <v>-15120.511881778973</v>
      </c>
      <c r="AU342" s="20">
        <f t="shared" si="3221"/>
        <v>-15145.484636478383</v>
      </c>
      <c r="AV342" s="20">
        <f t="shared" si="3221"/>
        <v>-15170.498635712509</v>
      </c>
      <c r="AW342" s="20">
        <f t="shared" si="3221"/>
        <v>-15195.553947600059</v>
      </c>
      <c r="AX342" s="20">
        <f t="shared" si="3221"/>
        <v>-15220.650640372234</v>
      </c>
      <c r="AY342" s="20">
        <f t="shared" si="3221"/>
        <v>-15245.788782372934</v>
      </c>
      <c r="AZ342" s="20">
        <f t="shared" si="3221"/>
        <v>-15270.968442058926</v>
      </c>
      <c r="BA342" s="20">
        <f t="shared" si="3221"/>
        <v>-15296.189688000046</v>
      </c>
      <c r="BB342" s="20">
        <f t="shared" si="3221"/>
        <v>-15315.179719606178</v>
      </c>
      <c r="BC342" s="20">
        <f t="shared" si="3221"/>
        <v>-15334.193327103281</v>
      </c>
      <c r="BD342" s="20">
        <f t="shared" si="3221"/>
        <v>-15353.230539760538</v>
      </c>
      <c r="BE342" s="20">
        <f t="shared" si="3221"/>
        <v>-15372.291386883464</v>
      </c>
      <c r="BF342" s="20">
        <f t="shared" si="3221"/>
        <v>-15391.375897813959</v>
      </c>
      <c r="BG342" s="20">
        <f t="shared" si="3221"/>
        <v>-15410.484101930348</v>
      </c>
      <c r="BH342" s="20">
        <f t="shared" si="3221"/>
        <v>-15429.616028647431</v>
      </c>
      <c r="BI342" s="20">
        <f t="shared" si="3221"/>
        <v>-15448.771707416527</v>
      </c>
      <c r="BJ342" s="20">
        <f t="shared" si="3221"/>
        <v>-15467.951167725512</v>
      </c>
      <c r="BK342" s="20">
        <f t="shared" si="3221"/>
        <v>-15487.15443909888</v>
      </c>
      <c r="BL342" s="20">
        <f t="shared" si="3221"/>
        <v>-15506.381551097775</v>
      </c>
      <c r="BM342" s="20">
        <f t="shared" si="3221"/>
        <v>-15525.632533320037</v>
      </c>
      <c r="BN342" s="20">
        <f t="shared" si="3221"/>
        <v>-15544.907415400259</v>
      </c>
      <c r="BO342" s="20">
        <f t="shared" si="3221"/>
        <v>-15564.206227009819</v>
      </c>
      <c r="BP342" s="20">
        <f t="shared" si="3221"/>
        <v>-15583.528997856934</v>
      </c>
      <c r="BQ342" s="20">
        <f t="shared" si="3221"/>
        <v>-15602.875757686706</v>
      </c>
      <c r="BR342" s="20">
        <f t="shared" ref="BR342:BY342" si="3222">-Reserves_per_SF*Rentable_Sq_Ft/Months*BR$15</f>
        <v>-15622.246536281158</v>
      </c>
      <c r="BS342" s="20">
        <f t="shared" si="3222"/>
        <v>-15641.641363459292</v>
      </c>
      <c r="BT342" s="20">
        <f t="shared" si="3222"/>
        <v>-15661.06026907713</v>
      </c>
      <c r="BU342" s="20">
        <f t="shared" si="3222"/>
        <v>-15680.503283027761</v>
      </c>
      <c r="BV342" s="20">
        <f t="shared" si="3222"/>
        <v>-15699.970435241381</v>
      </c>
      <c r="BW342" s="20">
        <f t="shared" si="3222"/>
        <v>-15719.46175568535</v>
      </c>
      <c r="BX342" s="20">
        <f t="shared" si="3222"/>
        <v>-15738.977274364226</v>
      </c>
      <c r="BY342" s="20">
        <f t="shared" si="3222"/>
        <v>-15758.517021319825</v>
      </c>
    </row>
    <row r="343" spans="3:77" outlineLevel="1" x14ac:dyDescent="0.25">
      <c r="C343" s="83" t="s">
        <v>7</v>
      </c>
      <c r="D343" s="37" t="s">
        <v>101</v>
      </c>
      <c r="F343" s="23">
        <f>SUM(F337:F342)</f>
        <v>-88448.890080436671</v>
      </c>
      <c r="G343" s="23">
        <f t="shared" ref="G343:BR343" si="3223">SUM(G337:G342)</f>
        <v>-88812.350687730097</v>
      </c>
      <c r="H343" s="23">
        <f t="shared" si="3223"/>
        <v>-90135.695101362056</v>
      </c>
      <c r="I343" s="23">
        <f t="shared" si="3223"/>
        <v>-90404.223398652772</v>
      </c>
      <c r="J343" s="23">
        <f t="shared" si="3223"/>
        <v>-90741.383911300742</v>
      </c>
      <c r="K343" s="23">
        <f t="shared" si="3223"/>
        <v>-90934.340772348078</v>
      </c>
      <c r="L343" s="23">
        <f t="shared" si="3223"/>
        <v>-91275.180175442758</v>
      </c>
      <c r="M343" s="23">
        <f t="shared" si="3223"/>
        <v>-91667.860869864176</v>
      </c>
      <c r="N343" s="23">
        <f t="shared" si="3223"/>
        <v>-91789.699006300012</v>
      </c>
      <c r="O343" s="23">
        <f t="shared" si="3223"/>
        <v>-92134.096754525395</v>
      </c>
      <c r="P343" s="23">
        <f t="shared" si="3223"/>
        <v>-92639.967797255609</v>
      </c>
      <c r="Q343" s="23">
        <f t="shared" si="3223"/>
        <v>-93287.014972543839</v>
      </c>
      <c r="R343" s="23">
        <f t="shared" si="3223"/>
        <v>-92812.307577854634</v>
      </c>
      <c r="S343" s="23">
        <f t="shared" si="3223"/>
        <v>-93118.362935946687</v>
      </c>
      <c r="T343" s="23">
        <f t="shared" si="3223"/>
        <v>-93458.469648903396</v>
      </c>
      <c r="U343" s="23">
        <f t="shared" si="3223"/>
        <v>-93665.946311407693</v>
      </c>
      <c r="V343" s="23">
        <f t="shared" si="3223"/>
        <v>-93943.712338409634</v>
      </c>
      <c r="W343" s="23">
        <f t="shared" si="3223"/>
        <v>-94072.545038476033</v>
      </c>
      <c r="X343" s="23">
        <f t="shared" si="3223"/>
        <v>-93645.904550981679</v>
      </c>
      <c r="Y343" s="23">
        <f t="shared" si="3223"/>
        <v>-93979.425187314744</v>
      </c>
      <c r="Z343" s="23">
        <f t="shared" si="3223"/>
        <v>-94444.399803266278</v>
      </c>
      <c r="AA343" s="23">
        <f t="shared" si="3223"/>
        <v>-94727.368462326616</v>
      </c>
      <c r="AB343" s="23">
        <f t="shared" si="3223"/>
        <v>-95176.057241159229</v>
      </c>
      <c r="AC343" s="23">
        <f t="shared" si="3223"/>
        <v>-95769.927131425269</v>
      </c>
      <c r="AD343" s="23">
        <f t="shared" si="3223"/>
        <v>-95295.731355830852</v>
      </c>
      <c r="AE343" s="23">
        <f t="shared" si="3223"/>
        <v>-95537.227919656012</v>
      </c>
      <c r="AF343" s="23">
        <f t="shared" si="3223"/>
        <v>-95813.494025911059</v>
      </c>
      <c r="AG343" s="23">
        <f t="shared" si="3223"/>
        <v>-96231.933584060942</v>
      </c>
      <c r="AH343" s="23">
        <f t="shared" si="3223"/>
        <v>-96443.37922855017</v>
      </c>
      <c r="AI343" s="23">
        <f t="shared" si="3223"/>
        <v>-96501.117338794196</v>
      </c>
      <c r="AJ343" s="23">
        <f t="shared" si="3223"/>
        <v>-96711.691412359098</v>
      </c>
      <c r="AK343" s="23">
        <f t="shared" si="3223"/>
        <v>-96979.864472935966</v>
      </c>
      <c r="AL343" s="23">
        <f t="shared" si="3223"/>
        <v>-96959.970460053068</v>
      </c>
      <c r="AM343" s="23">
        <f t="shared" si="3223"/>
        <v>-98099.072391792972</v>
      </c>
      <c r="AN343" s="23">
        <f t="shared" si="3223"/>
        <v>-96670.96596343827</v>
      </c>
      <c r="AO343" s="23">
        <f t="shared" si="3223"/>
        <v>-97205.687364400103</v>
      </c>
      <c r="AP343" s="23">
        <f t="shared" si="3223"/>
        <v>-97728.364960492647</v>
      </c>
      <c r="AQ343" s="23">
        <f t="shared" si="3223"/>
        <v>-97974.780651639056</v>
      </c>
      <c r="AR343" s="23">
        <f t="shared" si="3223"/>
        <v>-98256.833276834557</v>
      </c>
      <c r="AS343" s="23">
        <f t="shared" si="3223"/>
        <v>-98398.547966845465</v>
      </c>
      <c r="AT343" s="23">
        <f t="shared" si="3223"/>
        <v>-98841.294096910438</v>
      </c>
      <c r="AU343" s="23">
        <f t="shared" si="3223"/>
        <v>-98899.725104220706</v>
      </c>
      <c r="AV343" s="23">
        <f t="shared" si="3223"/>
        <v>-97559.234024380654</v>
      </c>
      <c r="AW343" s="23">
        <f t="shared" si="3223"/>
        <v>-98526.396886272982</v>
      </c>
      <c r="AX343" s="23">
        <f t="shared" si="3223"/>
        <v>-99488.228158663216</v>
      </c>
      <c r="AY343" s="23">
        <f t="shared" si="3223"/>
        <v>-99681.647886133069</v>
      </c>
      <c r="AZ343" s="23">
        <f t="shared" si="3223"/>
        <v>-98815.286991137138</v>
      </c>
      <c r="BA343" s="23">
        <f t="shared" si="3223"/>
        <v>-99205.238622331904</v>
      </c>
      <c r="BB343" s="23">
        <f t="shared" si="3223"/>
        <v>-99797.429986886389</v>
      </c>
      <c r="BC343" s="23">
        <f t="shared" si="3223"/>
        <v>-100010.88456756639</v>
      </c>
      <c r="BD343" s="23">
        <f t="shared" si="3223"/>
        <v>-100260.75465629144</v>
      </c>
      <c r="BE343" s="23">
        <f t="shared" si="3223"/>
        <v>-100984.32777233807</v>
      </c>
      <c r="BF343" s="23">
        <f t="shared" si="3223"/>
        <v>-101323.12940982485</v>
      </c>
      <c r="BG343" s="23">
        <f t="shared" si="3223"/>
        <v>-101343.23653015899</v>
      </c>
      <c r="BH343" s="23">
        <f t="shared" si="3223"/>
        <v>-101531.87702061393</v>
      </c>
      <c r="BI343" s="23">
        <f t="shared" si="3223"/>
        <v>-102249.64795778391</v>
      </c>
      <c r="BJ343" s="23">
        <f t="shared" si="3223"/>
        <v>-102187.84700939654</v>
      </c>
      <c r="BK343" s="23">
        <f t="shared" si="3223"/>
        <v>-102373.22691934895</v>
      </c>
      <c r="BL343" s="23">
        <f t="shared" si="3223"/>
        <v>-102711.34389098817</v>
      </c>
      <c r="BM343" s="23">
        <f t="shared" si="3223"/>
        <v>-103232.27793244076</v>
      </c>
      <c r="BN343" s="23">
        <f t="shared" si="3223"/>
        <v>-101653.85779949557</v>
      </c>
      <c r="BO343" s="23">
        <f t="shared" si="3223"/>
        <v>-101871.0284363477</v>
      </c>
      <c r="BP343" s="23">
        <f t="shared" si="3223"/>
        <v>-102718.8767878065</v>
      </c>
      <c r="BQ343" s="23">
        <f t="shared" si="3223"/>
        <v>-102826.35171154537</v>
      </c>
      <c r="BR343" s="23">
        <f t="shared" si="3223"/>
        <v>-103039.50437264892</v>
      </c>
      <c r="BS343" s="23">
        <f t="shared" ref="BS343:BY343" si="3224">SUM(BS337:BS342)</f>
        <v>-103059.28217955766</v>
      </c>
      <c r="BT343" s="23">
        <f t="shared" si="3224"/>
        <v>-103368.95547938714</v>
      </c>
      <c r="BU343" s="23">
        <f t="shared" si="3224"/>
        <v>-103614.15258594078</v>
      </c>
      <c r="BV343" s="23">
        <f t="shared" si="3224"/>
        <v>-103550.52765148709</v>
      </c>
      <c r="BW343" s="23">
        <f t="shared" si="3224"/>
        <v>-104139.63177332479</v>
      </c>
      <c r="BX343" s="23">
        <f t="shared" si="3224"/>
        <v>-104484.15034901642</v>
      </c>
      <c r="BY343" s="23">
        <f t="shared" si="3224"/>
        <v>-105014.9129116179</v>
      </c>
    </row>
    <row r="344" spans="3:77" outlineLevel="1" x14ac:dyDescent="0.25">
      <c r="C344" s="81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</row>
    <row r="345" spans="3:77" outlineLevel="1" x14ac:dyDescent="0.25">
      <c r="C345" s="82" t="s">
        <v>8</v>
      </c>
      <c r="D345" s="37" t="s">
        <v>101</v>
      </c>
      <c r="F345" s="23">
        <f>+F333+F343</f>
        <v>102516.78443270912</v>
      </c>
      <c r="G345" s="23">
        <f t="shared" ref="G345:BR345" si="3225">+G333+G343</f>
        <v>105241.89432262944</v>
      </c>
      <c r="H345" s="23">
        <f t="shared" si="3225"/>
        <v>138973.69594529027</v>
      </c>
      <c r="I345" s="23">
        <f t="shared" si="3225"/>
        <v>138570.12839065239</v>
      </c>
      <c r="J345" s="23">
        <f t="shared" si="3225"/>
        <v>140355.92399019346</v>
      </c>
      <c r="K345" s="23">
        <f t="shared" si="3225"/>
        <v>137449.29233442023</v>
      </c>
      <c r="L345" s="23">
        <f t="shared" si="3225"/>
        <v>139294.25598797027</v>
      </c>
      <c r="M345" s="23">
        <f t="shared" si="3225"/>
        <v>142785.38316106622</v>
      </c>
      <c r="N345" s="23">
        <f t="shared" si="3225"/>
        <v>137489.13105524989</v>
      </c>
      <c r="O345" s="23">
        <f t="shared" si="3225"/>
        <v>139358.73783395998</v>
      </c>
      <c r="P345" s="23">
        <f t="shared" si="3225"/>
        <v>146418.98025604768</v>
      </c>
      <c r="Q345" s="23">
        <f t="shared" si="3225"/>
        <v>158013.48411224963</v>
      </c>
      <c r="R345" s="23">
        <f t="shared" si="3225"/>
        <v>135615.35500278239</v>
      </c>
      <c r="S345" s="23">
        <f t="shared" si="3225"/>
        <v>138444.5028645721</v>
      </c>
      <c r="T345" s="23">
        <f t="shared" si="3225"/>
        <v>142357.21628797299</v>
      </c>
      <c r="U345" s="23">
        <f t="shared" si="3225"/>
        <v>141964.08685164477</v>
      </c>
      <c r="V345" s="23">
        <f t="shared" si="3225"/>
        <v>143826.13255020953</v>
      </c>
      <c r="W345" s="23">
        <f t="shared" si="3225"/>
        <v>140855.10983229664</v>
      </c>
      <c r="X345" s="23">
        <f t="shared" si="3225"/>
        <v>119906.18656946276</v>
      </c>
      <c r="Y345" s="23">
        <f t="shared" si="3225"/>
        <v>123518.16208823764</v>
      </c>
      <c r="Z345" s="23">
        <f t="shared" si="3225"/>
        <v>131362.79521045269</v>
      </c>
      <c r="AA345" s="23">
        <f t="shared" si="3225"/>
        <v>133304.8376995626</v>
      </c>
      <c r="AB345" s="23">
        <f t="shared" si="3225"/>
        <v>140587.38897070198</v>
      </c>
      <c r="AC345" s="23">
        <f t="shared" si="3225"/>
        <v>152546.31058274567</v>
      </c>
      <c r="AD345" s="23">
        <f t="shared" si="3225"/>
        <v>132351.70092914751</v>
      </c>
      <c r="AE345" s="23">
        <f t="shared" si="3225"/>
        <v>135289.77980008302</v>
      </c>
      <c r="AF345" s="23">
        <f t="shared" si="3225"/>
        <v>139344.03016327773</v>
      </c>
      <c r="AG345" s="23">
        <f t="shared" si="3225"/>
        <v>147987.16513991874</v>
      </c>
      <c r="AH345" s="23">
        <f t="shared" si="3225"/>
        <v>149929.42660359276</v>
      </c>
      <c r="AI345" s="23">
        <f t="shared" si="3225"/>
        <v>146893.72749330092</v>
      </c>
      <c r="AJ345" s="23">
        <f t="shared" si="3225"/>
        <v>148791.62754623647</v>
      </c>
      <c r="AK345" s="23">
        <f t="shared" si="3225"/>
        <v>152543.78448891561</v>
      </c>
      <c r="AL345" s="23">
        <f t="shared" si="3225"/>
        <v>146973.64897117199</v>
      </c>
      <c r="AM345" s="23">
        <f t="shared" si="3225"/>
        <v>178869.57849397266</v>
      </c>
      <c r="AN345" s="23">
        <f t="shared" si="3225"/>
        <v>127750.95376559181</v>
      </c>
      <c r="AO345" s="23">
        <f t="shared" si="3225"/>
        <v>140088.93144893079</v>
      </c>
      <c r="AP345" s="23">
        <f t="shared" si="3225"/>
        <v>152029.31522168926</v>
      </c>
      <c r="AQ345" s="23">
        <f t="shared" si="3225"/>
        <v>155029.03967549</v>
      </c>
      <c r="AR345" s="23">
        <f t="shared" si="3225"/>
        <v>159172.82040964544</v>
      </c>
      <c r="AS345" s="23">
        <f t="shared" si="3225"/>
        <v>158770.78976838896</v>
      </c>
      <c r="AT345" s="23">
        <f t="shared" si="3225"/>
        <v>168093.87731151568</v>
      </c>
      <c r="AU345" s="23">
        <f t="shared" si="3225"/>
        <v>164982.5305795359</v>
      </c>
      <c r="AV345" s="23">
        <f t="shared" si="3225"/>
        <v>116631.11077253069</v>
      </c>
      <c r="AW345" s="23">
        <f t="shared" si="3225"/>
        <v>142885.56251742307</v>
      </c>
      <c r="AX345" s="23">
        <f t="shared" si="3225"/>
        <v>168959.3399748212</v>
      </c>
      <c r="AY345" s="23">
        <f t="shared" si="3225"/>
        <v>170179.51090082002</v>
      </c>
      <c r="AZ345" s="23">
        <f t="shared" si="3225"/>
        <v>137125.12808014138</v>
      </c>
      <c r="BA345" s="23">
        <f t="shared" si="3225"/>
        <v>144683.18958872274</v>
      </c>
      <c r="BB345" s="23">
        <f t="shared" si="3225"/>
        <v>160028.09202522371</v>
      </c>
      <c r="BC345" s="23">
        <f t="shared" si="3225"/>
        <v>163122.45087914501</v>
      </c>
      <c r="BD345" s="23">
        <f t="shared" si="3225"/>
        <v>167389.5177282712</v>
      </c>
      <c r="BE345" s="23">
        <f t="shared" si="3225"/>
        <v>186968.2498276587</v>
      </c>
      <c r="BF345" s="23">
        <f t="shared" si="3225"/>
        <v>194101.29894496588</v>
      </c>
      <c r="BG345" s="23">
        <f t="shared" si="3225"/>
        <v>190925.14761622882</v>
      </c>
      <c r="BH345" s="23">
        <f t="shared" si="3225"/>
        <v>193193.49163984851</v>
      </c>
      <c r="BI345" s="23">
        <f t="shared" si="3225"/>
        <v>212565.63059495855</v>
      </c>
      <c r="BJ345" s="23">
        <f t="shared" si="3225"/>
        <v>206726.8498333462</v>
      </c>
      <c r="BK345" s="23">
        <f t="shared" si="3225"/>
        <v>208875.48216228269</v>
      </c>
      <c r="BL345" s="23">
        <f t="shared" si="3225"/>
        <v>215957.83890391432</v>
      </c>
      <c r="BM345" s="23">
        <f t="shared" si="3225"/>
        <v>228946.50106091081</v>
      </c>
      <c r="BN345" s="23">
        <f t="shared" si="3225"/>
        <v>174051.25913632847</v>
      </c>
      <c r="BO345" s="23">
        <f t="shared" si="3225"/>
        <v>177208.66038432598</v>
      </c>
      <c r="BP345" s="23">
        <f t="shared" si="3225"/>
        <v>200753.1767382166</v>
      </c>
      <c r="BQ345" s="23">
        <f t="shared" si="3225"/>
        <v>200354.14863986045</v>
      </c>
      <c r="BR345" s="23">
        <f t="shared" si="3225"/>
        <v>203367.22446335576</v>
      </c>
      <c r="BS345" s="23">
        <f t="shared" ref="BS345:BY345" si="3226">+BS333+BS343</f>
        <v>200123.03111057047</v>
      </c>
      <c r="BT345" s="23">
        <f t="shared" si="3226"/>
        <v>206247.30382645194</v>
      </c>
      <c r="BU345" s="23">
        <f t="shared" si="3226"/>
        <v>210282.01877143228</v>
      </c>
      <c r="BV345" s="23">
        <f t="shared" si="3226"/>
        <v>204326.65420888551</v>
      </c>
      <c r="BW345" s="23">
        <f t="shared" si="3226"/>
        <v>219471.35628405371</v>
      </c>
      <c r="BX345" s="23">
        <f t="shared" si="3226"/>
        <v>226702.94684326049</v>
      </c>
      <c r="BY345" s="23">
        <f t="shared" si="3226"/>
        <v>239951.57477298717</v>
      </c>
    </row>
    <row r="346" spans="3:77" outlineLevel="1" x14ac:dyDescent="0.25">
      <c r="C346" s="84" t="s">
        <v>35</v>
      </c>
      <c r="D346" s="36" t="s">
        <v>16</v>
      </c>
      <c r="F346" s="63">
        <f>+F345/F333</f>
        <v>0.53683356809577842</v>
      </c>
      <c r="G346" s="63">
        <f t="shared" ref="G346:BR346" si="3227">+G345/G333</f>
        <v>0.54233234793194618</v>
      </c>
      <c r="H346" s="63">
        <f t="shared" si="3227"/>
        <v>0.60658227631093387</v>
      </c>
      <c r="I346" s="63">
        <f t="shared" si="3227"/>
        <v>0.60517751140162701</v>
      </c>
      <c r="J346" s="63">
        <f t="shared" si="3227"/>
        <v>0.60734556046849542</v>
      </c>
      <c r="K346" s="63">
        <f t="shared" si="3227"/>
        <v>0.60183512480582757</v>
      </c>
      <c r="L346" s="63">
        <f t="shared" si="3227"/>
        <v>0.60413148553326601</v>
      </c>
      <c r="M346" s="63">
        <f t="shared" si="3227"/>
        <v>0.60901432074972339</v>
      </c>
      <c r="N346" s="63">
        <f t="shared" si="3227"/>
        <v>0.59965907457893486</v>
      </c>
      <c r="O346" s="63">
        <f t="shared" si="3227"/>
        <v>0.60200022208761605</v>
      </c>
      <c r="P346" s="63">
        <f t="shared" si="3227"/>
        <v>0.61248065152282205</v>
      </c>
      <c r="Q346" s="63">
        <f t="shared" si="3227"/>
        <v>0.62878300953526134</v>
      </c>
      <c r="R346" s="63">
        <f t="shared" si="3227"/>
        <v>0.59369059539760838</v>
      </c>
      <c r="S346" s="63">
        <f t="shared" si="3227"/>
        <v>0.59787005306729935</v>
      </c>
      <c r="T346" s="63">
        <f t="shared" si="3227"/>
        <v>0.60368001272858263</v>
      </c>
      <c r="U346" s="63">
        <f t="shared" si="3227"/>
        <v>0.60248723367707435</v>
      </c>
      <c r="V346" s="63">
        <f t="shared" si="3227"/>
        <v>0.60489643931754011</v>
      </c>
      <c r="W346" s="63">
        <f t="shared" si="3227"/>
        <v>0.59956802407863485</v>
      </c>
      <c r="X346" s="63">
        <f t="shared" si="3227"/>
        <v>0.56148448811880314</v>
      </c>
      <c r="Y346" s="63">
        <f t="shared" si="3227"/>
        <v>0.56790589558011884</v>
      </c>
      <c r="Z346" s="63">
        <f t="shared" si="3227"/>
        <v>0.58174760641471901</v>
      </c>
      <c r="AA346" s="63">
        <f t="shared" si="3227"/>
        <v>0.58458776478671681</v>
      </c>
      <c r="AB346" s="63">
        <f t="shared" si="3227"/>
        <v>0.59630698155119288</v>
      </c>
      <c r="AC346" s="63">
        <f t="shared" si="3227"/>
        <v>0.6143227361488014</v>
      </c>
      <c r="AD346" s="63">
        <f t="shared" si="3227"/>
        <v>0.58138894693731591</v>
      </c>
      <c r="AE346" s="63">
        <f t="shared" si="3227"/>
        <v>0.58610897024817177</v>
      </c>
      <c r="AF346" s="63">
        <f t="shared" si="3227"/>
        <v>0.59255612017403603</v>
      </c>
      <c r="AG346" s="63">
        <f t="shared" si="3227"/>
        <v>0.60596065546526401</v>
      </c>
      <c r="AH346" s="63">
        <f t="shared" si="3227"/>
        <v>0.60854697862125939</v>
      </c>
      <c r="AI346" s="63">
        <f t="shared" si="3227"/>
        <v>0.60352029063982404</v>
      </c>
      <c r="AJ346" s="63">
        <f t="shared" si="3227"/>
        <v>0.60606768241422582</v>
      </c>
      <c r="AK346" s="63">
        <f t="shared" si="3227"/>
        <v>0.61133998770688569</v>
      </c>
      <c r="AL346" s="63">
        <f t="shared" si="3227"/>
        <v>0.60251493547247559</v>
      </c>
      <c r="AM346" s="63">
        <f t="shared" si="3227"/>
        <v>0.64581163941094022</v>
      </c>
      <c r="AN346" s="63">
        <f t="shared" si="3227"/>
        <v>0.56924454580835937</v>
      </c>
      <c r="AO346" s="63">
        <f t="shared" si="3227"/>
        <v>0.59035865267190279</v>
      </c>
      <c r="AP346" s="63">
        <f t="shared" si="3227"/>
        <v>0.60870726822411947</v>
      </c>
      <c r="AQ346" s="63">
        <f t="shared" si="3227"/>
        <v>0.61275375002259036</v>
      </c>
      <c r="AR346" s="63">
        <f t="shared" si="3227"/>
        <v>0.61831579280101046</v>
      </c>
      <c r="AS346" s="63">
        <f t="shared" si="3227"/>
        <v>0.61737838253427202</v>
      </c>
      <c r="AT346" s="63">
        <f t="shared" si="3227"/>
        <v>0.6297179814282412</v>
      </c>
      <c r="AU346" s="63">
        <f t="shared" si="3227"/>
        <v>0.62521267355412968</v>
      </c>
      <c r="AV346" s="63">
        <f t="shared" si="3227"/>
        <v>0.54452086009346823</v>
      </c>
      <c r="AW346" s="63">
        <f t="shared" si="3227"/>
        <v>0.59187441612404013</v>
      </c>
      <c r="AX346" s="63">
        <f t="shared" si="3227"/>
        <v>0.62939419101314742</v>
      </c>
      <c r="AY346" s="63">
        <f t="shared" si="3227"/>
        <v>0.63061876583421705</v>
      </c>
      <c r="AZ346" s="63">
        <f t="shared" si="3227"/>
        <v>0.58118541513422084</v>
      </c>
      <c r="BA346" s="63">
        <f t="shared" si="3227"/>
        <v>0.59323515531256654</v>
      </c>
      <c r="BB346" s="63">
        <f t="shared" si="3227"/>
        <v>0.6159059771571056</v>
      </c>
      <c r="BC346" s="63">
        <f t="shared" si="3227"/>
        <v>0.61992316785791612</v>
      </c>
      <c r="BD346" s="63">
        <f t="shared" si="3227"/>
        <v>0.62540387587487389</v>
      </c>
      <c r="BE346" s="63">
        <f t="shared" si="3227"/>
        <v>0.64930222672769988</v>
      </c>
      <c r="BF346" s="63">
        <f t="shared" si="3227"/>
        <v>0.65702521631643618</v>
      </c>
      <c r="BG346" s="63">
        <f t="shared" si="3227"/>
        <v>0.65325282504932369</v>
      </c>
      <c r="BH346" s="63">
        <f t="shared" si="3227"/>
        <v>0.65550343534362165</v>
      </c>
      <c r="BI346" s="63">
        <f t="shared" si="3227"/>
        <v>0.67520747904027301</v>
      </c>
      <c r="BJ346" s="63">
        <f t="shared" si="3227"/>
        <v>0.66920367320232532</v>
      </c>
      <c r="BK346" s="63">
        <f t="shared" si="3227"/>
        <v>0.67108866982481408</v>
      </c>
      <c r="BL346" s="63">
        <f t="shared" si="3227"/>
        <v>0.67768661220971016</v>
      </c>
      <c r="BM346" s="63">
        <f t="shared" si="3227"/>
        <v>0.68922675239736819</v>
      </c>
      <c r="BN346" s="63">
        <f t="shared" si="3227"/>
        <v>0.63129499035319836</v>
      </c>
      <c r="BO346" s="63">
        <f t="shared" si="3227"/>
        <v>0.63497512532412825</v>
      </c>
      <c r="BP346" s="63">
        <f t="shared" si="3227"/>
        <v>0.66152113318402073</v>
      </c>
      <c r="BQ346" s="63">
        <f t="shared" si="3227"/>
        <v>0.66084114383226167</v>
      </c>
      <c r="BR346" s="63">
        <f t="shared" si="3227"/>
        <v>0.66371657448881338</v>
      </c>
      <c r="BS346" s="63">
        <f t="shared" ref="BS346:BY346" si="3228">+BS345/BS333</f>
        <v>0.66007488675325254</v>
      </c>
      <c r="BT346" s="63">
        <f t="shared" si="3228"/>
        <v>0.66613847828553718</v>
      </c>
      <c r="BU346" s="63">
        <f t="shared" si="3228"/>
        <v>0.66990947312965055</v>
      </c>
      <c r="BV346" s="63">
        <f t="shared" si="3228"/>
        <v>0.66366287028556414</v>
      </c>
      <c r="BW346" s="63">
        <f t="shared" si="3228"/>
        <v>0.6781950069171937</v>
      </c>
      <c r="BX346" s="63">
        <f t="shared" si="3228"/>
        <v>0.68451624101661135</v>
      </c>
      <c r="BY346" s="63">
        <f t="shared" si="3228"/>
        <v>0.69557937753179488</v>
      </c>
    </row>
    <row r="347" spans="3:77" outlineLevel="1" x14ac:dyDescent="0.25">
      <c r="C347" s="81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</row>
    <row r="348" spans="3:77" outlineLevel="1" x14ac:dyDescent="0.25">
      <c r="C348" s="79" t="s">
        <v>181</v>
      </c>
      <c r="D348" s="37" t="s">
        <v>101</v>
      </c>
      <c r="F348" s="4">
        <f>+F313</f>
        <v>0</v>
      </c>
      <c r="G348" s="4">
        <f t="shared" ref="G348:BR349" si="3229">+G313</f>
        <v>0</v>
      </c>
      <c r="H348" s="4">
        <f t="shared" si="3229"/>
        <v>0</v>
      </c>
      <c r="I348" s="4">
        <f t="shared" si="3229"/>
        <v>0</v>
      </c>
      <c r="J348" s="4">
        <f t="shared" si="3229"/>
        <v>0</v>
      </c>
      <c r="K348" s="4">
        <f t="shared" si="3229"/>
        <v>0</v>
      </c>
      <c r="L348" s="4">
        <f t="shared" si="3229"/>
        <v>0</v>
      </c>
      <c r="M348" s="4">
        <f t="shared" si="3229"/>
        <v>0</v>
      </c>
      <c r="N348" s="4">
        <f t="shared" si="3229"/>
        <v>0</v>
      </c>
      <c r="O348" s="4">
        <f t="shared" si="3229"/>
        <v>0</v>
      </c>
      <c r="P348" s="4">
        <f t="shared" si="3229"/>
        <v>0</v>
      </c>
      <c r="Q348" s="4">
        <f t="shared" si="3229"/>
        <v>0</v>
      </c>
      <c r="R348" s="4">
        <f t="shared" si="3229"/>
        <v>0</v>
      </c>
      <c r="S348" s="4">
        <f t="shared" si="3229"/>
        <v>0</v>
      </c>
      <c r="T348" s="4">
        <f t="shared" si="3229"/>
        <v>0</v>
      </c>
      <c r="U348" s="4">
        <f t="shared" si="3229"/>
        <v>0</v>
      </c>
      <c r="V348" s="4">
        <f t="shared" si="3229"/>
        <v>0</v>
      </c>
      <c r="W348" s="4">
        <f t="shared" si="3229"/>
        <v>0</v>
      </c>
      <c r="X348" s="4">
        <f t="shared" si="3229"/>
        <v>-184500</v>
      </c>
      <c r="Y348" s="4">
        <f t="shared" si="3229"/>
        <v>-123000</v>
      </c>
      <c r="Z348" s="4">
        <f t="shared" si="3229"/>
        <v>-246000</v>
      </c>
      <c r="AA348" s="4">
        <f t="shared" si="3229"/>
        <v>-215250.00000000003</v>
      </c>
      <c r="AB348" s="4">
        <f t="shared" si="3229"/>
        <v>-246000</v>
      </c>
      <c r="AC348" s="4">
        <f t="shared" si="3229"/>
        <v>-246000</v>
      </c>
      <c r="AD348" s="4">
        <f t="shared" si="3229"/>
        <v>-92250</v>
      </c>
      <c r="AE348" s="4">
        <f t="shared" si="3229"/>
        <v>-61500</v>
      </c>
      <c r="AF348" s="4">
        <f t="shared" si="3229"/>
        <v>-153750</v>
      </c>
      <c r="AG348" s="4">
        <f t="shared" si="3229"/>
        <v>-153750</v>
      </c>
      <c r="AH348" s="4">
        <f t="shared" si="3229"/>
        <v>-153750</v>
      </c>
      <c r="AI348" s="4">
        <f t="shared" si="3229"/>
        <v>-30750</v>
      </c>
      <c r="AJ348" s="4">
        <f t="shared" si="3229"/>
        <v>-30750</v>
      </c>
      <c r="AK348" s="4">
        <f t="shared" si="3229"/>
        <v>-92250</v>
      </c>
      <c r="AL348" s="4">
        <f t="shared" si="3229"/>
        <v>-92250</v>
      </c>
      <c r="AM348" s="4">
        <f t="shared" si="3229"/>
        <v>-92250</v>
      </c>
      <c r="AN348" s="4">
        <f t="shared" si="3229"/>
        <v>-30750</v>
      </c>
      <c r="AO348" s="4">
        <f t="shared" si="3229"/>
        <v>-30750</v>
      </c>
      <c r="AP348" s="4">
        <f t="shared" si="3229"/>
        <v>-153750</v>
      </c>
      <c r="AQ348" s="4">
        <f t="shared" si="3229"/>
        <v>-123000</v>
      </c>
      <c r="AR348" s="4">
        <f t="shared" si="3229"/>
        <v>-30750</v>
      </c>
      <c r="AS348" s="4">
        <f t="shared" si="3229"/>
        <v>-123000</v>
      </c>
      <c r="AT348" s="4">
        <f t="shared" si="3229"/>
        <v>-15375</v>
      </c>
      <c r="AU348" s="4">
        <f t="shared" si="3229"/>
        <v>-15375</v>
      </c>
      <c r="AV348" s="4">
        <f t="shared" si="3229"/>
        <v>-30750</v>
      </c>
      <c r="AW348" s="4">
        <f t="shared" si="3229"/>
        <v>-92250</v>
      </c>
      <c r="AX348" s="4">
        <f t="shared" si="3229"/>
        <v>-92250</v>
      </c>
      <c r="AY348" s="4">
        <f t="shared" si="3229"/>
        <v>-61500</v>
      </c>
      <c r="AZ348" s="4">
        <f t="shared" si="3229"/>
        <v>-30750</v>
      </c>
      <c r="BA348" s="4">
        <f t="shared" si="3229"/>
        <v>-30750</v>
      </c>
      <c r="BB348" s="4">
        <f t="shared" si="3229"/>
        <v>0</v>
      </c>
      <c r="BC348" s="4">
        <f t="shared" si="3229"/>
        <v>0</v>
      </c>
      <c r="BD348" s="4">
        <f t="shared" si="3229"/>
        <v>0</v>
      </c>
      <c r="BE348" s="4">
        <f t="shared" si="3229"/>
        <v>0</v>
      </c>
      <c r="BF348" s="4">
        <f t="shared" si="3229"/>
        <v>0</v>
      </c>
      <c r="BG348" s="4">
        <f t="shared" si="3229"/>
        <v>0</v>
      </c>
      <c r="BH348" s="4">
        <f t="shared" si="3229"/>
        <v>0</v>
      </c>
      <c r="BI348" s="4">
        <f t="shared" si="3229"/>
        <v>0</v>
      </c>
      <c r="BJ348" s="4">
        <f t="shared" si="3229"/>
        <v>0</v>
      </c>
      <c r="BK348" s="4">
        <f t="shared" si="3229"/>
        <v>0</v>
      </c>
      <c r="BL348" s="4">
        <f t="shared" si="3229"/>
        <v>0</v>
      </c>
      <c r="BM348" s="4">
        <f t="shared" si="3229"/>
        <v>0</v>
      </c>
      <c r="BN348" s="4">
        <f t="shared" si="3229"/>
        <v>0</v>
      </c>
      <c r="BO348" s="4">
        <f t="shared" si="3229"/>
        <v>0</v>
      </c>
      <c r="BP348" s="4">
        <f t="shared" si="3229"/>
        <v>0</v>
      </c>
      <c r="BQ348" s="4">
        <f t="shared" si="3229"/>
        <v>0</v>
      </c>
      <c r="BR348" s="4">
        <f t="shared" si="3229"/>
        <v>0</v>
      </c>
      <c r="BS348" s="4">
        <f t="shared" ref="BS348:BY350" si="3230">+BS313</f>
        <v>0</v>
      </c>
      <c r="BT348" s="4">
        <f t="shared" si="3230"/>
        <v>0</v>
      </c>
      <c r="BU348" s="4">
        <f t="shared" si="3230"/>
        <v>0</v>
      </c>
      <c r="BV348" s="4">
        <f t="shared" si="3230"/>
        <v>0</v>
      </c>
      <c r="BW348" s="4">
        <f t="shared" si="3230"/>
        <v>0</v>
      </c>
      <c r="BX348" s="4">
        <f t="shared" si="3230"/>
        <v>0</v>
      </c>
      <c r="BY348" s="4">
        <f t="shared" si="3230"/>
        <v>0</v>
      </c>
    </row>
    <row r="349" spans="3:77" outlineLevel="1" x14ac:dyDescent="0.25">
      <c r="C349" s="79" t="s">
        <v>27</v>
      </c>
      <c r="D349" s="37" t="s">
        <v>101</v>
      </c>
      <c r="F349" s="4">
        <f t="shared" ref="F349:U350" si="3231">+F314</f>
        <v>0</v>
      </c>
      <c r="G349" s="4">
        <f t="shared" si="3231"/>
        <v>0</v>
      </c>
      <c r="H349" s="4">
        <f t="shared" si="3231"/>
        <v>0</v>
      </c>
      <c r="I349" s="4">
        <f t="shared" si="3231"/>
        <v>0</v>
      </c>
      <c r="J349" s="4">
        <f t="shared" si="3231"/>
        <v>0</v>
      </c>
      <c r="K349" s="4">
        <f t="shared" si="3231"/>
        <v>0</v>
      </c>
      <c r="L349" s="4">
        <f t="shared" si="3231"/>
        <v>0</v>
      </c>
      <c r="M349" s="4">
        <f t="shared" si="3231"/>
        <v>0</v>
      </c>
      <c r="N349" s="4">
        <f t="shared" si="3231"/>
        <v>0</v>
      </c>
      <c r="O349" s="4">
        <f t="shared" si="3231"/>
        <v>0</v>
      </c>
      <c r="P349" s="4">
        <f t="shared" si="3231"/>
        <v>0</v>
      </c>
      <c r="Q349" s="4">
        <f t="shared" si="3231"/>
        <v>0</v>
      </c>
      <c r="R349" s="4">
        <f t="shared" si="3231"/>
        <v>0</v>
      </c>
      <c r="S349" s="4">
        <f t="shared" si="3231"/>
        <v>0</v>
      </c>
      <c r="T349" s="4">
        <f t="shared" si="3231"/>
        <v>0</v>
      </c>
      <c r="U349" s="4">
        <f t="shared" si="3231"/>
        <v>0</v>
      </c>
      <c r="V349" s="4">
        <f t="shared" si="3229"/>
        <v>0</v>
      </c>
      <c r="W349" s="4">
        <f t="shared" si="3229"/>
        <v>0</v>
      </c>
      <c r="X349" s="4">
        <f t="shared" si="3229"/>
        <v>-69706.826427267762</v>
      </c>
      <c r="Y349" s="4">
        <f t="shared" si="3229"/>
        <v>0</v>
      </c>
      <c r="Z349" s="4">
        <f t="shared" si="3229"/>
        <v>0</v>
      </c>
      <c r="AA349" s="4">
        <f t="shared" si="3229"/>
        <v>0</v>
      </c>
      <c r="AB349" s="4">
        <f t="shared" si="3229"/>
        <v>0</v>
      </c>
      <c r="AC349" s="4">
        <f t="shared" si="3229"/>
        <v>0</v>
      </c>
      <c r="AD349" s="4">
        <f t="shared" si="3229"/>
        <v>-106030.81376387093</v>
      </c>
      <c r="AE349" s="4">
        <f t="shared" si="3229"/>
        <v>0</v>
      </c>
      <c r="AF349" s="4">
        <f t="shared" si="3229"/>
        <v>0</v>
      </c>
      <c r="AG349" s="4">
        <f t="shared" si="3229"/>
        <v>0</v>
      </c>
      <c r="AH349" s="4">
        <f t="shared" si="3229"/>
        <v>0</v>
      </c>
      <c r="AI349" s="4">
        <f t="shared" si="3229"/>
        <v>0</v>
      </c>
      <c r="AJ349" s="4">
        <f t="shared" si="3229"/>
        <v>-267714.68180669117</v>
      </c>
      <c r="AK349" s="4">
        <f t="shared" si="3229"/>
        <v>0</v>
      </c>
      <c r="AL349" s="4">
        <f t="shared" si="3229"/>
        <v>0</v>
      </c>
      <c r="AM349" s="4">
        <f t="shared" si="3229"/>
        <v>0</v>
      </c>
      <c r="AN349" s="4">
        <f t="shared" si="3229"/>
        <v>-179658.45225951666</v>
      </c>
      <c r="AO349" s="4">
        <f t="shared" si="3229"/>
        <v>0</v>
      </c>
      <c r="AP349" s="4">
        <f t="shared" si="3229"/>
        <v>0</v>
      </c>
      <c r="AQ349" s="4">
        <f t="shared" si="3229"/>
        <v>0</v>
      </c>
      <c r="AR349" s="4">
        <f t="shared" si="3229"/>
        <v>0</v>
      </c>
      <c r="AS349" s="4">
        <f t="shared" si="3229"/>
        <v>0</v>
      </c>
      <c r="AT349" s="4">
        <f t="shared" si="3229"/>
        <v>-272169.21387202153</v>
      </c>
      <c r="AU349" s="4">
        <f t="shared" si="3229"/>
        <v>0</v>
      </c>
      <c r="AV349" s="4">
        <f t="shared" si="3229"/>
        <v>-145636.78690284007</v>
      </c>
      <c r="AW349" s="4">
        <f t="shared" si="3229"/>
        <v>0</v>
      </c>
      <c r="AX349" s="4">
        <f t="shared" si="3229"/>
        <v>0</v>
      </c>
      <c r="AY349" s="4">
        <f t="shared" si="3229"/>
        <v>0</v>
      </c>
      <c r="AZ349" s="4">
        <f t="shared" si="3229"/>
        <v>-109950.97278282426</v>
      </c>
      <c r="BA349" s="4">
        <f t="shared" si="3229"/>
        <v>0</v>
      </c>
      <c r="BB349" s="4">
        <f t="shared" si="3229"/>
        <v>-220538.58796232898</v>
      </c>
      <c r="BC349" s="4">
        <f t="shared" si="3229"/>
        <v>0</v>
      </c>
      <c r="BD349" s="4">
        <f t="shared" si="3229"/>
        <v>0</v>
      </c>
      <c r="BE349" s="4">
        <f t="shared" si="3229"/>
        <v>0</v>
      </c>
      <c r="BF349" s="4">
        <f t="shared" si="3229"/>
        <v>-166226.85969639078</v>
      </c>
      <c r="BG349" s="4">
        <f t="shared" si="3229"/>
        <v>0</v>
      </c>
      <c r="BH349" s="4">
        <f t="shared" si="3229"/>
        <v>0</v>
      </c>
      <c r="BI349" s="4">
        <f t="shared" si="3229"/>
        <v>0</v>
      </c>
      <c r="BJ349" s="4">
        <f t="shared" si="3229"/>
        <v>0</v>
      </c>
      <c r="BK349" s="4">
        <f t="shared" si="3229"/>
        <v>0</v>
      </c>
      <c r="BL349" s="4">
        <f t="shared" si="3229"/>
        <v>0</v>
      </c>
      <c r="BM349" s="4">
        <f t="shared" si="3229"/>
        <v>0</v>
      </c>
      <c r="BN349" s="4">
        <f t="shared" si="3229"/>
        <v>-93269.444492401555</v>
      </c>
      <c r="BO349" s="4">
        <f t="shared" si="3229"/>
        <v>0</v>
      </c>
      <c r="BP349" s="4">
        <f t="shared" si="3229"/>
        <v>0</v>
      </c>
      <c r="BQ349" s="4">
        <f t="shared" si="3229"/>
        <v>0</v>
      </c>
      <c r="BR349" s="4">
        <f t="shared" si="3229"/>
        <v>0</v>
      </c>
      <c r="BS349" s="4">
        <f t="shared" si="3230"/>
        <v>0</v>
      </c>
      <c r="BT349" s="4">
        <f t="shared" si="3230"/>
        <v>-140949.54242169418</v>
      </c>
      <c r="BU349" s="4">
        <f t="shared" si="3230"/>
        <v>0</v>
      </c>
      <c r="BV349" s="4">
        <f t="shared" si="3230"/>
        <v>0</v>
      </c>
      <c r="BW349" s="4">
        <f t="shared" si="3230"/>
        <v>0</v>
      </c>
      <c r="BX349" s="4">
        <f t="shared" si="3230"/>
        <v>0</v>
      </c>
      <c r="BY349" s="4">
        <f t="shared" si="3230"/>
        <v>0</v>
      </c>
    </row>
    <row r="350" spans="3:77" outlineLevel="1" x14ac:dyDescent="0.25">
      <c r="C350" s="79" t="s">
        <v>28</v>
      </c>
      <c r="D350" s="37" t="s">
        <v>101</v>
      </c>
      <c r="F350" s="4">
        <f t="shared" si="3231"/>
        <v>0</v>
      </c>
      <c r="G350" s="4">
        <f t="shared" ref="G350:BR350" si="3232">+G315</f>
        <v>0</v>
      </c>
      <c r="H350" s="4">
        <f t="shared" si="3232"/>
        <v>0</v>
      </c>
      <c r="I350" s="4">
        <f t="shared" si="3232"/>
        <v>0</v>
      </c>
      <c r="J350" s="4">
        <f t="shared" si="3232"/>
        <v>0</v>
      </c>
      <c r="K350" s="4">
        <f t="shared" si="3232"/>
        <v>0</v>
      </c>
      <c r="L350" s="4">
        <f t="shared" si="3232"/>
        <v>0</v>
      </c>
      <c r="M350" s="4">
        <f t="shared" si="3232"/>
        <v>0</v>
      </c>
      <c r="N350" s="4">
        <f t="shared" si="3232"/>
        <v>0</v>
      </c>
      <c r="O350" s="4">
        <f t="shared" si="3232"/>
        <v>0</v>
      </c>
      <c r="P350" s="4">
        <f t="shared" si="3232"/>
        <v>0</v>
      </c>
      <c r="Q350" s="4">
        <f t="shared" si="3232"/>
        <v>0</v>
      </c>
      <c r="R350" s="4">
        <f t="shared" si="3232"/>
        <v>0</v>
      </c>
      <c r="S350" s="4">
        <f t="shared" si="3232"/>
        <v>0</v>
      </c>
      <c r="T350" s="4">
        <f t="shared" si="3232"/>
        <v>0</v>
      </c>
      <c r="U350" s="4">
        <f t="shared" si="3232"/>
        <v>0</v>
      </c>
      <c r="V350" s="4">
        <f t="shared" si="3232"/>
        <v>0</v>
      </c>
      <c r="W350" s="4">
        <f t="shared" si="3232"/>
        <v>0</v>
      </c>
      <c r="X350" s="4">
        <f t="shared" si="3232"/>
        <v>-26173.903447373388</v>
      </c>
      <c r="Y350" s="4">
        <f t="shared" si="3232"/>
        <v>0</v>
      </c>
      <c r="Z350" s="4">
        <f t="shared" si="3232"/>
        <v>0</v>
      </c>
      <c r="AA350" s="4">
        <f t="shared" si="3232"/>
        <v>0</v>
      </c>
      <c r="AB350" s="4">
        <f t="shared" si="3232"/>
        <v>0</v>
      </c>
      <c r="AC350" s="4">
        <f t="shared" si="3232"/>
        <v>0</v>
      </c>
      <c r="AD350" s="4">
        <f t="shared" si="3232"/>
        <v>-35561.021365114713</v>
      </c>
      <c r="AE350" s="4">
        <f t="shared" si="3232"/>
        <v>0</v>
      </c>
      <c r="AF350" s="4">
        <f t="shared" si="3232"/>
        <v>0</v>
      </c>
      <c r="AG350" s="4">
        <f t="shared" si="3232"/>
        <v>0</v>
      </c>
      <c r="AH350" s="4">
        <f t="shared" si="3232"/>
        <v>0</v>
      </c>
      <c r="AI350" s="4">
        <f t="shared" si="3232"/>
        <v>0</v>
      </c>
      <c r="AJ350" s="4">
        <f t="shared" si="3232"/>
        <v>-116515.82947571132</v>
      </c>
      <c r="AK350" s="4">
        <f t="shared" si="3232"/>
        <v>0</v>
      </c>
      <c r="AL350" s="4">
        <f t="shared" si="3232"/>
        <v>0</v>
      </c>
      <c r="AM350" s="4">
        <f t="shared" si="3232"/>
        <v>0</v>
      </c>
      <c r="AN350" s="4">
        <f t="shared" si="3232"/>
        <v>-69130.846865871892</v>
      </c>
      <c r="AO350" s="4">
        <f t="shared" si="3232"/>
        <v>0</v>
      </c>
      <c r="AP350" s="4">
        <f t="shared" si="3232"/>
        <v>0</v>
      </c>
      <c r="AQ350" s="4">
        <f t="shared" si="3232"/>
        <v>0</v>
      </c>
      <c r="AR350" s="4">
        <f t="shared" si="3232"/>
        <v>0</v>
      </c>
      <c r="AS350" s="4">
        <f t="shared" si="3232"/>
        <v>0</v>
      </c>
      <c r="AT350" s="4">
        <f t="shared" si="3232"/>
        <v>-93546.862485963968</v>
      </c>
      <c r="AU350" s="4">
        <f t="shared" si="3232"/>
        <v>0</v>
      </c>
      <c r="AV350" s="4">
        <f t="shared" si="3232"/>
        <v>-57605.426092791728</v>
      </c>
      <c r="AW350" s="4">
        <f t="shared" si="3232"/>
        <v>0</v>
      </c>
      <c r="AX350" s="4">
        <f t="shared" si="3232"/>
        <v>0</v>
      </c>
      <c r="AY350" s="4">
        <f t="shared" si="3232"/>
        <v>0</v>
      </c>
      <c r="AZ350" s="4">
        <f t="shared" si="3232"/>
        <v>-44540.857548773085</v>
      </c>
      <c r="BA350" s="4">
        <f t="shared" si="3232"/>
        <v>0</v>
      </c>
      <c r="BB350" s="4">
        <f t="shared" si="3232"/>
        <v>-77919.225845183042</v>
      </c>
      <c r="BC350" s="4">
        <f t="shared" si="3232"/>
        <v>0</v>
      </c>
      <c r="BD350" s="4">
        <f t="shared" si="3232"/>
        <v>0</v>
      </c>
      <c r="BE350" s="4">
        <f t="shared" si="3232"/>
        <v>0</v>
      </c>
      <c r="BF350" s="4">
        <f t="shared" si="3232"/>
        <v>-59551.608431821318</v>
      </c>
      <c r="BG350" s="4">
        <f t="shared" si="3232"/>
        <v>0</v>
      </c>
      <c r="BH350" s="4">
        <f t="shared" si="3232"/>
        <v>0</v>
      </c>
      <c r="BI350" s="4">
        <f t="shared" si="3232"/>
        <v>0</v>
      </c>
      <c r="BJ350" s="4">
        <f t="shared" si="3232"/>
        <v>0</v>
      </c>
      <c r="BK350" s="4">
        <f t="shared" si="3232"/>
        <v>0</v>
      </c>
      <c r="BL350" s="4">
        <f t="shared" si="3232"/>
        <v>0</v>
      </c>
      <c r="BM350" s="4">
        <f t="shared" si="3232"/>
        <v>0</v>
      </c>
      <c r="BN350" s="4">
        <f t="shared" si="3232"/>
        <v>-37065.333674590991</v>
      </c>
      <c r="BO350" s="4">
        <f t="shared" si="3232"/>
        <v>0</v>
      </c>
      <c r="BP350" s="4">
        <f t="shared" si="3232"/>
        <v>0</v>
      </c>
      <c r="BQ350" s="4">
        <f t="shared" si="3232"/>
        <v>0</v>
      </c>
      <c r="BR350" s="4">
        <f t="shared" si="3232"/>
        <v>0</v>
      </c>
      <c r="BS350" s="4">
        <f t="shared" si="3230"/>
        <v>0</v>
      </c>
      <c r="BT350" s="4">
        <f t="shared" si="3230"/>
        <v>-50034.387009451129</v>
      </c>
      <c r="BU350" s="4">
        <f t="shared" si="3230"/>
        <v>0</v>
      </c>
      <c r="BV350" s="4">
        <f t="shared" si="3230"/>
        <v>0</v>
      </c>
      <c r="BW350" s="4">
        <f t="shared" si="3230"/>
        <v>0</v>
      </c>
      <c r="BX350" s="4">
        <f t="shared" si="3230"/>
        <v>0</v>
      </c>
      <c r="BY350" s="4">
        <f t="shared" si="3230"/>
        <v>0</v>
      </c>
    </row>
    <row r="351" spans="3:77" outlineLevel="1" x14ac:dyDescent="0.25">
      <c r="C351" s="79" t="s">
        <v>36</v>
      </c>
      <c r="D351" s="37" t="s">
        <v>101</v>
      </c>
      <c r="F351" s="4">
        <f>MIN(-SUM(F348:F350),E320+F318-F342)</f>
        <v>0</v>
      </c>
      <c r="G351" s="4">
        <f t="shared" ref="G351:BR351" si="3233">MIN(-SUM(G348:G350),F320+G318-G342)</f>
        <v>0</v>
      </c>
      <c r="H351" s="4">
        <f t="shared" si="3233"/>
        <v>0</v>
      </c>
      <c r="I351" s="4">
        <f t="shared" si="3233"/>
        <v>0</v>
      </c>
      <c r="J351" s="4">
        <f t="shared" si="3233"/>
        <v>0</v>
      </c>
      <c r="K351" s="4">
        <f t="shared" si="3233"/>
        <v>0</v>
      </c>
      <c r="L351" s="4">
        <f t="shared" si="3233"/>
        <v>0</v>
      </c>
      <c r="M351" s="4">
        <f t="shared" si="3233"/>
        <v>0</v>
      </c>
      <c r="N351" s="4">
        <f t="shared" si="3233"/>
        <v>0</v>
      </c>
      <c r="O351" s="4">
        <f t="shared" si="3233"/>
        <v>0</v>
      </c>
      <c r="P351" s="4">
        <f t="shared" si="3233"/>
        <v>0</v>
      </c>
      <c r="Q351" s="4">
        <f t="shared" si="3233"/>
        <v>0</v>
      </c>
      <c r="R351" s="4">
        <f t="shared" si="3233"/>
        <v>0</v>
      </c>
      <c r="S351" s="4">
        <f t="shared" si="3233"/>
        <v>0</v>
      </c>
      <c r="T351" s="4">
        <f t="shared" si="3233"/>
        <v>0</v>
      </c>
      <c r="U351" s="4">
        <f t="shared" si="3233"/>
        <v>0</v>
      </c>
      <c r="V351" s="4">
        <f t="shared" si="3233"/>
        <v>0</v>
      </c>
      <c r="W351" s="4">
        <f t="shared" si="3233"/>
        <v>0</v>
      </c>
      <c r="X351" s="4">
        <f t="shared" si="3233"/>
        <v>280380.72987464111</v>
      </c>
      <c r="Y351" s="4">
        <f t="shared" si="3233"/>
        <v>123000</v>
      </c>
      <c r="Z351" s="4">
        <f t="shared" si="3233"/>
        <v>246000</v>
      </c>
      <c r="AA351" s="4">
        <f t="shared" si="3233"/>
        <v>215250.00000000003</v>
      </c>
      <c r="AB351" s="4">
        <f t="shared" si="3233"/>
        <v>246000</v>
      </c>
      <c r="AC351" s="4">
        <f t="shared" si="3233"/>
        <v>192425.24844929727</v>
      </c>
      <c r="AD351" s="4">
        <f t="shared" si="3233"/>
        <v>174851.50191164875</v>
      </c>
      <c r="AE351" s="4">
        <f t="shared" si="3233"/>
        <v>61500</v>
      </c>
      <c r="AF351" s="4">
        <f t="shared" si="3233"/>
        <v>153750</v>
      </c>
      <c r="AG351" s="4">
        <f t="shared" si="3233"/>
        <v>153750</v>
      </c>
      <c r="AH351" s="4">
        <f t="shared" si="3233"/>
        <v>153750</v>
      </c>
      <c r="AI351" s="4">
        <f t="shared" si="3233"/>
        <v>30750</v>
      </c>
      <c r="AJ351" s="4">
        <f t="shared" si="3233"/>
        <v>414980.5112824025</v>
      </c>
      <c r="AK351" s="4">
        <f t="shared" si="3233"/>
        <v>92250</v>
      </c>
      <c r="AL351" s="4">
        <f t="shared" si="3233"/>
        <v>92250</v>
      </c>
      <c r="AM351" s="4">
        <f t="shared" si="3233"/>
        <v>92250</v>
      </c>
      <c r="AN351" s="4">
        <f t="shared" si="3233"/>
        <v>279539.29912538856</v>
      </c>
      <c r="AO351" s="4">
        <f t="shared" si="3233"/>
        <v>30750</v>
      </c>
      <c r="AP351" s="4">
        <f t="shared" si="3233"/>
        <v>153750</v>
      </c>
      <c r="AQ351" s="4">
        <f t="shared" si="3233"/>
        <v>123000</v>
      </c>
      <c r="AR351" s="4">
        <f t="shared" si="3233"/>
        <v>30750</v>
      </c>
      <c r="AS351" s="4">
        <f t="shared" si="3233"/>
        <v>123000</v>
      </c>
      <c r="AT351" s="4">
        <f t="shared" si="3233"/>
        <v>381091.0763579855</v>
      </c>
      <c r="AU351" s="4">
        <f t="shared" si="3233"/>
        <v>15375</v>
      </c>
      <c r="AV351" s="4">
        <f t="shared" si="3233"/>
        <v>45914.395192353622</v>
      </c>
      <c r="AW351" s="4">
        <f t="shared" si="3233"/>
        <v>15195.553947600059</v>
      </c>
      <c r="AX351" s="4">
        <f t="shared" si="3233"/>
        <v>15220.650640372234</v>
      </c>
      <c r="AY351" s="4">
        <f t="shared" si="3233"/>
        <v>15245.788782372934</v>
      </c>
      <c r="AZ351" s="4">
        <f t="shared" si="3233"/>
        <v>15270.968442058926</v>
      </c>
      <c r="BA351" s="4">
        <f t="shared" si="3233"/>
        <v>15296.189688000046</v>
      </c>
      <c r="BB351" s="4">
        <f t="shared" si="3233"/>
        <v>15315.179719606178</v>
      </c>
      <c r="BC351" s="4">
        <f t="shared" si="3233"/>
        <v>0</v>
      </c>
      <c r="BD351" s="4">
        <f t="shared" si="3233"/>
        <v>0</v>
      </c>
      <c r="BE351" s="4">
        <f t="shared" si="3233"/>
        <v>0</v>
      </c>
      <c r="BF351" s="4">
        <f t="shared" si="3233"/>
        <v>61451.091151561246</v>
      </c>
      <c r="BG351" s="4">
        <f t="shared" si="3233"/>
        <v>0</v>
      </c>
      <c r="BH351" s="4">
        <f t="shared" si="3233"/>
        <v>0</v>
      </c>
      <c r="BI351" s="4">
        <f t="shared" si="3233"/>
        <v>0</v>
      </c>
      <c r="BJ351" s="4">
        <f t="shared" si="3233"/>
        <v>0</v>
      </c>
      <c r="BK351" s="4">
        <f t="shared" si="3233"/>
        <v>0</v>
      </c>
      <c r="BL351" s="4">
        <f t="shared" si="3233"/>
        <v>0</v>
      </c>
      <c r="BM351" s="4">
        <f t="shared" si="3233"/>
        <v>0</v>
      </c>
      <c r="BN351" s="4">
        <f t="shared" si="3233"/>
        <v>123820.89894463676</v>
      </c>
      <c r="BO351" s="4">
        <f t="shared" si="3233"/>
        <v>0</v>
      </c>
      <c r="BP351" s="4">
        <f t="shared" si="3233"/>
        <v>0</v>
      </c>
      <c r="BQ351" s="4">
        <f t="shared" si="3233"/>
        <v>0</v>
      </c>
      <c r="BR351" s="4">
        <f t="shared" si="3233"/>
        <v>0</v>
      </c>
      <c r="BS351" s="4">
        <f t="shared" ref="BS351:BY351" si="3234">MIN(-SUM(BS348:BS350),BR320+BS318-BS342)</f>
        <v>0</v>
      </c>
      <c r="BT351" s="4">
        <f t="shared" si="3234"/>
        <v>93675.559151371039</v>
      </c>
      <c r="BU351" s="4">
        <f t="shared" si="3234"/>
        <v>0</v>
      </c>
      <c r="BV351" s="4">
        <f t="shared" si="3234"/>
        <v>0</v>
      </c>
      <c r="BW351" s="4">
        <f t="shared" si="3234"/>
        <v>0</v>
      </c>
      <c r="BX351" s="4">
        <f t="shared" si="3234"/>
        <v>0</v>
      </c>
      <c r="BY351" s="4">
        <f t="shared" si="3234"/>
        <v>0</v>
      </c>
    </row>
    <row r="352" spans="3:77" outlineLevel="1" x14ac:dyDescent="0.25">
      <c r="C352" s="85"/>
      <c r="D352" s="52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</row>
    <row r="353" spans="3:77" outlineLevel="1" x14ac:dyDescent="0.25">
      <c r="C353" s="78" t="s">
        <v>37</v>
      </c>
      <c r="D353" s="37" t="s">
        <v>101</v>
      </c>
      <c r="F353" s="23">
        <f>+F345+SUM(F348:F351)</f>
        <v>102516.78443270912</v>
      </c>
      <c r="G353" s="23">
        <f t="shared" ref="G353:BR353" si="3235">+G345+SUM(G348:G351)</f>
        <v>105241.89432262944</v>
      </c>
      <c r="H353" s="23">
        <f t="shared" si="3235"/>
        <v>138973.69594529027</v>
      </c>
      <c r="I353" s="23">
        <f t="shared" si="3235"/>
        <v>138570.12839065239</v>
      </c>
      <c r="J353" s="23">
        <f t="shared" si="3235"/>
        <v>140355.92399019346</v>
      </c>
      <c r="K353" s="23">
        <f t="shared" si="3235"/>
        <v>137449.29233442023</v>
      </c>
      <c r="L353" s="23">
        <f t="shared" si="3235"/>
        <v>139294.25598797027</v>
      </c>
      <c r="M353" s="23">
        <f t="shared" si="3235"/>
        <v>142785.38316106622</v>
      </c>
      <c r="N353" s="23">
        <f t="shared" si="3235"/>
        <v>137489.13105524989</v>
      </c>
      <c r="O353" s="23">
        <f t="shared" si="3235"/>
        <v>139358.73783395998</v>
      </c>
      <c r="P353" s="23">
        <f t="shared" si="3235"/>
        <v>146418.98025604768</v>
      </c>
      <c r="Q353" s="23">
        <f t="shared" si="3235"/>
        <v>158013.48411224963</v>
      </c>
      <c r="R353" s="23">
        <f t="shared" si="3235"/>
        <v>135615.35500278239</v>
      </c>
      <c r="S353" s="23">
        <f t="shared" si="3235"/>
        <v>138444.5028645721</v>
      </c>
      <c r="T353" s="23">
        <f t="shared" si="3235"/>
        <v>142357.21628797299</v>
      </c>
      <c r="U353" s="23">
        <f t="shared" si="3235"/>
        <v>141964.08685164477</v>
      </c>
      <c r="V353" s="23">
        <f t="shared" si="3235"/>
        <v>143826.13255020953</v>
      </c>
      <c r="W353" s="23">
        <f t="shared" si="3235"/>
        <v>140855.10983229664</v>
      </c>
      <c r="X353" s="23">
        <f t="shared" si="3235"/>
        <v>119906.18656946276</v>
      </c>
      <c r="Y353" s="23">
        <f t="shared" si="3235"/>
        <v>123518.16208823764</v>
      </c>
      <c r="Z353" s="23">
        <f t="shared" si="3235"/>
        <v>131362.79521045269</v>
      </c>
      <c r="AA353" s="23">
        <f t="shared" si="3235"/>
        <v>133304.8376995626</v>
      </c>
      <c r="AB353" s="23">
        <f t="shared" si="3235"/>
        <v>140587.38897070198</v>
      </c>
      <c r="AC353" s="23">
        <f t="shared" si="3235"/>
        <v>98971.559032042947</v>
      </c>
      <c r="AD353" s="23">
        <f t="shared" si="3235"/>
        <v>73361.367711810628</v>
      </c>
      <c r="AE353" s="23">
        <f t="shared" si="3235"/>
        <v>135289.77980008302</v>
      </c>
      <c r="AF353" s="23">
        <f t="shared" si="3235"/>
        <v>139344.03016327773</v>
      </c>
      <c r="AG353" s="23">
        <f t="shared" si="3235"/>
        <v>147987.16513991874</v>
      </c>
      <c r="AH353" s="23">
        <f t="shared" si="3235"/>
        <v>149929.42660359276</v>
      </c>
      <c r="AI353" s="23">
        <f t="shared" si="3235"/>
        <v>146893.72749330092</v>
      </c>
      <c r="AJ353" s="23">
        <f t="shared" si="3235"/>
        <v>148791.62754623647</v>
      </c>
      <c r="AK353" s="23">
        <f t="shared" si="3235"/>
        <v>152543.78448891561</v>
      </c>
      <c r="AL353" s="23">
        <f t="shared" si="3235"/>
        <v>146973.64897117199</v>
      </c>
      <c r="AM353" s="23">
        <f t="shared" si="3235"/>
        <v>178869.57849397266</v>
      </c>
      <c r="AN353" s="23">
        <f t="shared" si="3235"/>
        <v>127750.95376559181</v>
      </c>
      <c r="AO353" s="23">
        <f t="shared" si="3235"/>
        <v>140088.93144893079</v>
      </c>
      <c r="AP353" s="23">
        <f t="shared" si="3235"/>
        <v>152029.31522168926</v>
      </c>
      <c r="AQ353" s="23">
        <f t="shared" si="3235"/>
        <v>155029.03967549</v>
      </c>
      <c r="AR353" s="23">
        <f t="shared" si="3235"/>
        <v>159172.82040964544</v>
      </c>
      <c r="AS353" s="23">
        <f t="shared" si="3235"/>
        <v>158770.78976838896</v>
      </c>
      <c r="AT353" s="23">
        <f t="shared" si="3235"/>
        <v>168093.87731151568</v>
      </c>
      <c r="AU353" s="23">
        <f t="shared" si="3235"/>
        <v>164982.5305795359</v>
      </c>
      <c r="AV353" s="23">
        <f t="shared" si="3235"/>
        <v>-71446.707030747464</v>
      </c>
      <c r="AW353" s="23">
        <f t="shared" si="3235"/>
        <v>65831.116465023122</v>
      </c>
      <c r="AX353" s="23">
        <f t="shared" si="3235"/>
        <v>91929.990615193426</v>
      </c>
      <c r="AY353" s="23">
        <f t="shared" si="3235"/>
        <v>123925.29968319295</v>
      </c>
      <c r="AZ353" s="23">
        <f t="shared" si="3235"/>
        <v>-32845.733809397032</v>
      </c>
      <c r="BA353" s="23">
        <f t="shared" si="3235"/>
        <v>129229.37927672279</v>
      </c>
      <c r="BB353" s="23">
        <f t="shared" si="3235"/>
        <v>-123114.54206268216</v>
      </c>
      <c r="BC353" s="23">
        <f t="shared" si="3235"/>
        <v>163122.45087914501</v>
      </c>
      <c r="BD353" s="23">
        <f t="shared" si="3235"/>
        <v>167389.5177282712</v>
      </c>
      <c r="BE353" s="23">
        <f t="shared" si="3235"/>
        <v>186968.2498276587</v>
      </c>
      <c r="BF353" s="23">
        <f t="shared" si="3235"/>
        <v>29773.92196831503</v>
      </c>
      <c r="BG353" s="23">
        <f t="shared" si="3235"/>
        <v>190925.14761622882</v>
      </c>
      <c r="BH353" s="23">
        <f t="shared" si="3235"/>
        <v>193193.49163984851</v>
      </c>
      <c r="BI353" s="23">
        <f t="shared" si="3235"/>
        <v>212565.63059495855</v>
      </c>
      <c r="BJ353" s="23">
        <f t="shared" si="3235"/>
        <v>206726.8498333462</v>
      </c>
      <c r="BK353" s="23">
        <f t="shared" si="3235"/>
        <v>208875.48216228269</v>
      </c>
      <c r="BL353" s="23">
        <f t="shared" si="3235"/>
        <v>215957.83890391432</v>
      </c>
      <c r="BM353" s="23">
        <f t="shared" si="3235"/>
        <v>228946.50106091081</v>
      </c>
      <c r="BN353" s="23">
        <f t="shared" si="3235"/>
        <v>167537.37991397269</v>
      </c>
      <c r="BO353" s="23">
        <f t="shared" si="3235"/>
        <v>177208.66038432598</v>
      </c>
      <c r="BP353" s="23">
        <f t="shared" si="3235"/>
        <v>200753.1767382166</v>
      </c>
      <c r="BQ353" s="23">
        <f t="shared" si="3235"/>
        <v>200354.14863986045</v>
      </c>
      <c r="BR353" s="23">
        <f t="shared" si="3235"/>
        <v>203367.22446335576</v>
      </c>
      <c r="BS353" s="23">
        <f t="shared" ref="BS353:BY353" si="3236">+BS345+SUM(BS348:BS351)</f>
        <v>200123.03111057047</v>
      </c>
      <c r="BT353" s="23">
        <f t="shared" si="3236"/>
        <v>108938.93354667767</v>
      </c>
      <c r="BU353" s="23">
        <f t="shared" si="3236"/>
        <v>210282.01877143228</v>
      </c>
      <c r="BV353" s="23">
        <f t="shared" si="3236"/>
        <v>204326.65420888551</v>
      </c>
      <c r="BW353" s="23">
        <f t="shared" si="3236"/>
        <v>219471.35628405371</v>
      </c>
      <c r="BX353" s="23">
        <f t="shared" si="3236"/>
        <v>226702.94684326049</v>
      </c>
      <c r="BY353" s="23">
        <f t="shared" si="3236"/>
        <v>239951.57477298717</v>
      </c>
    </row>
    <row r="354" spans="3:77" outlineLevel="1" x14ac:dyDescent="0.25">
      <c r="C354" s="86" t="s">
        <v>38</v>
      </c>
      <c r="D354" s="36" t="s">
        <v>16</v>
      </c>
      <c r="F354" s="63">
        <f>+F353/F333</f>
        <v>0.53683356809577842</v>
      </c>
      <c r="G354" s="63">
        <f t="shared" ref="G354:BR354" si="3237">+G353/G333</f>
        <v>0.54233234793194618</v>
      </c>
      <c r="H354" s="63">
        <f t="shared" si="3237"/>
        <v>0.60658227631093387</v>
      </c>
      <c r="I354" s="63">
        <f t="shared" si="3237"/>
        <v>0.60517751140162701</v>
      </c>
      <c r="J354" s="63">
        <f t="shared" si="3237"/>
        <v>0.60734556046849542</v>
      </c>
      <c r="K354" s="63">
        <f t="shared" si="3237"/>
        <v>0.60183512480582757</v>
      </c>
      <c r="L354" s="63">
        <f t="shared" si="3237"/>
        <v>0.60413148553326601</v>
      </c>
      <c r="M354" s="63">
        <f t="shared" si="3237"/>
        <v>0.60901432074972339</v>
      </c>
      <c r="N354" s="63">
        <f t="shared" si="3237"/>
        <v>0.59965907457893486</v>
      </c>
      <c r="O354" s="63">
        <f t="shared" si="3237"/>
        <v>0.60200022208761605</v>
      </c>
      <c r="P354" s="63">
        <f t="shared" si="3237"/>
        <v>0.61248065152282205</v>
      </c>
      <c r="Q354" s="63">
        <f t="shared" si="3237"/>
        <v>0.62878300953526134</v>
      </c>
      <c r="R354" s="63">
        <f t="shared" si="3237"/>
        <v>0.59369059539760838</v>
      </c>
      <c r="S354" s="63">
        <f t="shared" si="3237"/>
        <v>0.59787005306729935</v>
      </c>
      <c r="T354" s="63">
        <f t="shared" si="3237"/>
        <v>0.60368001272858263</v>
      </c>
      <c r="U354" s="63">
        <f t="shared" si="3237"/>
        <v>0.60248723367707435</v>
      </c>
      <c r="V354" s="63">
        <f t="shared" si="3237"/>
        <v>0.60489643931754011</v>
      </c>
      <c r="W354" s="63">
        <f t="shared" si="3237"/>
        <v>0.59956802407863485</v>
      </c>
      <c r="X354" s="63">
        <f t="shared" si="3237"/>
        <v>0.56148448811880314</v>
      </c>
      <c r="Y354" s="63">
        <f t="shared" si="3237"/>
        <v>0.56790589558011884</v>
      </c>
      <c r="Z354" s="63">
        <f t="shared" si="3237"/>
        <v>0.58174760641471901</v>
      </c>
      <c r="AA354" s="63">
        <f t="shared" si="3237"/>
        <v>0.58458776478671681</v>
      </c>
      <c r="AB354" s="63">
        <f t="shared" si="3237"/>
        <v>0.59630698155119288</v>
      </c>
      <c r="AC354" s="63">
        <f t="shared" si="3237"/>
        <v>0.39857062890090184</v>
      </c>
      <c r="AD354" s="63">
        <f t="shared" si="3237"/>
        <v>0.32225870933599582</v>
      </c>
      <c r="AE354" s="63">
        <f t="shared" si="3237"/>
        <v>0.58610897024817177</v>
      </c>
      <c r="AF354" s="63">
        <f t="shared" si="3237"/>
        <v>0.59255612017403603</v>
      </c>
      <c r="AG354" s="63">
        <f t="shared" si="3237"/>
        <v>0.60596065546526401</v>
      </c>
      <c r="AH354" s="63">
        <f t="shared" si="3237"/>
        <v>0.60854697862125939</v>
      </c>
      <c r="AI354" s="63">
        <f t="shared" si="3237"/>
        <v>0.60352029063982404</v>
      </c>
      <c r="AJ354" s="63">
        <f t="shared" si="3237"/>
        <v>0.60606768241422582</v>
      </c>
      <c r="AK354" s="63">
        <f t="shared" si="3237"/>
        <v>0.61133998770688569</v>
      </c>
      <c r="AL354" s="63">
        <f t="shared" si="3237"/>
        <v>0.60251493547247559</v>
      </c>
      <c r="AM354" s="63">
        <f t="shared" si="3237"/>
        <v>0.64581163941094022</v>
      </c>
      <c r="AN354" s="63">
        <f t="shared" si="3237"/>
        <v>0.56924454580835937</v>
      </c>
      <c r="AO354" s="63">
        <f t="shared" si="3237"/>
        <v>0.59035865267190279</v>
      </c>
      <c r="AP354" s="63">
        <f t="shared" si="3237"/>
        <v>0.60870726822411947</v>
      </c>
      <c r="AQ354" s="63">
        <f t="shared" si="3237"/>
        <v>0.61275375002259036</v>
      </c>
      <c r="AR354" s="63">
        <f t="shared" si="3237"/>
        <v>0.61831579280101046</v>
      </c>
      <c r="AS354" s="63">
        <f t="shared" si="3237"/>
        <v>0.61737838253427202</v>
      </c>
      <c r="AT354" s="63">
        <f t="shared" si="3237"/>
        <v>0.6297179814282412</v>
      </c>
      <c r="AU354" s="63">
        <f t="shared" si="3237"/>
        <v>0.62521267355412968</v>
      </c>
      <c r="AV354" s="63">
        <f t="shared" si="3237"/>
        <v>-0.3335664224196988</v>
      </c>
      <c r="AW354" s="63">
        <f t="shared" si="3237"/>
        <v>0.27269202664039704</v>
      </c>
      <c r="AX354" s="63">
        <f t="shared" si="3237"/>
        <v>0.34245045039663624</v>
      </c>
      <c r="AY354" s="63">
        <f t="shared" si="3237"/>
        <v>0.45921873396025875</v>
      </c>
      <c r="AZ354" s="63">
        <f t="shared" si="3237"/>
        <v>-0.13921198621047695</v>
      </c>
      <c r="BA354" s="63">
        <f t="shared" si="3237"/>
        <v>0.52987089311548263</v>
      </c>
      <c r="BB354" s="63">
        <f t="shared" si="3237"/>
        <v>-0.47383544583793413</v>
      </c>
      <c r="BC354" s="63">
        <f t="shared" si="3237"/>
        <v>0.61992316785791612</v>
      </c>
      <c r="BD354" s="63">
        <f t="shared" si="3237"/>
        <v>0.62540387587487389</v>
      </c>
      <c r="BE354" s="63">
        <f t="shared" si="3237"/>
        <v>0.64930222672769988</v>
      </c>
      <c r="BF354" s="63">
        <f t="shared" si="3237"/>
        <v>0.10078354770499195</v>
      </c>
      <c r="BG354" s="63">
        <f t="shared" si="3237"/>
        <v>0.65325282504932369</v>
      </c>
      <c r="BH354" s="63">
        <f t="shared" si="3237"/>
        <v>0.65550343534362165</v>
      </c>
      <c r="BI354" s="63">
        <f t="shared" si="3237"/>
        <v>0.67520747904027301</v>
      </c>
      <c r="BJ354" s="63">
        <f t="shared" si="3237"/>
        <v>0.66920367320232532</v>
      </c>
      <c r="BK354" s="63">
        <f t="shared" si="3237"/>
        <v>0.67108866982481408</v>
      </c>
      <c r="BL354" s="63">
        <f t="shared" si="3237"/>
        <v>0.67768661220971016</v>
      </c>
      <c r="BM354" s="63">
        <f t="shared" si="3237"/>
        <v>0.68922675239736819</v>
      </c>
      <c r="BN354" s="63">
        <f t="shared" si="3237"/>
        <v>0.60766873598856863</v>
      </c>
      <c r="BO354" s="63">
        <f t="shared" si="3237"/>
        <v>0.63497512532412825</v>
      </c>
      <c r="BP354" s="63">
        <f t="shared" si="3237"/>
        <v>0.66152113318402073</v>
      </c>
      <c r="BQ354" s="63">
        <f t="shared" si="3237"/>
        <v>0.66084114383226167</v>
      </c>
      <c r="BR354" s="63">
        <f t="shared" si="3237"/>
        <v>0.66371657448881338</v>
      </c>
      <c r="BS354" s="63">
        <f t="shared" ref="BS354:BY354" si="3238">+BS353/BS333</f>
        <v>0.66007488675325254</v>
      </c>
      <c r="BT354" s="63">
        <f t="shared" si="3238"/>
        <v>0.3518514621645491</v>
      </c>
      <c r="BU354" s="63">
        <f t="shared" si="3238"/>
        <v>0.66990947312965055</v>
      </c>
      <c r="BV354" s="63">
        <f t="shared" si="3238"/>
        <v>0.66366287028556414</v>
      </c>
      <c r="BW354" s="63">
        <f t="shared" si="3238"/>
        <v>0.6781950069171937</v>
      </c>
      <c r="BX354" s="63">
        <f t="shared" si="3238"/>
        <v>0.68451624101661135</v>
      </c>
      <c r="BY354" s="63">
        <f t="shared" si="3238"/>
        <v>0.69557937753179488</v>
      </c>
    </row>
    <row r="355" spans="3:77" x14ac:dyDescent="0.25">
      <c r="C355" s="81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14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</row>
  </sheetData>
  <pageMargins left="0.7" right="0.7" top="0.75" bottom="0.75" header="0.3" footer="0.3"/>
  <pageSetup scale="33" orientation="portrait" horizontalDpi="1200" verticalDpi="1200" r:id="rId1"/>
  <rowBreaks count="7" manualBreakCount="7">
    <brk id="58" max="77" man="1"/>
    <brk id="97" max="77" man="1"/>
    <brk id="136" max="77" man="1"/>
    <brk id="175" max="77" man="1"/>
    <brk id="223" max="77" man="1"/>
    <brk id="260" max="77" man="1"/>
    <brk id="307" max="77" man="1"/>
  </rowBreaks>
  <ignoredErrors>
    <ignoredError sqref="E81:E82 E120:E121 E117 E78 F11:BY17 E26 E30:E32 E35:E37 E33:E34 E38 F27:BY38 F40:BX43 BY40:BY43 E182 E264:E266 E262:E263 F311 E68 F65:BY65 E66:BY67 E65 E69:BY77 F68:BY68 F79:BY82 E107 F104:BY104 E105:BY106 E104 E108:BY116 F107:BY107 F118:BY121 E156 E159:E160 E146 F143:BY143 E144:BY145 E143 E147:BY155 F146:BY146 F159:BY160 E157:BY158 F156:BY156 F183:BY199 E186:E194 E227:E235 F230:BY246 F267:BY283 G311:BY311 R334:BY334" unlockedFormula="1"/>
    <ignoredError sqref="E236:E241 E267:E278" evalError="1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56</vt:i4>
      </vt:variant>
    </vt:vector>
  </HeadingPairs>
  <TitlesOfParts>
    <vt:vector size="58" baseType="lpstr">
      <vt:lpstr>Annual</vt:lpstr>
      <vt:lpstr>Monthly</vt:lpstr>
      <vt:lpstr>Acq_Date</vt:lpstr>
      <vt:lpstr>Acq_Price</vt:lpstr>
      <vt:lpstr>Additional_Reserves</vt:lpstr>
      <vt:lpstr>CAM_per_SF</vt:lpstr>
      <vt:lpstr>Down_Months</vt:lpstr>
      <vt:lpstr>Exit_Date</vt:lpstr>
      <vt:lpstr>Exit_Fee_Pct</vt:lpstr>
      <vt:lpstr>Exit_Price</vt:lpstr>
      <vt:lpstr>GP_Catchup_Return</vt:lpstr>
      <vt:lpstr>GP_Equity_Pct</vt:lpstr>
      <vt:lpstr>GP_Name</vt:lpstr>
      <vt:lpstr>Gross_Sq_Ft</vt:lpstr>
      <vt:lpstr>Holdback_Release_per_SF</vt:lpstr>
      <vt:lpstr>Insurance_per_SF</vt:lpstr>
      <vt:lpstr>Loan_Issuance_Fees</vt:lpstr>
      <vt:lpstr>Loan_Prepay_Penalty</vt:lpstr>
      <vt:lpstr>LP_Equity_Pct</vt:lpstr>
      <vt:lpstr>LP_Name</vt:lpstr>
      <vt:lpstr>LP_Pref_Return</vt:lpstr>
      <vt:lpstr>Mezz_Balance</vt:lpstr>
      <vt:lpstr>Mezz_Cash_Interest</vt:lpstr>
      <vt:lpstr>Mezz_LTV</vt:lpstr>
      <vt:lpstr>Mezz_Maturity</vt:lpstr>
      <vt:lpstr>Mezz_PIK_Interest</vt:lpstr>
      <vt:lpstr>Months</vt:lpstr>
      <vt:lpstr>New_Free_Rent_Months</vt:lpstr>
      <vt:lpstr>New_LC_Pct</vt:lpstr>
      <vt:lpstr>New_Lease_Years</vt:lpstr>
      <vt:lpstr>New_TIs</vt:lpstr>
      <vt:lpstr>Annual!Print_Area</vt:lpstr>
      <vt:lpstr>Monthly!Print_Area</vt:lpstr>
      <vt:lpstr>Prop_Mgmt_Fee_Pct</vt:lpstr>
      <vt:lpstr>Purchase_Cap_Rate</vt:lpstr>
      <vt:lpstr>RE_Taxes_Pct_Property_Value</vt:lpstr>
      <vt:lpstr>Renewal_Free_Rent_Months</vt:lpstr>
      <vt:lpstr>Renewal_LC_Pct</vt:lpstr>
      <vt:lpstr>Renewal_Probability</vt:lpstr>
      <vt:lpstr>Renewal_TIs</vt:lpstr>
      <vt:lpstr>Renovation_Costs</vt:lpstr>
      <vt:lpstr>Rentable_Sq_Ft</vt:lpstr>
      <vt:lpstr>Reserves_per_SF</vt:lpstr>
      <vt:lpstr>Scenario</vt:lpstr>
      <vt:lpstr>Senior_Loan_Amort_Period</vt:lpstr>
      <vt:lpstr>Senior_Loan_Ann_Interest</vt:lpstr>
      <vt:lpstr>Senior_Loan_Balance</vt:lpstr>
      <vt:lpstr>Senior_Loan_Holdback</vt:lpstr>
      <vt:lpstr>Senior_Loan_IO_Period</vt:lpstr>
      <vt:lpstr>Senior_Loan_LIBOR_Floor</vt:lpstr>
      <vt:lpstr>Senior_Loan_LIBOR_Spread</vt:lpstr>
      <vt:lpstr>Senior_Loan_LTV</vt:lpstr>
      <vt:lpstr>Senior_Loan_Maturity</vt:lpstr>
      <vt:lpstr>Tier_3_IRR_Max</vt:lpstr>
      <vt:lpstr>Tier_3_IRR_Min</vt:lpstr>
      <vt:lpstr>Tier_3_LP_Split</vt:lpstr>
      <vt:lpstr>Total_Acq_Costs</vt:lpstr>
      <vt:lpstr>Utilities_per_SF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BIWS</dc:creator>
  <cp:lastModifiedBy>BIWS</cp:lastModifiedBy>
  <cp:lastPrinted>2018-11-12T21:53:00Z</cp:lastPrinted>
  <dcterms:created xsi:type="dcterms:W3CDTF">2017-05-22T18:53:36Z</dcterms:created>
  <dcterms:modified xsi:type="dcterms:W3CDTF">2018-11-30T16:11:53Z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gmt_Fee_Pct" linkTarget="Prop_Mgmt_Fee_Pct">
    <vt:r8>0.03</vt:r8>
  </property>
</Properties>
</file>