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 (BIWS)\BIWS-All-Courses\80-Real-Estate-2017-2018-Edition\RE-06-Pre-Sold-Condo-Development\"/>
    </mc:Choice>
  </mc:AlternateContent>
  <bookViews>
    <workbookView xWindow="240" yWindow="105" windowWidth="14805" windowHeight="8010"/>
  </bookViews>
  <sheets>
    <sheet name="Assumptions" sheetId="2" r:id="rId1"/>
    <sheet name="Monthly-CF" sheetId="3" r:id="rId2"/>
  </sheets>
  <definedNames>
    <definedName name="Constr">'Monthly-CF'!$L$9</definedName>
    <definedName name="Constr_End_Payment_Pct">Assumptions!$E$40</definedName>
    <definedName name="Constr_Loan_Interest">Assumptions!$E$37</definedName>
    <definedName name="Constr_Months">Assumptions!$E$46</definedName>
    <definedName name="Days_in_Year">Assumptions!$E$12</definedName>
    <definedName name="Dev_Catch_Up">Assumptions!$M$35</definedName>
    <definedName name="Developer_Equity_Pct">Assumptions!$L$31</definedName>
    <definedName name="Developer_Name">Assumptions!$E$15</definedName>
    <definedName name="Expense_Inflation">Assumptions!$E$26</definedName>
    <definedName name="FFE_Move_In_Cost_Pct">Assumptions!$E$52</definedName>
    <definedName name="Final_Constr_Month">'Monthly-CF'!$E$19</definedName>
    <definedName name="Final_Month">'Monthly-CF'!$E$9</definedName>
    <definedName name="Gross_Area">Assumptions!$L$13</definedName>
    <definedName name="Hard_Costs_per_Sq_M">Assumptions!$E$50</definedName>
    <definedName name="Investor_Equity_Pct">Assumptions!$L$30</definedName>
    <definedName name="Investor_Name">Assumptions!$E$16</definedName>
    <definedName name="Lot_Deposit_Pct">Assumptions!$E$32</definedName>
    <definedName name="Lot_Price">Assumptions!$E$31</definedName>
    <definedName name="Lot_Price_per_Sq_M">Assumptions!$E$30</definedName>
    <definedName name="Lot_Remainder_Payment_Month">Assumptions!$E$34</definedName>
    <definedName name="Lot_Upfront_Payment_Month">Assumptions!$E$33</definedName>
    <definedName name="LP_Name">Assumptions!$E$31</definedName>
    <definedName name="LP_Pref">Assumptions!$M$34</definedName>
    <definedName name="Months">Assumptions!$E$11</definedName>
    <definedName name="Num_Units">Assumptions!$L$7</definedName>
    <definedName name="Pct_Units_Sold_Before_Constr">Assumptions!$E$43</definedName>
    <definedName name="Pct_Units_Sold_Before_Loans">Assumptions!$E$36</definedName>
    <definedName name="Pct_Units_Sold_for_Next_Phase">Assumptions!$E$44</definedName>
    <definedName name="Ph1_Constr_End">'Monthly-CF'!$F$20</definedName>
    <definedName name="Ph1_Constr_Start">'Monthly-CF'!$F$18</definedName>
    <definedName name="Ph1_Pre_Constr_Months">'Monthly-CF'!$E$17</definedName>
    <definedName name="Ph1_Start_Month">'Monthly-CF'!$F$16</definedName>
    <definedName name="Ph2_Constr_End">'Monthly-CF'!$F$27</definedName>
    <definedName name="Ph2_Constr_Start">'Monthly-CF'!$F$25</definedName>
    <definedName name="Ph2_Pre_Constr_Months">'Monthly-CF'!$E$24</definedName>
    <definedName name="Ph2_Start_Month">'Monthly-CF'!$F$23</definedName>
    <definedName name="Ph3_Constr_End">'Monthly-CF'!$F$34</definedName>
    <definedName name="Ph3_Constr_Start">'Monthly-CF'!$F$32</definedName>
    <definedName name="Ph3_Pre_Constr_Months">'Monthly-CF'!$E$31</definedName>
    <definedName name="Ph3_Start_Month">'Monthly-CF'!$F$30</definedName>
    <definedName name="Phase_1_Avg_Size">'Monthly-CF'!$L$17</definedName>
    <definedName name="Phase_1_Units">'Monthly-CF'!$L$16</definedName>
    <definedName name="Phase_2_Avg_Size">'Monthly-CF'!$L$24</definedName>
    <definedName name="Phase_2_Units">'Monthly-CF'!$L$23</definedName>
    <definedName name="Phase_3_Avg_Size">'Monthly-CF'!$L$31</definedName>
    <definedName name="Phase_3_Units">'Monthly-CF'!$L$30</definedName>
    <definedName name="Post_Constr">'Monthly-CF'!$L$10</definedName>
    <definedName name="Post_Constr_Phase_End">'Monthly-CF'!$L$13</definedName>
    <definedName name="Pre_Constr">'Monthly-CF'!$L$8</definedName>
    <definedName name="_xlnm.Print_Area" localSheetId="0">Assumptions!$A$1:$O$174</definedName>
    <definedName name="_xlnm.Print_Area" localSheetId="1">'Monthly-CF'!$A$1:$CL$217</definedName>
    <definedName name="Property_Name">Assumptions!$E$7</definedName>
    <definedName name="Rentable_Area">Assumptions!$L$11</definedName>
    <definedName name="Sales_Price_Inflation">Assumptions!$E$25</definedName>
    <definedName name="Scenario">Assumptions!$E$18</definedName>
    <definedName name="Soft_Costs_per_Sq_M">Assumptions!$E$51</definedName>
    <definedName name="Start_Date">Assumptions!$E$9</definedName>
    <definedName name="Tier_1_Dev_Split">Assumptions!$M$39</definedName>
    <definedName name="Tier_1_IRR_Max">Assumptions!$M$37</definedName>
    <definedName name="Tier_1_IRR_Min">Assumptions!$L$37</definedName>
    <definedName name="Tier_1_LP_Split">Assumptions!$M$38</definedName>
    <definedName name="Tier_2_Dev_Split">Assumptions!$M$44</definedName>
    <definedName name="Tier_2_IRR_Max">Assumptions!$M$41</definedName>
    <definedName name="Tier_2_IRR_Min">Assumptions!$L$41</definedName>
    <definedName name="Tier_2_LP_Split">Assumptions!$M$43</definedName>
    <definedName name="Tier_3_Dev_Split">Assumptions!$M$49</definedName>
    <definedName name="Tier_3_IRR_Max">Assumptions!$M$46</definedName>
    <definedName name="Tier_3_IRR_Min">Assumptions!$L$46</definedName>
    <definedName name="Tier_3_LP_Split">Assumptions!$M$48</definedName>
    <definedName name="Total_Constr_Months">'Monthly-CF'!$E$8</definedName>
    <definedName name="Unit_Price_per_Sq_M">Assumptions!$E$48</definedName>
    <definedName name="Unit_Sales_per_Month">Assumptions!$E$23</definedName>
    <definedName name="Units">Assumptions!$E$13</definedName>
    <definedName name="Upfront_Payment_Pct">Assumptions!$E$39</definedName>
  </definedNames>
  <calcPr calcId="162913" calcMode="autoNoTable" iterate="1"/>
</workbook>
</file>

<file path=xl/calcChain.xml><?xml version="1.0" encoding="utf-8"?>
<calcChain xmlns="http://schemas.openxmlformats.org/spreadsheetml/2006/main">
  <c r="E23" i="2" l="1"/>
  <c r="E170" i="2" l="1"/>
  <c r="D170" i="2"/>
  <c r="E162" i="2"/>
  <c r="F162" i="2" s="1"/>
  <c r="D154" i="2"/>
  <c r="F146" i="2"/>
  <c r="G146" i="2" s="1"/>
  <c r="E146" i="2"/>
  <c r="E154" i="2" s="1"/>
  <c r="E138" i="2"/>
  <c r="D138" i="2"/>
  <c r="E130" i="2"/>
  <c r="F130" i="2" s="1"/>
  <c r="C171" i="2" a="1"/>
  <c r="C173" i="2" s="1"/>
  <c r="C155" i="2" a="1"/>
  <c r="C157" i="2" s="1"/>
  <c r="C139" i="2" a="1"/>
  <c r="C140" i="2" s="1"/>
  <c r="C163" i="2" a="1"/>
  <c r="C165" i="2" s="1"/>
  <c r="C147" i="2" a="1"/>
  <c r="C149" i="2" s="1"/>
  <c r="C131" i="2" a="1"/>
  <c r="C132" i="2" s="1"/>
  <c r="C123" i="2" a="1"/>
  <c r="C123" i="2" s="1"/>
  <c r="C115" i="2" a="1"/>
  <c r="C115" i="2" s="1"/>
  <c r="D122" i="2"/>
  <c r="E114" i="2"/>
  <c r="E122" i="2" s="1"/>
  <c r="F138" i="2" l="1"/>
  <c r="G130" i="2"/>
  <c r="H146" i="2"/>
  <c r="G154" i="2"/>
  <c r="G162" i="2"/>
  <c r="F170" i="2"/>
  <c r="F154" i="2"/>
  <c r="F114" i="2"/>
  <c r="C171" i="2"/>
  <c r="C172" i="2"/>
  <c r="C155" i="2"/>
  <c r="C156" i="2"/>
  <c r="C141" i="2"/>
  <c r="C139" i="2"/>
  <c r="C163" i="2"/>
  <c r="C164" i="2"/>
  <c r="C147" i="2"/>
  <c r="C148" i="2"/>
  <c r="C131" i="2"/>
  <c r="C133" i="2"/>
  <c r="C125" i="2"/>
  <c r="C124" i="2"/>
  <c r="C117" i="2"/>
  <c r="C116" i="2"/>
  <c r="G114" i="2" l="1"/>
  <c r="F122" i="2"/>
  <c r="I146" i="2"/>
  <c r="H154" i="2"/>
  <c r="H162" i="2"/>
  <c r="G170" i="2"/>
  <c r="H130" i="2"/>
  <c r="G138" i="2"/>
  <c r="C158" i="3"/>
  <c r="I130" i="2" l="1"/>
  <c r="H138" i="2"/>
  <c r="I162" i="2"/>
  <c r="H170" i="2"/>
  <c r="J146" i="2"/>
  <c r="I154" i="2"/>
  <c r="H114" i="2"/>
  <c r="G122" i="2"/>
  <c r="E174" i="3"/>
  <c r="E161" i="3"/>
  <c r="F161" i="3" s="1"/>
  <c r="E152" i="3"/>
  <c r="E143" i="3"/>
  <c r="I114" i="2" l="1"/>
  <c r="H122" i="2"/>
  <c r="J130" i="2"/>
  <c r="I138" i="2"/>
  <c r="K146" i="2"/>
  <c r="J154" i="2"/>
  <c r="J162" i="2"/>
  <c r="I170" i="2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F111" i="3" s="1"/>
  <c r="K162" i="2" l="1"/>
  <c r="J170" i="2"/>
  <c r="J114" i="2"/>
  <c r="I122" i="2"/>
  <c r="L146" i="2"/>
  <c r="K154" i="2"/>
  <c r="K130" i="2"/>
  <c r="J138" i="2"/>
  <c r="E33" i="3"/>
  <c r="E26" i="3"/>
  <c r="E19" i="3"/>
  <c r="L162" i="2" l="1"/>
  <c r="K170" i="2"/>
  <c r="L130" i="2"/>
  <c r="K138" i="2"/>
  <c r="M146" i="2"/>
  <c r="L154" i="2"/>
  <c r="K114" i="2"/>
  <c r="J122" i="2"/>
  <c r="F38" i="3"/>
  <c r="G39" i="3"/>
  <c r="E26" i="2"/>
  <c r="CK46" i="3" s="1"/>
  <c r="E25" i="2"/>
  <c r="CD43" i="3" s="1"/>
  <c r="F52" i="3"/>
  <c r="M38" i="2"/>
  <c r="E166" i="3" s="1"/>
  <c r="L31" i="2"/>
  <c r="M39" i="2" s="1"/>
  <c r="E41" i="2"/>
  <c r="L11" i="2"/>
  <c r="L13" i="2" s="1"/>
  <c r="L16" i="2" s="1"/>
  <c r="E31" i="2" s="1"/>
  <c r="F101" i="3" s="1"/>
  <c r="L114" i="2" l="1"/>
  <c r="K122" i="2"/>
  <c r="M162" i="2"/>
  <c r="L170" i="2"/>
  <c r="N146" i="2"/>
  <c r="N154" i="2" s="1"/>
  <c r="M154" i="2"/>
  <c r="M130" i="2"/>
  <c r="L138" i="2"/>
  <c r="E167" i="3"/>
  <c r="M44" i="2"/>
  <c r="M43" i="2"/>
  <c r="G101" i="3"/>
  <c r="H39" i="3"/>
  <c r="G38" i="3"/>
  <c r="H46" i="3"/>
  <c r="K43" i="3"/>
  <c r="S43" i="3"/>
  <c r="AA43" i="3"/>
  <c r="AI43" i="3"/>
  <c r="AQ43" i="3"/>
  <c r="AY43" i="3"/>
  <c r="BG43" i="3"/>
  <c r="BO43" i="3"/>
  <c r="BW43" i="3"/>
  <c r="CE43" i="3"/>
  <c r="J46" i="3"/>
  <c r="R46" i="3"/>
  <c r="Z46" i="3"/>
  <c r="AH46" i="3"/>
  <c r="AP46" i="3"/>
  <c r="AX46" i="3"/>
  <c r="BF46" i="3"/>
  <c r="BN46" i="3"/>
  <c r="BV46" i="3"/>
  <c r="CD46" i="3"/>
  <c r="F43" i="3"/>
  <c r="F44" i="3" s="1"/>
  <c r="L43" i="3"/>
  <c r="T43" i="3"/>
  <c r="AB43" i="3"/>
  <c r="AJ43" i="3"/>
  <c r="AR43" i="3"/>
  <c r="AZ43" i="3"/>
  <c r="BH43" i="3"/>
  <c r="BP43" i="3"/>
  <c r="BX43" i="3"/>
  <c r="CF43" i="3"/>
  <c r="K46" i="3"/>
  <c r="S46" i="3"/>
  <c r="AA46" i="3"/>
  <c r="AI46" i="3"/>
  <c r="AQ46" i="3"/>
  <c r="AY46" i="3"/>
  <c r="BG46" i="3"/>
  <c r="BO46" i="3"/>
  <c r="BW46" i="3"/>
  <c r="CE46" i="3"/>
  <c r="F46" i="3"/>
  <c r="F47" i="3" s="1"/>
  <c r="F97" i="3" s="1"/>
  <c r="M43" i="3"/>
  <c r="U43" i="3"/>
  <c r="AC43" i="3"/>
  <c r="AK43" i="3"/>
  <c r="AS43" i="3"/>
  <c r="BA43" i="3"/>
  <c r="BI43" i="3"/>
  <c r="BQ43" i="3"/>
  <c r="BY43" i="3"/>
  <c r="CG43" i="3"/>
  <c r="L46" i="3"/>
  <c r="T46" i="3"/>
  <c r="AB46" i="3"/>
  <c r="AJ46" i="3"/>
  <c r="AR46" i="3"/>
  <c r="AZ46" i="3"/>
  <c r="BH46" i="3"/>
  <c r="BP46" i="3"/>
  <c r="BX46" i="3"/>
  <c r="CF46" i="3"/>
  <c r="N43" i="3"/>
  <c r="V43" i="3"/>
  <c r="AD43" i="3"/>
  <c r="AL43" i="3"/>
  <c r="AT43" i="3"/>
  <c r="BB43" i="3"/>
  <c r="BJ43" i="3"/>
  <c r="BR43" i="3"/>
  <c r="BZ43" i="3"/>
  <c r="CH43" i="3"/>
  <c r="M46" i="3"/>
  <c r="U46" i="3"/>
  <c r="AC46" i="3"/>
  <c r="AK46" i="3"/>
  <c r="AS46" i="3"/>
  <c r="BA46" i="3"/>
  <c r="BI46" i="3"/>
  <c r="BQ46" i="3"/>
  <c r="BY46" i="3"/>
  <c r="CG46" i="3"/>
  <c r="O43" i="3"/>
  <c r="W43" i="3"/>
  <c r="AE43" i="3"/>
  <c r="AM43" i="3"/>
  <c r="AU43" i="3"/>
  <c r="BC43" i="3"/>
  <c r="BK43" i="3"/>
  <c r="BS43" i="3"/>
  <c r="CA43" i="3"/>
  <c r="CI43" i="3"/>
  <c r="N46" i="3"/>
  <c r="V46" i="3"/>
  <c r="AD46" i="3"/>
  <c r="AL46" i="3"/>
  <c r="AT46" i="3"/>
  <c r="BB46" i="3"/>
  <c r="BJ46" i="3"/>
  <c r="BR46" i="3"/>
  <c r="BZ46" i="3"/>
  <c r="CH46" i="3"/>
  <c r="G43" i="3"/>
  <c r="P43" i="3"/>
  <c r="X43" i="3"/>
  <c r="AF43" i="3"/>
  <c r="AN43" i="3"/>
  <c r="AV43" i="3"/>
  <c r="BD43" i="3"/>
  <c r="BL43" i="3"/>
  <c r="BT43" i="3"/>
  <c r="CB43" i="3"/>
  <c r="CJ43" i="3"/>
  <c r="O46" i="3"/>
  <c r="W46" i="3"/>
  <c r="AE46" i="3"/>
  <c r="AM46" i="3"/>
  <c r="AU46" i="3"/>
  <c r="BC46" i="3"/>
  <c r="BK46" i="3"/>
  <c r="BS46" i="3"/>
  <c r="CA46" i="3"/>
  <c r="CI46" i="3"/>
  <c r="F53" i="3"/>
  <c r="F55" i="3"/>
  <c r="F78" i="3" s="1"/>
  <c r="H43" i="3"/>
  <c r="I43" i="3"/>
  <c r="Q43" i="3"/>
  <c r="Y43" i="3"/>
  <c r="AG43" i="3"/>
  <c r="AO43" i="3"/>
  <c r="AW43" i="3"/>
  <c r="BE43" i="3"/>
  <c r="BM43" i="3"/>
  <c r="BU43" i="3"/>
  <c r="CC43" i="3"/>
  <c r="CK43" i="3"/>
  <c r="P46" i="3"/>
  <c r="X46" i="3"/>
  <c r="AF46" i="3"/>
  <c r="AN46" i="3"/>
  <c r="AV46" i="3"/>
  <c r="BD46" i="3"/>
  <c r="BL46" i="3"/>
  <c r="BT46" i="3"/>
  <c r="CB46" i="3"/>
  <c r="CJ46" i="3"/>
  <c r="G46" i="3"/>
  <c r="J43" i="3"/>
  <c r="R43" i="3"/>
  <c r="Z43" i="3"/>
  <c r="AH43" i="3"/>
  <c r="AP43" i="3"/>
  <c r="AX43" i="3"/>
  <c r="BF43" i="3"/>
  <c r="BN43" i="3"/>
  <c r="BV43" i="3"/>
  <c r="I46" i="3"/>
  <c r="Q46" i="3"/>
  <c r="Y46" i="3"/>
  <c r="AG46" i="3"/>
  <c r="AO46" i="3"/>
  <c r="AW46" i="3"/>
  <c r="BE46" i="3"/>
  <c r="BM46" i="3"/>
  <c r="BU46" i="3"/>
  <c r="CC46" i="3"/>
  <c r="N162" i="2" l="1"/>
  <c r="N170" i="2" s="1"/>
  <c r="M170" i="2"/>
  <c r="M114" i="2"/>
  <c r="L122" i="2"/>
  <c r="N130" i="2"/>
  <c r="N138" i="2" s="1"/>
  <c r="M138" i="2"/>
  <c r="E180" i="3"/>
  <c r="M48" i="2"/>
  <c r="E187" i="3" s="1"/>
  <c r="E181" i="3"/>
  <c r="M49" i="2"/>
  <c r="E188" i="3" s="1"/>
  <c r="H101" i="3"/>
  <c r="I39" i="3"/>
  <c r="H38" i="3"/>
  <c r="G52" i="3"/>
  <c r="F54" i="3"/>
  <c r="G44" i="3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G47" i="3"/>
  <c r="N114" i="2" l="1"/>
  <c r="N122" i="2" s="1"/>
  <c r="M122" i="2"/>
  <c r="I101" i="3"/>
  <c r="J39" i="3"/>
  <c r="I38" i="3"/>
  <c r="H47" i="3"/>
  <c r="G97" i="3"/>
  <c r="G55" i="3"/>
  <c r="G78" i="3" s="1"/>
  <c r="G53" i="3"/>
  <c r="I47" i="3" l="1"/>
  <c r="H97" i="3"/>
  <c r="K39" i="3"/>
  <c r="J101" i="3"/>
  <c r="J38" i="3"/>
  <c r="H52" i="3"/>
  <c r="G54" i="3"/>
  <c r="K101" i="3" l="1"/>
  <c r="K38" i="3"/>
  <c r="L39" i="3"/>
  <c r="J47" i="3"/>
  <c r="I97" i="3"/>
  <c r="H55" i="3"/>
  <c r="H78" i="3" s="1"/>
  <c r="H53" i="3"/>
  <c r="K47" i="3" l="1"/>
  <c r="J97" i="3"/>
  <c r="L101" i="3"/>
  <c r="M39" i="3"/>
  <c r="L38" i="3"/>
  <c r="I52" i="3"/>
  <c r="H54" i="3"/>
  <c r="M101" i="3" l="1"/>
  <c r="N39" i="3"/>
  <c r="M38" i="3"/>
  <c r="L47" i="3"/>
  <c r="K97" i="3"/>
  <c r="I55" i="3"/>
  <c r="I78" i="3" s="1"/>
  <c r="I53" i="3"/>
  <c r="N101" i="3" l="1"/>
  <c r="O39" i="3"/>
  <c r="N38" i="3"/>
  <c r="M47" i="3"/>
  <c r="L97" i="3"/>
  <c r="I54" i="3"/>
  <c r="J52" i="3"/>
  <c r="N47" i="3" l="1"/>
  <c r="M97" i="3"/>
  <c r="O101" i="3"/>
  <c r="O38" i="3"/>
  <c r="P39" i="3"/>
  <c r="J55" i="3"/>
  <c r="J78" i="3" s="1"/>
  <c r="J53" i="3"/>
  <c r="P101" i="3" l="1"/>
  <c r="Q39" i="3"/>
  <c r="P38" i="3"/>
  <c r="O47" i="3"/>
  <c r="N97" i="3"/>
  <c r="K52" i="3"/>
  <c r="J54" i="3"/>
  <c r="P47" i="3" l="1"/>
  <c r="O97" i="3"/>
  <c r="Q101" i="3"/>
  <c r="R39" i="3"/>
  <c r="Q38" i="3"/>
  <c r="K53" i="3"/>
  <c r="K55" i="3"/>
  <c r="K78" i="3" s="1"/>
  <c r="R101" i="3" l="1"/>
  <c r="S39" i="3"/>
  <c r="R38" i="3"/>
  <c r="Q47" i="3"/>
  <c r="P97" i="3"/>
  <c r="K54" i="3"/>
  <c r="L52" i="3"/>
  <c r="R47" i="3" l="1"/>
  <c r="Q97" i="3"/>
  <c r="S101" i="3"/>
  <c r="T39" i="3"/>
  <c r="S38" i="3"/>
  <c r="L53" i="3"/>
  <c r="L55" i="3"/>
  <c r="L78" i="3" s="1"/>
  <c r="T101" i="3" l="1"/>
  <c r="U39" i="3"/>
  <c r="T38" i="3"/>
  <c r="S47" i="3"/>
  <c r="R97" i="3"/>
  <c r="L54" i="3"/>
  <c r="M52" i="3"/>
  <c r="T47" i="3" l="1"/>
  <c r="S97" i="3"/>
  <c r="U101" i="3"/>
  <c r="V39" i="3"/>
  <c r="U38" i="3"/>
  <c r="M55" i="3"/>
  <c r="M78" i="3" s="1"/>
  <c r="M53" i="3"/>
  <c r="V101" i="3" l="1"/>
  <c r="V38" i="3"/>
  <c r="W39" i="3"/>
  <c r="U47" i="3"/>
  <c r="T97" i="3"/>
  <c r="N52" i="3"/>
  <c r="M54" i="3"/>
  <c r="V47" i="3" l="1"/>
  <c r="U97" i="3"/>
  <c r="W101" i="3"/>
  <c r="W38" i="3"/>
  <c r="X39" i="3"/>
  <c r="N53" i="3"/>
  <c r="N55" i="3"/>
  <c r="N78" i="3" s="1"/>
  <c r="X101" i="3" l="1"/>
  <c r="X38" i="3"/>
  <c r="Y39" i="3"/>
  <c r="W47" i="3"/>
  <c r="V97" i="3"/>
  <c r="N54" i="3"/>
  <c r="O52" i="3"/>
  <c r="X47" i="3" l="1"/>
  <c r="W97" i="3"/>
  <c r="Y101" i="3"/>
  <c r="Z39" i="3"/>
  <c r="Y38" i="3"/>
  <c r="O55" i="3"/>
  <c r="O78" i="3" s="1"/>
  <c r="O53" i="3"/>
  <c r="Z101" i="3" l="1"/>
  <c r="AA39" i="3"/>
  <c r="Z38" i="3"/>
  <c r="Y47" i="3"/>
  <c r="X97" i="3"/>
  <c r="P52" i="3"/>
  <c r="O54" i="3"/>
  <c r="Z47" i="3" l="1"/>
  <c r="Y97" i="3"/>
  <c r="AA101" i="3"/>
  <c r="AB39" i="3"/>
  <c r="AA38" i="3"/>
  <c r="P55" i="3"/>
  <c r="P78" i="3" s="1"/>
  <c r="P53" i="3"/>
  <c r="AB101" i="3" l="1"/>
  <c r="AC39" i="3"/>
  <c r="AB38" i="3"/>
  <c r="AA47" i="3"/>
  <c r="Z97" i="3"/>
  <c r="Q52" i="3"/>
  <c r="P54" i="3"/>
  <c r="AB47" i="3" l="1"/>
  <c r="AA97" i="3"/>
  <c r="AC101" i="3"/>
  <c r="AD39" i="3"/>
  <c r="AC38" i="3"/>
  <c r="Q55" i="3"/>
  <c r="Q78" i="3" s="1"/>
  <c r="Q53" i="3"/>
  <c r="AD101" i="3" l="1"/>
  <c r="AD38" i="3"/>
  <c r="AE39" i="3"/>
  <c r="AC47" i="3"/>
  <c r="AB97" i="3"/>
  <c r="R52" i="3"/>
  <c r="Q54" i="3"/>
  <c r="AD47" i="3" l="1"/>
  <c r="AC97" i="3"/>
  <c r="AE101" i="3"/>
  <c r="AE38" i="3"/>
  <c r="AF39" i="3"/>
  <c r="R55" i="3"/>
  <c r="R78" i="3" s="1"/>
  <c r="R53" i="3"/>
  <c r="AF101" i="3" l="1"/>
  <c r="AG39" i="3"/>
  <c r="AF38" i="3"/>
  <c r="AE47" i="3"/>
  <c r="AD97" i="3"/>
  <c r="S52" i="3"/>
  <c r="R54" i="3"/>
  <c r="AG101" i="3" l="1"/>
  <c r="AH39" i="3"/>
  <c r="AG38" i="3"/>
  <c r="AF47" i="3"/>
  <c r="AE97" i="3"/>
  <c r="S55" i="3"/>
  <c r="S78" i="3" s="1"/>
  <c r="S53" i="3"/>
  <c r="AG47" i="3" l="1"/>
  <c r="AF97" i="3"/>
  <c r="AH101" i="3"/>
  <c r="AI39" i="3"/>
  <c r="AH38" i="3"/>
  <c r="T52" i="3"/>
  <c r="S54" i="3"/>
  <c r="AH47" i="3" l="1"/>
  <c r="AG97" i="3"/>
  <c r="AI101" i="3"/>
  <c r="AJ39" i="3"/>
  <c r="AI38" i="3"/>
  <c r="T55" i="3"/>
  <c r="T78" i="3" s="1"/>
  <c r="T53" i="3"/>
  <c r="AJ101" i="3" l="1"/>
  <c r="AK39" i="3"/>
  <c r="AJ38" i="3"/>
  <c r="AI47" i="3"/>
  <c r="AH97" i="3"/>
  <c r="T54" i="3"/>
  <c r="U52" i="3"/>
  <c r="AK101" i="3" l="1"/>
  <c r="AL39" i="3"/>
  <c r="AK38" i="3"/>
  <c r="AJ47" i="3"/>
  <c r="AI97" i="3"/>
  <c r="U53" i="3"/>
  <c r="U55" i="3"/>
  <c r="U78" i="3" s="1"/>
  <c r="AK47" i="3" l="1"/>
  <c r="AJ97" i="3"/>
  <c r="AL101" i="3"/>
  <c r="AL38" i="3"/>
  <c r="AM39" i="3"/>
  <c r="V52" i="3"/>
  <c r="U54" i="3"/>
  <c r="AM101" i="3" l="1"/>
  <c r="AM38" i="3"/>
  <c r="AN39" i="3"/>
  <c r="AL47" i="3"/>
  <c r="AK97" i="3"/>
  <c r="V53" i="3"/>
  <c r="V55" i="3"/>
  <c r="V78" i="3" s="1"/>
  <c r="AM47" i="3" l="1"/>
  <c r="AL97" i="3"/>
  <c r="AN101" i="3"/>
  <c r="AO39" i="3"/>
  <c r="AN38" i="3"/>
  <c r="W52" i="3"/>
  <c r="V54" i="3"/>
  <c r="AN47" i="3" l="1"/>
  <c r="AM97" i="3"/>
  <c r="AO101" i="3"/>
  <c r="AP39" i="3"/>
  <c r="AO38" i="3"/>
  <c r="W53" i="3"/>
  <c r="W55" i="3"/>
  <c r="W78" i="3" s="1"/>
  <c r="AP101" i="3" l="1"/>
  <c r="AQ39" i="3"/>
  <c r="AP38" i="3"/>
  <c r="AO47" i="3"/>
  <c r="AN97" i="3"/>
  <c r="X52" i="3"/>
  <c r="W54" i="3"/>
  <c r="AQ101" i="3" l="1"/>
  <c r="AR39" i="3"/>
  <c r="AQ38" i="3"/>
  <c r="AP47" i="3"/>
  <c r="AO97" i="3"/>
  <c r="X55" i="3"/>
  <c r="X78" i="3" s="1"/>
  <c r="X53" i="3"/>
  <c r="AR101" i="3" l="1"/>
  <c r="AS39" i="3"/>
  <c r="AR38" i="3"/>
  <c r="AQ47" i="3"/>
  <c r="Y52" i="3"/>
  <c r="X54" i="3"/>
  <c r="AS101" i="3" l="1"/>
  <c r="AT39" i="3"/>
  <c r="AS38" i="3"/>
  <c r="AR47" i="3"/>
  <c r="Y55" i="3"/>
  <c r="Y78" i="3" s="1"/>
  <c r="Y53" i="3"/>
  <c r="AS47" i="3" l="1"/>
  <c r="AT101" i="3"/>
  <c r="AT38" i="3"/>
  <c r="AU39" i="3"/>
  <c r="Y54" i="3"/>
  <c r="Z52" i="3"/>
  <c r="AT47" i="3" l="1"/>
  <c r="AU101" i="3"/>
  <c r="AU38" i="3"/>
  <c r="AV39" i="3"/>
  <c r="Z53" i="3"/>
  <c r="Z55" i="3"/>
  <c r="Z78" i="3" s="1"/>
  <c r="AV101" i="3" l="1"/>
  <c r="AV38" i="3"/>
  <c r="AW39" i="3"/>
  <c r="AU47" i="3"/>
  <c r="Z54" i="3"/>
  <c r="AA52" i="3"/>
  <c r="AV47" i="3" l="1"/>
  <c r="AW101" i="3"/>
  <c r="AX39" i="3"/>
  <c r="AW38" i="3"/>
  <c r="AA53" i="3"/>
  <c r="AA55" i="3"/>
  <c r="AA78" i="3" s="1"/>
  <c r="AX101" i="3" l="1"/>
  <c r="AY39" i="3"/>
  <c r="AX38" i="3"/>
  <c r="AW47" i="3"/>
  <c r="AA54" i="3"/>
  <c r="AB52" i="3"/>
  <c r="AY101" i="3" l="1"/>
  <c r="AZ39" i="3"/>
  <c r="AY38" i="3"/>
  <c r="AX47" i="3"/>
  <c r="AB53" i="3"/>
  <c r="AB55" i="3"/>
  <c r="AB78" i="3" s="1"/>
  <c r="AY47" i="3" l="1"/>
  <c r="AZ101" i="3"/>
  <c r="BA39" i="3"/>
  <c r="AZ38" i="3"/>
  <c r="AB54" i="3"/>
  <c r="AC52" i="3"/>
  <c r="BA101" i="3" l="1"/>
  <c r="BB39" i="3"/>
  <c r="BA38" i="3"/>
  <c r="AZ47" i="3"/>
  <c r="AC53" i="3"/>
  <c r="AC55" i="3"/>
  <c r="AC78" i="3" s="1"/>
  <c r="BA47" i="3" l="1"/>
  <c r="BB101" i="3"/>
  <c r="BB38" i="3"/>
  <c r="BC39" i="3"/>
  <c r="AD52" i="3"/>
  <c r="AC54" i="3"/>
  <c r="BC101" i="3" l="1"/>
  <c r="BC38" i="3"/>
  <c r="BD39" i="3"/>
  <c r="BB47" i="3"/>
  <c r="AD53" i="3"/>
  <c r="AD55" i="3"/>
  <c r="AD78" i="3" s="1"/>
  <c r="BC47" i="3" l="1"/>
  <c r="BD101" i="3"/>
  <c r="BE39" i="3"/>
  <c r="BD38" i="3"/>
  <c r="AE52" i="3"/>
  <c r="AD54" i="3"/>
  <c r="BE101" i="3" l="1"/>
  <c r="BF39" i="3"/>
  <c r="BE38" i="3"/>
  <c r="BD47" i="3"/>
  <c r="AE53" i="3"/>
  <c r="AE55" i="3"/>
  <c r="AE78" i="3" s="1"/>
  <c r="BE47" i="3" l="1"/>
  <c r="BF101" i="3"/>
  <c r="BG39" i="3"/>
  <c r="BF38" i="3"/>
  <c r="AF52" i="3"/>
  <c r="AE54" i="3"/>
  <c r="BG101" i="3" l="1"/>
  <c r="BH39" i="3"/>
  <c r="BG38" i="3"/>
  <c r="BF47" i="3"/>
  <c r="AF53" i="3"/>
  <c r="AF55" i="3"/>
  <c r="AF78" i="3" s="1"/>
  <c r="BG47" i="3" l="1"/>
  <c r="BH101" i="3"/>
  <c r="BI39" i="3"/>
  <c r="BH38" i="3"/>
  <c r="AF54" i="3"/>
  <c r="AG52" i="3"/>
  <c r="BI101" i="3" l="1"/>
  <c r="BJ39" i="3"/>
  <c r="BI38" i="3"/>
  <c r="BH47" i="3"/>
  <c r="AG53" i="3"/>
  <c r="AG55" i="3"/>
  <c r="AG78" i="3" s="1"/>
  <c r="BJ101" i="3" l="1"/>
  <c r="BK39" i="3"/>
  <c r="BJ38" i="3"/>
  <c r="BI47" i="3"/>
  <c r="AH52" i="3"/>
  <c r="AG54" i="3"/>
  <c r="BJ47" i="3" l="1"/>
  <c r="BK101" i="3"/>
  <c r="BK38" i="3"/>
  <c r="BL39" i="3"/>
  <c r="AH53" i="3"/>
  <c r="AH55" i="3"/>
  <c r="AH78" i="3" s="1"/>
  <c r="BL101" i="3" l="1"/>
  <c r="BM39" i="3"/>
  <c r="BL38" i="3"/>
  <c r="BK47" i="3"/>
  <c r="AH54" i="3"/>
  <c r="AI52" i="3"/>
  <c r="BL47" i="3" l="1"/>
  <c r="BM101" i="3"/>
  <c r="BN39" i="3"/>
  <c r="BM38" i="3"/>
  <c r="AI53" i="3"/>
  <c r="AI55" i="3"/>
  <c r="AI78" i="3" s="1"/>
  <c r="BN101" i="3" l="1"/>
  <c r="BO39" i="3"/>
  <c r="BN38" i="3"/>
  <c r="BM47" i="3"/>
  <c r="AI54" i="3"/>
  <c r="AJ52" i="3"/>
  <c r="BN47" i="3" l="1"/>
  <c r="BO101" i="3"/>
  <c r="BP39" i="3"/>
  <c r="BO38" i="3"/>
  <c r="AJ53" i="3"/>
  <c r="AJ55" i="3"/>
  <c r="AJ78" i="3" s="1"/>
  <c r="BP101" i="3" l="1"/>
  <c r="BP38" i="3"/>
  <c r="BQ39" i="3"/>
  <c r="BO47" i="3"/>
  <c r="AJ54" i="3"/>
  <c r="AK52" i="3"/>
  <c r="BP47" i="3" l="1"/>
  <c r="BQ101" i="3"/>
  <c r="BR39" i="3"/>
  <c r="BQ38" i="3"/>
  <c r="AK53" i="3"/>
  <c r="AK55" i="3"/>
  <c r="AK78" i="3" s="1"/>
  <c r="BR101" i="3" l="1"/>
  <c r="BR38" i="3"/>
  <c r="BS39" i="3"/>
  <c r="BQ47" i="3"/>
  <c r="AL52" i="3"/>
  <c r="AK54" i="3"/>
  <c r="BR47" i="3" l="1"/>
  <c r="BS101" i="3"/>
  <c r="BS38" i="3"/>
  <c r="BT39" i="3"/>
  <c r="AL55" i="3"/>
  <c r="AL78" i="3" s="1"/>
  <c r="AL53" i="3"/>
  <c r="BT101" i="3" l="1"/>
  <c r="BU39" i="3"/>
  <c r="BT38" i="3"/>
  <c r="BS47" i="3"/>
  <c r="AM52" i="3"/>
  <c r="AL54" i="3"/>
  <c r="BT47" i="3" l="1"/>
  <c r="BU101" i="3"/>
  <c r="BV39" i="3"/>
  <c r="BU38" i="3"/>
  <c r="AM53" i="3"/>
  <c r="AM55" i="3"/>
  <c r="AM78" i="3" s="1"/>
  <c r="BV101" i="3" l="1"/>
  <c r="BW39" i="3"/>
  <c r="BV38" i="3"/>
  <c r="BU47" i="3"/>
  <c r="AN52" i="3"/>
  <c r="AM54" i="3"/>
  <c r="BW101" i="3" l="1"/>
  <c r="BW38" i="3"/>
  <c r="BX39" i="3"/>
  <c r="BV47" i="3"/>
  <c r="AN55" i="3"/>
  <c r="AN78" i="3" s="1"/>
  <c r="AN53" i="3"/>
  <c r="BX101" i="3" l="1"/>
  <c r="BX38" i="3"/>
  <c r="BY39" i="3"/>
  <c r="BW47" i="3"/>
  <c r="AO52" i="3"/>
  <c r="AN54" i="3"/>
  <c r="BX47" i="3" l="1"/>
  <c r="BY101" i="3"/>
  <c r="BZ39" i="3"/>
  <c r="BY38" i="3"/>
  <c r="AO55" i="3"/>
  <c r="AO78" i="3" s="1"/>
  <c r="AO53" i="3"/>
  <c r="BZ101" i="3" l="1"/>
  <c r="BZ38" i="3"/>
  <c r="CA39" i="3"/>
  <c r="BY47" i="3"/>
  <c r="AO54" i="3"/>
  <c r="AP52" i="3"/>
  <c r="BZ47" i="3" l="1"/>
  <c r="CA101" i="3"/>
  <c r="CA38" i="3"/>
  <c r="CB39" i="3"/>
  <c r="AP53" i="3"/>
  <c r="AP55" i="3"/>
  <c r="AP78" i="3" s="1"/>
  <c r="CB101" i="3" l="1"/>
  <c r="CB38" i="3"/>
  <c r="CC39" i="3"/>
  <c r="CA47" i="3"/>
  <c r="AP54" i="3"/>
  <c r="AQ52" i="3"/>
  <c r="CB47" i="3" l="1"/>
  <c r="CC101" i="3"/>
  <c r="CD39" i="3"/>
  <c r="CC38" i="3"/>
  <c r="AQ53" i="3"/>
  <c r="AQ55" i="3"/>
  <c r="AQ78" i="3" s="1"/>
  <c r="CD101" i="3" l="1"/>
  <c r="CE39" i="3"/>
  <c r="CD38" i="3"/>
  <c r="CC47" i="3"/>
  <c r="AQ54" i="3"/>
  <c r="AR52" i="3"/>
  <c r="CE101" i="3" l="1"/>
  <c r="CF39" i="3"/>
  <c r="CE38" i="3"/>
  <c r="CD47" i="3"/>
  <c r="AR55" i="3"/>
  <c r="AR78" i="3" s="1"/>
  <c r="AR53" i="3"/>
  <c r="CF101" i="3" l="1"/>
  <c r="CG39" i="3"/>
  <c r="CF38" i="3"/>
  <c r="CE47" i="3"/>
  <c r="AS52" i="3"/>
  <c r="AR54" i="3"/>
  <c r="CG101" i="3" l="1"/>
  <c r="CH39" i="3"/>
  <c r="CG38" i="3"/>
  <c r="CF47" i="3"/>
  <c r="AS53" i="3"/>
  <c r="AS55" i="3"/>
  <c r="AS78" i="3" s="1"/>
  <c r="G64" i="2"/>
  <c r="F65" i="2"/>
  <c r="G65" i="2" s="1"/>
  <c r="H65" i="2" s="1"/>
  <c r="I65" i="2" s="1"/>
  <c r="J65" i="2" s="1"/>
  <c r="K65" i="2" s="1"/>
  <c r="L65" i="2" s="1"/>
  <c r="H64" i="2" l="1"/>
  <c r="CG47" i="3"/>
  <c r="CH101" i="3"/>
  <c r="CH38" i="3"/>
  <c r="CI39" i="3"/>
  <c r="AT52" i="3"/>
  <c r="AS54" i="3"/>
  <c r="I64" i="2"/>
  <c r="C140" i="3"/>
  <c r="CI101" i="3" l="1"/>
  <c r="CI38" i="3"/>
  <c r="CJ39" i="3"/>
  <c r="CH47" i="3"/>
  <c r="AT55" i="3"/>
  <c r="AT78" i="3" s="1"/>
  <c r="AT53" i="3"/>
  <c r="J64" i="2"/>
  <c r="K62" i="2"/>
  <c r="CI47" i="3" l="1"/>
  <c r="CJ101" i="3"/>
  <c r="CK39" i="3"/>
  <c r="CJ38" i="3"/>
  <c r="AU52" i="3"/>
  <c r="AT54" i="3"/>
  <c r="K64" i="2"/>
  <c r="L62" i="2"/>
  <c r="C185" i="3"/>
  <c r="C171" i="3"/>
  <c r="C149" i="3"/>
  <c r="I77" i="2" l="1"/>
  <c r="H77" i="2"/>
  <c r="G77" i="2"/>
  <c r="K77" i="2"/>
  <c r="J77" i="2"/>
  <c r="CK38" i="3"/>
  <c r="F77" i="2" s="1"/>
  <c r="CK101" i="3"/>
  <c r="L57" i="2" s="1"/>
  <c r="M57" i="2" s="1"/>
  <c r="E9" i="3"/>
  <c r="CJ47" i="3"/>
  <c r="AU55" i="3"/>
  <c r="AU78" i="3" s="1"/>
  <c r="AU53" i="3"/>
  <c r="L64" i="2"/>
  <c r="L77" i="2" s="1"/>
  <c r="CK47" i="3" l="1"/>
  <c r="AV52" i="3"/>
  <c r="AU54" i="3"/>
  <c r="B2" i="2"/>
  <c r="B2" i="3"/>
  <c r="AV55" i="3" l="1"/>
  <c r="AV78" i="3" s="1"/>
  <c r="AV53" i="3"/>
  <c r="L7" i="2"/>
  <c r="AW52" i="3" l="1"/>
  <c r="AV54" i="3"/>
  <c r="L8" i="2"/>
  <c r="F62" i="2"/>
  <c r="AW55" i="3" l="1"/>
  <c r="AW78" i="3" s="1"/>
  <c r="AW53" i="3"/>
  <c r="B3" i="3"/>
  <c r="C216" i="3"/>
  <c r="C215" i="3"/>
  <c r="C214" i="3"/>
  <c r="C213" i="3"/>
  <c r="C210" i="3"/>
  <c r="C209" i="3"/>
  <c r="C208" i="3"/>
  <c r="C207" i="3"/>
  <c r="D192" i="3"/>
  <c r="D133" i="3"/>
  <c r="D107" i="3"/>
  <c r="D75" i="3"/>
  <c r="F36" i="3"/>
  <c r="F192" i="3" s="1"/>
  <c r="D36" i="3"/>
  <c r="K5" i="3"/>
  <c r="D5" i="3"/>
  <c r="D62" i="2"/>
  <c r="AW54" i="3" l="1"/>
  <c r="AX52" i="3"/>
  <c r="F133" i="3"/>
  <c r="F107" i="3"/>
  <c r="G36" i="3"/>
  <c r="G192" i="3" s="1"/>
  <c r="G62" i="2"/>
  <c r="F75" i="3"/>
  <c r="AX53" i="3" l="1"/>
  <c r="AX55" i="3"/>
  <c r="AX78" i="3" s="1"/>
  <c r="G133" i="3"/>
  <c r="H36" i="3"/>
  <c r="H192" i="3" s="1"/>
  <c r="G107" i="3"/>
  <c r="G75" i="3"/>
  <c r="H62" i="2"/>
  <c r="AX54" i="3" l="1"/>
  <c r="AY52" i="3"/>
  <c r="H75" i="3"/>
  <c r="I36" i="3"/>
  <c r="H107" i="3"/>
  <c r="H133" i="3"/>
  <c r="I62" i="2"/>
  <c r="K28" i="2"/>
  <c r="AY53" i="3" l="1"/>
  <c r="AY55" i="3"/>
  <c r="AY78" i="3" s="1"/>
  <c r="I192" i="3"/>
  <c r="J36" i="3"/>
  <c r="I75" i="3"/>
  <c r="I107" i="3"/>
  <c r="I133" i="3"/>
  <c r="J62" i="2"/>
  <c r="AY54" i="3" l="1"/>
  <c r="AZ52" i="3"/>
  <c r="J192" i="3"/>
  <c r="K36" i="3"/>
  <c r="J75" i="3"/>
  <c r="J107" i="3"/>
  <c r="J133" i="3"/>
  <c r="AZ53" i="3" l="1"/>
  <c r="AZ55" i="3"/>
  <c r="AZ78" i="3" s="1"/>
  <c r="K192" i="3"/>
  <c r="L36" i="3"/>
  <c r="L107" i="3" s="1"/>
  <c r="K75" i="3"/>
  <c r="K107" i="3"/>
  <c r="K133" i="3"/>
  <c r="H49" i="2"/>
  <c r="H48" i="2"/>
  <c r="H44" i="2"/>
  <c r="H43" i="2"/>
  <c r="H39" i="2"/>
  <c r="H38" i="2"/>
  <c r="AZ54" i="3" l="1"/>
  <c r="BA52" i="3"/>
  <c r="M36" i="3"/>
  <c r="M75" i="3" s="1"/>
  <c r="L133" i="3"/>
  <c r="L192" i="3"/>
  <c r="L75" i="3"/>
  <c r="BA53" i="3" l="1"/>
  <c r="BA55" i="3"/>
  <c r="BA78" i="3" s="1"/>
  <c r="M133" i="3"/>
  <c r="M107" i="3"/>
  <c r="N36" i="3"/>
  <c r="O36" i="3" s="1"/>
  <c r="M192" i="3"/>
  <c r="BB52" i="3" l="1"/>
  <c r="BA54" i="3"/>
  <c r="N192" i="3"/>
  <c r="N133" i="3"/>
  <c r="N107" i="3"/>
  <c r="N75" i="3"/>
  <c r="O192" i="3"/>
  <c r="O107" i="3"/>
  <c r="O133" i="3"/>
  <c r="O75" i="3"/>
  <c r="P36" i="3"/>
  <c r="BB53" i="3" l="1"/>
  <c r="BB55" i="3"/>
  <c r="BB78" i="3" s="1"/>
  <c r="P192" i="3"/>
  <c r="P107" i="3"/>
  <c r="P133" i="3"/>
  <c r="P75" i="3"/>
  <c r="Q36" i="3"/>
  <c r="BC52" i="3" l="1"/>
  <c r="BB54" i="3"/>
  <c r="Q192" i="3"/>
  <c r="Q107" i="3"/>
  <c r="Q133" i="3"/>
  <c r="Q75" i="3"/>
  <c r="R36" i="3"/>
  <c r="BC53" i="3" l="1"/>
  <c r="BC55" i="3"/>
  <c r="BC78" i="3" s="1"/>
  <c r="R192" i="3"/>
  <c r="R107" i="3"/>
  <c r="R133" i="3"/>
  <c r="R75" i="3"/>
  <c r="S36" i="3"/>
  <c r="BD52" i="3" l="1"/>
  <c r="BC54" i="3"/>
  <c r="S192" i="3"/>
  <c r="S107" i="3"/>
  <c r="S133" i="3"/>
  <c r="S75" i="3"/>
  <c r="T36" i="3"/>
  <c r="BD55" i="3" l="1"/>
  <c r="BD78" i="3" s="1"/>
  <c r="BD53" i="3"/>
  <c r="T192" i="3"/>
  <c r="T107" i="3"/>
  <c r="T133" i="3"/>
  <c r="T75" i="3"/>
  <c r="U36" i="3"/>
  <c r="BE52" i="3" l="1"/>
  <c r="BD54" i="3"/>
  <c r="U192" i="3"/>
  <c r="U107" i="3"/>
  <c r="U133" i="3"/>
  <c r="U75" i="3"/>
  <c r="V36" i="3"/>
  <c r="BE55" i="3" l="1"/>
  <c r="BE78" i="3" s="1"/>
  <c r="BE53" i="3"/>
  <c r="V192" i="3"/>
  <c r="V107" i="3"/>
  <c r="V133" i="3"/>
  <c r="V75" i="3"/>
  <c r="W36" i="3"/>
  <c r="BE54" i="3" l="1"/>
  <c r="BF52" i="3"/>
  <c r="W192" i="3"/>
  <c r="W107" i="3"/>
  <c r="W133" i="3"/>
  <c r="W75" i="3"/>
  <c r="X36" i="3"/>
  <c r="D54" i="2"/>
  <c r="K5" i="2"/>
  <c r="BF53" i="3" l="1"/>
  <c r="BF55" i="3"/>
  <c r="BF78" i="3" s="1"/>
  <c r="X192" i="3"/>
  <c r="X107" i="3"/>
  <c r="X133" i="3"/>
  <c r="X75" i="3"/>
  <c r="Y36" i="3"/>
  <c r="BF54" i="3" l="1"/>
  <c r="BG52" i="3"/>
  <c r="Y192" i="3"/>
  <c r="Y107" i="3"/>
  <c r="Y133" i="3"/>
  <c r="Y75" i="3"/>
  <c r="Z36" i="3"/>
  <c r="BG53" i="3" l="1"/>
  <c r="BG55" i="3"/>
  <c r="BG78" i="3" s="1"/>
  <c r="Z192" i="3"/>
  <c r="Z107" i="3"/>
  <c r="Z133" i="3"/>
  <c r="Z75" i="3"/>
  <c r="AA36" i="3"/>
  <c r="BG54" i="3" l="1"/>
  <c r="BH52" i="3"/>
  <c r="AA192" i="3"/>
  <c r="AA107" i="3"/>
  <c r="AA133" i="3"/>
  <c r="AA75" i="3"/>
  <c r="AB36" i="3"/>
  <c r="BH53" i="3" l="1"/>
  <c r="BH55" i="3"/>
  <c r="BH78" i="3" s="1"/>
  <c r="AB192" i="3"/>
  <c r="AB107" i="3"/>
  <c r="AB133" i="3"/>
  <c r="AB75" i="3"/>
  <c r="AC36" i="3"/>
  <c r="BH54" i="3" l="1"/>
  <c r="BI52" i="3"/>
  <c r="AC192" i="3"/>
  <c r="AC107" i="3"/>
  <c r="AC133" i="3"/>
  <c r="AC75" i="3"/>
  <c r="AD36" i="3"/>
  <c r="BI53" i="3" l="1"/>
  <c r="BI55" i="3"/>
  <c r="BI78" i="3" s="1"/>
  <c r="AD192" i="3"/>
  <c r="AD107" i="3"/>
  <c r="AD133" i="3"/>
  <c r="AD75" i="3"/>
  <c r="AE36" i="3"/>
  <c r="BJ52" i="3" l="1"/>
  <c r="BI54" i="3"/>
  <c r="AE192" i="3"/>
  <c r="AE107" i="3"/>
  <c r="AE133" i="3"/>
  <c r="AE75" i="3"/>
  <c r="AF36" i="3"/>
  <c r="BJ53" i="3" l="1"/>
  <c r="BJ55" i="3"/>
  <c r="BJ78" i="3" s="1"/>
  <c r="AF192" i="3"/>
  <c r="AF107" i="3"/>
  <c r="AF133" i="3"/>
  <c r="AF75" i="3"/>
  <c r="AG36" i="3"/>
  <c r="BK52" i="3" l="1"/>
  <c r="BJ54" i="3"/>
  <c r="AG192" i="3"/>
  <c r="AG107" i="3"/>
  <c r="AG133" i="3"/>
  <c r="AG75" i="3"/>
  <c r="AH36" i="3"/>
  <c r="BK55" i="3" l="1"/>
  <c r="BK78" i="3" s="1"/>
  <c r="BK53" i="3"/>
  <c r="AH192" i="3"/>
  <c r="AH107" i="3"/>
  <c r="AH133" i="3"/>
  <c r="AH75" i="3"/>
  <c r="AI36" i="3"/>
  <c r="BL52" i="3" l="1"/>
  <c r="BK54" i="3"/>
  <c r="AI192" i="3"/>
  <c r="AI107" i="3"/>
  <c r="AI133" i="3"/>
  <c r="AI75" i="3"/>
  <c r="AJ36" i="3"/>
  <c r="BL55" i="3" l="1"/>
  <c r="BL78" i="3" s="1"/>
  <c r="BL53" i="3"/>
  <c r="AJ192" i="3"/>
  <c r="AJ107" i="3"/>
  <c r="AJ133" i="3"/>
  <c r="AJ75" i="3"/>
  <c r="AK36" i="3"/>
  <c r="BM52" i="3" l="1"/>
  <c r="BL54" i="3"/>
  <c r="AK192" i="3"/>
  <c r="AK107" i="3"/>
  <c r="AK133" i="3"/>
  <c r="AK75" i="3"/>
  <c r="AL36" i="3"/>
  <c r="BM55" i="3" l="1"/>
  <c r="BM78" i="3" s="1"/>
  <c r="BM53" i="3"/>
  <c r="AL192" i="3"/>
  <c r="AL107" i="3"/>
  <c r="AL133" i="3"/>
  <c r="AL75" i="3"/>
  <c r="AM36" i="3"/>
  <c r="BM54" i="3" l="1"/>
  <c r="BN52" i="3"/>
  <c r="AM192" i="3"/>
  <c r="AM107" i="3"/>
  <c r="AM133" i="3"/>
  <c r="AM75" i="3"/>
  <c r="AN36" i="3"/>
  <c r="BN53" i="3" l="1"/>
  <c r="BN55" i="3"/>
  <c r="BN78" i="3" s="1"/>
  <c r="AN192" i="3"/>
  <c r="AN107" i="3"/>
  <c r="AN133" i="3"/>
  <c r="AN75" i="3"/>
  <c r="AO36" i="3"/>
  <c r="BN54" i="3" l="1"/>
  <c r="BO52" i="3"/>
  <c r="AO192" i="3"/>
  <c r="AO107" i="3"/>
  <c r="AO133" i="3"/>
  <c r="AO75" i="3"/>
  <c r="AP36" i="3"/>
  <c r="BO53" i="3" l="1"/>
  <c r="BO55" i="3"/>
  <c r="BO78" i="3" s="1"/>
  <c r="AP192" i="3"/>
  <c r="AP107" i="3"/>
  <c r="AP133" i="3"/>
  <c r="AP75" i="3"/>
  <c r="AQ36" i="3"/>
  <c r="BO54" i="3" l="1"/>
  <c r="BP52" i="3"/>
  <c r="AQ192" i="3"/>
  <c r="AQ107" i="3"/>
  <c r="AQ133" i="3"/>
  <c r="AQ75" i="3"/>
  <c r="AR36" i="3"/>
  <c r="BP53" i="3" l="1"/>
  <c r="BP55" i="3"/>
  <c r="BP78" i="3" s="1"/>
  <c r="AR192" i="3"/>
  <c r="AR107" i="3"/>
  <c r="AR133" i="3"/>
  <c r="AR75" i="3"/>
  <c r="AS36" i="3"/>
  <c r="BP54" i="3" l="1"/>
  <c r="BQ52" i="3"/>
  <c r="AS192" i="3"/>
  <c r="AS107" i="3"/>
  <c r="AS133" i="3"/>
  <c r="AS75" i="3"/>
  <c r="AT36" i="3"/>
  <c r="BQ53" i="3" l="1"/>
  <c r="BQ55" i="3"/>
  <c r="BQ78" i="3" s="1"/>
  <c r="AT192" i="3"/>
  <c r="AT107" i="3"/>
  <c r="AT133" i="3"/>
  <c r="AT75" i="3"/>
  <c r="AU36" i="3"/>
  <c r="BR52" i="3" l="1"/>
  <c r="BQ54" i="3"/>
  <c r="AU192" i="3"/>
  <c r="AU107" i="3"/>
  <c r="AU133" i="3"/>
  <c r="AU75" i="3"/>
  <c r="AV36" i="3"/>
  <c r="BR53" i="3" l="1"/>
  <c r="BR55" i="3"/>
  <c r="BR78" i="3" s="1"/>
  <c r="AV192" i="3"/>
  <c r="AV107" i="3"/>
  <c r="AV133" i="3"/>
  <c r="AV75" i="3"/>
  <c r="AW36" i="3"/>
  <c r="BS52" i="3" l="1"/>
  <c r="BR54" i="3"/>
  <c r="AW192" i="3"/>
  <c r="AW107" i="3"/>
  <c r="AW133" i="3"/>
  <c r="AW75" i="3"/>
  <c r="AX36" i="3"/>
  <c r="BS53" i="3" l="1"/>
  <c r="BS55" i="3"/>
  <c r="BS78" i="3" s="1"/>
  <c r="AX192" i="3"/>
  <c r="AX107" i="3"/>
  <c r="AX133" i="3"/>
  <c r="AX75" i="3"/>
  <c r="AY36" i="3"/>
  <c r="BT52" i="3" l="1"/>
  <c r="BS54" i="3"/>
  <c r="AY192" i="3"/>
  <c r="AY107" i="3"/>
  <c r="AY133" i="3"/>
  <c r="AY75" i="3"/>
  <c r="AZ36" i="3"/>
  <c r="BT55" i="3" l="1"/>
  <c r="BT78" i="3" s="1"/>
  <c r="BT53" i="3"/>
  <c r="AZ192" i="3"/>
  <c r="AZ107" i="3"/>
  <c r="AZ133" i="3"/>
  <c r="AZ75" i="3"/>
  <c r="BA36" i="3"/>
  <c r="BA75" i="3" s="1"/>
  <c r="BU52" i="3" l="1"/>
  <c r="BT54" i="3"/>
  <c r="BB36" i="3"/>
  <c r="BA192" i="3"/>
  <c r="BA107" i="3"/>
  <c r="BA133" i="3"/>
  <c r="BU55" i="3" l="1"/>
  <c r="BU78" i="3" s="1"/>
  <c r="BU53" i="3"/>
  <c r="BC36" i="3"/>
  <c r="BB107" i="3"/>
  <c r="BB192" i="3"/>
  <c r="BB133" i="3"/>
  <c r="BB75" i="3"/>
  <c r="BU54" i="3" l="1"/>
  <c r="BV52" i="3"/>
  <c r="BD36" i="3"/>
  <c r="BC133" i="3"/>
  <c r="BC192" i="3"/>
  <c r="BC107" i="3"/>
  <c r="BC75" i="3"/>
  <c r="BV53" i="3" l="1"/>
  <c r="BV55" i="3"/>
  <c r="BV78" i="3" s="1"/>
  <c r="BE36" i="3"/>
  <c r="BD192" i="3"/>
  <c r="BD107" i="3"/>
  <c r="BD133" i="3"/>
  <c r="BD75" i="3"/>
  <c r="BV54" i="3" l="1"/>
  <c r="BW52" i="3"/>
  <c r="BF36" i="3"/>
  <c r="BE192" i="3"/>
  <c r="BE107" i="3"/>
  <c r="BE75" i="3"/>
  <c r="BE133" i="3"/>
  <c r="BW55" i="3" l="1"/>
  <c r="BW78" i="3" s="1"/>
  <c r="BW53" i="3"/>
  <c r="BG36" i="3"/>
  <c r="BF133" i="3"/>
  <c r="BF192" i="3"/>
  <c r="BF107" i="3"/>
  <c r="BF75" i="3"/>
  <c r="BW54" i="3" l="1"/>
  <c r="BX52" i="3"/>
  <c r="BH36" i="3"/>
  <c r="BG133" i="3"/>
  <c r="BG75" i="3"/>
  <c r="BG107" i="3"/>
  <c r="BG192" i="3"/>
  <c r="BX53" i="3" l="1"/>
  <c r="BX55" i="3"/>
  <c r="BX78" i="3" s="1"/>
  <c r="BI36" i="3"/>
  <c r="BH133" i="3"/>
  <c r="BH75" i="3"/>
  <c r="BH192" i="3"/>
  <c r="BH107" i="3"/>
  <c r="BX54" i="3" l="1"/>
  <c r="BY52" i="3"/>
  <c r="BJ36" i="3"/>
  <c r="BI133" i="3"/>
  <c r="BI75" i="3"/>
  <c r="BI192" i="3"/>
  <c r="BI107" i="3"/>
  <c r="BY55" i="3" l="1"/>
  <c r="BY78" i="3" s="1"/>
  <c r="BY53" i="3"/>
  <c r="BK36" i="3"/>
  <c r="BJ133" i="3"/>
  <c r="BJ75" i="3"/>
  <c r="BJ192" i="3"/>
  <c r="BJ107" i="3"/>
  <c r="BZ52" i="3" l="1"/>
  <c r="BY54" i="3"/>
  <c r="BL36" i="3"/>
  <c r="BK133" i="3"/>
  <c r="BK75" i="3"/>
  <c r="BK192" i="3"/>
  <c r="BK107" i="3"/>
  <c r="BZ53" i="3" l="1"/>
  <c r="BZ55" i="3"/>
  <c r="BZ78" i="3" s="1"/>
  <c r="BM36" i="3"/>
  <c r="BM75" i="3" s="1"/>
  <c r="BL192" i="3"/>
  <c r="BL107" i="3"/>
  <c r="BL133" i="3"/>
  <c r="BL75" i="3"/>
  <c r="BZ54" i="3" l="1"/>
  <c r="CA52" i="3"/>
  <c r="BN36" i="3"/>
  <c r="BM192" i="3"/>
  <c r="BM107" i="3"/>
  <c r="BM133" i="3"/>
  <c r="CA53" i="3" l="1"/>
  <c r="CA55" i="3"/>
  <c r="CA78" i="3" s="1"/>
  <c r="BO36" i="3"/>
  <c r="BN192" i="3"/>
  <c r="BN133" i="3"/>
  <c r="BN75" i="3"/>
  <c r="BN107" i="3"/>
  <c r="CB52" i="3" l="1"/>
  <c r="CA54" i="3"/>
  <c r="BP36" i="3"/>
  <c r="BO192" i="3"/>
  <c r="BO133" i="3"/>
  <c r="BO107" i="3"/>
  <c r="BO75" i="3"/>
  <c r="CB55" i="3" l="1"/>
  <c r="CB78" i="3" s="1"/>
  <c r="CB53" i="3"/>
  <c r="BQ36" i="3"/>
  <c r="BP192" i="3"/>
  <c r="BP133" i="3"/>
  <c r="BP107" i="3"/>
  <c r="BP75" i="3"/>
  <c r="CC52" i="3" l="1"/>
  <c r="CB54" i="3"/>
  <c r="BR36" i="3"/>
  <c r="BQ192" i="3"/>
  <c r="BQ133" i="3"/>
  <c r="BQ107" i="3"/>
  <c r="BQ75" i="3"/>
  <c r="CC55" i="3" l="1"/>
  <c r="CC78" i="3" s="1"/>
  <c r="CC53" i="3"/>
  <c r="BS36" i="3"/>
  <c r="BR192" i="3"/>
  <c r="BR133" i="3"/>
  <c r="BR107" i="3"/>
  <c r="BR75" i="3"/>
  <c r="CD52" i="3" l="1"/>
  <c r="CC54" i="3"/>
  <c r="BT36" i="3"/>
  <c r="BS192" i="3"/>
  <c r="BS133" i="3"/>
  <c r="BS107" i="3"/>
  <c r="BS75" i="3"/>
  <c r="CD53" i="3" l="1"/>
  <c r="CD55" i="3"/>
  <c r="CD78" i="3" s="1"/>
  <c r="BU36" i="3"/>
  <c r="BT192" i="3"/>
  <c r="BT133" i="3"/>
  <c r="BT107" i="3"/>
  <c r="BT75" i="3"/>
  <c r="CD54" i="3" l="1"/>
  <c r="CE52" i="3"/>
  <c r="BV36" i="3"/>
  <c r="BU192" i="3"/>
  <c r="BU133" i="3"/>
  <c r="BU107" i="3"/>
  <c r="BU75" i="3"/>
  <c r="CE55" i="3" l="1"/>
  <c r="CE78" i="3" s="1"/>
  <c r="CE53" i="3"/>
  <c r="BW36" i="3"/>
  <c r="BV133" i="3"/>
  <c r="BV75" i="3"/>
  <c r="BV107" i="3"/>
  <c r="BV192" i="3"/>
  <c r="CE54" i="3" l="1"/>
  <c r="CF52" i="3"/>
  <c r="BX36" i="3"/>
  <c r="BW192" i="3"/>
  <c r="BW133" i="3"/>
  <c r="BW107" i="3"/>
  <c r="BW75" i="3"/>
  <c r="CF53" i="3" l="1"/>
  <c r="CF55" i="3"/>
  <c r="CF78" i="3" s="1"/>
  <c r="BY36" i="3"/>
  <c r="BX192" i="3"/>
  <c r="BX133" i="3"/>
  <c r="BX107" i="3"/>
  <c r="BX75" i="3"/>
  <c r="CF54" i="3" l="1"/>
  <c r="CG52" i="3"/>
  <c r="BZ36" i="3"/>
  <c r="BY192" i="3"/>
  <c r="BY133" i="3"/>
  <c r="BY107" i="3"/>
  <c r="BY75" i="3"/>
  <c r="CG53" i="3" l="1"/>
  <c r="CG55" i="3"/>
  <c r="CG78" i="3" s="1"/>
  <c r="CA36" i="3"/>
  <c r="BZ192" i="3"/>
  <c r="BZ133" i="3"/>
  <c r="BZ107" i="3"/>
  <c r="BZ75" i="3"/>
  <c r="CH52" i="3" l="1"/>
  <c r="CG54" i="3"/>
  <c r="CB36" i="3"/>
  <c r="CA192" i="3"/>
  <c r="CA133" i="3"/>
  <c r="CA107" i="3"/>
  <c r="CA75" i="3"/>
  <c r="CH55" i="3" l="1"/>
  <c r="CH78" i="3" s="1"/>
  <c r="CH53" i="3"/>
  <c r="CC36" i="3"/>
  <c r="CB192" i="3"/>
  <c r="CB133" i="3"/>
  <c r="CB107" i="3"/>
  <c r="CB75" i="3"/>
  <c r="CH54" i="3" l="1"/>
  <c r="CI52" i="3"/>
  <c r="CD36" i="3"/>
  <c r="CC192" i="3"/>
  <c r="CC133" i="3"/>
  <c r="CC107" i="3"/>
  <c r="CC75" i="3"/>
  <c r="CI53" i="3" l="1"/>
  <c r="CI55" i="3"/>
  <c r="CI78" i="3" s="1"/>
  <c r="CE36" i="3"/>
  <c r="CD75" i="3"/>
  <c r="CD192" i="3"/>
  <c r="CD107" i="3"/>
  <c r="CD133" i="3"/>
  <c r="CJ52" i="3" l="1"/>
  <c r="CI54" i="3"/>
  <c r="CF36" i="3"/>
  <c r="CE192" i="3"/>
  <c r="CE133" i="3"/>
  <c r="CE107" i="3"/>
  <c r="CE75" i="3"/>
  <c r="CJ55" i="3" l="1"/>
  <c r="CJ78" i="3" s="1"/>
  <c r="CJ53" i="3"/>
  <c r="CG36" i="3"/>
  <c r="CF192" i="3"/>
  <c r="CF133" i="3"/>
  <c r="CF107" i="3"/>
  <c r="CF75" i="3"/>
  <c r="CK52" i="3" l="1"/>
  <c r="CJ54" i="3"/>
  <c r="CH36" i="3"/>
  <c r="CG192" i="3"/>
  <c r="CG133" i="3"/>
  <c r="CG107" i="3"/>
  <c r="CG75" i="3"/>
  <c r="CK55" i="3" l="1"/>
  <c r="CK78" i="3" s="1"/>
  <c r="CK53" i="3"/>
  <c r="CI36" i="3"/>
  <c r="CH192" i="3"/>
  <c r="CH133" i="3"/>
  <c r="CH107" i="3"/>
  <c r="CH75" i="3"/>
  <c r="CK54" i="3" l="1"/>
  <c r="CJ36" i="3"/>
  <c r="CI192" i="3"/>
  <c r="CI133" i="3"/>
  <c r="CI107" i="3"/>
  <c r="CI75" i="3"/>
  <c r="E17" i="3" l="1"/>
  <c r="F18" i="3" s="1"/>
  <c r="F23" i="3"/>
  <c r="CK36" i="3"/>
  <c r="CJ192" i="3"/>
  <c r="CJ133" i="3"/>
  <c r="CJ107" i="3"/>
  <c r="CJ75" i="3"/>
  <c r="F83" i="3" l="1"/>
  <c r="G83" i="3"/>
  <c r="H83" i="3"/>
  <c r="I83" i="3"/>
  <c r="F60" i="3"/>
  <c r="H60" i="3"/>
  <c r="I60" i="3"/>
  <c r="G60" i="3"/>
  <c r="F20" i="3"/>
  <c r="AF57" i="3" s="1"/>
  <c r="F57" i="3"/>
  <c r="G57" i="3"/>
  <c r="CK192" i="3"/>
  <c r="CK133" i="3"/>
  <c r="CK107" i="3"/>
  <c r="CK75" i="3"/>
  <c r="N57" i="3" l="1"/>
  <c r="AE57" i="3"/>
  <c r="CJ57" i="3"/>
  <c r="CI57" i="3"/>
  <c r="CH57" i="3"/>
  <c r="CG57" i="3"/>
  <c r="CB57" i="3"/>
  <c r="CA57" i="3"/>
  <c r="BZ57" i="3"/>
  <c r="BY57" i="3"/>
  <c r="BT57" i="3"/>
  <c r="BS57" i="3"/>
  <c r="BR57" i="3"/>
  <c r="BQ57" i="3"/>
  <c r="BK57" i="3"/>
  <c r="BL57" i="3"/>
  <c r="BJ57" i="3"/>
  <c r="BC57" i="3"/>
  <c r="BB57" i="3"/>
  <c r="BA57" i="3"/>
  <c r="AV57" i="3"/>
  <c r="AU57" i="3"/>
  <c r="AT57" i="3"/>
  <c r="BI57" i="3"/>
  <c r="AN57" i="3"/>
  <c r="BD57" i="3"/>
  <c r="AM57" i="3"/>
  <c r="Q57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AD57" i="3"/>
  <c r="O57" i="3"/>
  <c r="P57" i="3"/>
  <c r="AS57" i="3"/>
  <c r="AC57" i="3"/>
  <c r="K57" i="3"/>
  <c r="X57" i="3"/>
  <c r="J57" i="3"/>
  <c r="W57" i="3"/>
  <c r="I57" i="3"/>
  <c r="AL57" i="3"/>
  <c r="V57" i="3"/>
  <c r="H57" i="3"/>
  <c r="AK57" i="3"/>
  <c r="U57" i="3"/>
  <c r="BP57" i="3"/>
  <c r="AR57" i="3"/>
  <c r="T57" i="3"/>
  <c r="CE57" i="3"/>
  <c r="BG57" i="3"/>
  <c r="AY57" i="3"/>
  <c r="AQ57" i="3"/>
  <c r="AI57" i="3"/>
  <c r="AA57" i="3"/>
  <c r="S57" i="3"/>
  <c r="G61" i="3"/>
  <c r="G63" i="3"/>
  <c r="G65" i="3"/>
  <c r="M57" i="3"/>
  <c r="BX57" i="3"/>
  <c r="AZ57" i="3"/>
  <c r="AB57" i="3"/>
  <c r="BO57" i="3"/>
  <c r="CD57" i="3"/>
  <c r="BV57" i="3"/>
  <c r="BN57" i="3"/>
  <c r="BF57" i="3"/>
  <c r="AX57" i="3"/>
  <c r="AP57" i="3"/>
  <c r="AH57" i="3"/>
  <c r="Z57" i="3"/>
  <c r="R57" i="3"/>
  <c r="H65" i="3"/>
  <c r="H61" i="3"/>
  <c r="H63" i="3"/>
  <c r="I61" i="3"/>
  <c r="I65" i="3"/>
  <c r="I63" i="3"/>
  <c r="CF57" i="3"/>
  <c r="BH57" i="3"/>
  <c r="AJ57" i="3"/>
  <c r="L57" i="3"/>
  <c r="BW57" i="3"/>
  <c r="CK57" i="3"/>
  <c r="CC57" i="3"/>
  <c r="BU57" i="3"/>
  <c r="BM57" i="3"/>
  <c r="BE57" i="3"/>
  <c r="AW57" i="3"/>
  <c r="AO57" i="3"/>
  <c r="AG57" i="3"/>
  <c r="Y57" i="3"/>
  <c r="F63" i="3"/>
  <c r="F65" i="3"/>
  <c r="F61" i="3"/>
  <c r="J60" i="3" l="1"/>
  <c r="J61" i="3" s="1"/>
  <c r="I62" i="3"/>
  <c r="H62" i="3"/>
  <c r="F62" i="3"/>
  <c r="G62" i="3"/>
  <c r="J62" i="3" l="1"/>
  <c r="J63" i="3"/>
  <c r="J83" i="3" s="1"/>
  <c r="K60" i="3"/>
  <c r="K61" i="3" l="1"/>
  <c r="K63" i="3"/>
  <c r="K83" i="3" s="1"/>
  <c r="L60" i="3" l="1"/>
  <c r="K62" i="3"/>
  <c r="L61" i="3" l="1"/>
  <c r="L63" i="3"/>
  <c r="L83" i="3" s="1"/>
  <c r="L62" i="3" l="1"/>
  <c r="M60" i="3"/>
  <c r="M61" i="3" l="1"/>
  <c r="M63" i="3"/>
  <c r="M83" i="3" s="1"/>
  <c r="M62" i="3" l="1"/>
  <c r="N60" i="3"/>
  <c r="N63" i="3" l="1"/>
  <c r="N83" i="3" s="1"/>
  <c r="N61" i="3"/>
  <c r="N62" i="3" l="1"/>
  <c r="O60" i="3"/>
  <c r="O61" i="3" l="1"/>
  <c r="O63" i="3"/>
  <c r="O83" i="3" s="1"/>
  <c r="P60" i="3" l="1"/>
  <c r="O62" i="3"/>
  <c r="P61" i="3" l="1"/>
  <c r="P63" i="3"/>
  <c r="P83" i="3" s="1"/>
  <c r="Q60" i="3" l="1"/>
  <c r="P62" i="3"/>
  <c r="Q61" i="3" l="1"/>
  <c r="Q63" i="3"/>
  <c r="Q83" i="3" s="1"/>
  <c r="R60" i="3" l="1"/>
  <c r="Q62" i="3"/>
  <c r="R63" i="3" l="1"/>
  <c r="R83" i="3" s="1"/>
  <c r="R61" i="3"/>
  <c r="R62" i="3" l="1"/>
  <c r="S60" i="3"/>
  <c r="S63" i="3" l="1"/>
  <c r="S83" i="3" s="1"/>
  <c r="S61" i="3"/>
  <c r="T60" i="3" l="1"/>
  <c r="S62" i="3"/>
  <c r="T63" i="3" l="1"/>
  <c r="T83" i="3" s="1"/>
  <c r="T61" i="3"/>
  <c r="U60" i="3" l="1"/>
  <c r="T62" i="3"/>
  <c r="U61" i="3" l="1"/>
  <c r="U63" i="3"/>
  <c r="U83" i="3" s="1"/>
  <c r="U62" i="3" l="1"/>
  <c r="V60" i="3"/>
  <c r="V61" i="3" l="1"/>
  <c r="V63" i="3"/>
  <c r="V83" i="3" s="1"/>
  <c r="W60" i="3" l="1"/>
  <c r="V62" i="3"/>
  <c r="W61" i="3" l="1"/>
  <c r="W63" i="3"/>
  <c r="W83" i="3" s="1"/>
  <c r="W62" i="3" l="1"/>
  <c r="X60" i="3"/>
  <c r="X63" i="3" l="1"/>
  <c r="X83" i="3" s="1"/>
  <c r="X61" i="3"/>
  <c r="X62" i="3" l="1"/>
  <c r="Y60" i="3"/>
  <c r="Y61" i="3" l="1"/>
  <c r="Y63" i="3"/>
  <c r="Y83" i="3" s="1"/>
  <c r="Y62" i="3" l="1"/>
  <c r="Z60" i="3"/>
  <c r="Z63" i="3" l="1"/>
  <c r="Z83" i="3" s="1"/>
  <c r="Z61" i="3"/>
  <c r="Z62" i="3" l="1"/>
  <c r="AA60" i="3"/>
  <c r="AA63" i="3" l="1"/>
  <c r="AA83" i="3" s="1"/>
  <c r="AA61" i="3"/>
  <c r="AA62" i="3" l="1"/>
  <c r="AB60" i="3"/>
  <c r="AB63" i="3" l="1"/>
  <c r="AB83" i="3" s="1"/>
  <c r="AB61" i="3"/>
  <c r="AB62" i="3" l="1"/>
  <c r="AC60" i="3"/>
  <c r="AC63" i="3" l="1"/>
  <c r="AC83" i="3" s="1"/>
  <c r="AC61" i="3"/>
  <c r="AC62" i="3" l="1"/>
  <c r="AD60" i="3"/>
  <c r="AD61" i="3" l="1"/>
  <c r="AD63" i="3"/>
  <c r="AD83" i="3" s="1"/>
  <c r="AD62" i="3" l="1"/>
  <c r="AE60" i="3"/>
  <c r="AE61" i="3" l="1"/>
  <c r="AE63" i="3"/>
  <c r="AE83" i="3" s="1"/>
  <c r="AE62" i="3" l="1"/>
  <c r="AF60" i="3"/>
  <c r="AF61" i="3" l="1"/>
  <c r="AF63" i="3"/>
  <c r="AF83" i="3" s="1"/>
  <c r="AF62" i="3" l="1"/>
  <c r="AG60" i="3"/>
  <c r="AG63" i="3" l="1"/>
  <c r="AG83" i="3" s="1"/>
  <c r="AG61" i="3"/>
  <c r="AG62" i="3" l="1"/>
  <c r="AH60" i="3"/>
  <c r="AH61" i="3" l="1"/>
  <c r="AH63" i="3"/>
  <c r="AH83" i="3" s="1"/>
  <c r="AH62" i="3" l="1"/>
  <c r="AI60" i="3"/>
  <c r="AI61" i="3" l="1"/>
  <c r="AI63" i="3"/>
  <c r="AI83" i="3" s="1"/>
  <c r="AI62" i="3" l="1"/>
  <c r="AJ60" i="3"/>
  <c r="AJ63" i="3" l="1"/>
  <c r="AJ83" i="3" s="1"/>
  <c r="AJ61" i="3"/>
  <c r="AK60" i="3" l="1"/>
  <c r="AJ62" i="3"/>
  <c r="AK61" i="3" l="1"/>
  <c r="AK63" i="3"/>
  <c r="AK83" i="3" s="1"/>
  <c r="AK62" i="3" l="1"/>
  <c r="AL60" i="3"/>
  <c r="AL63" i="3" l="1"/>
  <c r="AL83" i="3" s="1"/>
  <c r="AL61" i="3"/>
  <c r="AL62" i="3" l="1"/>
  <c r="AM60" i="3"/>
  <c r="AM61" i="3" l="1"/>
  <c r="AM63" i="3"/>
  <c r="AM83" i="3" s="1"/>
  <c r="AM62" i="3" l="1"/>
  <c r="AN60" i="3"/>
  <c r="AN61" i="3" l="1"/>
  <c r="AN63" i="3"/>
  <c r="AN83" i="3" s="1"/>
  <c r="AN62" i="3" l="1"/>
  <c r="AO60" i="3"/>
  <c r="AO61" i="3" l="1"/>
  <c r="AO63" i="3"/>
  <c r="AO83" i="3" s="1"/>
  <c r="AO62" i="3" l="1"/>
  <c r="AP60" i="3"/>
  <c r="AP63" i="3" l="1"/>
  <c r="AP83" i="3" s="1"/>
  <c r="AP61" i="3"/>
  <c r="AP62" i="3" l="1"/>
  <c r="AQ60" i="3"/>
  <c r="AQ63" i="3" l="1"/>
  <c r="AQ83" i="3" s="1"/>
  <c r="AQ61" i="3"/>
  <c r="AQ62" i="3" l="1"/>
  <c r="AR60" i="3"/>
  <c r="AR61" i="3" l="1"/>
  <c r="AR63" i="3"/>
  <c r="AR83" i="3" s="1"/>
  <c r="AS60" i="3" l="1"/>
  <c r="AR62" i="3"/>
  <c r="AS63" i="3" l="1"/>
  <c r="AS83" i="3" s="1"/>
  <c r="AS61" i="3"/>
  <c r="AS62" i="3" l="1"/>
  <c r="AT60" i="3"/>
  <c r="AT63" i="3" l="1"/>
  <c r="AT83" i="3" s="1"/>
  <c r="AT61" i="3"/>
  <c r="AU60" i="3" l="1"/>
  <c r="AT62" i="3"/>
  <c r="AU61" i="3" l="1"/>
  <c r="AU63" i="3"/>
  <c r="AU83" i="3" s="1"/>
  <c r="AU62" i="3" l="1"/>
  <c r="AV60" i="3"/>
  <c r="AV63" i="3" l="1"/>
  <c r="AV83" i="3" s="1"/>
  <c r="AV61" i="3"/>
  <c r="AV62" i="3" l="1"/>
  <c r="AW60" i="3"/>
  <c r="AW63" i="3" l="1"/>
  <c r="AW83" i="3" s="1"/>
  <c r="AW61" i="3"/>
  <c r="AW62" i="3" l="1"/>
  <c r="AX60" i="3"/>
  <c r="AX63" i="3" l="1"/>
  <c r="AX83" i="3" s="1"/>
  <c r="AX61" i="3"/>
  <c r="AX62" i="3" l="1"/>
  <c r="AY60" i="3"/>
  <c r="AY61" i="3" l="1"/>
  <c r="AY63" i="3"/>
  <c r="AY83" i="3" s="1"/>
  <c r="AY62" i="3" l="1"/>
  <c r="AZ60" i="3"/>
  <c r="AZ61" i="3" l="1"/>
  <c r="AZ63" i="3"/>
  <c r="AZ83" i="3" s="1"/>
  <c r="AZ62" i="3" l="1"/>
  <c r="BA60" i="3"/>
  <c r="BA63" i="3" l="1"/>
  <c r="BA83" i="3" s="1"/>
  <c r="BA61" i="3"/>
  <c r="BA62" i="3" l="1"/>
  <c r="BB60" i="3"/>
  <c r="BB61" i="3" l="1"/>
  <c r="BB63" i="3"/>
  <c r="BB83" i="3" s="1"/>
  <c r="BB62" i="3" l="1"/>
  <c r="BC60" i="3"/>
  <c r="BC63" i="3" l="1"/>
  <c r="BC83" i="3" s="1"/>
  <c r="BC61" i="3"/>
  <c r="BD60" i="3" l="1"/>
  <c r="BC62" i="3"/>
  <c r="BD63" i="3" l="1"/>
  <c r="BD83" i="3" s="1"/>
  <c r="BD61" i="3"/>
  <c r="BD62" i="3" l="1"/>
  <c r="BE60" i="3"/>
  <c r="BE61" i="3" l="1"/>
  <c r="BE63" i="3"/>
  <c r="BE83" i="3" s="1"/>
  <c r="BE62" i="3" l="1"/>
  <c r="BF60" i="3"/>
  <c r="BF61" i="3" l="1"/>
  <c r="BF63" i="3"/>
  <c r="BF83" i="3" s="1"/>
  <c r="BF62" i="3" l="1"/>
  <c r="BG60" i="3"/>
  <c r="BG61" i="3" l="1"/>
  <c r="BG63" i="3"/>
  <c r="BG83" i="3" s="1"/>
  <c r="BG62" i="3" l="1"/>
  <c r="BH60" i="3"/>
  <c r="BH63" i="3" l="1"/>
  <c r="BH83" i="3" s="1"/>
  <c r="BH61" i="3"/>
  <c r="BI60" i="3" l="1"/>
  <c r="BH62" i="3"/>
  <c r="BI61" i="3" l="1"/>
  <c r="BI63" i="3"/>
  <c r="BI83" i="3" s="1"/>
  <c r="BJ60" i="3" l="1"/>
  <c r="BI62" i="3"/>
  <c r="BJ61" i="3" l="1"/>
  <c r="BJ63" i="3"/>
  <c r="BJ83" i="3" s="1"/>
  <c r="BK60" i="3" l="1"/>
  <c r="BJ62" i="3"/>
  <c r="BK61" i="3" l="1"/>
  <c r="BK63" i="3"/>
  <c r="BK83" i="3" s="1"/>
  <c r="BK62" i="3" l="1"/>
  <c r="BL60" i="3"/>
  <c r="BL61" i="3" l="1"/>
  <c r="BL63" i="3"/>
  <c r="BL83" i="3" s="1"/>
  <c r="BL62" i="3" l="1"/>
  <c r="BM60" i="3"/>
  <c r="BM61" i="3" l="1"/>
  <c r="BM63" i="3"/>
  <c r="BM83" i="3" s="1"/>
  <c r="BN60" i="3" l="1"/>
  <c r="BM62" i="3"/>
  <c r="BN63" i="3" l="1"/>
  <c r="BN83" i="3" s="1"/>
  <c r="BN61" i="3"/>
  <c r="BN62" i="3" l="1"/>
  <c r="BO60" i="3"/>
  <c r="BO63" i="3" l="1"/>
  <c r="BO83" i="3" s="1"/>
  <c r="BO61" i="3"/>
  <c r="BO62" i="3" l="1"/>
  <c r="BP60" i="3"/>
  <c r="BP61" i="3" l="1"/>
  <c r="BP63" i="3"/>
  <c r="BP83" i="3" s="1"/>
  <c r="BP62" i="3" l="1"/>
  <c r="BQ60" i="3"/>
  <c r="BQ63" i="3" l="1"/>
  <c r="BQ83" i="3" s="1"/>
  <c r="BQ61" i="3"/>
  <c r="BQ62" i="3" l="1"/>
  <c r="BR60" i="3"/>
  <c r="BR63" i="3" l="1"/>
  <c r="BR83" i="3" s="1"/>
  <c r="BR61" i="3"/>
  <c r="BR62" i="3" l="1"/>
  <c r="BS60" i="3"/>
  <c r="BS61" i="3" l="1"/>
  <c r="BS63" i="3"/>
  <c r="BS83" i="3" s="1"/>
  <c r="BS62" i="3" l="1"/>
  <c r="BT60" i="3"/>
  <c r="BT61" i="3" l="1"/>
  <c r="BT63" i="3"/>
  <c r="BT83" i="3" s="1"/>
  <c r="BT62" i="3" l="1"/>
  <c r="BU60" i="3"/>
  <c r="BU61" i="3" l="1"/>
  <c r="BU63" i="3"/>
  <c r="BU83" i="3" s="1"/>
  <c r="BU62" i="3" l="1"/>
  <c r="BV60" i="3"/>
  <c r="BV61" i="3" l="1"/>
  <c r="BV63" i="3"/>
  <c r="BV83" i="3" s="1"/>
  <c r="BV62" i="3" l="1"/>
  <c r="BW60" i="3"/>
  <c r="BW61" i="3" l="1"/>
  <c r="BW63" i="3"/>
  <c r="BW83" i="3" s="1"/>
  <c r="BX60" i="3" l="1"/>
  <c r="BW62" i="3"/>
  <c r="BX61" i="3" l="1"/>
  <c r="BX63" i="3"/>
  <c r="BX83" i="3" s="1"/>
  <c r="BX62" i="3" l="1"/>
  <c r="BY60" i="3"/>
  <c r="BY61" i="3" l="1"/>
  <c r="BY63" i="3"/>
  <c r="BY83" i="3" s="1"/>
  <c r="BY62" i="3" l="1"/>
  <c r="BZ60" i="3"/>
  <c r="BZ63" i="3" l="1"/>
  <c r="BZ83" i="3" s="1"/>
  <c r="BZ61" i="3"/>
  <c r="BZ62" i="3" l="1"/>
  <c r="CA60" i="3"/>
  <c r="CA63" i="3" l="1"/>
  <c r="CA83" i="3" s="1"/>
  <c r="CA61" i="3"/>
  <c r="CA62" i="3" l="1"/>
  <c r="CB60" i="3"/>
  <c r="CB61" i="3" l="1"/>
  <c r="CB63" i="3"/>
  <c r="CB83" i="3" s="1"/>
  <c r="CB62" i="3" l="1"/>
  <c r="CC60" i="3"/>
  <c r="F30" i="3"/>
  <c r="F88" i="3" l="1"/>
  <c r="G88" i="3"/>
  <c r="H88" i="3"/>
  <c r="I88" i="3"/>
  <c r="J88" i="3"/>
  <c r="K88" i="3"/>
  <c r="L88" i="3"/>
  <c r="M88" i="3"/>
  <c r="N88" i="3"/>
  <c r="CC61" i="3"/>
  <c r="CC63" i="3"/>
  <c r="CC83" i="3" s="1"/>
  <c r="F68" i="3"/>
  <c r="I68" i="3"/>
  <c r="M68" i="3"/>
  <c r="L68" i="3"/>
  <c r="H68" i="3"/>
  <c r="K68" i="3"/>
  <c r="G68" i="3"/>
  <c r="N68" i="3"/>
  <c r="J68" i="3"/>
  <c r="CC62" i="3" l="1"/>
  <c r="CD60" i="3"/>
  <c r="K71" i="3"/>
  <c r="K73" i="3"/>
  <c r="K69" i="3"/>
  <c r="K40" i="3" s="1"/>
  <c r="K41" i="3"/>
  <c r="F71" i="3"/>
  <c r="F73" i="3"/>
  <c r="F96" i="3" s="1"/>
  <c r="F69" i="3"/>
  <c r="F40" i="3" s="1"/>
  <c r="F41" i="3"/>
  <c r="H69" i="3"/>
  <c r="H40" i="3" s="1"/>
  <c r="H71" i="3"/>
  <c r="H73" i="3"/>
  <c r="H41" i="3"/>
  <c r="J69" i="3"/>
  <c r="J40" i="3" s="1"/>
  <c r="J71" i="3"/>
  <c r="J73" i="3"/>
  <c r="J41" i="3"/>
  <c r="L71" i="3"/>
  <c r="L73" i="3"/>
  <c r="L69" i="3"/>
  <c r="L40" i="3" s="1"/>
  <c r="L41" i="3"/>
  <c r="N69" i="3"/>
  <c r="N40" i="3" s="1"/>
  <c r="N71" i="3"/>
  <c r="N73" i="3"/>
  <c r="N41" i="3"/>
  <c r="M69" i="3"/>
  <c r="M40" i="3" s="1"/>
  <c r="M71" i="3"/>
  <c r="M73" i="3"/>
  <c r="M41" i="3"/>
  <c r="G73" i="3"/>
  <c r="G96" i="3" s="1"/>
  <c r="G69" i="3"/>
  <c r="G40" i="3" s="1"/>
  <c r="G71" i="3"/>
  <c r="G41" i="3"/>
  <c r="I73" i="3"/>
  <c r="I69" i="3"/>
  <c r="I40" i="3" s="1"/>
  <c r="I71" i="3"/>
  <c r="I41" i="3"/>
  <c r="CD61" i="3" l="1"/>
  <c r="CD63" i="3"/>
  <c r="CD83" i="3" s="1"/>
  <c r="O68" i="3"/>
  <c r="O41" i="3" s="1"/>
  <c r="F70" i="3"/>
  <c r="N70" i="3"/>
  <c r="J70" i="3"/>
  <c r="G70" i="3"/>
  <c r="L70" i="3"/>
  <c r="K70" i="3"/>
  <c r="I70" i="3"/>
  <c r="M70" i="3"/>
  <c r="H70" i="3"/>
  <c r="O69" i="3" l="1"/>
  <c r="O40" i="3" s="1"/>
  <c r="O71" i="3"/>
  <c r="O88" i="3" s="1"/>
  <c r="P68" i="3"/>
  <c r="P71" i="3" s="1"/>
  <c r="P88" i="3" s="1"/>
  <c r="CD62" i="3"/>
  <c r="CE60" i="3"/>
  <c r="O70" i="3" l="1"/>
  <c r="P41" i="3"/>
  <c r="P69" i="3"/>
  <c r="P40" i="3" s="1"/>
  <c r="CE63" i="3"/>
  <c r="CE83" i="3" s="1"/>
  <c r="CE61" i="3"/>
  <c r="Q68" i="3"/>
  <c r="P70" i="3"/>
  <c r="CF60" i="3" l="1"/>
  <c r="CE62" i="3"/>
  <c r="Q41" i="3"/>
  <c r="Q69" i="3"/>
  <c r="Q40" i="3" s="1"/>
  <c r="Q71" i="3"/>
  <c r="Q88" i="3" s="1"/>
  <c r="CF61" i="3" l="1"/>
  <c r="CF63" i="3"/>
  <c r="CF83" i="3" s="1"/>
  <c r="R68" i="3"/>
  <c r="Q70" i="3"/>
  <c r="CG60" i="3" l="1"/>
  <c r="CF62" i="3"/>
  <c r="R41" i="3"/>
  <c r="R71" i="3"/>
  <c r="R88" i="3" s="1"/>
  <c r="R69" i="3"/>
  <c r="R40" i="3" s="1"/>
  <c r="CG61" i="3" l="1"/>
  <c r="CG63" i="3"/>
  <c r="CG83" i="3" s="1"/>
  <c r="S68" i="3"/>
  <c r="R70" i="3"/>
  <c r="CG62" i="3" l="1"/>
  <c r="CH60" i="3"/>
  <c r="S69" i="3"/>
  <c r="S40" i="3" s="1"/>
  <c r="S41" i="3"/>
  <c r="S71" i="3"/>
  <c r="S88" i="3" s="1"/>
  <c r="CH61" i="3" l="1"/>
  <c r="CH63" i="3"/>
  <c r="CH83" i="3" s="1"/>
  <c r="T68" i="3"/>
  <c r="S70" i="3"/>
  <c r="CI60" i="3" l="1"/>
  <c r="CH62" i="3"/>
  <c r="T69" i="3"/>
  <c r="T40" i="3" s="1"/>
  <c r="T71" i="3"/>
  <c r="T88" i="3" s="1"/>
  <c r="T41" i="3"/>
  <c r="CI63" i="3" l="1"/>
  <c r="CI83" i="3" s="1"/>
  <c r="CI61" i="3"/>
  <c r="U68" i="3"/>
  <c r="T70" i="3"/>
  <c r="CI62" i="3" l="1"/>
  <c r="CJ60" i="3"/>
  <c r="U71" i="3"/>
  <c r="U88" i="3" s="1"/>
  <c r="U41" i="3"/>
  <c r="U69" i="3"/>
  <c r="U40" i="3" s="1"/>
  <c r="CJ63" i="3" l="1"/>
  <c r="CJ83" i="3" s="1"/>
  <c r="CJ61" i="3"/>
  <c r="V68" i="3"/>
  <c r="U70" i="3"/>
  <c r="CJ62" i="3" l="1"/>
  <c r="CK60" i="3"/>
  <c r="V69" i="3"/>
  <c r="V40" i="3" s="1"/>
  <c r="V41" i="3"/>
  <c r="V71" i="3"/>
  <c r="V88" i="3" s="1"/>
  <c r="CK61" i="3" l="1"/>
  <c r="CK63" i="3"/>
  <c r="CK83" i="3" s="1"/>
  <c r="W68" i="3"/>
  <c r="V70" i="3"/>
  <c r="CK62" i="3" l="1"/>
  <c r="E24" i="3" s="1"/>
  <c r="F25" i="3" s="1"/>
  <c r="W69" i="3"/>
  <c r="W40" i="3" s="1"/>
  <c r="W41" i="3"/>
  <c r="W71" i="3"/>
  <c r="W88" i="3" s="1"/>
  <c r="K65" i="3" l="1"/>
  <c r="J65" i="3"/>
  <c r="F27" i="3"/>
  <c r="AE65" i="3" s="1"/>
  <c r="O65" i="3"/>
  <c r="X68" i="3"/>
  <c r="W70" i="3"/>
  <c r="M65" i="3" l="1"/>
  <c r="N65" i="3"/>
  <c r="L65" i="3"/>
  <c r="AV65" i="3"/>
  <c r="AF65" i="3"/>
  <c r="P65" i="3"/>
  <c r="BQ65" i="3"/>
  <c r="AK65" i="3"/>
  <c r="AN65" i="3"/>
  <c r="AU65" i="3"/>
  <c r="AH65" i="3"/>
  <c r="BF65" i="3"/>
  <c r="BJ65" i="3"/>
  <c r="CH65" i="3"/>
  <c r="BY65" i="3"/>
  <c r="BM65" i="3"/>
  <c r="AY65" i="3"/>
  <c r="BC65" i="3"/>
  <c r="T65" i="3"/>
  <c r="AQ65" i="3"/>
  <c r="AJ65" i="3"/>
  <c r="AG65" i="3"/>
  <c r="BO65" i="3"/>
  <c r="BP65" i="3"/>
  <c r="Z65" i="3"/>
  <c r="BU65" i="3"/>
  <c r="U65" i="3"/>
  <c r="BR65" i="3"/>
  <c r="AB65" i="3"/>
  <c r="BN65" i="3"/>
  <c r="BL65" i="3"/>
  <c r="BG65" i="3"/>
  <c r="BZ65" i="3"/>
  <c r="BK65" i="3"/>
  <c r="CE65" i="3"/>
  <c r="AD65" i="3"/>
  <c r="BI65" i="3"/>
  <c r="BW65" i="3"/>
  <c r="S65" i="3"/>
  <c r="BV65" i="3"/>
  <c r="CD65" i="3"/>
  <c r="R65" i="3"/>
  <c r="Q65" i="3"/>
  <c r="CB65" i="3"/>
  <c r="AC65" i="3"/>
  <c r="BX65" i="3"/>
  <c r="BD65" i="3"/>
  <c r="AZ65" i="3"/>
  <c r="BB65" i="3"/>
  <c r="BH65" i="3"/>
  <c r="CC65" i="3"/>
  <c r="V65" i="3"/>
  <c r="AO65" i="3"/>
  <c r="W65" i="3"/>
  <c r="Y65" i="3"/>
  <c r="BS65" i="3"/>
  <c r="CF65" i="3"/>
  <c r="AX65" i="3"/>
  <c r="CA65" i="3"/>
  <c r="AS65" i="3"/>
  <c r="BT65" i="3"/>
  <c r="CJ65" i="3"/>
  <c r="AR65" i="3"/>
  <c r="AL65" i="3"/>
  <c r="CG65" i="3"/>
  <c r="AP65" i="3"/>
  <c r="AA65" i="3"/>
  <c r="X65" i="3"/>
  <c r="AW65" i="3"/>
  <c r="CI65" i="3"/>
  <c r="BA65" i="3"/>
  <c r="AI65" i="3"/>
  <c r="AM65" i="3"/>
  <c r="CK65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BE65" i="3"/>
  <c r="AT65" i="3"/>
  <c r="X69" i="3"/>
  <c r="X40" i="3" s="1"/>
  <c r="X71" i="3"/>
  <c r="X88" i="3" s="1"/>
  <c r="X41" i="3"/>
  <c r="Y68" i="3" l="1"/>
  <c r="X70" i="3"/>
  <c r="Y69" i="3" l="1"/>
  <c r="Y40" i="3" s="1"/>
  <c r="Y71" i="3"/>
  <c r="Y88" i="3" s="1"/>
  <c r="Y41" i="3"/>
  <c r="Z68" i="3" l="1"/>
  <c r="Y70" i="3"/>
  <c r="Z69" i="3" l="1"/>
  <c r="Z40" i="3" s="1"/>
  <c r="Z71" i="3"/>
  <c r="Z88" i="3" s="1"/>
  <c r="Z41" i="3"/>
  <c r="AA68" i="3" l="1"/>
  <c r="Z70" i="3"/>
  <c r="AA69" i="3" l="1"/>
  <c r="AA40" i="3" s="1"/>
  <c r="AA71" i="3"/>
  <c r="AA88" i="3" s="1"/>
  <c r="AA41" i="3"/>
  <c r="AB68" i="3" l="1"/>
  <c r="AA70" i="3"/>
  <c r="AB69" i="3" l="1"/>
  <c r="AB40" i="3" s="1"/>
  <c r="AB41" i="3"/>
  <c r="AB71" i="3"/>
  <c r="AB88" i="3" s="1"/>
  <c r="AC68" i="3" l="1"/>
  <c r="AB70" i="3"/>
  <c r="AC69" i="3" l="1"/>
  <c r="AC40" i="3" s="1"/>
  <c r="AC71" i="3"/>
  <c r="AC88" i="3" s="1"/>
  <c r="AC41" i="3"/>
  <c r="AD68" i="3" l="1"/>
  <c r="AC70" i="3"/>
  <c r="AD69" i="3" l="1"/>
  <c r="AD40" i="3" s="1"/>
  <c r="AD71" i="3"/>
  <c r="AD88" i="3" s="1"/>
  <c r="AD41" i="3"/>
  <c r="AE68" i="3" l="1"/>
  <c r="AD70" i="3"/>
  <c r="AE71" i="3" l="1"/>
  <c r="AE88" i="3" s="1"/>
  <c r="AE41" i="3"/>
  <c r="AE69" i="3"/>
  <c r="AE40" i="3" s="1"/>
  <c r="AF68" i="3" l="1"/>
  <c r="AE70" i="3"/>
  <c r="AF71" i="3" l="1"/>
  <c r="AF88" i="3" s="1"/>
  <c r="AF69" i="3"/>
  <c r="AF40" i="3" s="1"/>
  <c r="AF41" i="3"/>
  <c r="AG68" i="3" l="1"/>
  <c r="AF70" i="3"/>
  <c r="AG71" i="3" l="1"/>
  <c r="AG88" i="3" s="1"/>
  <c r="AG41" i="3"/>
  <c r="AG69" i="3"/>
  <c r="AG40" i="3" s="1"/>
  <c r="AH68" i="3" l="1"/>
  <c r="AG70" i="3"/>
  <c r="AH71" i="3" l="1"/>
  <c r="AH88" i="3" s="1"/>
  <c r="AH41" i="3"/>
  <c r="AH69" i="3"/>
  <c r="AH40" i="3" s="1"/>
  <c r="AH70" i="3" l="1"/>
  <c r="AI68" i="3"/>
  <c r="AI71" i="3" l="1"/>
  <c r="AI88" i="3" s="1"/>
  <c r="AI41" i="3"/>
  <c r="AI69" i="3"/>
  <c r="AI40" i="3" s="1"/>
  <c r="AJ68" i="3" l="1"/>
  <c r="AI70" i="3"/>
  <c r="AJ71" i="3" l="1"/>
  <c r="AJ88" i="3" s="1"/>
  <c r="AJ69" i="3"/>
  <c r="AJ40" i="3" s="1"/>
  <c r="AJ41" i="3"/>
  <c r="AJ70" i="3" l="1"/>
  <c r="AK68" i="3"/>
  <c r="AK69" i="3" l="1"/>
  <c r="AK40" i="3" s="1"/>
  <c r="AK41" i="3"/>
  <c r="AK71" i="3"/>
  <c r="AK88" i="3" s="1"/>
  <c r="AK70" i="3" l="1"/>
  <c r="AL68" i="3"/>
  <c r="AL71" i="3" l="1"/>
  <c r="AL88" i="3" s="1"/>
  <c r="AL41" i="3"/>
  <c r="AL69" i="3"/>
  <c r="AL40" i="3" s="1"/>
  <c r="AL70" i="3" l="1"/>
  <c r="AM68" i="3"/>
  <c r="AM71" i="3" l="1"/>
  <c r="AM88" i="3" s="1"/>
  <c r="AM41" i="3"/>
  <c r="AM69" i="3"/>
  <c r="AM40" i="3" s="1"/>
  <c r="AM70" i="3" l="1"/>
  <c r="AN68" i="3"/>
  <c r="AN71" i="3" l="1"/>
  <c r="AN88" i="3" s="1"/>
  <c r="AN41" i="3"/>
  <c r="AN69" i="3"/>
  <c r="AN40" i="3" s="1"/>
  <c r="AO68" i="3" l="1"/>
  <c r="AN70" i="3"/>
  <c r="AO41" i="3" l="1"/>
  <c r="AO69" i="3"/>
  <c r="AO40" i="3" s="1"/>
  <c r="AO71" i="3"/>
  <c r="AO88" i="3" s="1"/>
  <c r="AO70" i="3" l="1"/>
  <c r="AP68" i="3"/>
  <c r="AP69" i="3" l="1"/>
  <c r="AP40" i="3" s="1"/>
  <c r="AP71" i="3"/>
  <c r="AP88" i="3" s="1"/>
  <c r="AP41" i="3"/>
  <c r="AP70" i="3" l="1"/>
  <c r="AQ68" i="3"/>
  <c r="AQ69" i="3" l="1"/>
  <c r="AQ40" i="3" s="1"/>
  <c r="AQ71" i="3"/>
  <c r="AQ88" i="3" s="1"/>
  <c r="AQ41" i="3"/>
  <c r="AR68" i="3" l="1"/>
  <c r="AQ70" i="3"/>
  <c r="AR71" i="3" l="1"/>
  <c r="AR88" i="3" s="1"/>
  <c r="AR69" i="3"/>
  <c r="AR40" i="3" s="1"/>
  <c r="AR41" i="3"/>
  <c r="AS68" i="3" l="1"/>
  <c r="AR70" i="3"/>
  <c r="AS71" i="3" l="1"/>
  <c r="AS88" i="3" s="1"/>
  <c r="AS41" i="3"/>
  <c r="AS69" i="3"/>
  <c r="AS40" i="3" s="1"/>
  <c r="AS70" i="3" l="1"/>
  <c r="AT68" i="3"/>
  <c r="AT41" i="3" l="1"/>
  <c r="AT71" i="3"/>
  <c r="AT88" i="3" s="1"/>
  <c r="AT69" i="3"/>
  <c r="AT40" i="3" s="1"/>
  <c r="AU68" i="3" l="1"/>
  <c r="AT70" i="3"/>
  <c r="AU69" i="3" l="1"/>
  <c r="AU40" i="3" s="1"/>
  <c r="AU71" i="3"/>
  <c r="AU88" i="3" s="1"/>
  <c r="AU41" i="3"/>
  <c r="AU70" i="3" l="1"/>
  <c r="AV68" i="3"/>
  <c r="AV69" i="3" l="1"/>
  <c r="AV40" i="3" s="1"/>
  <c r="AV71" i="3"/>
  <c r="AV88" i="3" s="1"/>
  <c r="AV41" i="3"/>
  <c r="AW68" i="3" l="1"/>
  <c r="AV70" i="3"/>
  <c r="AW69" i="3" l="1"/>
  <c r="AW40" i="3" s="1"/>
  <c r="AW71" i="3"/>
  <c r="AW88" i="3" s="1"/>
  <c r="AW41" i="3"/>
  <c r="AW70" i="3" l="1"/>
  <c r="AX68" i="3"/>
  <c r="AX71" i="3" l="1"/>
  <c r="AX88" i="3" s="1"/>
  <c r="AX41" i="3"/>
  <c r="AX69" i="3"/>
  <c r="AX40" i="3" s="1"/>
  <c r="AX70" i="3" l="1"/>
  <c r="AY68" i="3"/>
  <c r="AY71" i="3" l="1"/>
  <c r="AY88" i="3" s="1"/>
  <c r="AY69" i="3"/>
  <c r="AY40" i="3" s="1"/>
  <c r="AY41" i="3"/>
  <c r="AY70" i="3" l="1"/>
  <c r="AZ68" i="3"/>
  <c r="AZ41" i="3" l="1"/>
  <c r="AZ71" i="3"/>
  <c r="AZ88" i="3" s="1"/>
  <c r="AZ69" i="3"/>
  <c r="AZ40" i="3" s="1"/>
  <c r="AZ70" i="3" l="1"/>
  <c r="BA68" i="3"/>
  <c r="BA41" i="3" l="1"/>
  <c r="BA69" i="3"/>
  <c r="BA40" i="3" s="1"/>
  <c r="BA71" i="3"/>
  <c r="BA88" i="3" s="1"/>
  <c r="BB68" i="3" l="1"/>
  <c r="BA70" i="3"/>
  <c r="BB69" i="3" l="1"/>
  <c r="BB40" i="3" s="1"/>
  <c r="BB41" i="3"/>
  <c r="BB71" i="3"/>
  <c r="BB88" i="3" s="1"/>
  <c r="BB70" i="3" l="1"/>
  <c r="BC68" i="3"/>
  <c r="BC69" i="3" l="1"/>
  <c r="BC40" i="3" s="1"/>
  <c r="BC71" i="3"/>
  <c r="BC88" i="3" s="1"/>
  <c r="BC41" i="3"/>
  <c r="BC70" i="3" l="1"/>
  <c r="BD68" i="3"/>
  <c r="BD69" i="3" l="1"/>
  <c r="BD40" i="3" s="1"/>
  <c r="BD41" i="3"/>
  <c r="BD71" i="3"/>
  <c r="BD88" i="3" s="1"/>
  <c r="BE68" i="3" l="1"/>
  <c r="BD70" i="3"/>
  <c r="BE71" i="3" l="1"/>
  <c r="BE88" i="3" s="1"/>
  <c r="BE41" i="3"/>
  <c r="BE69" i="3"/>
  <c r="BE40" i="3" s="1"/>
  <c r="BE70" i="3" l="1"/>
  <c r="BF68" i="3"/>
  <c r="BF69" i="3" l="1"/>
  <c r="BF40" i="3" s="1"/>
  <c r="BF71" i="3"/>
  <c r="BF88" i="3" s="1"/>
  <c r="BF41" i="3"/>
  <c r="BF70" i="3" l="1"/>
  <c r="BG68" i="3"/>
  <c r="BG71" i="3" l="1"/>
  <c r="BG88" i="3" s="1"/>
  <c r="BG41" i="3"/>
  <c r="BG69" i="3"/>
  <c r="BG40" i="3" s="1"/>
  <c r="BG70" i="3" l="1"/>
  <c r="BH68" i="3"/>
  <c r="BH69" i="3" l="1"/>
  <c r="BH40" i="3" s="1"/>
  <c r="BH41" i="3"/>
  <c r="BH71" i="3"/>
  <c r="BH88" i="3" s="1"/>
  <c r="BI68" i="3" l="1"/>
  <c r="BH70" i="3"/>
  <c r="BI69" i="3" l="1"/>
  <c r="BI40" i="3" s="1"/>
  <c r="BI71" i="3"/>
  <c r="BI88" i="3" s="1"/>
  <c r="BI41" i="3"/>
  <c r="BJ68" i="3" l="1"/>
  <c r="BI70" i="3"/>
  <c r="BJ69" i="3" l="1"/>
  <c r="BJ40" i="3" s="1"/>
  <c r="BJ71" i="3"/>
  <c r="BJ88" i="3" s="1"/>
  <c r="BJ41" i="3"/>
  <c r="BJ70" i="3" l="1"/>
  <c r="BK68" i="3"/>
  <c r="BK69" i="3" l="1"/>
  <c r="BK40" i="3" s="1"/>
  <c r="BK71" i="3"/>
  <c r="BK88" i="3" s="1"/>
  <c r="BK41" i="3"/>
  <c r="BK70" i="3" l="1"/>
  <c r="BL68" i="3"/>
  <c r="BL69" i="3" l="1"/>
  <c r="BL40" i="3" s="1"/>
  <c r="BL41" i="3"/>
  <c r="BL71" i="3"/>
  <c r="BL88" i="3" s="1"/>
  <c r="BM68" i="3" l="1"/>
  <c r="BL70" i="3"/>
  <c r="BM71" i="3" l="1"/>
  <c r="BM88" i="3" s="1"/>
  <c r="BM69" i="3"/>
  <c r="BM40" i="3" s="1"/>
  <c r="BM41" i="3"/>
  <c r="BM70" i="3" l="1"/>
  <c r="BN68" i="3"/>
  <c r="BN69" i="3" l="1"/>
  <c r="BN40" i="3" s="1"/>
  <c r="BN71" i="3"/>
  <c r="BN88" i="3" s="1"/>
  <c r="BN41" i="3"/>
  <c r="BO68" i="3" l="1"/>
  <c r="BN70" i="3"/>
  <c r="BO41" i="3" l="1"/>
  <c r="BO71" i="3"/>
  <c r="BO88" i="3" s="1"/>
  <c r="BO69" i="3"/>
  <c r="BO40" i="3" s="1"/>
  <c r="BO70" i="3" l="1"/>
  <c r="BP68" i="3"/>
  <c r="BP69" i="3" l="1"/>
  <c r="BP40" i="3" s="1"/>
  <c r="BP41" i="3"/>
  <c r="BP71" i="3"/>
  <c r="BP88" i="3" s="1"/>
  <c r="BP70" i="3" l="1"/>
  <c r="BQ68" i="3"/>
  <c r="BQ71" i="3" l="1"/>
  <c r="BQ88" i="3" s="1"/>
  <c r="BQ69" i="3"/>
  <c r="BQ40" i="3" s="1"/>
  <c r="BQ41" i="3"/>
  <c r="BR68" i="3" l="1"/>
  <c r="BQ70" i="3"/>
  <c r="BR41" i="3" l="1"/>
  <c r="BR69" i="3"/>
  <c r="BR40" i="3" s="1"/>
  <c r="BR71" i="3"/>
  <c r="BR88" i="3" s="1"/>
  <c r="BR70" i="3" l="1"/>
  <c r="BS68" i="3"/>
  <c r="BS41" i="3" l="1"/>
  <c r="BS71" i="3"/>
  <c r="BS88" i="3" s="1"/>
  <c r="BS69" i="3"/>
  <c r="BS40" i="3" s="1"/>
  <c r="BS70" i="3" l="1"/>
  <c r="BT68" i="3"/>
  <c r="BT69" i="3" l="1"/>
  <c r="BT40" i="3" s="1"/>
  <c r="BT71" i="3"/>
  <c r="BT88" i="3" s="1"/>
  <c r="BT41" i="3"/>
  <c r="BT70" i="3" l="1"/>
  <c r="BU68" i="3"/>
  <c r="BU41" i="3" l="1"/>
  <c r="BU69" i="3"/>
  <c r="BU40" i="3" s="1"/>
  <c r="BU71" i="3"/>
  <c r="BU88" i="3" s="1"/>
  <c r="BU70" i="3" l="1"/>
  <c r="BV68" i="3"/>
  <c r="BV41" i="3" l="1"/>
  <c r="BV69" i="3"/>
  <c r="BV40" i="3" s="1"/>
  <c r="BV71" i="3"/>
  <c r="BV88" i="3" s="1"/>
  <c r="BW68" i="3" l="1"/>
  <c r="BV70" i="3"/>
  <c r="BW69" i="3" l="1"/>
  <c r="BW40" i="3" s="1"/>
  <c r="BW71" i="3"/>
  <c r="BW88" i="3" s="1"/>
  <c r="BW41" i="3"/>
  <c r="BW70" i="3" l="1"/>
  <c r="BX68" i="3"/>
  <c r="BX71" i="3" l="1"/>
  <c r="BX88" i="3" s="1"/>
  <c r="BX69" i="3"/>
  <c r="BX40" i="3" s="1"/>
  <c r="BX41" i="3"/>
  <c r="BX70" i="3" l="1"/>
  <c r="BY68" i="3"/>
  <c r="BY69" i="3" l="1"/>
  <c r="BY40" i="3" s="1"/>
  <c r="BY71" i="3"/>
  <c r="BY88" i="3" s="1"/>
  <c r="BY41" i="3"/>
  <c r="BY70" i="3" l="1"/>
  <c r="BZ68" i="3"/>
  <c r="BZ41" i="3" l="1"/>
  <c r="BZ69" i="3"/>
  <c r="BZ40" i="3" s="1"/>
  <c r="BZ71" i="3"/>
  <c r="BZ88" i="3" s="1"/>
  <c r="BZ70" i="3" l="1"/>
  <c r="CA68" i="3"/>
  <c r="CA69" i="3" l="1"/>
  <c r="CA40" i="3" s="1"/>
  <c r="CA71" i="3"/>
  <c r="CA88" i="3" s="1"/>
  <c r="CA41" i="3"/>
  <c r="CB68" i="3" l="1"/>
  <c r="CA70" i="3"/>
  <c r="CB69" i="3" l="1"/>
  <c r="CB40" i="3" s="1"/>
  <c r="CB71" i="3"/>
  <c r="CB88" i="3" s="1"/>
  <c r="CB41" i="3"/>
  <c r="CB70" i="3" l="1"/>
  <c r="CC68" i="3"/>
  <c r="CC69" i="3" l="1"/>
  <c r="CC40" i="3" s="1"/>
  <c r="CC71" i="3"/>
  <c r="CC88" i="3" s="1"/>
  <c r="CC41" i="3"/>
  <c r="CC70" i="3" l="1"/>
  <c r="CD68" i="3"/>
  <c r="CD71" i="3" l="1"/>
  <c r="CD88" i="3" s="1"/>
  <c r="CD41" i="3"/>
  <c r="CD69" i="3"/>
  <c r="CD40" i="3" s="1"/>
  <c r="CD70" i="3" l="1"/>
  <c r="CE68" i="3"/>
  <c r="CE69" i="3" l="1"/>
  <c r="CE40" i="3" s="1"/>
  <c r="CE71" i="3"/>
  <c r="CE88" i="3" s="1"/>
  <c r="CE41" i="3"/>
  <c r="CE70" i="3" l="1"/>
  <c r="CF68" i="3"/>
  <c r="CF71" i="3" l="1"/>
  <c r="CF88" i="3" s="1"/>
  <c r="CF69" i="3"/>
  <c r="CF40" i="3" s="1"/>
  <c r="CF41" i="3"/>
  <c r="CG68" i="3" l="1"/>
  <c r="CF70" i="3"/>
  <c r="CG69" i="3" l="1"/>
  <c r="CG40" i="3" s="1"/>
  <c r="CG41" i="3"/>
  <c r="CG71" i="3"/>
  <c r="CG88" i="3" s="1"/>
  <c r="CG70" i="3" l="1"/>
  <c r="CH68" i="3"/>
  <c r="CH69" i="3" l="1"/>
  <c r="CH40" i="3" s="1"/>
  <c r="CH71" i="3"/>
  <c r="CH88" i="3" s="1"/>
  <c r="CH41" i="3"/>
  <c r="CH70" i="3" l="1"/>
  <c r="CI68" i="3"/>
  <c r="CI69" i="3" l="1"/>
  <c r="CI40" i="3" s="1"/>
  <c r="CI41" i="3"/>
  <c r="CI71" i="3"/>
  <c r="CI88" i="3" s="1"/>
  <c r="CI70" i="3" l="1"/>
  <c r="CJ68" i="3"/>
  <c r="CJ69" i="3" l="1"/>
  <c r="CJ40" i="3" s="1"/>
  <c r="CJ71" i="3"/>
  <c r="CJ88" i="3" s="1"/>
  <c r="CJ41" i="3"/>
  <c r="CJ70" i="3" l="1"/>
  <c r="CK68" i="3"/>
  <c r="CK69" i="3" l="1"/>
  <c r="CK40" i="3" s="1"/>
  <c r="CK71" i="3"/>
  <c r="CK88" i="3" s="1"/>
  <c r="CK41" i="3"/>
  <c r="F66" i="2" l="1"/>
  <c r="G66" i="2"/>
  <c r="H66" i="2"/>
  <c r="I66" i="2"/>
  <c r="J66" i="2"/>
  <c r="K66" i="2"/>
  <c r="L66" i="2"/>
  <c r="CK70" i="3"/>
  <c r="E31" i="3" s="1"/>
  <c r="F32" i="3" s="1"/>
  <c r="F67" i="2" l="1"/>
  <c r="K67" i="2"/>
  <c r="G67" i="2"/>
  <c r="L67" i="2"/>
  <c r="I67" i="2"/>
  <c r="H67" i="2"/>
  <c r="J67" i="2"/>
  <c r="O73" i="3"/>
  <c r="P73" i="3"/>
  <c r="F34" i="3"/>
  <c r="BQ73" i="3" s="1"/>
  <c r="BQ96" i="3" s="1"/>
  <c r="CJ73" i="3" l="1"/>
  <c r="CJ96" i="3" s="1"/>
  <c r="AS73" i="3"/>
  <c r="AZ73" i="3"/>
  <c r="AX73" i="3"/>
  <c r="L13" i="3"/>
  <c r="E8" i="3"/>
  <c r="H96" i="3" s="1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K73" i="3"/>
  <c r="CK96" i="3" s="1"/>
  <c r="AP73" i="3"/>
  <c r="CG73" i="3"/>
  <c r="CG96" i="3" s="1"/>
  <c r="CF73" i="3"/>
  <c r="CF96" i="3" s="1"/>
  <c r="CE73" i="3"/>
  <c r="CE96" i="3" s="1"/>
  <c r="CD73" i="3"/>
  <c r="CD96" i="3" s="1"/>
  <c r="CC73" i="3"/>
  <c r="CC96" i="3" s="1"/>
  <c r="BY73" i="3"/>
  <c r="BY96" i="3" s="1"/>
  <c r="BX73" i="3"/>
  <c r="BX96" i="3" s="1"/>
  <c r="BV73" i="3"/>
  <c r="BV96" i="3" s="1"/>
  <c r="BU73" i="3"/>
  <c r="BU96" i="3" s="1"/>
  <c r="AJ73" i="3"/>
  <c r="BO73" i="3"/>
  <c r="BO96" i="3" s="1"/>
  <c r="BT73" i="3"/>
  <c r="BT96" i="3" s="1"/>
  <c r="BB73" i="3"/>
  <c r="BL73" i="3"/>
  <c r="CB73" i="3"/>
  <c r="CB96" i="3" s="1"/>
  <c r="AT73" i="3"/>
  <c r="BP73" i="3"/>
  <c r="BP96" i="3" s="1"/>
  <c r="AN73" i="3"/>
  <c r="CA73" i="3"/>
  <c r="CA96" i="3" s="1"/>
  <c r="AQ73" i="3"/>
  <c r="CI73" i="3"/>
  <c r="CI96" i="3" s="1"/>
  <c r="AL73" i="3"/>
  <c r="CH73" i="3"/>
  <c r="CH96" i="3" s="1"/>
  <c r="BZ73" i="3"/>
  <c r="BZ96" i="3" s="1"/>
  <c r="BR73" i="3"/>
  <c r="BR96" i="3" s="1"/>
  <c r="AR73" i="3"/>
  <c r="BK73" i="3"/>
  <c r="BK96" i="3" s="1"/>
  <c r="BN73" i="3"/>
  <c r="BN96" i="3" s="1"/>
  <c r="BC73" i="3"/>
  <c r="BC96" i="3" s="1"/>
  <c r="BE73" i="3"/>
  <c r="BE96" i="3" s="1"/>
  <c r="AU73" i="3"/>
  <c r="AU96" i="3" s="1"/>
  <c r="AI73" i="3"/>
  <c r="AW73" i="3"/>
  <c r="AW96" i="3" s="1"/>
  <c r="BW73" i="3"/>
  <c r="BW96" i="3" s="1"/>
  <c r="AK73" i="3"/>
  <c r="BJ73" i="3"/>
  <c r="BJ96" i="3" s="1"/>
  <c r="AO73" i="3"/>
  <c r="AD73" i="3"/>
  <c r="AC73" i="3"/>
  <c r="BD73" i="3"/>
  <c r="BD96" i="3" s="1"/>
  <c r="AY73" i="3"/>
  <c r="AY96" i="3" s="1"/>
  <c r="BH73" i="3"/>
  <c r="BH96" i="3" s="1"/>
  <c r="AV73" i="3"/>
  <c r="AV96" i="3" s="1"/>
  <c r="V73" i="3"/>
  <c r="U73" i="3"/>
  <c r="AB73" i="3"/>
  <c r="T73" i="3"/>
  <c r="AM73" i="3"/>
  <c r="AA73" i="3"/>
  <c r="S73" i="3"/>
  <c r="S96" i="3" s="1"/>
  <c r="BA73" i="3"/>
  <c r="BA96" i="3" s="1"/>
  <c r="AH73" i="3"/>
  <c r="Z73" i="3"/>
  <c r="R73" i="3"/>
  <c r="BI73" i="3"/>
  <c r="BI96" i="3" s="1"/>
  <c r="BG73" i="3"/>
  <c r="BG96" i="3" s="1"/>
  <c r="AG73" i="3"/>
  <c r="Y73" i="3"/>
  <c r="Y96" i="3" s="1"/>
  <c r="Q73" i="3"/>
  <c r="BM73" i="3"/>
  <c r="BM96" i="3" s="1"/>
  <c r="AF73" i="3"/>
  <c r="X73" i="3"/>
  <c r="AV49" i="3"/>
  <c r="AV97" i="3" s="1"/>
  <c r="CA49" i="3"/>
  <c r="CA97" i="3" s="1"/>
  <c r="BJ49" i="3"/>
  <c r="BJ97" i="3" s="1"/>
  <c r="AR49" i="3"/>
  <c r="AR97" i="3" s="1"/>
  <c r="BW49" i="3"/>
  <c r="BW97" i="3" s="1"/>
  <c r="BF49" i="3"/>
  <c r="BF97" i="3" s="1"/>
  <c r="AW49" i="3"/>
  <c r="AW97" i="3" s="1"/>
  <c r="AS49" i="3"/>
  <c r="AS97" i="3" s="1"/>
  <c r="BG49" i="3"/>
  <c r="BG97" i="3" s="1"/>
  <c r="BH49" i="3"/>
  <c r="BH97" i="3" s="1"/>
  <c r="CD49" i="3"/>
  <c r="CD97" i="3" s="1"/>
  <c r="AU49" i="3"/>
  <c r="AU97" i="3" s="1"/>
  <c r="CJ49" i="3"/>
  <c r="CJ97" i="3" s="1"/>
  <c r="BB49" i="3"/>
  <c r="BB97" i="3" s="1"/>
  <c r="CF49" i="3"/>
  <c r="CF97" i="3" s="1"/>
  <c r="BO49" i="3"/>
  <c r="BO97" i="3" s="1"/>
  <c r="CB49" i="3"/>
  <c r="CB97" i="3" s="1"/>
  <c r="BX49" i="3"/>
  <c r="BX97" i="3" s="1"/>
  <c r="AX49" i="3"/>
  <c r="AX97" i="3" s="1"/>
  <c r="BQ49" i="3"/>
  <c r="BQ97" i="3" s="1"/>
  <c r="BI49" i="3"/>
  <c r="BI97" i="3" s="1"/>
  <c r="CE49" i="3"/>
  <c r="CE97" i="3" s="1"/>
  <c r="BK49" i="3"/>
  <c r="BK97" i="3" s="1"/>
  <c r="BD49" i="3"/>
  <c r="BD97" i="3" s="1"/>
  <c r="BR49" i="3"/>
  <c r="BR97" i="3" s="1"/>
  <c r="CK49" i="3"/>
  <c r="CK97" i="3" s="1"/>
  <c r="BT49" i="3"/>
  <c r="BT97" i="3" s="1"/>
  <c r="BC49" i="3"/>
  <c r="BC97" i="3" s="1"/>
  <c r="CG49" i="3"/>
  <c r="CG97" i="3" s="1"/>
  <c r="BP49" i="3"/>
  <c r="BP97" i="3" s="1"/>
  <c r="CH49" i="3"/>
  <c r="CH97" i="3" s="1"/>
  <c r="AQ49" i="3"/>
  <c r="AQ97" i="3" s="1"/>
  <c r="BN49" i="3"/>
  <c r="BN97" i="3" s="1"/>
  <c r="CC49" i="3"/>
  <c r="CC97" i="3" s="1"/>
  <c r="BL49" i="3"/>
  <c r="BL97" i="3" s="1"/>
  <c r="BY49" i="3"/>
  <c r="BY97" i="3" s="1"/>
  <c r="AP49" i="3"/>
  <c r="AP97" i="3" s="1"/>
  <c r="AY49" i="3"/>
  <c r="AY97" i="3" s="1"/>
  <c r="BV49" i="3"/>
  <c r="BV97" i="3" s="1"/>
  <c r="BA49" i="3"/>
  <c r="BA97" i="3" s="1"/>
  <c r="BU49" i="3"/>
  <c r="BU97" i="3" s="1"/>
  <c r="BZ49" i="3"/>
  <c r="BZ97" i="3" s="1"/>
  <c r="BM49" i="3"/>
  <c r="BM97" i="3" s="1"/>
  <c r="BE49" i="3"/>
  <c r="BE97" i="3" s="1"/>
  <c r="CI49" i="3"/>
  <c r="CI97" i="3" s="1"/>
  <c r="BF73" i="3"/>
  <c r="BF96" i="3" s="1"/>
  <c r="BS73" i="3"/>
  <c r="BS96" i="3" s="1"/>
  <c r="AE73" i="3"/>
  <c r="W73" i="3"/>
  <c r="BL96" i="3" l="1"/>
  <c r="BB96" i="3"/>
  <c r="AX96" i="3"/>
  <c r="L73" i="2"/>
  <c r="J73" i="2"/>
  <c r="J72" i="2"/>
  <c r="K72" i="2"/>
  <c r="AT49" i="3"/>
  <c r="AT97" i="3" s="1"/>
  <c r="F73" i="2"/>
  <c r="G73" i="2"/>
  <c r="H73" i="2"/>
  <c r="L72" i="2"/>
  <c r="AZ96" i="3"/>
  <c r="AE96" i="3"/>
  <c r="AR96" i="3"/>
  <c r="AN96" i="3"/>
  <c r="AJ96" i="3"/>
  <c r="AM96" i="3"/>
  <c r="AI96" i="3"/>
  <c r="AT96" i="3"/>
  <c r="AP96" i="3"/>
  <c r="W96" i="3"/>
  <c r="AG96" i="3"/>
  <c r="AA96" i="3"/>
  <c r="I96" i="3"/>
  <c r="J96" i="3"/>
  <c r="K96" i="3"/>
  <c r="L96" i="3"/>
  <c r="N96" i="3"/>
  <c r="M96" i="3"/>
  <c r="T96" i="3"/>
  <c r="AC96" i="3"/>
  <c r="E11" i="3"/>
  <c r="F85" i="3"/>
  <c r="F86" i="3" s="1"/>
  <c r="F80" i="3"/>
  <c r="F81" i="3" s="1"/>
  <c r="F90" i="3"/>
  <c r="F91" i="3" s="1"/>
  <c r="G80" i="3"/>
  <c r="G81" i="3" s="1"/>
  <c r="G90" i="3"/>
  <c r="G91" i="3" s="1"/>
  <c r="G85" i="3"/>
  <c r="G86" i="3" s="1"/>
  <c r="H80" i="3"/>
  <c r="H81" i="3" s="1"/>
  <c r="H90" i="3"/>
  <c r="H91" i="3" s="1"/>
  <c r="H85" i="3"/>
  <c r="H86" i="3" s="1"/>
  <c r="I85" i="3"/>
  <c r="I86" i="3" s="1"/>
  <c r="I90" i="3"/>
  <c r="I91" i="3" s="1"/>
  <c r="I80" i="3"/>
  <c r="I81" i="3" s="1"/>
  <c r="J80" i="3"/>
  <c r="J81" i="3" s="1"/>
  <c r="J85" i="3"/>
  <c r="J86" i="3" s="1"/>
  <c r="J90" i="3"/>
  <c r="J91" i="3" s="1"/>
  <c r="K80" i="3"/>
  <c r="K81" i="3" s="1"/>
  <c r="K90" i="3"/>
  <c r="K91" i="3" s="1"/>
  <c r="K85" i="3"/>
  <c r="K86" i="3" s="1"/>
  <c r="L85" i="3"/>
  <c r="L86" i="3" s="1"/>
  <c r="L90" i="3"/>
  <c r="L91" i="3" s="1"/>
  <c r="L80" i="3"/>
  <c r="L81" i="3" s="1"/>
  <c r="M85" i="3"/>
  <c r="M86" i="3" s="1"/>
  <c r="M90" i="3"/>
  <c r="M91" i="3" s="1"/>
  <c r="M80" i="3"/>
  <c r="M81" i="3" s="1"/>
  <c r="N80" i="3"/>
  <c r="N81" i="3" s="1"/>
  <c r="N90" i="3"/>
  <c r="N91" i="3" s="1"/>
  <c r="N85" i="3"/>
  <c r="N86" i="3" s="1"/>
  <c r="O80" i="3"/>
  <c r="O81" i="3" s="1"/>
  <c r="O90" i="3"/>
  <c r="O91" i="3" s="1"/>
  <c r="O85" i="3"/>
  <c r="O86" i="3" s="1"/>
  <c r="P80" i="3"/>
  <c r="P81" i="3" s="1"/>
  <c r="P85" i="3"/>
  <c r="P86" i="3" s="1"/>
  <c r="P90" i="3"/>
  <c r="P91" i="3" s="1"/>
  <c r="Q80" i="3"/>
  <c r="Q81" i="3" s="1"/>
  <c r="Q85" i="3"/>
  <c r="Q86" i="3" s="1"/>
  <c r="Q90" i="3"/>
  <c r="Q91" i="3" s="1"/>
  <c r="R85" i="3"/>
  <c r="R86" i="3" s="1"/>
  <c r="R80" i="3"/>
  <c r="R81" i="3" s="1"/>
  <c r="R90" i="3"/>
  <c r="R91" i="3" s="1"/>
  <c r="S85" i="3"/>
  <c r="S86" i="3" s="1"/>
  <c r="S90" i="3"/>
  <c r="S91" i="3" s="1"/>
  <c r="S80" i="3"/>
  <c r="S81" i="3" s="1"/>
  <c r="T90" i="3"/>
  <c r="T91" i="3" s="1"/>
  <c r="T80" i="3"/>
  <c r="T81" i="3" s="1"/>
  <c r="T85" i="3"/>
  <c r="T86" i="3" s="1"/>
  <c r="U90" i="3"/>
  <c r="U91" i="3" s="1"/>
  <c r="U80" i="3"/>
  <c r="U81" i="3" s="1"/>
  <c r="U85" i="3"/>
  <c r="U86" i="3" s="1"/>
  <c r="V90" i="3"/>
  <c r="V91" i="3" s="1"/>
  <c r="V80" i="3"/>
  <c r="V81" i="3" s="1"/>
  <c r="V85" i="3"/>
  <c r="V86" i="3" s="1"/>
  <c r="W80" i="3"/>
  <c r="W81" i="3" s="1"/>
  <c r="W90" i="3"/>
  <c r="W91" i="3" s="1"/>
  <c r="W85" i="3"/>
  <c r="W86" i="3" s="1"/>
  <c r="X80" i="3"/>
  <c r="X81" i="3" s="1"/>
  <c r="X85" i="3"/>
  <c r="X86" i="3" s="1"/>
  <c r="X90" i="3"/>
  <c r="X91" i="3" s="1"/>
  <c r="Y80" i="3"/>
  <c r="Y81" i="3" s="1"/>
  <c r="Y85" i="3"/>
  <c r="Y86" i="3" s="1"/>
  <c r="Y90" i="3"/>
  <c r="Y91" i="3" s="1"/>
  <c r="Z85" i="3"/>
  <c r="Z86" i="3" s="1"/>
  <c r="Z90" i="3"/>
  <c r="Z91" i="3" s="1"/>
  <c r="Z80" i="3"/>
  <c r="Z81" i="3" s="1"/>
  <c r="AA85" i="3"/>
  <c r="AA86" i="3" s="1"/>
  <c r="AA90" i="3"/>
  <c r="AA91" i="3" s="1"/>
  <c r="AA80" i="3"/>
  <c r="AA81" i="3" s="1"/>
  <c r="AB90" i="3"/>
  <c r="AB91" i="3" s="1"/>
  <c r="AB80" i="3"/>
  <c r="AB81" i="3" s="1"/>
  <c r="AB85" i="3"/>
  <c r="AB86" i="3" s="1"/>
  <c r="AC90" i="3"/>
  <c r="AC91" i="3" s="1"/>
  <c r="AC80" i="3"/>
  <c r="AC81" i="3" s="1"/>
  <c r="AC85" i="3"/>
  <c r="AC86" i="3" s="1"/>
  <c r="AD90" i="3"/>
  <c r="AD91" i="3" s="1"/>
  <c r="AD80" i="3"/>
  <c r="AD81" i="3" s="1"/>
  <c r="AD85" i="3"/>
  <c r="AD86" i="3" s="1"/>
  <c r="AE90" i="3"/>
  <c r="AE91" i="3" s="1"/>
  <c r="AE85" i="3"/>
  <c r="AE86" i="3" s="1"/>
  <c r="AE80" i="3"/>
  <c r="AE81" i="3" s="1"/>
  <c r="AF80" i="3"/>
  <c r="AF81" i="3" s="1"/>
  <c r="AF85" i="3"/>
  <c r="AF86" i="3" s="1"/>
  <c r="AF90" i="3"/>
  <c r="AF91" i="3" s="1"/>
  <c r="AG85" i="3"/>
  <c r="AG86" i="3" s="1"/>
  <c r="AG90" i="3"/>
  <c r="AG91" i="3" s="1"/>
  <c r="AG80" i="3"/>
  <c r="AG81" i="3" s="1"/>
  <c r="AH85" i="3"/>
  <c r="AH86" i="3" s="1"/>
  <c r="AH90" i="3"/>
  <c r="AH91" i="3" s="1"/>
  <c r="AH80" i="3"/>
  <c r="AH81" i="3" s="1"/>
  <c r="AI85" i="3"/>
  <c r="AI86" i="3" s="1"/>
  <c r="AI90" i="3"/>
  <c r="AI91" i="3" s="1"/>
  <c r="AI80" i="3"/>
  <c r="AI81" i="3" s="1"/>
  <c r="AJ85" i="3"/>
  <c r="AJ86" i="3" s="1"/>
  <c r="AJ90" i="3"/>
  <c r="AJ91" i="3" s="1"/>
  <c r="AJ80" i="3"/>
  <c r="AJ81" i="3" s="1"/>
  <c r="AK80" i="3"/>
  <c r="AK81" i="3" s="1"/>
  <c r="AK85" i="3"/>
  <c r="AK86" i="3" s="1"/>
  <c r="AK90" i="3"/>
  <c r="AK91" i="3" s="1"/>
  <c r="AL90" i="3"/>
  <c r="AL91" i="3" s="1"/>
  <c r="AL80" i="3"/>
  <c r="AL81" i="3" s="1"/>
  <c r="AL85" i="3"/>
  <c r="AL86" i="3" s="1"/>
  <c r="AM80" i="3"/>
  <c r="AM81" i="3" s="1"/>
  <c r="AM90" i="3"/>
  <c r="AM91" i="3" s="1"/>
  <c r="AM85" i="3"/>
  <c r="AM86" i="3" s="1"/>
  <c r="AN80" i="3"/>
  <c r="AN81" i="3" s="1"/>
  <c r="AN85" i="3"/>
  <c r="AN86" i="3" s="1"/>
  <c r="AN90" i="3"/>
  <c r="AN91" i="3" s="1"/>
  <c r="AO80" i="3"/>
  <c r="AO81" i="3" s="1"/>
  <c r="AO90" i="3"/>
  <c r="AO91" i="3" s="1"/>
  <c r="AO85" i="3"/>
  <c r="AO86" i="3" s="1"/>
  <c r="AP85" i="3"/>
  <c r="AP86" i="3" s="1"/>
  <c r="AP90" i="3"/>
  <c r="AP91" i="3" s="1"/>
  <c r="AP80" i="3"/>
  <c r="AP81" i="3" s="1"/>
  <c r="AQ90" i="3"/>
  <c r="AQ91" i="3" s="1"/>
  <c r="AQ80" i="3"/>
  <c r="AQ81" i="3" s="1"/>
  <c r="AQ85" i="3"/>
  <c r="AQ86" i="3" s="1"/>
  <c r="AR90" i="3"/>
  <c r="AR91" i="3" s="1"/>
  <c r="AR80" i="3"/>
  <c r="AR81" i="3" s="1"/>
  <c r="AR85" i="3"/>
  <c r="AR86" i="3" s="1"/>
  <c r="AS80" i="3"/>
  <c r="AS81" i="3" s="1"/>
  <c r="AS90" i="3"/>
  <c r="AS91" i="3" s="1"/>
  <c r="AS85" i="3"/>
  <c r="AS86" i="3" s="1"/>
  <c r="AT90" i="3"/>
  <c r="AT91" i="3" s="1"/>
  <c r="AT80" i="3"/>
  <c r="AT81" i="3" s="1"/>
  <c r="AT85" i="3"/>
  <c r="AT86" i="3" s="1"/>
  <c r="AU80" i="3"/>
  <c r="AU81" i="3" s="1"/>
  <c r="AU90" i="3"/>
  <c r="AU91" i="3" s="1"/>
  <c r="AU85" i="3"/>
  <c r="AU86" i="3" s="1"/>
  <c r="AV80" i="3"/>
  <c r="AV81" i="3" s="1"/>
  <c r="AV85" i="3"/>
  <c r="AV86" i="3" s="1"/>
  <c r="AV90" i="3"/>
  <c r="AV91" i="3" s="1"/>
  <c r="AW85" i="3"/>
  <c r="AW86" i="3" s="1"/>
  <c r="AW80" i="3"/>
  <c r="AW81" i="3" s="1"/>
  <c r="AW90" i="3"/>
  <c r="AW91" i="3" s="1"/>
  <c r="AX85" i="3"/>
  <c r="AX86" i="3" s="1"/>
  <c r="AX80" i="3"/>
  <c r="AX81" i="3" s="1"/>
  <c r="AX90" i="3"/>
  <c r="AX91" i="3" s="1"/>
  <c r="AY90" i="3"/>
  <c r="AY91" i="3" s="1"/>
  <c r="AY80" i="3"/>
  <c r="AY81" i="3" s="1"/>
  <c r="AY85" i="3"/>
  <c r="AY86" i="3" s="1"/>
  <c r="AZ80" i="3"/>
  <c r="AZ81" i="3" s="1"/>
  <c r="AZ90" i="3"/>
  <c r="AZ91" i="3" s="1"/>
  <c r="BA90" i="3"/>
  <c r="BA85" i="3"/>
  <c r="BA86" i="3" s="1"/>
  <c r="BA80" i="3"/>
  <c r="BA81" i="3" s="1"/>
  <c r="BB85" i="3"/>
  <c r="BB86" i="3" s="1"/>
  <c r="BB90" i="3"/>
  <c r="BB91" i="3" s="1"/>
  <c r="BB80" i="3"/>
  <c r="BB81" i="3" s="1"/>
  <c r="BC80" i="3"/>
  <c r="BC81" i="3" s="1"/>
  <c r="BC85" i="3"/>
  <c r="BC86" i="3" s="1"/>
  <c r="BC90" i="3"/>
  <c r="BC91" i="3" s="1"/>
  <c r="BD80" i="3"/>
  <c r="BD81" i="3" s="1"/>
  <c r="BD90" i="3"/>
  <c r="BD91" i="3" s="1"/>
  <c r="BD85" i="3"/>
  <c r="BD86" i="3" s="1"/>
  <c r="BE80" i="3"/>
  <c r="BE81" i="3" s="1"/>
  <c r="BE90" i="3"/>
  <c r="BE91" i="3" s="1"/>
  <c r="BE85" i="3"/>
  <c r="BE86" i="3" s="1"/>
  <c r="BF80" i="3"/>
  <c r="BF81" i="3" s="1"/>
  <c r="BF90" i="3"/>
  <c r="BF91" i="3" s="1"/>
  <c r="BF85" i="3"/>
  <c r="BF86" i="3" s="1"/>
  <c r="BG90" i="3"/>
  <c r="BG91" i="3" s="1"/>
  <c r="BG85" i="3"/>
  <c r="BG86" i="3" s="1"/>
  <c r="BG80" i="3"/>
  <c r="BG81" i="3" s="1"/>
  <c r="BH85" i="3"/>
  <c r="BH86" i="3" s="1"/>
  <c r="BH90" i="3"/>
  <c r="BH91" i="3" s="1"/>
  <c r="BH80" i="3"/>
  <c r="BH81" i="3" s="1"/>
  <c r="BI90" i="3"/>
  <c r="BI91" i="3" s="1"/>
  <c r="BI80" i="3"/>
  <c r="BI81" i="3" s="1"/>
  <c r="BI85" i="3"/>
  <c r="BI86" i="3" s="1"/>
  <c r="BJ90" i="3"/>
  <c r="BJ91" i="3" s="1"/>
  <c r="BJ80" i="3"/>
  <c r="BJ81" i="3" s="1"/>
  <c r="BJ85" i="3"/>
  <c r="BJ86" i="3" s="1"/>
  <c r="BK80" i="3"/>
  <c r="BK81" i="3" s="1"/>
  <c r="BK90" i="3"/>
  <c r="BK91" i="3" s="1"/>
  <c r="BK85" i="3"/>
  <c r="BK86" i="3" s="1"/>
  <c r="BL80" i="3"/>
  <c r="BL81" i="3" s="1"/>
  <c r="BL90" i="3"/>
  <c r="BL91" i="3" s="1"/>
  <c r="BL85" i="3"/>
  <c r="BL86" i="3" s="1"/>
  <c r="BM80" i="3"/>
  <c r="BM81" i="3" s="1"/>
  <c r="BM90" i="3"/>
  <c r="BM91" i="3" s="1"/>
  <c r="BM85" i="3"/>
  <c r="BM86" i="3" s="1"/>
  <c r="BN85" i="3"/>
  <c r="BN86" i="3" s="1"/>
  <c r="BN90" i="3"/>
  <c r="BN91" i="3" s="1"/>
  <c r="BN80" i="3"/>
  <c r="BN81" i="3" s="1"/>
  <c r="BO85" i="3"/>
  <c r="BO86" i="3" s="1"/>
  <c r="BO80" i="3"/>
  <c r="BO81" i="3" s="1"/>
  <c r="BO90" i="3"/>
  <c r="BO91" i="3" s="1"/>
  <c r="BP85" i="3"/>
  <c r="BP86" i="3" s="1"/>
  <c r="BP80" i="3"/>
  <c r="BP81" i="3" s="1"/>
  <c r="BP90" i="3"/>
  <c r="BP91" i="3" s="1"/>
  <c r="BQ85" i="3"/>
  <c r="BQ86" i="3" s="1"/>
  <c r="BQ90" i="3"/>
  <c r="BQ91" i="3" s="1"/>
  <c r="BQ80" i="3"/>
  <c r="BQ81" i="3" s="1"/>
  <c r="BR90" i="3"/>
  <c r="BR91" i="3" s="1"/>
  <c r="BR80" i="3"/>
  <c r="BR81" i="3" s="1"/>
  <c r="BR85" i="3"/>
  <c r="BR86" i="3" s="1"/>
  <c r="BS90" i="3"/>
  <c r="BS91" i="3" s="1"/>
  <c r="BS80" i="3"/>
  <c r="BS81" i="3" s="1"/>
  <c r="BS85" i="3"/>
  <c r="BS86" i="3" s="1"/>
  <c r="BT90" i="3"/>
  <c r="BT91" i="3" s="1"/>
  <c r="BT80" i="3"/>
  <c r="BT81" i="3" s="1"/>
  <c r="BT85" i="3"/>
  <c r="BT86" i="3" s="1"/>
  <c r="BU90" i="3"/>
  <c r="BU91" i="3" s="1"/>
  <c r="BU80" i="3"/>
  <c r="BU81" i="3" s="1"/>
  <c r="BU85" i="3"/>
  <c r="BU86" i="3" s="1"/>
  <c r="BV85" i="3"/>
  <c r="BV86" i="3" s="1"/>
  <c r="BV90" i="3"/>
  <c r="BV91" i="3" s="1"/>
  <c r="BV80" i="3"/>
  <c r="BV81" i="3" s="1"/>
  <c r="BW85" i="3"/>
  <c r="BW86" i="3" s="1"/>
  <c r="BW90" i="3"/>
  <c r="BW91" i="3" s="1"/>
  <c r="BW80" i="3"/>
  <c r="BW81" i="3" s="1"/>
  <c r="BX85" i="3"/>
  <c r="BX86" i="3" s="1"/>
  <c r="BX90" i="3"/>
  <c r="BX91" i="3" s="1"/>
  <c r="BX80" i="3"/>
  <c r="BX81" i="3" s="1"/>
  <c r="BY85" i="3"/>
  <c r="BY86" i="3" s="1"/>
  <c r="BY90" i="3"/>
  <c r="BY91" i="3" s="1"/>
  <c r="BY80" i="3"/>
  <c r="BY81" i="3" s="1"/>
  <c r="BZ85" i="3"/>
  <c r="BZ86" i="3" s="1"/>
  <c r="BZ90" i="3"/>
  <c r="BZ91" i="3" s="1"/>
  <c r="BZ80" i="3"/>
  <c r="BZ81" i="3" s="1"/>
  <c r="CA80" i="3"/>
  <c r="CA81" i="3" s="1"/>
  <c r="CA90" i="3"/>
  <c r="CA91" i="3" s="1"/>
  <c r="CA85" i="3"/>
  <c r="CA86" i="3" s="1"/>
  <c r="CB80" i="3"/>
  <c r="CB81" i="3" s="1"/>
  <c r="CB90" i="3"/>
  <c r="CB91" i="3" s="1"/>
  <c r="CB85" i="3"/>
  <c r="CB86" i="3" s="1"/>
  <c r="CC80" i="3"/>
  <c r="CC81" i="3" s="1"/>
  <c r="CC90" i="3"/>
  <c r="CC91" i="3" s="1"/>
  <c r="CC85" i="3"/>
  <c r="CC86" i="3" s="1"/>
  <c r="CD85" i="3"/>
  <c r="CD86" i="3" s="1"/>
  <c r="CD90" i="3"/>
  <c r="CD91" i="3" s="1"/>
  <c r="CD80" i="3"/>
  <c r="CD81" i="3" s="1"/>
  <c r="CE80" i="3"/>
  <c r="CE81" i="3" s="1"/>
  <c r="CE90" i="3"/>
  <c r="CE91" i="3" s="1"/>
  <c r="CE85" i="3"/>
  <c r="CE86" i="3" s="1"/>
  <c r="CF85" i="3"/>
  <c r="CF86" i="3" s="1"/>
  <c r="CF80" i="3"/>
  <c r="CF81" i="3" s="1"/>
  <c r="CF90" i="3"/>
  <c r="CF91" i="3" s="1"/>
  <c r="CG90" i="3"/>
  <c r="CG91" i="3" s="1"/>
  <c r="CG85" i="3"/>
  <c r="CG86" i="3" s="1"/>
  <c r="CG80" i="3"/>
  <c r="CG81" i="3" s="1"/>
  <c r="CH85" i="3"/>
  <c r="CH86" i="3" s="1"/>
  <c r="CH90" i="3"/>
  <c r="CH91" i="3" s="1"/>
  <c r="CH80" i="3"/>
  <c r="CH81" i="3" s="1"/>
  <c r="CI90" i="3"/>
  <c r="CI91" i="3" s="1"/>
  <c r="CI80" i="3"/>
  <c r="CI81" i="3" s="1"/>
  <c r="CI85" i="3"/>
  <c r="CI86" i="3" s="1"/>
  <c r="CJ80" i="3"/>
  <c r="CJ81" i="3" s="1"/>
  <c r="CJ90" i="3"/>
  <c r="CJ91" i="3" s="1"/>
  <c r="CJ85" i="3"/>
  <c r="CJ86" i="3" s="1"/>
  <c r="CK80" i="3"/>
  <c r="CK81" i="3" s="1"/>
  <c r="CK90" i="3"/>
  <c r="CK91" i="3" s="1"/>
  <c r="CK85" i="3"/>
  <c r="CK86" i="3" s="1"/>
  <c r="AZ85" i="3"/>
  <c r="AZ86" i="3" s="1"/>
  <c r="BA91" i="3"/>
  <c r="X96" i="3"/>
  <c r="R96" i="3"/>
  <c r="AB96" i="3"/>
  <c r="AD96" i="3"/>
  <c r="AL96" i="3"/>
  <c r="P96" i="3"/>
  <c r="AF96" i="3"/>
  <c r="Z96" i="3"/>
  <c r="U96" i="3"/>
  <c r="AO96" i="3"/>
  <c r="O96" i="3"/>
  <c r="AH96" i="3"/>
  <c r="V96" i="3"/>
  <c r="AQ96" i="3"/>
  <c r="Q96" i="3"/>
  <c r="AK96" i="3"/>
  <c r="AS96" i="3"/>
  <c r="AZ49" i="3"/>
  <c r="AZ97" i="3" s="1"/>
  <c r="H72" i="2" l="1"/>
  <c r="F72" i="2"/>
  <c r="I73" i="2"/>
  <c r="G72" i="2"/>
  <c r="I72" i="2"/>
  <c r="BS49" i="3"/>
  <c r="BS97" i="3" s="1"/>
  <c r="K73" i="2" s="1"/>
  <c r="N93" i="3"/>
  <c r="N98" i="3" s="1"/>
  <c r="N99" i="3" s="1"/>
  <c r="N103" i="3" s="1"/>
  <c r="N194" i="3" s="1"/>
  <c r="CE93" i="3"/>
  <c r="CE98" i="3" s="1"/>
  <c r="CE99" i="3" s="1"/>
  <c r="CE103" i="3" s="1"/>
  <c r="CE194" i="3" s="1"/>
  <c r="CG93" i="3"/>
  <c r="CG98" i="3" s="1"/>
  <c r="CG99" i="3" s="1"/>
  <c r="CG103" i="3" s="1"/>
  <c r="CG194" i="3" s="1"/>
  <c r="BY93" i="3"/>
  <c r="BY98" i="3" s="1"/>
  <c r="BY99" i="3" s="1"/>
  <c r="BY103" i="3" s="1"/>
  <c r="BY194" i="3" s="1"/>
  <c r="BT93" i="3"/>
  <c r="BT98" i="3" s="1"/>
  <c r="BT99" i="3" s="1"/>
  <c r="BT103" i="3" s="1"/>
  <c r="BT194" i="3" s="1"/>
  <c r="BQ93" i="3"/>
  <c r="BQ98" i="3" s="1"/>
  <c r="BQ99" i="3" s="1"/>
  <c r="BQ103" i="3" s="1"/>
  <c r="BQ194" i="3" s="1"/>
  <c r="BA93" i="3"/>
  <c r="BA98" i="3" s="1"/>
  <c r="BA99" i="3" s="1"/>
  <c r="BA103" i="3" s="1"/>
  <c r="BA194" i="3" s="1"/>
  <c r="AV93" i="3"/>
  <c r="AV98" i="3" s="1"/>
  <c r="AV99" i="3" s="1"/>
  <c r="AV103" i="3" s="1"/>
  <c r="AV194" i="3" s="1"/>
  <c r="AP93" i="3"/>
  <c r="AN93" i="3"/>
  <c r="AN98" i="3" s="1"/>
  <c r="AN99" i="3" s="1"/>
  <c r="AN103" i="3" s="1"/>
  <c r="AN194" i="3" s="1"/>
  <c r="AH93" i="3"/>
  <c r="AH98" i="3" s="1"/>
  <c r="AF93" i="3"/>
  <c r="AF98" i="3" s="1"/>
  <c r="AF99" i="3" s="1"/>
  <c r="AF103" i="3" s="1"/>
  <c r="AF194" i="3" s="1"/>
  <c r="AC93" i="3"/>
  <c r="AC98" i="3" s="1"/>
  <c r="AC99" i="3" s="1"/>
  <c r="AC103" i="3" s="1"/>
  <c r="AC194" i="3" s="1"/>
  <c r="Z93" i="3"/>
  <c r="Z98" i="3" s="1"/>
  <c r="Z99" i="3" s="1"/>
  <c r="Z103" i="3" s="1"/>
  <c r="Z194" i="3" s="1"/>
  <c r="X93" i="3"/>
  <c r="X98" i="3" s="1"/>
  <c r="X99" i="3" s="1"/>
  <c r="X103" i="3" s="1"/>
  <c r="X194" i="3" s="1"/>
  <c r="U93" i="3"/>
  <c r="U98" i="3" s="1"/>
  <c r="U99" i="3" s="1"/>
  <c r="U103" i="3" s="1"/>
  <c r="U194" i="3" s="1"/>
  <c r="P93" i="3"/>
  <c r="P98" i="3" s="1"/>
  <c r="P99" i="3" s="1"/>
  <c r="P103" i="3" s="1"/>
  <c r="P194" i="3" s="1"/>
  <c r="H93" i="3"/>
  <c r="H98" i="3" s="1"/>
  <c r="H99" i="3" s="1"/>
  <c r="H103" i="3" s="1"/>
  <c r="H194" i="3" s="1"/>
  <c r="CJ93" i="3"/>
  <c r="CJ98" i="3" s="1"/>
  <c r="CJ99" i="3" s="1"/>
  <c r="CJ103" i="3" s="1"/>
  <c r="CJ194" i="3" s="1"/>
  <c r="CD93" i="3"/>
  <c r="CD98" i="3" s="1"/>
  <c r="CD99" i="3" s="1"/>
  <c r="CD103" i="3" s="1"/>
  <c r="CD194" i="3" s="1"/>
  <c r="CB93" i="3"/>
  <c r="CB98" i="3" s="1"/>
  <c r="CB99" i="3" s="1"/>
  <c r="CB103" i="3" s="1"/>
  <c r="CB194" i="3" s="1"/>
  <c r="BV93" i="3"/>
  <c r="BV98" i="3" s="1"/>
  <c r="BV99" i="3" s="1"/>
  <c r="BV103" i="3" s="1"/>
  <c r="BV194" i="3" s="1"/>
  <c r="BN93" i="3"/>
  <c r="BL93" i="3"/>
  <c r="BL98" i="3" s="1"/>
  <c r="BL99" i="3" s="1"/>
  <c r="BL103" i="3" s="1"/>
  <c r="BL194" i="3" s="1"/>
  <c r="BI93" i="3"/>
  <c r="BI98" i="3" s="1"/>
  <c r="BI99" i="3" s="1"/>
  <c r="BI103" i="3" s="1"/>
  <c r="BI194" i="3" s="1"/>
  <c r="BD93" i="3"/>
  <c r="BD98" i="3" s="1"/>
  <c r="BD99" i="3" s="1"/>
  <c r="BD103" i="3" s="1"/>
  <c r="BD194" i="3" s="1"/>
  <c r="AX93" i="3"/>
  <c r="AX98" i="3" s="1"/>
  <c r="AX99" i="3" s="1"/>
  <c r="AX103" i="3" s="1"/>
  <c r="AX194" i="3" s="1"/>
  <c r="AS93" i="3"/>
  <c r="AS98" i="3" s="1"/>
  <c r="AS99" i="3" s="1"/>
  <c r="AS103" i="3" s="1"/>
  <c r="AS194" i="3" s="1"/>
  <c r="AK93" i="3"/>
  <c r="AK98" i="3" s="1"/>
  <c r="AK99" i="3" s="1"/>
  <c r="AK103" i="3" s="1"/>
  <c r="AK194" i="3" s="1"/>
  <c r="AE93" i="3"/>
  <c r="AE98" i="3" s="1"/>
  <c r="AE99" i="3" s="1"/>
  <c r="AE103" i="3" s="1"/>
  <c r="AE194" i="3" s="1"/>
  <c r="R93" i="3"/>
  <c r="AJ93" i="3"/>
  <c r="AJ98" i="3" s="1"/>
  <c r="AJ99" i="3" s="1"/>
  <c r="AJ103" i="3" s="1"/>
  <c r="AJ194" i="3" s="1"/>
  <c r="L93" i="3"/>
  <c r="L98" i="3" s="1"/>
  <c r="L99" i="3" s="1"/>
  <c r="L103" i="3" s="1"/>
  <c r="L194" i="3" s="1"/>
  <c r="J93" i="3"/>
  <c r="J98" i="3" s="1"/>
  <c r="J99" i="3" s="1"/>
  <c r="J103" i="3" s="1"/>
  <c r="J194" i="3" s="1"/>
  <c r="CI93" i="3"/>
  <c r="CI98" i="3" s="1"/>
  <c r="CI99" i="3" s="1"/>
  <c r="CI103" i="3" s="1"/>
  <c r="CI194" i="3" s="1"/>
  <c r="BX93" i="3"/>
  <c r="BX98" i="3" s="1"/>
  <c r="BX99" i="3" s="1"/>
  <c r="BX103" i="3" s="1"/>
  <c r="BX194" i="3" s="1"/>
  <c r="BS93" i="3"/>
  <c r="BS98" i="3" s="1"/>
  <c r="BH93" i="3"/>
  <c r="BH98" i="3" s="1"/>
  <c r="BH99" i="3" s="1"/>
  <c r="BH103" i="3" s="1"/>
  <c r="BH194" i="3" s="1"/>
  <c r="BF93" i="3"/>
  <c r="BF98" i="3" s="1"/>
  <c r="BF99" i="3" s="1"/>
  <c r="BF103" i="3" s="1"/>
  <c r="BF194" i="3" s="1"/>
  <c r="AU93" i="3"/>
  <c r="AU98" i="3" s="1"/>
  <c r="AU99" i="3" s="1"/>
  <c r="AU103" i="3" s="1"/>
  <c r="AU194" i="3" s="1"/>
  <c r="AR93" i="3"/>
  <c r="AR98" i="3" s="1"/>
  <c r="AR99" i="3" s="1"/>
  <c r="AR103" i="3" s="1"/>
  <c r="AR194" i="3" s="1"/>
  <c r="AM93" i="3"/>
  <c r="AM98" i="3" s="1"/>
  <c r="AM99" i="3" s="1"/>
  <c r="AM103" i="3" s="1"/>
  <c r="AM194" i="3" s="1"/>
  <c r="AG93" i="3"/>
  <c r="AG98" i="3" s="1"/>
  <c r="AG99" i="3" s="1"/>
  <c r="AG103" i="3" s="1"/>
  <c r="AG194" i="3" s="1"/>
  <c r="AB93" i="3"/>
  <c r="AB98" i="3" s="1"/>
  <c r="AB99" i="3" s="1"/>
  <c r="AB103" i="3" s="1"/>
  <c r="AB194" i="3" s="1"/>
  <c r="W93" i="3"/>
  <c r="W98" i="3" s="1"/>
  <c r="W99" i="3" s="1"/>
  <c r="W103" i="3" s="1"/>
  <c r="W194" i="3" s="1"/>
  <c r="T93" i="3"/>
  <c r="T98" i="3" s="1"/>
  <c r="T99" i="3" s="1"/>
  <c r="T103" i="3" s="1"/>
  <c r="T194" i="3" s="1"/>
  <c r="O93" i="3"/>
  <c r="O98" i="3" s="1"/>
  <c r="O99" i="3" s="1"/>
  <c r="O103" i="3" s="1"/>
  <c r="O194" i="3" s="1"/>
  <c r="I93" i="3"/>
  <c r="I98" i="3" s="1"/>
  <c r="I99" i="3" s="1"/>
  <c r="I103" i="3" s="1"/>
  <c r="I194" i="3" s="1"/>
  <c r="G93" i="3"/>
  <c r="G98" i="3" s="1"/>
  <c r="G99" i="3" s="1"/>
  <c r="G103" i="3" s="1"/>
  <c r="G194" i="3" s="1"/>
  <c r="CF93" i="3"/>
  <c r="CF98" i="3" s="1"/>
  <c r="CF99" i="3" s="1"/>
  <c r="CF103" i="3" s="1"/>
  <c r="CF194" i="3" s="1"/>
  <c r="CA93" i="3"/>
  <c r="CA98" i="3" s="1"/>
  <c r="CA99" i="3" s="1"/>
  <c r="CA103" i="3" s="1"/>
  <c r="CA194" i="3" s="1"/>
  <c r="BP93" i="3"/>
  <c r="BP98" i="3" s="1"/>
  <c r="BP99" i="3" s="1"/>
  <c r="BP103" i="3" s="1"/>
  <c r="BP194" i="3" s="1"/>
  <c r="BK93" i="3"/>
  <c r="BK98" i="3" s="1"/>
  <c r="BK99" i="3" s="1"/>
  <c r="BK103" i="3" s="1"/>
  <c r="BK194" i="3" s="1"/>
  <c r="BC93" i="3"/>
  <c r="BC98" i="3" s="1"/>
  <c r="BC99" i="3" s="1"/>
  <c r="BC103" i="3" s="1"/>
  <c r="BC194" i="3" s="1"/>
  <c r="AZ93" i="3"/>
  <c r="AZ98" i="3" s="1"/>
  <c r="AZ99" i="3" s="1"/>
  <c r="AZ103" i="3" s="1"/>
  <c r="AZ194" i="3" s="1"/>
  <c r="AW93" i="3"/>
  <c r="AW98" i="3" s="1"/>
  <c r="AW99" i="3" s="1"/>
  <c r="AW103" i="3" s="1"/>
  <c r="AW194" i="3" s="1"/>
  <c r="CH93" i="3"/>
  <c r="CH98" i="3" s="1"/>
  <c r="CH99" i="3" s="1"/>
  <c r="CH103" i="3" s="1"/>
  <c r="CH194" i="3" s="1"/>
  <c r="BZ93" i="3"/>
  <c r="BU93" i="3"/>
  <c r="BU98" i="3" s="1"/>
  <c r="BU99" i="3" s="1"/>
  <c r="BU103" i="3" s="1"/>
  <c r="BU194" i="3" s="1"/>
  <c r="BB93" i="3"/>
  <c r="AT93" i="3"/>
  <c r="AT98" i="3" s="1"/>
  <c r="AT99" i="3" s="1"/>
  <c r="AT103" i="3" s="1"/>
  <c r="AT194" i="3" s="1"/>
  <c r="AO93" i="3"/>
  <c r="AO98" i="3" s="1"/>
  <c r="AO99" i="3" s="1"/>
  <c r="AO103" i="3" s="1"/>
  <c r="AO194" i="3" s="1"/>
  <c r="AL93" i="3"/>
  <c r="AL98" i="3" s="1"/>
  <c r="AL99" i="3" s="1"/>
  <c r="AL103" i="3" s="1"/>
  <c r="AL194" i="3" s="1"/>
  <c r="AI93" i="3"/>
  <c r="AI98" i="3" s="1"/>
  <c r="AI99" i="3" s="1"/>
  <c r="AI103" i="3" s="1"/>
  <c r="AI194" i="3" s="1"/>
  <c r="AD93" i="3"/>
  <c r="AA93" i="3"/>
  <c r="AA98" i="3" s="1"/>
  <c r="AA99" i="3" s="1"/>
  <c r="AA103" i="3" s="1"/>
  <c r="AA194" i="3" s="1"/>
  <c r="Y93" i="3"/>
  <c r="Y98" i="3" s="1"/>
  <c r="Y99" i="3" s="1"/>
  <c r="Y103" i="3" s="1"/>
  <c r="Y194" i="3" s="1"/>
  <c r="V93" i="3"/>
  <c r="V98" i="3" s="1"/>
  <c r="V99" i="3" s="1"/>
  <c r="V103" i="3" s="1"/>
  <c r="V194" i="3" s="1"/>
  <c r="S93" i="3"/>
  <c r="S98" i="3" s="1"/>
  <c r="S99" i="3" s="1"/>
  <c r="S103" i="3" s="1"/>
  <c r="S194" i="3" s="1"/>
  <c r="Q93" i="3"/>
  <c r="Q98" i="3" s="1"/>
  <c r="Q99" i="3" s="1"/>
  <c r="Q103" i="3" s="1"/>
  <c r="Q194" i="3" s="1"/>
  <c r="F93" i="3"/>
  <c r="AH99" i="3"/>
  <c r="AH103" i="3" s="1"/>
  <c r="AH194" i="3" s="1"/>
  <c r="CK93" i="3"/>
  <c r="CK98" i="3" s="1"/>
  <c r="CK99" i="3" s="1"/>
  <c r="CK103" i="3" s="1"/>
  <c r="CK194" i="3" s="1"/>
  <c r="CC93" i="3"/>
  <c r="CC98" i="3" s="1"/>
  <c r="CC99" i="3" s="1"/>
  <c r="CC103" i="3" s="1"/>
  <c r="CC194" i="3" s="1"/>
  <c r="BW93" i="3"/>
  <c r="BW98" i="3" s="1"/>
  <c r="BW99" i="3" s="1"/>
  <c r="BW103" i="3" s="1"/>
  <c r="BW194" i="3" s="1"/>
  <c r="BR93" i="3"/>
  <c r="BR98" i="3" s="1"/>
  <c r="BR99" i="3" s="1"/>
  <c r="BR103" i="3" s="1"/>
  <c r="BR194" i="3" s="1"/>
  <c r="BM93" i="3"/>
  <c r="BM98" i="3" s="1"/>
  <c r="BM99" i="3" s="1"/>
  <c r="BM103" i="3" s="1"/>
  <c r="BM194" i="3" s="1"/>
  <c r="BJ93" i="3"/>
  <c r="BJ98" i="3" s="1"/>
  <c r="BJ99" i="3" s="1"/>
  <c r="BJ103" i="3" s="1"/>
  <c r="BJ194" i="3" s="1"/>
  <c r="BG93" i="3"/>
  <c r="BG98" i="3" s="1"/>
  <c r="BG99" i="3" s="1"/>
  <c r="BG103" i="3" s="1"/>
  <c r="BG194" i="3" s="1"/>
  <c r="BE93" i="3"/>
  <c r="BE98" i="3" s="1"/>
  <c r="BE99" i="3" s="1"/>
  <c r="BE103" i="3" s="1"/>
  <c r="BE194" i="3" s="1"/>
  <c r="AY93" i="3"/>
  <c r="AY98" i="3" s="1"/>
  <c r="AY99" i="3" s="1"/>
  <c r="AY103" i="3" s="1"/>
  <c r="AY194" i="3" s="1"/>
  <c r="AQ93" i="3"/>
  <c r="AQ98" i="3" s="1"/>
  <c r="AQ99" i="3" s="1"/>
  <c r="AQ103" i="3" s="1"/>
  <c r="AQ194" i="3" s="1"/>
  <c r="BO93" i="3"/>
  <c r="BO98" i="3" s="1"/>
  <c r="BO99" i="3" s="1"/>
  <c r="BO103" i="3" s="1"/>
  <c r="BO194" i="3" s="1"/>
  <c r="M93" i="3"/>
  <c r="M98" i="3" s="1"/>
  <c r="M99" i="3" s="1"/>
  <c r="M103" i="3" s="1"/>
  <c r="M194" i="3" s="1"/>
  <c r="K93" i="3"/>
  <c r="K98" i="3" s="1"/>
  <c r="K99" i="3" s="1"/>
  <c r="K103" i="3" s="1"/>
  <c r="K194" i="3" s="1"/>
  <c r="BS99" i="3" l="1"/>
  <c r="BS103" i="3" s="1"/>
  <c r="BS194" i="3" s="1"/>
  <c r="F98" i="3"/>
  <c r="F69" i="2"/>
  <c r="R98" i="3"/>
  <c r="G69" i="2"/>
  <c r="BN98" i="3"/>
  <c r="K69" i="2"/>
  <c r="AD98" i="3"/>
  <c r="H69" i="2"/>
  <c r="BB98" i="3"/>
  <c r="J69" i="2"/>
  <c r="BZ98" i="3"/>
  <c r="L69" i="2"/>
  <c r="AP98" i="3"/>
  <c r="I69" i="2"/>
  <c r="BM117" i="3"/>
  <c r="BM142" i="3" s="1"/>
  <c r="BM118" i="3"/>
  <c r="BM116" i="3"/>
  <c r="AJ116" i="3"/>
  <c r="AJ118" i="3"/>
  <c r="AJ117" i="3"/>
  <c r="AJ142" i="3" s="1"/>
  <c r="AK116" i="3"/>
  <c r="AK118" i="3"/>
  <c r="AK117" i="3"/>
  <c r="AK142" i="3" s="1"/>
  <c r="BR118" i="3"/>
  <c r="BR117" i="3"/>
  <c r="BR142" i="3" s="1"/>
  <c r="BR116" i="3"/>
  <c r="S117" i="3"/>
  <c r="S142" i="3" s="1"/>
  <c r="S116" i="3"/>
  <c r="S118" i="3"/>
  <c r="AT118" i="3"/>
  <c r="AZ118" i="3"/>
  <c r="O118" i="3"/>
  <c r="O117" i="3"/>
  <c r="O142" i="3" s="1"/>
  <c r="O116" i="3"/>
  <c r="BF116" i="3"/>
  <c r="BF117" i="3"/>
  <c r="BF142" i="3" s="1"/>
  <c r="BF118" i="3"/>
  <c r="X117" i="3"/>
  <c r="X142" i="3" s="1"/>
  <c r="X118" i="3"/>
  <c r="X116" i="3"/>
  <c r="BA116" i="3"/>
  <c r="BA118" i="3"/>
  <c r="BA117" i="3"/>
  <c r="BA142" i="3" s="1"/>
  <c r="AO116" i="3"/>
  <c r="AO118" i="3"/>
  <c r="AO117" i="3"/>
  <c r="AO142" i="3" s="1"/>
  <c r="U118" i="3"/>
  <c r="U116" i="3"/>
  <c r="U117" i="3"/>
  <c r="U142" i="3" s="1"/>
  <c r="AC116" i="3"/>
  <c r="AC118" i="3"/>
  <c r="AC117" i="3"/>
  <c r="AC142" i="3" s="1"/>
  <c r="BW116" i="3"/>
  <c r="BW118" i="3"/>
  <c r="BW117" i="3"/>
  <c r="BW142" i="3" s="1"/>
  <c r="V118" i="3"/>
  <c r="V117" i="3"/>
  <c r="V142" i="3" s="1"/>
  <c r="V116" i="3"/>
  <c r="BC117" i="3"/>
  <c r="BC142" i="3" s="1"/>
  <c r="BC118" i="3"/>
  <c r="BC116" i="3"/>
  <c r="T116" i="3"/>
  <c r="T118" i="3"/>
  <c r="T117" i="3"/>
  <c r="T142" i="3" s="1"/>
  <c r="BH117" i="3"/>
  <c r="BH142" i="3" s="1"/>
  <c r="BH118" i="3"/>
  <c r="BH116" i="3"/>
  <c r="AE118" i="3"/>
  <c r="AE117" i="3"/>
  <c r="AE142" i="3" s="1"/>
  <c r="AE116" i="3"/>
  <c r="BV116" i="3"/>
  <c r="BV117" i="3"/>
  <c r="BV142" i="3" s="1"/>
  <c r="BV118" i="3"/>
  <c r="Z116" i="3"/>
  <c r="Z117" i="3"/>
  <c r="Z142" i="3" s="1"/>
  <c r="Z118" i="3"/>
  <c r="BQ116" i="3"/>
  <c r="BQ118" i="3"/>
  <c r="BQ117" i="3"/>
  <c r="BQ142" i="3" s="1"/>
  <c r="AU118" i="3"/>
  <c r="AU117" i="3"/>
  <c r="AU142" i="3" s="1"/>
  <c r="AU116" i="3"/>
  <c r="BU117" i="3"/>
  <c r="BU142" i="3" s="1"/>
  <c r="BU116" i="3"/>
  <c r="BU118" i="3"/>
  <c r="BK117" i="3"/>
  <c r="BK142" i="3" s="1"/>
  <c r="BK118" i="3"/>
  <c r="BK116" i="3"/>
  <c r="W117" i="3"/>
  <c r="W142" i="3" s="1"/>
  <c r="W118" i="3"/>
  <c r="W116" i="3"/>
  <c r="BS118" i="3"/>
  <c r="CB118" i="3"/>
  <c r="CB117" i="3"/>
  <c r="CB142" i="3" s="1"/>
  <c r="CB116" i="3"/>
  <c r="BT117" i="3"/>
  <c r="BT142" i="3" s="1"/>
  <c r="BT118" i="3"/>
  <c r="BT116" i="3"/>
  <c r="BO116" i="3"/>
  <c r="BO117" i="3"/>
  <c r="BO142" i="3" s="1"/>
  <c r="BO118" i="3"/>
  <c r="BL118" i="3"/>
  <c r="BL117" i="3"/>
  <c r="BL142" i="3" s="1"/>
  <c r="BL116" i="3"/>
  <c r="Y116" i="3"/>
  <c r="Y118" i="3"/>
  <c r="Y117" i="3"/>
  <c r="Y142" i="3" s="1"/>
  <c r="CK117" i="3"/>
  <c r="CK142" i="3" s="1"/>
  <c r="CK118" i="3"/>
  <c r="CK116" i="3"/>
  <c r="AA118" i="3"/>
  <c r="AA117" i="3"/>
  <c r="AA142" i="3" s="1"/>
  <c r="AA116" i="3"/>
  <c r="BP117" i="3"/>
  <c r="BP142" i="3" s="1"/>
  <c r="BP118" i="3"/>
  <c r="BP116" i="3"/>
  <c r="AB116" i="3"/>
  <c r="AB118" i="3"/>
  <c r="AB117" i="3"/>
  <c r="AB142" i="3" s="1"/>
  <c r="BX117" i="3"/>
  <c r="BX142" i="3" s="1"/>
  <c r="BX118" i="3"/>
  <c r="BX116" i="3"/>
  <c r="CD117" i="3"/>
  <c r="CD142" i="3" s="1"/>
  <c r="CD116" i="3"/>
  <c r="CD118" i="3"/>
  <c r="BY116" i="3"/>
  <c r="BY118" i="3"/>
  <c r="BY117" i="3"/>
  <c r="BY142" i="3" s="1"/>
  <c r="Q118" i="3"/>
  <c r="Q117" i="3"/>
  <c r="Q142" i="3" s="1"/>
  <c r="Q116" i="3"/>
  <c r="AV117" i="3"/>
  <c r="AV142" i="3" s="1"/>
  <c r="AV118" i="3"/>
  <c r="AV116" i="3"/>
  <c r="AY117" i="3"/>
  <c r="AY142" i="3" s="1"/>
  <c r="AY118" i="3"/>
  <c r="AY116" i="3"/>
  <c r="N118" i="3"/>
  <c r="N117" i="3"/>
  <c r="N142" i="3" s="1"/>
  <c r="N116" i="3"/>
  <c r="BE117" i="3"/>
  <c r="BE142" i="3" s="1"/>
  <c r="BE116" i="3"/>
  <c r="BE118" i="3"/>
  <c r="AF117" i="3"/>
  <c r="AF142" i="3" s="1"/>
  <c r="AF116" i="3"/>
  <c r="AF118" i="3"/>
  <c r="CH118" i="3"/>
  <c r="CH116" i="3"/>
  <c r="CH117" i="3"/>
  <c r="CH142" i="3" s="1"/>
  <c r="CA117" i="3"/>
  <c r="CA142" i="3" s="1"/>
  <c r="CA118" i="3"/>
  <c r="CA116" i="3"/>
  <c r="AG118" i="3"/>
  <c r="AG117" i="3"/>
  <c r="AG142" i="3" s="1"/>
  <c r="AG116" i="3"/>
  <c r="CI117" i="3"/>
  <c r="CI142" i="3" s="1"/>
  <c r="CI118" i="3"/>
  <c r="CI116" i="3"/>
  <c r="AX116" i="3"/>
  <c r="AX117" i="3"/>
  <c r="AX142" i="3" s="1"/>
  <c r="AX118" i="3"/>
  <c r="CJ117" i="3"/>
  <c r="CJ142" i="3" s="1"/>
  <c r="CJ118" i="3"/>
  <c r="CJ116" i="3"/>
  <c r="CG116" i="3"/>
  <c r="CG118" i="3"/>
  <c r="CG117" i="3"/>
  <c r="CG142" i="3" s="1"/>
  <c r="AW118" i="3"/>
  <c r="AW117" i="3"/>
  <c r="AW142" i="3" s="1"/>
  <c r="AW116" i="3"/>
  <c r="AQ118" i="3"/>
  <c r="AQ117" i="3"/>
  <c r="AQ142" i="3" s="1"/>
  <c r="AQ116" i="3"/>
  <c r="K117" i="3"/>
  <c r="K142" i="3" s="1"/>
  <c r="K116" i="3"/>
  <c r="K118" i="3"/>
  <c r="BG116" i="3"/>
  <c r="BG117" i="3"/>
  <c r="BG142" i="3" s="1"/>
  <c r="BG118" i="3"/>
  <c r="AH116" i="3"/>
  <c r="AH117" i="3"/>
  <c r="AH142" i="3" s="1"/>
  <c r="AH118" i="3"/>
  <c r="AI117" i="3"/>
  <c r="AI142" i="3" s="1"/>
  <c r="AI116" i="3"/>
  <c r="AI118" i="3"/>
  <c r="P117" i="3"/>
  <c r="P142" i="3" s="1"/>
  <c r="P118" i="3"/>
  <c r="P116" i="3"/>
  <c r="CF117" i="3"/>
  <c r="CF142" i="3" s="1"/>
  <c r="CF118" i="3"/>
  <c r="CF116" i="3"/>
  <c r="AM117" i="3"/>
  <c r="AM142" i="3" s="1"/>
  <c r="AM118" i="3"/>
  <c r="AM116" i="3"/>
  <c r="J116" i="3"/>
  <c r="J117" i="3"/>
  <c r="J142" i="3" s="1"/>
  <c r="J118" i="3"/>
  <c r="BD117" i="3"/>
  <c r="BD142" i="3" s="1"/>
  <c r="BD118" i="3"/>
  <c r="BD116" i="3"/>
  <c r="H117" i="3"/>
  <c r="H142" i="3" s="1"/>
  <c r="H116" i="3"/>
  <c r="H118" i="3"/>
  <c r="AN117" i="3"/>
  <c r="AN142" i="3" s="1"/>
  <c r="AN116" i="3"/>
  <c r="AN118" i="3"/>
  <c r="CE116" i="3"/>
  <c r="CE117" i="3"/>
  <c r="CE142" i="3" s="1"/>
  <c r="CE118" i="3"/>
  <c r="I116" i="3"/>
  <c r="I118" i="3"/>
  <c r="I117" i="3"/>
  <c r="I142" i="3" s="1"/>
  <c r="CC117" i="3"/>
  <c r="CC142" i="3" s="1"/>
  <c r="CC118" i="3"/>
  <c r="CC116" i="3"/>
  <c r="M116" i="3"/>
  <c r="M118" i="3"/>
  <c r="M117" i="3"/>
  <c r="M142" i="3" s="1"/>
  <c r="BJ118" i="3"/>
  <c r="BJ116" i="3"/>
  <c r="BJ117" i="3"/>
  <c r="BJ142" i="3" s="1"/>
  <c r="AL118" i="3"/>
  <c r="AL117" i="3"/>
  <c r="AL142" i="3" s="1"/>
  <c r="AL116" i="3"/>
  <c r="AS118" i="3"/>
  <c r="AS116" i="3"/>
  <c r="AS117" i="3"/>
  <c r="AS142" i="3" s="1"/>
  <c r="G117" i="3"/>
  <c r="G142" i="3" s="1"/>
  <c r="G118" i="3"/>
  <c r="G116" i="3"/>
  <c r="AR116" i="3"/>
  <c r="AR118" i="3"/>
  <c r="AR117" i="3"/>
  <c r="AR142" i="3" s="1"/>
  <c r="L118" i="3"/>
  <c r="L116" i="3"/>
  <c r="L117" i="3"/>
  <c r="L142" i="3" s="1"/>
  <c r="BI118" i="3"/>
  <c r="BI116" i="3"/>
  <c r="BI117" i="3"/>
  <c r="BI142" i="3" s="1"/>
  <c r="AP99" i="3" l="1"/>
  <c r="AP103" i="3" s="1"/>
  <c r="I74" i="2"/>
  <c r="I75" i="2" s="1"/>
  <c r="I79" i="2" s="1"/>
  <c r="AD99" i="3"/>
  <c r="AD103" i="3" s="1"/>
  <c r="H74" i="2"/>
  <c r="H75" i="2" s="1"/>
  <c r="H79" i="2" s="1"/>
  <c r="BN99" i="3"/>
  <c r="BN103" i="3" s="1"/>
  <c r="K74" i="2"/>
  <c r="K75" i="2" s="1"/>
  <c r="K79" i="2" s="1"/>
  <c r="BZ99" i="3"/>
  <c r="BZ103" i="3" s="1"/>
  <c r="L74" i="2"/>
  <c r="L75" i="2" s="1"/>
  <c r="L79" i="2" s="1"/>
  <c r="R99" i="3"/>
  <c r="R103" i="3" s="1"/>
  <c r="G74" i="2"/>
  <c r="G75" i="2" s="1"/>
  <c r="G79" i="2" s="1"/>
  <c r="BB99" i="3"/>
  <c r="BB103" i="3" s="1"/>
  <c r="J74" i="2"/>
  <c r="J75" i="2" s="1"/>
  <c r="J79" i="2" s="1"/>
  <c r="F99" i="3"/>
  <c r="F103" i="3" s="1"/>
  <c r="F74" i="2"/>
  <c r="F75" i="2" s="1"/>
  <c r="F79" i="2" s="1"/>
  <c r="BI151" i="3"/>
  <c r="BI136" i="3"/>
  <c r="P143" i="3"/>
  <c r="AU151" i="3"/>
  <c r="AU136" i="3"/>
  <c r="L143" i="3"/>
  <c r="G143" i="3"/>
  <c r="M151" i="3"/>
  <c r="M136" i="3"/>
  <c r="CE143" i="3"/>
  <c r="BD151" i="3"/>
  <c r="BD136" i="3"/>
  <c r="AM143" i="3"/>
  <c r="AI151" i="3"/>
  <c r="AI136" i="3"/>
  <c r="AX143" i="3"/>
  <c r="CA151" i="3"/>
  <c r="CA136" i="3"/>
  <c r="N143" i="3"/>
  <c r="Q151" i="3"/>
  <c r="Q136" i="3"/>
  <c r="Q160" i="3" s="1"/>
  <c r="CD143" i="3"/>
  <c r="CK151" i="3"/>
  <c r="CK136" i="3"/>
  <c r="CK160" i="3" s="1"/>
  <c r="CB143" i="3"/>
  <c r="BK151" i="3"/>
  <c r="BK136" i="3"/>
  <c r="BV143" i="3"/>
  <c r="T143" i="3"/>
  <c r="BA143" i="3"/>
  <c r="O143" i="3"/>
  <c r="S143" i="3"/>
  <c r="CJ143" i="3"/>
  <c r="AA143" i="3"/>
  <c r="AK151" i="3"/>
  <c r="AK136" i="3"/>
  <c r="L151" i="3"/>
  <c r="L136" i="3"/>
  <c r="AS143" i="3"/>
  <c r="CC151" i="3"/>
  <c r="CC136" i="3"/>
  <c r="CC160" i="3" s="1"/>
  <c r="CE151" i="3"/>
  <c r="CE136" i="3"/>
  <c r="CF151" i="3"/>
  <c r="CF136" i="3"/>
  <c r="AI143" i="3"/>
  <c r="K151" i="3"/>
  <c r="K136" i="3"/>
  <c r="CG143" i="3"/>
  <c r="AX151" i="3"/>
  <c r="AX136" i="3"/>
  <c r="Q143" i="3"/>
  <c r="BX151" i="3"/>
  <c r="BX136" i="3"/>
  <c r="BP143" i="3"/>
  <c r="BQ143" i="3"/>
  <c r="BV151" i="3"/>
  <c r="BV136" i="3"/>
  <c r="V151" i="3"/>
  <c r="V136" i="3"/>
  <c r="AC151" i="3"/>
  <c r="AC136" i="3"/>
  <c r="BR151" i="3"/>
  <c r="BR136" i="3"/>
  <c r="AJ151" i="3"/>
  <c r="AJ136" i="3"/>
  <c r="H151" i="3"/>
  <c r="H136" i="3"/>
  <c r="BE143" i="3"/>
  <c r="AS151" i="3"/>
  <c r="AS136" i="3"/>
  <c r="BD143" i="3"/>
  <c r="K143" i="3"/>
  <c r="CI119" i="3"/>
  <c r="CI151" i="3"/>
  <c r="CI136" i="3"/>
  <c r="CA143" i="3"/>
  <c r="AF151" i="3"/>
  <c r="AF136" i="3"/>
  <c r="AY119" i="3"/>
  <c r="AY151" i="3"/>
  <c r="AY136" i="3"/>
  <c r="CK143" i="3"/>
  <c r="BO143" i="3"/>
  <c r="BK143" i="3"/>
  <c r="AE151" i="3"/>
  <c r="AE136" i="3"/>
  <c r="T151" i="3"/>
  <c r="T136" i="3"/>
  <c r="V143" i="3"/>
  <c r="U143" i="3"/>
  <c r="BA151" i="3"/>
  <c r="BA136" i="3"/>
  <c r="BR143" i="3"/>
  <c r="BM119" i="3"/>
  <c r="BM151" i="3"/>
  <c r="BM136" i="3"/>
  <c r="BM160" i="3" s="1"/>
  <c r="I151" i="3"/>
  <c r="I136" i="3"/>
  <c r="I160" i="3" s="1"/>
  <c r="AG143" i="3"/>
  <c r="BT143" i="3"/>
  <c r="BF151" i="3"/>
  <c r="BF136" i="3"/>
  <c r="AR143" i="3"/>
  <c r="BJ143" i="3"/>
  <c r="CC143" i="3"/>
  <c r="AN151" i="3"/>
  <c r="AN136" i="3"/>
  <c r="CF143" i="3"/>
  <c r="AH143" i="3"/>
  <c r="AQ151" i="3"/>
  <c r="AQ136" i="3"/>
  <c r="CG151" i="3"/>
  <c r="CG136" i="3"/>
  <c r="CH143" i="3"/>
  <c r="AF143" i="3"/>
  <c r="BY143" i="3"/>
  <c r="BX143" i="3"/>
  <c r="Y143" i="3"/>
  <c r="BO151" i="3"/>
  <c r="BO136" i="3"/>
  <c r="BQ151" i="3"/>
  <c r="BQ136" i="3"/>
  <c r="AE143" i="3"/>
  <c r="BC151" i="3"/>
  <c r="BC136" i="3"/>
  <c r="U151" i="3"/>
  <c r="U136" i="3"/>
  <c r="X151" i="3"/>
  <c r="X136" i="3"/>
  <c r="G136" i="3"/>
  <c r="G151" i="3"/>
  <c r="BG143" i="3"/>
  <c r="AL151" i="3"/>
  <c r="AL136" i="3"/>
  <c r="BJ151" i="3"/>
  <c r="BJ136" i="3"/>
  <c r="I143" i="3"/>
  <c r="AN143" i="3"/>
  <c r="J143" i="3"/>
  <c r="P151" i="3"/>
  <c r="P136" i="3"/>
  <c r="AH151" i="3"/>
  <c r="AH136" i="3"/>
  <c r="AQ143" i="3"/>
  <c r="CJ151" i="3"/>
  <c r="CJ136" i="3"/>
  <c r="CI143" i="3"/>
  <c r="CH151" i="3"/>
  <c r="CH136" i="3"/>
  <c r="AY143" i="3"/>
  <c r="AB143" i="3"/>
  <c r="BT151" i="3"/>
  <c r="BT136" i="3"/>
  <c r="BU151" i="3"/>
  <c r="BU136" i="3"/>
  <c r="BU160" i="3" s="1"/>
  <c r="BW143" i="3"/>
  <c r="AK143" i="3"/>
  <c r="BM143" i="3"/>
  <c r="AM151" i="3"/>
  <c r="AM136" i="3"/>
  <c r="BL151" i="3"/>
  <c r="BL136" i="3"/>
  <c r="BW151" i="3"/>
  <c r="BW136" i="3"/>
  <c r="BI143" i="3"/>
  <c r="AR151" i="3"/>
  <c r="AR136" i="3"/>
  <c r="AL143" i="3"/>
  <c r="J151" i="3"/>
  <c r="J136" i="3"/>
  <c r="AG119" i="3"/>
  <c r="AG151" i="3"/>
  <c r="AG136" i="3"/>
  <c r="AG160" i="3" s="1"/>
  <c r="BE151" i="3"/>
  <c r="BE136" i="3"/>
  <c r="BE160" i="3" s="1"/>
  <c r="AV151" i="3"/>
  <c r="AV136" i="3"/>
  <c r="BY119" i="3"/>
  <c r="BY151" i="3"/>
  <c r="BY136" i="3"/>
  <c r="AA151" i="3"/>
  <c r="AA136" i="3"/>
  <c r="Y119" i="3"/>
  <c r="Y151" i="3"/>
  <c r="Y136" i="3"/>
  <c r="Y160" i="3" s="1"/>
  <c r="W151" i="3"/>
  <c r="W136" i="3"/>
  <c r="BU143" i="3"/>
  <c r="Z143" i="3"/>
  <c r="BH151" i="3"/>
  <c r="BH136" i="3"/>
  <c r="BC143" i="3"/>
  <c r="AO143" i="3"/>
  <c r="X143" i="3"/>
  <c r="BF143" i="3"/>
  <c r="M143" i="3"/>
  <c r="AW151" i="3"/>
  <c r="AW136" i="3"/>
  <c r="AW160" i="3" s="1"/>
  <c r="AB151" i="3"/>
  <c r="AB136" i="3"/>
  <c r="Z151" i="3"/>
  <c r="Z136" i="3"/>
  <c r="H143" i="3"/>
  <c r="BG151" i="3"/>
  <c r="BG136" i="3"/>
  <c r="AW143" i="3"/>
  <c r="N136" i="3"/>
  <c r="N151" i="3"/>
  <c r="AV143" i="3"/>
  <c r="CD151" i="3"/>
  <c r="CD136" i="3"/>
  <c r="BP151" i="3"/>
  <c r="BP136" i="3"/>
  <c r="BL143" i="3"/>
  <c r="CB151" i="3"/>
  <c r="CB136" i="3"/>
  <c r="W143" i="3"/>
  <c r="AU143" i="3"/>
  <c r="BH143" i="3"/>
  <c r="AC143" i="3"/>
  <c r="AO151" i="3"/>
  <c r="AO136" i="3"/>
  <c r="AO160" i="3" s="1"/>
  <c r="O151" i="3"/>
  <c r="O136" i="3"/>
  <c r="S151" i="3"/>
  <c r="S136" i="3"/>
  <c r="AJ143" i="3"/>
  <c r="O119" i="3"/>
  <c r="CA119" i="3"/>
  <c r="CK119" i="3"/>
  <c r="CC119" i="3"/>
  <c r="CF119" i="3"/>
  <c r="BI119" i="3"/>
  <c r="G119" i="3"/>
  <c r="AM119" i="3"/>
  <c r="AW119" i="3"/>
  <c r="BL119" i="3"/>
  <c r="Z119" i="3"/>
  <c r="BW119" i="3"/>
  <c r="AO119" i="3"/>
  <c r="BD119" i="3"/>
  <c r="Q119" i="3"/>
  <c r="AX119" i="3"/>
  <c r="BV119" i="3"/>
  <c r="AC119" i="3"/>
  <c r="AJ119" i="3"/>
  <c r="AS119" i="3"/>
  <c r="T119" i="3"/>
  <c r="AQ119" i="3"/>
  <c r="BO119" i="3"/>
  <c r="BQ119" i="3"/>
  <c r="U119" i="3"/>
  <c r="AL119" i="3"/>
  <c r="P119" i="3"/>
  <c r="CJ119" i="3"/>
  <c r="BT119" i="3"/>
  <c r="L119" i="3"/>
  <c r="N119" i="3"/>
  <c r="AV119" i="3"/>
  <c r="BX119" i="3"/>
  <c r="BP119" i="3"/>
  <c r="AA119" i="3"/>
  <c r="CB119" i="3"/>
  <c r="W119" i="3"/>
  <c r="BH119" i="3"/>
  <c r="BC119" i="3"/>
  <c r="V119" i="3"/>
  <c r="X119" i="3"/>
  <c r="BR119" i="3"/>
  <c r="BJ119" i="3"/>
  <c r="H119" i="3"/>
  <c r="AI119" i="3"/>
  <c r="CH119" i="3"/>
  <c r="AF119" i="3"/>
  <c r="BU119" i="3"/>
  <c r="BG119" i="3"/>
  <c r="CE119" i="3"/>
  <c r="J119" i="3"/>
  <c r="CG119" i="3"/>
  <c r="BK119" i="3"/>
  <c r="AU119" i="3"/>
  <c r="AE119" i="3"/>
  <c r="AR119" i="3"/>
  <c r="AN119" i="3"/>
  <c r="K119" i="3"/>
  <c r="BE119" i="3"/>
  <c r="CD119" i="3"/>
  <c r="S119" i="3"/>
  <c r="M119" i="3"/>
  <c r="I119" i="3"/>
  <c r="AH119" i="3"/>
  <c r="AB119" i="3"/>
  <c r="BA119" i="3"/>
  <c r="BF119" i="3"/>
  <c r="AK119" i="3"/>
  <c r="R194" i="3" l="1"/>
  <c r="G93" i="2" s="1"/>
  <c r="R116" i="3"/>
  <c r="R117" i="3"/>
  <c r="R118" i="3"/>
  <c r="G86" i="2" s="1"/>
  <c r="AD194" i="3"/>
  <c r="H93" i="2" s="1"/>
  <c r="AD118" i="3"/>
  <c r="H86" i="2" s="1"/>
  <c r="AD117" i="3"/>
  <c r="AD116" i="3"/>
  <c r="F194" i="3"/>
  <c r="F117" i="3"/>
  <c r="F116" i="3"/>
  <c r="F118" i="3"/>
  <c r="F112" i="3"/>
  <c r="BZ194" i="3"/>
  <c r="L93" i="2" s="1"/>
  <c r="BZ116" i="3"/>
  <c r="BZ117" i="3"/>
  <c r="BZ118" i="3"/>
  <c r="L86" i="2" s="1"/>
  <c r="AP194" i="3"/>
  <c r="I93" i="2" s="1"/>
  <c r="AP118" i="3"/>
  <c r="I86" i="2" s="1"/>
  <c r="AP116" i="3"/>
  <c r="AP117" i="3"/>
  <c r="BB194" i="3"/>
  <c r="J93" i="2" s="1"/>
  <c r="BB118" i="3"/>
  <c r="J86" i="2" s="1"/>
  <c r="BB116" i="3"/>
  <c r="BB117" i="3"/>
  <c r="BN194" i="3"/>
  <c r="K93" i="2" s="1"/>
  <c r="BN117" i="3"/>
  <c r="BN116" i="3"/>
  <c r="BN118" i="3"/>
  <c r="K86" i="2" s="1"/>
  <c r="AH160" i="3"/>
  <c r="J160" i="3"/>
  <c r="T152" i="3"/>
  <c r="L160" i="3"/>
  <c r="CA160" i="3"/>
  <c r="AO173" i="3"/>
  <c r="BP160" i="3"/>
  <c r="Z160" i="3"/>
  <c r="BH160" i="3"/>
  <c r="Y173" i="3"/>
  <c r="Y174" i="3" s="1"/>
  <c r="AV160" i="3"/>
  <c r="J152" i="3"/>
  <c r="BW152" i="3"/>
  <c r="CH152" i="3"/>
  <c r="AH152" i="3"/>
  <c r="X152" i="3"/>
  <c r="BQ152" i="3"/>
  <c r="CG152" i="3"/>
  <c r="AN152" i="3"/>
  <c r="I152" i="3"/>
  <c r="BA160" i="3"/>
  <c r="AE160" i="3"/>
  <c r="AF160" i="3"/>
  <c r="AC152" i="3"/>
  <c r="CE152" i="3"/>
  <c r="L152" i="3"/>
  <c r="CK152" i="3"/>
  <c r="CA152" i="3"/>
  <c r="BD152" i="3"/>
  <c r="BW160" i="3"/>
  <c r="AN160" i="3"/>
  <c r="AO152" i="3"/>
  <c r="BP152" i="3"/>
  <c r="Z152" i="3"/>
  <c r="BH152" i="3"/>
  <c r="Y152" i="3"/>
  <c r="AV152" i="3"/>
  <c r="BL160" i="3"/>
  <c r="BT160" i="3"/>
  <c r="P160" i="3"/>
  <c r="BJ160" i="3"/>
  <c r="U160" i="3"/>
  <c r="BO160" i="3"/>
  <c r="AQ160" i="3"/>
  <c r="BF160" i="3"/>
  <c r="BM173" i="3"/>
  <c r="BA152" i="3"/>
  <c r="AE152" i="3"/>
  <c r="AF152" i="3"/>
  <c r="H160" i="3"/>
  <c r="V160" i="3"/>
  <c r="BX160" i="3"/>
  <c r="K160" i="3"/>
  <c r="CC173" i="3"/>
  <c r="AK160" i="3"/>
  <c r="AU160" i="3"/>
  <c r="W152" i="3"/>
  <c r="BQ160" i="3"/>
  <c r="AC160" i="3"/>
  <c r="BD160" i="3"/>
  <c r="S160" i="3"/>
  <c r="CD160" i="3"/>
  <c r="AB160" i="3"/>
  <c r="BE173" i="3"/>
  <c r="BL152" i="3"/>
  <c r="BT152" i="3"/>
  <c r="P152" i="3"/>
  <c r="BJ152" i="3"/>
  <c r="U152" i="3"/>
  <c r="BO152" i="3"/>
  <c r="AQ152" i="3"/>
  <c r="BF152" i="3"/>
  <c r="BM152" i="3"/>
  <c r="H152" i="3"/>
  <c r="V152" i="3"/>
  <c r="BX152" i="3"/>
  <c r="K152" i="3"/>
  <c r="CC152" i="3"/>
  <c r="AK152" i="3"/>
  <c r="AU152" i="3"/>
  <c r="N160" i="3"/>
  <c r="X160" i="3"/>
  <c r="S152" i="3"/>
  <c r="CD152" i="3"/>
  <c r="AB152" i="3"/>
  <c r="AA160" i="3"/>
  <c r="BE152" i="3"/>
  <c r="AR160" i="3"/>
  <c r="CJ160" i="3"/>
  <c r="AL160" i="3"/>
  <c r="G152" i="3"/>
  <c r="BC160" i="3"/>
  <c r="AJ160" i="3"/>
  <c r="BV160" i="3"/>
  <c r="BK160" i="3"/>
  <c r="Q173" i="3"/>
  <c r="AI160" i="3"/>
  <c r="M160" i="3"/>
  <c r="CH160" i="3"/>
  <c r="CG160" i="3"/>
  <c r="CK173" i="3"/>
  <c r="O160" i="3"/>
  <c r="CB160" i="3"/>
  <c r="BG160" i="3"/>
  <c r="AW173" i="3"/>
  <c r="AA152" i="3"/>
  <c r="AG173" i="3"/>
  <c r="AR152" i="3"/>
  <c r="CJ152" i="3"/>
  <c r="AL152" i="3"/>
  <c r="G160" i="3"/>
  <c r="BC152" i="3"/>
  <c r="CI160" i="3"/>
  <c r="AJ152" i="3"/>
  <c r="BV152" i="3"/>
  <c r="BK152" i="3"/>
  <c r="Q152" i="3"/>
  <c r="AI152" i="3"/>
  <c r="M152" i="3"/>
  <c r="I173" i="3"/>
  <c r="I174" i="3" s="1"/>
  <c r="CE160" i="3"/>
  <c r="O152" i="3"/>
  <c r="CB152" i="3"/>
  <c r="BG152" i="3"/>
  <c r="AW152" i="3"/>
  <c r="BY160" i="3"/>
  <c r="AG152" i="3"/>
  <c r="AM160" i="3"/>
  <c r="BU173" i="3"/>
  <c r="AY160" i="3"/>
  <c r="CI152" i="3"/>
  <c r="AS160" i="3"/>
  <c r="BR160" i="3"/>
  <c r="AX160" i="3"/>
  <c r="CF160" i="3"/>
  <c r="BI160" i="3"/>
  <c r="N152" i="3"/>
  <c r="W160" i="3"/>
  <c r="BY152" i="3"/>
  <c r="AM152" i="3"/>
  <c r="BU152" i="3"/>
  <c r="T160" i="3"/>
  <c r="AY152" i="3"/>
  <c r="AS152" i="3"/>
  <c r="BR152" i="3"/>
  <c r="AX152" i="3"/>
  <c r="CF152" i="3"/>
  <c r="BI152" i="3"/>
  <c r="G84" i="2" l="1"/>
  <c r="R151" i="3"/>
  <c r="R152" i="3" s="1"/>
  <c r="R136" i="3"/>
  <c r="R160" i="3" s="1"/>
  <c r="R119" i="3"/>
  <c r="J84" i="2"/>
  <c r="BB151" i="3"/>
  <c r="BB152" i="3" s="1"/>
  <c r="BB136" i="3"/>
  <c r="BB160" i="3" s="1"/>
  <c r="BB173" i="3" s="1"/>
  <c r="BB119" i="3"/>
  <c r="BZ142" i="3"/>
  <c r="BZ143" i="3" s="1"/>
  <c r="L85" i="2"/>
  <c r="F84" i="2"/>
  <c r="F119" i="3"/>
  <c r="F151" i="3"/>
  <c r="F152" i="3" s="1"/>
  <c r="F136" i="3"/>
  <c r="F160" i="3" s="1"/>
  <c r="F173" i="3" s="1"/>
  <c r="F124" i="3"/>
  <c r="G124" i="3" s="1"/>
  <c r="H124" i="3" s="1"/>
  <c r="BB142" i="3"/>
  <c r="BB143" i="3" s="1"/>
  <c r="J85" i="2"/>
  <c r="F93" i="2"/>
  <c r="E197" i="3"/>
  <c r="E195" i="3"/>
  <c r="E94" i="2" s="1"/>
  <c r="E196" i="3"/>
  <c r="L84" i="2"/>
  <c r="BZ136" i="3"/>
  <c r="BZ160" i="3" s="1"/>
  <c r="BZ173" i="3" s="1"/>
  <c r="BZ151" i="3"/>
  <c r="BZ152" i="3" s="1"/>
  <c r="BZ119" i="3"/>
  <c r="H84" i="2"/>
  <c r="AD119" i="3"/>
  <c r="AD151" i="3"/>
  <c r="AD152" i="3" s="1"/>
  <c r="AD136" i="3"/>
  <c r="AD160" i="3" s="1"/>
  <c r="AD173" i="3" s="1"/>
  <c r="AP142" i="3"/>
  <c r="AP143" i="3" s="1"/>
  <c r="F104" i="3"/>
  <c r="F113" i="3"/>
  <c r="AD142" i="3"/>
  <c r="AD143" i="3" s="1"/>
  <c r="H85" i="2"/>
  <c r="BN151" i="3"/>
  <c r="BN152" i="3" s="1"/>
  <c r="BN119" i="3"/>
  <c r="BN136" i="3"/>
  <c r="BN160" i="3" s="1"/>
  <c r="BN173" i="3" s="1"/>
  <c r="AP151" i="3"/>
  <c r="AP152" i="3" s="1"/>
  <c r="AP136" i="3"/>
  <c r="AP160" i="3" s="1"/>
  <c r="AP173" i="3" s="1"/>
  <c r="AP119" i="3"/>
  <c r="F86" i="2"/>
  <c r="E57" i="2"/>
  <c r="F57" i="2" s="1"/>
  <c r="BN142" i="3"/>
  <c r="BN143" i="3" s="1"/>
  <c r="F85" i="2"/>
  <c r="F125" i="3"/>
  <c r="G125" i="3" s="1"/>
  <c r="H125" i="3" s="1"/>
  <c r="I125" i="3" s="1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AS125" i="3" s="1"/>
  <c r="F142" i="3"/>
  <c r="F143" i="3" s="1"/>
  <c r="R142" i="3"/>
  <c r="R143" i="3" s="1"/>
  <c r="G85" i="2"/>
  <c r="T173" i="3"/>
  <c r="BG173" i="3"/>
  <c r="CK174" i="3"/>
  <c r="AI173" i="3"/>
  <c r="BV173" i="3"/>
  <c r="AX173" i="3"/>
  <c r="BY173" i="3"/>
  <c r="AR173" i="3"/>
  <c r="BE174" i="3"/>
  <c r="BD173" i="3"/>
  <c r="AU173" i="3"/>
  <c r="BX173" i="3"/>
  <c r="AQ173" i="3"/>
  <c r="P173" i="3"/>
  <c r="P174" i="3" s="1"/>
  <c r="Z173" i="3"/>
  <c r="L173" i="3"/>
  <c r="AY173" i="3"/>
  <c r="CI173" i="3"/>
  <c r="AG174" i="3"/>
  <c r="CB173" i="3"/>
  <c r="CG173" i="3"/>
  <c r="Q174" i="3"/>
  <c r="AJ173" i="3"/>
  <c r="BR173" i="3"/>
  <c r="BU174" i="3"/>
  <c r="AL173" i="3"/>
  <c r="AL174" i="3" s="1"/>
  <c r="AB173" i="3"/>
  <c r="AC173" i="3"/>
  <c r="AK173" i="3"/>
  <c r="V173" i="3"/>
  <c r="V174" i="3" s="1"/>
  <c r="BO173" i="3"/>
  <c r="BT173" i="3"/>
  <c r="AN173" i="3"/>
  <c r="AF173" i="3"/>
  <c r="AV173" i="3"/>
  <c r="AV174" i="3" s="1"/>
  <c r="BP173" i="3"/>
  <c r="CH173" i="3"/>
  <c r="CH174" i="3" s="1"/>
  <c r="BK173" i="3"/>
  <c r="BI173" i="3"/>
  <c r="AS173" i="3"/>
  <c r="AM173" i="3"/>
  <c r="CE173" i="3"/>
  <c r="CJ173" i="3"/>
  <c r="AA173" i="3"/>
  <c r="X173" i="3"/>
  <c r="X174" i="3" s="1"/>
  <c r="CD173" i="3"/>
  <c r="BQ173" i="3"/>
  <c r="CC174" i="3"/>
  <c r="H173" i="3"/>
  <c r="BM174" i="3"/>
  <c r="U173" i="3"/>
  <c r="BL173" i="3"/>
  <c r="BW173" i="3"/>
  <c r="BW174" i="3" s="1"/>
  <c r="AE173" i="3"/>
  <c r="AO174" i="3"/>
  <c r="J173" i="3"/>
  <c r="W173" i="3"/>
  <c r="W174" i="3" s="1"/>
  <c r="AW174" i="3"/>
  <c r="O173" i="3"/>
  <c r="O174" i="3" s="1"/>
  <c r="M173" i="3"/>
  <c r="CF173" i="3"/>
  <c r="CF174" i="3" s="1"/>
  <c r="R173" i="3"/>
  <c r="G173" i="3"/>
  <c r="BC173" i="3"/>
  <c r="N173" i="3"/>
  <c r="N174" i="3" s="1"/>
  <c r="S173" i="3"/>
  <c r="K173" i="3"/>
  <c r="BF173" i="3"/>
  <c r="BF174" i="3" s="1"/>
  <c r="BJ173" i="3"/>
  <c r="BA173" i="3"/>
  <c r="BH173" i="3"/>
  <c r="CA173" i="3"/>
  <c r="CA174" i="3" s="1"/>
  <c r="AH173" i="3"/>
  <c r="E198" i="3" l="1"/>
  <c r="E95" i="2" s="1"/>
  <c r="J87" i="2"/>
  <c r="H87" i="2"/>
  <c r="F105" i="3"/>
  <c r="F121" i="3" s="1"/>
  <c r="F129" i="3" s="1"/>
  <c r="L87" i="2"/>
  <c r="F87" i="2"/>
  <c r="G87" i="2"/>
  <c r="R174" i="3"/>
  <c r="U174" i="3"/>
  <c r="BQ174" i="3"/>
  <c r="CJ174" i="3"/>
  <c r="BI174" i="3"/>
  <c r="AN174" i="3"/>
  <c r="AK174" i="3"/>
  <c r="AJ174" i="3"/>
  <c r="L174" i="3"/>
  <c r="BX174" i="3"/>
  <c r="AR174" i="3"/>
  <c r="AI174" i="3"/>
  <c r="AD174" i="3"/>
  <c r="F174" i="3"/>
  <c r="AE174" i="3"/>
  <c r="CD174" i="3"/>
  <c r="CE174" i="3"/>
  <c r="BK174" i="3"/>
  <c r="BP174" i="3"/>
  <c r="BT174" i="3"/>
  <c r="AC174" i="3"/>
  <c r="BR174" i="3"/>
  <c r="CI174" i="3"/>
  <c r="Z174" i="3"/>
  <c r="AU174" i="3"/>
  <c r="BY174" i="3"/>
  <c r="BJ174" i="3"/>
  <c r="K174" i="3"/>
  <c r="BC174" i="3"/>
  <c r="H174" i="3"/>
  <c r="AM174" i="3"/>
  <c r="BO174" i="3"/>
  <c r="AB174" i="3"/>
  <c r="BZ174" i="3"/>
  <c r="CG174" i="3"/>
  <c r="BN174" i="3"/>
  <c r="BD174" i="3"/>
  <c r="AX174" i="3"/>
  <c r="BG174" i="3"/>
  <c r="AH174" i="3"/>
  <c r="BH174" i="3"/>
  <c r="G174" i="3"/>
  <c r="BA174" i="3"/>
  <c r="S174" i="3"/>
  <c r="M174" i="3"/>
  <c r="J174" i="3"/>
  <c r="BL174" i="3"/>
  <c r="AA174" i="3"/>
  <c r="AS174" i="3"/>
  <c r="BB174" i="3"/>
  <c r="AF174" i="3"/>
  <c r="AP174" i="3"/>
  <c r="CB174" i="3"/>
  <c r="AY174" i="3"/>
  <c r="AQ174" i="3"/>
  <c r="BV174" i="3"/>
  <c r="T174" i="3"/>
  <c r="I124" i="3"/>
  <c r="F131" i="3" l="1"/>
  <c r="F137" i="3" s="1"/>
  <c r="F138" i="3" s="1"/>
  <c r="F200" i="3" s="1"/>
  <c r="F126" i="3"/>
  <c r="J124" i="3"/>
  <c r="F144" i="3" l="1"/>
  <c r="F145" i="3" s="1"/>
  <c r="G141" i="3" s="1"/>
  <c r="F127" i="3"/>
  <c r="G111" i="3"/>
  <c r="G112" i="3" s="1"/>
  <c r="G104" i="3" s="1"/>
  <c r="K124" i="3"/>
  <c r="F147" i="3" l="1"/>
  <c r="F153" i="3" s="1"/>
  <c r="G105" i="3"/>
  <c r="G121" i="3" s="1"/>
  <c r="G113" i="3"/>
  <c r="L124" i="3"/>
  <c r="G129" i="3" l="1"/>
  <c r="G131" i="3"/>
  <c r="G137" i="3" s="1"/>
  <c r="G138" i="3" s="1"/>
  <c r="G144" i="3" s="1"/>
  <c r="G145" i="3" s="1"/>
  <c r="H141" i="3" s="1"/>
  <c r="F154" i="3"/>
  <c r="G150" i="3" s="1"/>
  <c r="F162" i="3"/>
  <c r="F156" i="3"/>
  <c r="G126" i="3"/>
  <c r="M124" i="3"/>
  <c r="G200" i="3" l="1"/>
  <c r="G147" i="3"/>
  <c r="G153" i="3" s="1"/>
  <c r="F175" i="3"/>
  <c r="F163" i="3"/>
  <c r="N124" i="3"/>
  <c r="H111" i="3"/>
  <c r="G127" i="3"/>
  <c r="G162" i="3" l="1"/>
  <c r="G175" i="3" s="1"/>
  <c r="G156" i="3"/>
  <c r="G154" i="3"/>
  <c r="H150" i="3" s="1"/>
  <c r="F164" i="3"/>
  <c r="G159" i="3" s="1"/>
  <c r="F176" i="3"/>
  <c r="F166" i="3"/>
  <c r="H112" i="3"/>
  <c r="H104" i="3" s="1"/>
  <c r="O124" i="3"/>
  <c r="H105" i="3" l="1"/>
  <c r="H121" i="3" s="1"/>
  <c r="F167" i="3"/>
  <c r="F169" i="3" s="1"/>
  <c r="F177" i="3" s="1"/>
  <c r="G161" i="3"/>
  <c r="G163" i="3" s="1"/>
  <c r="P124" i="3"/>
  <c r="H113" i="3"/>
  <c r="G164" i="3" l="1"/>
  <c r="H159" i="3" s="1"/>
  <c r="F178" i="3"/>
  <c r="G172" i="3" s="1"/>
  <c r="F180" i="3"/>
  <c r="G176" i="3"/>
  <c r="G166" i="3"/>
  <c r="H129" i="3"/>
  <c r="Q124" i="3"/>
  <c r="H131" i="3" l="1"/>
  <c r="H137" i="3" s="1"/>
  <c r="H138" i="3" s="1"/>
  <c r="H200" i="3" s="1"/>
  <c r="F181" i="3"/>
  <c r="F183" i="3" s="1"/>
  <c r="G167" i="3"/>
  <c r="G169" i="3" s="1"/>
  <c r="G177" i="3" s="1"/>
  <c r="H161" i="3"/>
  <c r="R124" i="3"/>
  <c r="H126" i="3"/>
  <c r="H144" i="3" l="1"/>
  <c r="H147" i="3" s="1"/>
  <c r="H153" i="3" s="1"/>
  <c r="H156" i="3" s="1"/>
  <c r="G178" i="3"/>
  <c r="H172" i="3" s="1"/>
  <c r="G180" i="3"/>
  <c r="F188" i="3"/>
  <c r="F212" i="3" s="1"/>
  <c r="F187" i="3"/>
  <c r="F206" i="3" s="1"/>
  <c r="I111" i="3"/>
  <c r="H127" i="3"/>
  <c r="S124" i="3"/>
  <c r="F190" i="3" l="1"/>
  <c r="H145" i="3"/>
  <c r="I141" i="3" s="1"/>
  <c r="H154" i="3"/>
  <c r="I150" i="3" s="1"/>
  <c r="H162" i="3"/>
  <c r="G181" i="3"/>
  <c r="G183" i="3" s="1"/>
  <c r="T124" i="3"/>
  <c r="I112" i="3"/>
  <c r="I104" i="3" s="1"/>
  <c r="I105" i="3" l="1"/>
  <c r="I121" i="3" s="1"/>
  <c r="H175" i="3"/>
  <c r="H163" i="3"/>
  <c r="G187" i="3"/>
  <c r="G206" i="3" s="1"/>
  <c r="G188" i="3"/>
  <c r="G212" i="3" s="1"/>
  <c r="I113" i="3"/>
  <c r="U124" i="3"/>
  <c r="I129" i="3" l="1"/>
  <c r="I126" i="3" s="1"/>
  <c r="H176" i="3"/>
  <c r="H166" i="3"/>
  <c r="H164" i="3"/>
  <c r="I159" i="3" s="1"/>
  <c r="G190" i="3"/>
  <c r="V124" i="3"/>
  <c r="I127" i="3" l="1"/>
  <c r="J111" i="3"/>
  <c r="I131" i="3"/>
  <c r="I137" i="3" s="1"/>
  <c r="I138" i="3" s="1"/>
  <c r="I200" i="3" s="1"/>
  <c r="H167" i="3"/>
  <c r="I161" i="3"/>
  <c r="J112" i="3"/>
  <c r="J104" i="3" s="1"/>
  <c r="W124" i="3"/>
  <c r="I144" i="3" l="1"/>
  <c r="I145" i="3" s="1"/>
  <c r="J141" i="3" s="1"/>
  <c r="J105" i="3"/>
  <c r="J121" i="3" s="1"/>
  <c r="H169" i="3"/>
  <c r="H177" i="3" s="1"/>
  <c r="X124" i="3"/>
  <c r="J113" i="3"/>
  <c r="I147" i="3" l="1"/>
  <c r="I153" i="3" s="1"/>
  <c r="J129" i="3"/>
  <c r="J126" i="3" s="1"/>
  <c r="H180" i="3"/>
  <c r="H178" i="3"/>
  <c r="I172" i="3" s="1"/>
  <c r="Y124" i="3"/>
  <c r="K111" i="3" l="1"/>
  <c r="K112" i="3" s="1"/>
  <c r="K104" i="3" s="1"/>
  <c r="K105" i="3" s="1"/>
  <c r="K121" i="3" s="1"/>
  <c r="J127" i="3"/>
  <c r="J131" i="3"/>
  <c r="J137" i="3" s="1"/>
  <c r="J138" i="3" s="1"/>
  <c r="J144" i="3" s="1"/>
  <c r="I162" i="3"/>
  <c r="I154" i="3"/>
  <c r="J150" i="3" s="1"/>
  <c r="H181" i="3"/>
  <c r="I156" i="3"/>
  <c r="J200" i="3"/>
  <c r="Z124" i="3"/>
  <c r="H183" i="3" l="1"/>
  <c r="J145" i="3"/>
  <c r="K141" i="3" s="1"/>
  <c r="I175" i="3"/>
  <c r="I163" i="3"/>
  <c r="I164" i="3" s="1"/>
  <c r="J159" i="3" s="1"/>
  <c r="J147" i="3"/>
  <c r="K113" i="3"/>
  <c r="K129" i="3" s="1"/>
  <c r="K126" i="3" s="1"/>
  <c r="AA124" i="3"/>
  <c r="J161" i="3" l="1"/>
  <c r="H188" i="3"/>
  <c r="H212" i="3" s="1"/>
  <c r="H187" i="3"/>
  <c r="I176" i="3"/>
  <c r="I166" i="3"/>
  <c r="J153" i="3"/>
  <c r="J156" i="3" s="1"/>
  <c r="AB124" i="3"/>
  <c r="L111" i="3"/>
  <c r="K127" i="3"/>
  <c r="K131" i="3"/>
  <c r="K137" i="3" s="1"/>
  <c r="K138" i="3" s="1"/>
  <c r="K200" i="3" l="1"/>
  <c r="K144" i="3"/>
  <c r="K147" i="3" s="1"/>
  <c r="I167" i="3"/>
  <c r="I169" i="3" s="1"/>
  <c r="I177" i="3" s="1"/>
  <c r="H190" i="3"/>
  <c r="H206" i="3"/>
  <c r="J162" i="3"/>
  <c r="J154" i="3"/>
  <c r="K150" i="3" s="1"/>
  <c r="L112" i="3"/>
  <c r="L104" i="3" s="1"/>
  <c r="L105" i="3" s="1"/>
  <c r="L121" i="3" s="1"/>
  <c r="AC124" i="3"/>
  <c r="K153" i="3" l="1"/>
  <c r="K154" i="3" s="1"/>
  <c r="L150" i="3" s="1"/>
  <c r="J175" i="3"/>
  <c r="J163" i="3"/>
  <c r="I180" i="3"/>
  <c r="I178" i="3"/>
  <c r="J172" i="3" s="1"/>
  <c r="K145" i="3"/>
  <c r="L141" i="3" s="1"/>
  <c r="AD124" i="3"/>
  <c r="L113" i="3"/>
  <c r="K162" i="3" l="1"/>
  <c r="K175" i="3" s="1"/>
  <c r="J176" i="3"/>
  <c r="J166" i="3"/>
  <c r="J164" i="3"/>
  <c r="K159" i="3" s="1"/>
  <c r="I181" i="3"/>
  <c r="K156" i="3"/>
  <c r="L129" i="3"/>
  <c r="L131" i="3" s="1"/>
  <c r="L137" i="3" s="1"/>
  <c r="L138" i="3" s="1"/>
  <c r="AE124" i="3"/>
  <c r="L200" i="3" l="1"/>
  <c r="I183" i="3"/>
  <c r="J167" i="3"/>
  <c r="L144" i="3"/>
  <c r="L147" i="3" s="1"/>
  <c r="K161" i="3"/>
  <c r="K163" i="3" s="1"/>
  <c r="AF124" i="3"/>
  <c r="L126" i="3"/>
  <c r="K176" i="3" l="1"/>
  <c r="K166" i="3"/>
  <c r="K164" i="3"/>
  <c r="L159" i="3" s="1"/>
  <c r="L153" i="3"/>
  <c r="L145" i="3"/>
  <c r="M141" i="3" s="1"/>
  <c r="J169" i="3"/>
  <c r="J177" i="3" s="1"/>
  <c r="I188" i="3"/>
  <c r="I212" i="3" s="1"/>
  <c r="I187" i="3"/>
  <c r="M111" i="3"/>
  <c r="L127" i="3"/>
  <c r="AG124" i="3"/>
  <c r="I190" i="3" l="1"/>
  <c r="I206" i="3"/>
  <c r="J180" i="3"/>
  <c r="J178" i="3"/>
  <c r="K172" i="3" s="1"/>
  <c r="L162" i="3"/>
  <c r="L175" i="3" s="1"/>
  <c r="L154" i="3"/>
  <c r="M150" i="3" s="1"/>
  <c r="L156" i="3"/>
  <c r="K167" i="3"/>
  <c r="L161" i="3"/>
  <c r="AH124" i="3"/>
  <c r="M112" i="3"/>
  <c r="M104" i="3" s="1"/>
  <c r="M105" i="3" s="1"/>
  <c r="M121" i="3" s="1"/>
  <c r="L163" i="3" l="1"/>
  <c r="L164" i="3" s="1"/>
  <c r="M159" i="3" s="1"/>
  <c r="J181" i="3"/>
  <c r="J183" i="3" s="1"/>
  <c r="K169" i="3"/>
  <c r="K177" i="3" s="1"/>
  <c r="K180" i="3" s="1"/>
  <c r="M113" i="3"/>
  <c r="M129" i="3" s="1"/>
  <c r="M126" i="3" s="1"/>
  <c r="AI124" i="3"/>
  <c r="L166" i="3" l="1"/>
  <c r="L167" i="3" s="1"/>
  <c r="L169" i="3" s="1"/>
  <c r="L176" i="3"/>
  <c r="K181" i="3"/>
  <c r="J187" i="3"/>
  <c r="J206" i="3" s="1"/>
  <c r="J188" i="3"/>
  <c r="K178" i="3"/>
  <c r="L172" i="3" s="1"/>
  <c r="M161" i="3"/>
  <c r="AJ124" i="3"/>
  <c r="N111" i="3"/>
  <c r="M127" i="3"/>
  <c r="M131" i="3"/>
  <c r="M137" i="3" s="1"/>
  <c r="M138" i="3" s="1"/>
  <c r="J190" i="3" l="1"/>
  <c r="L177" i="3"/>
  <c r="L180" i="3" s="1"/>
  <c r="L181" i="3" s="1"/>
  <c r="L183" i="3" s="1"/>
  <c r="L188" i="3" s="1"/>
  <c r="L212" i="3" s="1"/>
  <c r="J212" i="3"/>
  <c r="M200" i="3"/>
  <c r="M144" i="3"/>
  <c r="K183" i="3"/>
  <c r="N112" i="3"/>
  <c r="N104" i="3" s="1"/>
  <c r="N105" i="3" s="1"/>
  <c r="N121" i="3" s="1"/>
  <c r="AK124" i="3"/>
  <c r="L178" i="3" l="1"/>
  <c r="M172" i="3" s="1"/>
  <c r="L187" i="3"/>
  <c r="L206" i="3" s="1"/>
  <c r="M145" i="3"/>
  <c r="N141" i="3" s="1"/>
  <c r="M147" i="3"/>
  <c r="K187" i="3"/>
  <c r="K188" i="3"/>
  <c r="K212" i="3" s="1"/>
  <c r="AL124" i="3"/>
  <c r="N113" i="3"/>
  <c r="N129" i="3" s="1"/>
  <c r="N126" i="3" s="1"/>
  <c r="L190" i="3" l="1"/>
  <c r="K190" i="3"/>
  <c r="K206" i="3"/>
  <c r="M153" i="3"/>
  <c r="O111" i="3"/>
  <c r="N127" i="3"/>
  <c r="N131" i="3"/>
  <c r="N137" i="3" s="1"/>
  <c r="N138" i="3" s="1"/>
  <c r="AM124" i="3"/>
  <c r="N200" i="3" l="1"/>
  <c r="M162" i="3"/>
  <c r="M154" i="3"/>
  <c r="N150" i="3" s="1"/>
  <c r="M156" i="3"/>
  <c r="N144" i="3"/>
  <c r="N147" i="3" s="1"/>
  <c r="AN124" i="3"/>
  <c r="O112" i="3"/>
  <c r="O104" i="3" s="1"/>
  <c r="O105" i="3" s="1"/>
  <c r="O121" i="3" s="1"/>
  <c r="M175" i="3" l="1"/>
  <c r="M163" i="3"/>
  <c r="N145" i="3"/>
  <c r="O141" i="3" s="1"/>
  <c r="N153" i="3"/>
  <c r="N162" i="3" s="1"/>
  <c r="N175" i="3" s="1"/>
  <c r="O113" i="3"/>
  <c r="O129" i="3" s="1"/>
  <c r="O126" i="3" s="1"/>
  <c r="AO124" i="3"/>
  <c r="M176" i="3" l="1"/>
  <c r="M166" i="3"/>
  <c r="M164" i="3"/>
  <c r="N159" i="3" s="1"/>
  <c r="N154" i="3"/>
  <c r="O150" i="3" s="1"/>
  <c r="N156" i="3"/>
  <c r="AP124" i="3"/>
  <c r="O131" i="3"/>
  <c r="O137" i="3" s="1"/>
  <c r="O138" i="3" s="1"/>
  <c r="O144" i="3" s="1"/>
  <c r="P111" i="3"/>
  <c r="O127" i="3"/>
  <c r="O145" i="3" l="1"/>
  <c r="P141" i="3" s="1"/>
  <c r="N161" i="3"/>
  <c r="N163" i="3" s="1"/>
  <c r="M167" i="3"/>
  <c r="O200" i="3"/>
  <c r="O147" i="3"/>
  <c r="O153" i="3" s="1"/>
  <c r="O154" i="3" s="1"/>
  <c r="P150" i="3" s="1"/>
  <c r="P112" i="3"/>
  <c r="P104" i="3" s="1"/>
  <c r="P105" i="3" s="1"/>
  <c r="P121" i="3" s="1"/>
  <c r="AQ124" i="3"/>
  <c r="N164" i="3" l="1"/>
  <c r="O159" i="3" s="1"/>
  <c r="N176" i="3"/>
  <c r="N166" i="3"/>
  <c r="O156" i="3"/>
  <c r="M169" i="3"/>
  <c r="M177" i="3" s="1"/>
  <c r="O162" i="3"/>
  <c r="O175" i="3" s="1"/>
  <c r="AR124" i="3"/>
  <c r="P113" i="3"/>
  <c r="P129" i="3" s="1"/>
  <c r="P126" i="3" s="1"/>
  <c r="M180" i="3" l="1"/>
  <c r="M178" i="3"/>
  <c r="N172" i="3" s="1"/>
  <c r="N167" i="3"/>
  <c r="N169" i="3"/>
  <c r="O161" i="3"/>
  <c r="O163" i="3" s="1"/>
  <c r="Q111" i="3"/>
  <c r="P127" i="3"/>
  <c r="P131" i="3"/>
  <c r="P137" i="3" s="1"/>
  <c r="P138" i="3" s="1"/>
  <c r="AS124" i="3"/>
  <c r="O164" i="3" l="1"/>
  <c r="P159" i="3" s="1"/>
  <c r="N177" i="3"/>
  <c r="N180" i="3" s="1"/>
  <c r="O176" i="3"/>
  <c r="O166" i="3"/>
  <c r="P200" i="3"/>
  <c r="P144" i="3"/>
  <c r="P147" i="3" s="1"/>
  <c r="M181" i="3"/>
  <c r="Q112" i="3"/>
  <c r="Q104" i="3" s="1"/>
  <c r="Q105" i="3" s="1"/>
  <c r="Q121" i="3" s="1"/>
  <c r="O167" i="3" l="1"/>
  <c r="P153" i="3"/>
  <c r="P156" i="3" s="1"/>
  <c r="N181" i="3"/>
  <c r="P161" i="3"/>
  <c r="N178" i="3"/>
  <c r="O172" i="3" s="1"/>
  <c r="M183" i="3"/>
  <c r="P145" i="3"/>
  <c r="Q141" i="3" s="1"/>
  <c r="P162" i="3"/>
  <c r="P175" i="3" s="1"/>
  <c r="Q113" i="3"/>
  <c r="Q129" i="3" s="1"/>
  <c r="Q126" i="3" s="1"/>
  <c r="N183" i="3" l="1"/>
  <c r="P163" i="3"/>
  <c r="P164" i="3" s="1"/>
  <c r="Q159" i="3" s="1"/>
  <c r="P154" i="3"/>
  <c r="Q150" i="3" s="1"/>
  <c r="M187" i="3"/>
  <c r="M188" i="3"/>
  <c r="M212" i="3" s="1"/>
  <c r="O169" i="3"/>
  <c r="O177" i="3" s="1"/>
  <c r="R111" i="3"/>
  <c r="Q127" i="3"/>
  <c r="Q131" i="3"/>
  <c r="Q137" i="3" s="1"/>
  <c r="Q138" i="3" s="1"/>
  <c r="Q144" i="3" s="1"/>
  <c r="O180" i="3" l="1"/>
  <c r="O178" i="3"/>
  <c r="P172" i="3" s="1"/>
  <c r="Q161" i="3"/>
  <c r="Q145" i="3"/>
  <c r="R141" i="3" s="1"/>
  <c r="P176" i="3"/>
  <c r="P166" i="3"/>
  <c r="Q200" i="3"/>
  <c r="Q147" i="3"/>
  <c r="Q153" i="3" s="1"/>
  <c r="M190" i="3"/>
  <c r="M206" i="3"/>
  <c r="N188" i="3"/>
  <c r="N212" i="3" s="1"/>
  <c r="N187" i="3"/>
  <c r="R112" i="3"/>
  <c r="R104" i="3" s="1"/>
  <c r="R105" i="3" l="1"/>
  <c r="R121" i="3" s="1"/>
  <c r="Q154" i="3"/>
  <c r="R150" i="3" s="1"/>
  <c r="Q162" i="3"/>
  <c r="P167" i="3"/>
  <c r="P169" i="3" s="1"/>
  <c r="P177" i="3" s="1"/>
  <c r="Q156" i="3"/>
  <c r="Q163" i="3" s="1"/>
  <c r="N190" i="3"/>
  <c r="N206" i="3"/>
  <c r="O181" i="3"/>
  <c r="R113" i="3"/>
  <c r="R129" i="3" l="1"/>
  <c r="R126" i="3" s="1"/>
  <c r="R127" i="3" s="1"/>
  <c r="Q176" i="3"/>
  <c r="Q166" i="3"/>
  <c r="P180" i="3"/>
  <c r="P178" i="3"/>
  <c r="Q172" i="3" s="1"/>
  <c r="O183" i="3"/>
  <c r="Q175" i="3"/>
  <c r="Q164" i="3"/>
  <c r="R159" i="3" s="1"/>
  <c r="R131" i="3" l="1"/>
  <c r="R137" i="3" s="1"/>
  <c r="R138" i="3" s="1"/>
  <c r="R144" i="3" s="1"/>
  <c r="R147" i="3" s="1"/>
  <c r="S111" i="3"/>
  <c r="Q167" i="3"/>
  <c r="R161" i="3"/>
  <c r="O188" i="3"/>
  <c r="O212" i="3" s="1"/>
  <c r="O187" i="3"/>
  <c r="P181" i="3"/>
  <c r="S112" i="3"/>
  <c r="S104" i="3" s="1"/>
  <c r="R200" i="3" l="1"/>
  <c r="S105" i="3"/>
  <c r="S121" i="3" s="1"/>
  <c r="R153" i="3"/>
  <c r="Q169" i="3"/>
  <c r="Q177" i="3" s="1"/>
  <c r="P183" i="3"/>
  <c r="R145" i="3"/>
  <c r="S141" i="3" s="1"/>
  <c r="O190" i="3"/>
  <c r="O206" i="3"/>
  <c r="S113" i="3"/>
  <c r="S129" i="3" l="1"/>
  <c r="S126" i="3" s="1"/>
  <c r="T111" i="3" s="1"/>
  <c r="R154" i="3"/>
  <c r="S150" i="3" s="1"/>
  <c r="P188" i="3"/>
  <c r="P212" i="3" s="1"/>
  <c r="P187" i="3"/>
  <c r="Q180" i="3"/>
  <c r="Q178" i="3"/>
  <c r="R172" i="3" s="1"/>
  <c r="R162" i="3"/>
  <c r="R156" i="3"/>
  <c r="S131" i="3" l="1"/>
  <c r="S137" i="3" s="1"/>
  <c r="S138" i="3" s="1"/>
  <c r="S144" i="3" s="1"/>
  <c r="S145" i="3" s="1"/>
  <c r="T141" i="3" s="1"/>
  <c r="S127" i="3"/>
  <c r="R175" i="3"/>
  <c r="R163" i="3"/>
  <c r="R164" i="3" s="1"/>
  <c r="S159" i="3" s="1"/>
  <c r="Q181" i="3"/>
  <c r="P190" i="3"/>
  <c r="P206" i="3"/>
  <c r="T112" i="3"/>
  <c r="T104" i="3" s="1"/>
  <c r="S147" i="3" l="1"/>
  <c r="S153" i="3" s="1"/>
  <c r="S156" i="3" s="1"/>
  <c r="S200" i="3"/>
  <c r="T105" i="3"/>
  <c r="T121" i="3" s="1"/>
  <c r="Q183" i="3"/>
  <c r="R176" i="3"/>
  <c r="R166" i="3"/>
  <c r="S161" i="3"/>
  <c r="T113" i="3"/>
  <c r="T129" i="3" l="1"/>
  <c r="T126" i="3" s="1"/>
  <c r="R167" i="3"/>
  <c r="S162" i="3"/>
  <c r="S175" i="3" s="1"/>
  <c r="S154" i="3"/>
  <c r="T150" i="3" s="1"/>
  <c r="Q188" i="3"/>
  <c r="Q212" i="3" s="1"/>
  <c r="Q187" i="3"/>
  <c r="T127" i="3" l="1"/>
  <c r="U111" i="3"/>
  <c r="U112" i="3" s="1"/>
  <c r="U104" i="3" s="1"/>
  <c r="T131" i="3"/>
  <c r="T137" i="3" s="1"/>
  <c r="T138" i="3" s="1"/>
  <c r="Q190" i="3"/>
  <c r="Q206" i="3"/>
  <c r="R169" i="3"/>
  <c r="R177" i="3" s="1"/>
  <c r="T200" i="3"/>
  <c r="T144" i="3"/>
  <c r="T147" i="3" s="1"/>
  <c r="S163" i="3"/>
  <c r="U105" i="3" l="1"/>
  <c r="U121" i="3" s="1"/>
  <c r="T153" i="3"/>
  <c r="T162" i="3" s="1"/>
  <c r="T175" i="3" s="1"/>
  <c r="R180" i="3"/>
  <c r="R178" i="3"/>
  <c r="S172" i="3" s="1"/>
  <c r="T145" i="3"/>
  <c r="U141" i="3" s="1"/>
  <c r="S176" i="3"/>
  <c r="S166" i="3"/>
  <c r="S164" i="3"/>
  <c r="T159" i="3" s="1"/>
  <c r="U113" i="3"/>
  <c r="U129" i="3" l="1"/>
  <c r="U126" i="3" s="1"/>
  <c r="T154" i="3"/>
  <c r="U150" i="3" s="1"/>
  <c r="R181" i="3"/>
  <c r="R183" i="3" s="1"/>
  <c r="T161" i="3"/>
  <c r="S167" i="3"/>
  <c r="T156" i="3"/>
  <c r="U131" i="3" l="1"/>
  <c r="U137" i="3" s="1"/>
  <c r="U138" i="3" s="1"/>
  <c r="U200" i="3" s="1"/>
  <c r="V111" i="3"/>
  <c r="U127" i="3"/>
  <c r="R187" i="3"/>
  <c r="R206" i="3" s="1"/>
  <c r="R188" i="3"/>
  <c r="R212" i="3" s="1"/>
  <c r="S169" i="3"/>
  <c r="S177" i="3" s="1"/>
  <c r="T163" i="3"/>
  <c r="V112" i="3"/>
  <c r="V104" i="3" s="1"/>
  <c r="U144" i="3" l="1"/>
  <c r="V105" i="3"/>
  <c r="V121" i="3" s="1"/>
  <c r="T176" i="3"/>
  <c r="T166" i="3"/>
  <c r="T164" i="3"/>
  <c r="U159" i="3" s="1"/>
  <c r="S180" i="3"/>
  <c r="S178" i="3"/>
  <c r="T172" i="3" s="1"/>
  <c r="U145" i="3"/>
  <c r="V141" i="3" s="1"/>
  <c r="R190" i="3"/>
  <c r="U147" i="3"/>
  <c r="V113" i="3"/>
  <c r="V129" i="3" l="1"/>
  <c r="V126" i="3" s="1"/>
  <c r="S181" i="3"/>
  <c r="T167" i="3"/>
  <c r="U161" i="3"/>
  <c r="U153" i="3"/>
  <c r="V131" i="3" l="1"/>
  <c r="V137" i="3" s="1"/>
  <c r="V138" i="3" s="1"/>
  <c r="V144" i="3" s="1"/>
  <c r="W111" i="3"/>
  <c r="W112" i="3" s="1"/>
  <c r="W104" i="3" s="1"/>
  <c r="W105" i="3" s="1"/>
  <c r="W121" i="3" s="1"/>
  <c r="V127" i="3"/>
  <c r="U154" i="3"/>
  <c r="V150" i="3" s="1"/>
  <c r="U162" i="3"/>
  <c r="U175" i="3" s="1"/>
  <c r="T169" i="3"/>
  <c r="T177" i="3" s="1"/>
  <c r="S183" i="3"/>
  <c r="U156" i="3"/>
  <c r="V200" i="3" l="1"/>
  <c r="T180" i="3"/>
  <c r="T178" i="3"/>
  <c r="U172" i="3" s="1"/>
  <c r="V145" i="3"/>
  <c r="W141" i="3" s="1"/>
  <c r="V147" i="3"/>
  <c r="S187" i="3"/>
  <c r="S188" i="3"/>
  <c r="S212" i="3" s="1"/>
  <c r="U163" i="3"/>
  <c r="W113" i="3"/>
  <c r="W129" i="3" s="1"/>
  <c r="W126" i="3" s="1"/>
  <c r="U164" i="3" l="1"/>
  <c r="V159" i="3" s="1"/>
  <c r="U176" i="3"/>
  <c r="U166" i="3"/>
  <c r="V153" i="3"/>
  <c r="S190" i="3"/>
  <c r="S206" i="3"/>
  <c r="T181" i="3"/>
  <c r="X111" i="3"/>
  <c r="W127" i="3"/>
  <c r="W131" i="3"/>
  <c r="W137" i="3" s="1"/>
  <c r="W138" i="3" s="1"/>
  <c r="W144" i="3" s="1"/>
  <c r="W145" i="3" l="1"/>
  <c r="X141" i="3" s="1"/>
  <c r="W200" i="3"/>
  <c r="W147" i="3"/>
  <c r="V162" i="3"/>
  <c r="V175" i="3" s="1"/>
  <c r="V154" i="3"/>
  <c r="W150" i="3" s="1"/>
  <c r="U167" i="3"/>
  <c r="V161" i="3"/>
  <c r="T183" i="3"/>
  <c r="V156" i="3"/>
  <c r="X112" i="3"/>
  <c r="X104" i="3" s="1"/>
  <c r="X105" i="3" s="1"/>
  <c r="X121" i="3" s="1"/>
  <c r="V163" i="3" l="1"/>
  <c r="V176" i="3" s="1"/>
  <c r="W153" i="3"/>
  <c r="W156" i="3" s="1"/>
  <c r="T188" i="3"/>
  <c r="T212" i="3" s="1"/>
  <c r="T187" i="3"/>
  <c r="U169" i="3"/>
  <c r="U177" i="3" s="1"/>
  <c r="X113" i="3"/>
  <c r="X129" i="3" s="1"/>
  <c r="X126" i="3" s="1"/>
  <c r="V164" i="3" l="1"/>
  <c r="W159" i="3" s="1"/>
  <c r="W161" i="3" s="1"/>
  <c r="V166" i="3"/>
  <c r="V167" i="3" s="1"/>
  <c r="V169" i="3" s="1"/>
  <c r="T190" i="3"/>
  <c r="T206" i="3"/>
  <c r="W162" i="3"/>
  <c r="W175" i="3" s="1"/>
  <c r="U180" i="3"/>
  <c r="U178" i="3"/>
  <c r="V172" i="3" s="1"/>
  <c r="W154" i="3"/>
  <c r="X150" i="3" s="1"/>
  <c r="Y111" i="3"/>
  <c r="X127" i="3"/>
  <c r="X131" i="3"/>
  <c r="X137" i="3" s="1"/>
  <c r="X138" i="3" s="1"/>
  <c r="W163" i="3" l="1"/>
  <c r="W176" i="3" s="1"/>
  <c r="X200" i="3"/>
  <c r="X144" i="3"/>
  <c r="X147" i="3" s="1"/>
  <c r="V177" i="3"/>
  <c r="V180" i="3" s="1"/>
  <c r="U181" i="3"/>
  <c r="Y112" i="3"/>
  <c r="Y104" i="3" s="1"/>
  <c r="Y105" i="3" s="1"/>
  <c r="Y121" i="3" s="1"/>
  <c r="W164" i="3" l="1"/>
  <c r="X159" i="3" s="1"/>
  <c r="X161" i="3" s="1"/>
  <c r="W166" i="3"/>
  <c r="V178" i="3"/>
  <c r="W172" i="3" s="1"/>
  <c r="X153" i="3"/>
  <c r="U183" i="3"/>
  <c r="V181" i="3"/>
  <c r="W167" i="3"/>
  <c r="W169" i="3" s="1"/>
  <c r="X162" i="3"/>
  <c r="X175" i="3" s="1"/>
  <c r="X145" i="3"/>
  <c r="Y141" i="3" s="1"/>
  <c r="Y113" i="3"/>
  <c r="W177" i="3" l="1"/>
  <c r="W180" i="3" s="1"/>
  <c r="U187" i="3"/>
  <c r="U188" i="3"/>
  <c r="U212" i="3" s="1"/>
  <c r="X154" i="3"/>
  <c r="Y150" i="3" s="1"/>
  <c r="V183" i="3"/>
  <c r="X156" i="3"/>
  <c r="X163" i="3" s="1"/>
  <c r="Y129" i="3"/>
  <c r="Y131" i="3" s="1"/>
  <c r="Y137" i="3" s="1"/>
  <c r="Y138" i="3" s="1"/>
  <c r="W178" i="3" l="1"/>
  <c r="X172" i="3" s="1"/>
  <c r="X164" i="3"/>
  <c r="Y159" i="3" s="1"/>
  <c r="X176" i="3"/>
  <c r="X166" i="3"/>
  <c r="V188" i="3"/>
  <c r="V212" i="3" s="1"/>
  <c r="V187" i="3"/>
  <c r="Y200" i="3"/>
  <c r="U190" i="3"/>
  <c r="U206" i="3"/>
  <c r="Y144" i="3"/>
  <c r="Y147" i="3" s="1"/>
  <c r="W181" i="3"/>
  <c r="Y126" i="3"/>
  <c r="Y153" i="3" l="1"/>
  <c r="Y162" i="3" s="1"/>
  <c r="Y175" i="3" s="1"/>
  <c r="W183" i="3"/>
  <c r="V190" i="3"/>
  <c r="V206" i="3"/>
  <c r="Y145" i="3"/>
  <c r="Z141" i="3" s="1"/>
  <c r="X167" i="3"/>
  <c r="X169" i="3" s="1"/>
  <c r="X177" i="3" s="1"/>
  <c r="Y161" i="3"/>
  <c r="Z111" i="3"/>
  <c r="Y127" i="3"/>
  <c r="W188" i="3" l="1"/>
  <c r="W212" i="3" s="1"/>
  <c r="W187" i="3"/>
  <c r="Y154" i="3"/>
  <c r="Z150" i="3" s="1"/>
  <c r="X180" i="3"/>
  <c r="X178" i="3"/>
  <c r="Y172" i="3" s="1"/>
  <c r="Y156" i="3"/>
  <c r="Y163" i="3" s="1"/>
  <c r="Z112" i="3"/>
  <c r="Z104" i="3" s="1"/>
  <c r="Z105" i="3" s="1"/>
  <c r="Z121" i="3" s="1"/>
  <c r="Y176" i="3" l="1"/>
  <c r="Y166" i="3"/>
  <c r="Y164" i="3"/>
  <c r="Z159" i="3" s="1"/>
  <c r="W190" i="3"/>
  <c r="W206" i="3"/>
  <c r="X181" i="3"/>
  <c r="Z113" i="3"/>
  <c r="Z129" i="3" s="1"/>
  <c r="Z126" i="3" s="1"/>
  <c r="Z161" i="3" l="1"/>
  <c r="Y167" i="3"/>
  <c r="X183" i="3"/>
  <c r="AA111" i="3"/>
  <c r="Z127" i="3"/>
  <c r="Z131" i="3"/>
  <c r="Z137" i="3" s="1"/>
  <c r="Z138" i="3" s="1"/>
  <c r="X188" i="3" l="1"/>
  <c r="X212" i="3" s="1"/>
  <c r="X187" i="3"/>
  <c r="Y169" i="3"/>
  <c r="Y177" i="3" s="1"/>
  <c r="Z200" i="3"/>
  <c r="Z144" i="3"/>
  <c r="AA112" i="3"/>
  <c r="AA104" i="3" s="1"/>
  <c r="AA105" i="3" s="1"/>
  <c r="AA121" i="3" s="1"/>
  <c r="Y180" i="3" l="1"/>
  <c r="Y178" i="3"/>
  <c r="Z172" i="3" s="1"/>
  <c r="X190" i="3"/>
  <c r="X206" i="3"/>
  <c r="Z145" i="3"/>
  <c r="AA141" i="3" s="1"/>
  <c r="Z147" i="3"/>
  <c r="AA113" i="3"/>
  <c r="AA129" i="3" s="1"/>
  <c r="AA126" i="3" s="1"/>
  <c r="Z153" i="3" l="1"/>
  <c r="Y181" i="3"/>
  <c r="Y183" i="3" s="1"/>
  <c r="AB111" i="3"/>
  <c r="AA127" i="3"/>
  <c r="AA131" i="3"/>
  <c r="AA137" i="3" s="1"/>
  <c r="AA138" i="3" s="1"/>
  <c r="AA144" i="3" s="1"/>
  <c r="AA145" i="3" l="1"/>
  <c r="AB141" i="3" s="1"/>
  <c r="Y188" i="3"/>
  <c r="Y212" i="3" s="1"/>
  <c r="Y187" i="3"/>
  <c r="Z154" i="3"/>
  <c r="AA150" i="3" s="1"/>
  <c r="Z162" i="3"/>
  <c r="AA200" i="3"/>
  <c r="AA147" i="3"/>
  <c r="Z156" i="3"/>
  <c r="AB112" i="3"/>
  <c r="AB104" i="3" s="1"/>
  <c r="AB105" i="3" s="1"/>
  <c r="AB121" i="3" s="1"/>
  <c r="Z175" i="3" l="1"/>
  <c r="Z163" i="3"/>
  <c r="AA153" i="3"/>
  <c r="Y190" i="3"/>
  <c r="Y206" i="3"/>
  <c r="AB113" i="3"/>
  <c r="AB129" i="3" s="1"/>
  <c r="AB126" i="3" s="1"/>
  <c r="Z176" i="3" l="1"/>
  <c r="Z166" i="3"/>
  <c r="AA162" i="3"/>
  <c r="AA175" i="3" s="1"/>
  <c r="Z164" i="3"/>
  <c r="AA159" i="3" s="1"/>
  <c r="AA154" i="3"/>
  <c r="AB150" i="3" s="1"/>
  <c r="AA156" i="3"/>
  <c r="AC111" i="3"/>
  <c r="AB127" i="3"/>
  <c r="AB131" i="3"/>
  <c r="AB137" i="3" s="1"/>
  <c r="AB138" i="3" s="1"/>
  <c r="AB200" i="3" l="1"/>
  <c r="AB144" i="3"/>
  <c r="AA161" i="3"/>
  <c r="Z167" i="3"/>
  <c r="AC112" i="3"/>
  <c r="AC104" i="3" s="1"/>
  <c r="AC105" i="3" s="1"/>
  <c r="AC121" i="3" s="1"/>
  <c r="AA163" i="3" l="1"/>
  <c r="AB145" i="3"/>
  <c r="AC141" i="3" s="1"/>
  <c r="AB147" i="3"/>
  <c r="Z169" i="3"/>
  <c r="Z177" i="3" s="1"/>
  <c r="AC113" i="3"/>
  <c r="AC129" i="3" s="1"/>
  <c r="AC126" i="3" s="1"/>
  <c r="AB153" i="3" l="1"/>
  <c r="AA176" i="3"/>
  <c r="AA166" i="3"/>
  <c r="Z180" i="3"/>
  <c r="Z178" i="3"/>
  <c r="AA172" i="3" s="1"/>
  <c r="AA164" i="3"/>
  <c r="AB159" i="3" s="1"/>
  <c r="AD111" i="3"/>
  <c r="AC127" i="3"/>
  <c r="AC131" i="3"/>
  <c r="AC137" i="3" s="1"/>
  <c r="AC138" i="3" s="1"/>
  <c r="Z181" i="3" l="1"/>
  <c r="AC200" i="3"/>
  <c r="AA167" i="3"/>
  <c r="AB154" i="3"/>
  <c r="AC150" i="3" s="1"/>
  <c r="AB162" i="3"/>
  <c r="AB175" i="3" s="1"/>
  <c r="AB156" i="3"/>
  <c r="AB161" i="3"/>
  <c r="AB163" i="3" s="1"/>
  <c r="AC144" i="3"/>
  <c r="AD112" i="3"/>
  <c r="AD104" i="3" s="1"/>
  <c r="AD105" i="3" l="1"/>
  <c r="AD121" i="3" s="1"/>
  <c r="AB176" i="3"/>
  <c r="AB166" i="3"/>
  <c r="AC145" i="3"/>
  <c r="AD141" i="3" s="1"/>
  <c r="AA169" i="3"/>
  <c r="AA177" i="3" s="1"/>
  <c r="AC147" i="3"/>
  <c r="AB164" i="3"/>
  <c r="AC159" i="3" s="1"/>
  <c r="Z183" i="3"/>
  <c r="AD113" i="3"/>
  <c r="AD129" i="3" s="1"/>
  <c r="AD126" i="3" l="1"/>
  <c r="AD127" i="3" s="1"/>
  <c r="AA180" i="3"/>
  <c r="AA178" i="3"/>
  <c r="AB172" i="3" s="1"/>
  <c r="Z187" i="3"/>
  <c r="Z206" i="3" s="1"/>
  <c r="Z188" i="3"/>
  <c r="Z212" i="3" s="1"/>
  <c r="AB167" i="3"/>
  <c r="AB169" i="3" s="1"/>
  <c r="AB177" i="3" s="1"/>
  <c r="AB180" i="3" s="1"/>
  <c r="AB181" i="3" s="1"/>
  <c r="AB183" i="3" s="1"/>
  <c r="AC153" i="3"/>
  <c r="AC161" i="3"/>
  <c r="AE111" i="3"/>
  <c r="AD131" i="3"/>
  <c r="AD137" i="3" s="1"/>
  <c r="AD138" i="3" s="1"/>
  <c r="AD144" i="3" s="1"/>
  <c r="AB188" i="3" l="1"/>
  <c r="AB212" i="3" s="1"/>
  <c r="AB187" i="3"/>
  <c r="AB178" i="3"/>
  <c r="AC172" i="3" s="1"/>
  <c r="Z190" i="3"/>
  <c r="AC154" i="3"/>
  <c r="AD150" i="3" s="1"/>
  <c r="AC162" i="3"/>
  <c r="AC175" i="3" s="1"/>
  <c r="AA181" i="3"/>
  <c r="AD145" i="3"/>
  <c r="AE141" i="3" s="1"/>
  <c r="AD200" i="3"/>
  <c r="AD147" i="3"/>
  <c r="AB206" i="3"/>
  <c r="AC156" i="3"/>
  <c r="AE112" i="3"/>
  <c r="AE104" i="3" s="1"/>
  <c r="AE105" i="3" l="1"/>
  <c r="AE121" i="3" s="1"/>
  <c r="AB190" i="3"/>
  <c r="AC163" i="3"/>
  <c r="AC176" i="3" s="1"/>
  <c r="AD153" i="3"/>
  <c r="AD154" i="3" s="1"/>
  <c r="AE150" i="3" s="1"/>
  <c r="AA183" i="3"/>
  <c r="AC164" i="3"/>
  <c r="AD159" i="3" s="1"/>
  <c r="AE113" i="3"/>
  <c r="AE129" i="3" l="1"/>
  <c r="AE126" i="3" s="1"/>
  <c r="AF111" i="3" s="1"/>
  <c r="AC166" i="3"/>
  <c r="AC167" i="3" s="1"/>
  <c r="AD162" i="3"/>
  <c r="AD175" i="3" s="1"/>
  <c r="AD161" i="3"/>
  <c r="AD156" i="3"/>
  <c r="AA187" i="3"/>
  <c r="AA188" i="3"/>
  <c r="AA212" i="3" s="1"/>
  <c r="AD163" i="3" l="1"/>
  <c r="AD166" i="3" s="1"/>
  <c r="AE131" i="3"/>
  <c r="AE137" i="3" s="1"/>
  <c r="AE138" i="3" s="1"/>
  <c r="AE200" i="3" s="1"/>
  <c r="AE127" i="3"/>
  <c r="AC169" i="3"/>
  <c r="AC177" i="3" s="1"/>
  <c r="AA190" i="3"/>
  <c r="AA206" i="3"/>
  <c r="AF112" i="3"/>
  <c r="AF104" i="3" s="1"/>
  <c r="AD176" i="3" l="1"/>
  <c r="AD164" i="3"/>
  <c r="AE159" i="3" s="1"/>
  <c r="AE144" i="3"/>
  <c r="AE147" i="3" s="1"/>
  <c r="AE153" i="3" s="1"/>
  <c r="AF105" i="3"/>
  <c r="AF121" i="3" s="1"/>
  <c r="AC180" i="3"/>
  <c r="AC178" i="3"/>
  <c r="AD172" i="3" s="1"/>
  <c r="AD167" i="3"/>
  <c r="AE161" i="3"/>
  <c r="AF113" i="3"/>
  <c r="AE145" i="3" l="1"/>
  <c r="AF141" i="3" s="1"/>
  <c r="AD169" i="3"/>
  <c r="AD177" i="3" s="1"/>
  <c r="AD180" i="3" s="1"/>
  <c r="AC181" i="3"/>
  <c r="AE154" i="3"/>
  <c r="AF150" i="3" s="1"/>
  <c r="AE162" i="3"/>
  <c r="AE175" i="3" s="1"/>
  <c r="AE156" i="3"/>
  <c r="AF129" i="3"/>
  <c r="AF131" i="3" l="1"/>
  <c r="AF137" i="3" s="1"/>
  <c r="AF138" i="3" s="1"/>
  <c r="AF144" i="3" s="1"/>
  <c r="AF145" i="3" s="1"/>
  <c r="AG141" i="3" s="1"/>
  <c r="AD178" i="3"/>
  <c r="AE172" i="3" s="1"/>
  <c r="AF126" i="3"/>
  <c r="AG111" i="3" s="1"/>
  <c r="AD181" i="3"/>
  <c r="AC183" i="3"/>
  <c r="AE163" i="3"/>
  <c r="AE164" i="3" s="1"/>
  <c r="AF159" i="3" s="1"/>
  <c r="AF147" i="3" l="1"/>
  <c r="AF153" i="3" s="1"/>
  <c r="AF162" i="3" s="1"/>
  <c r="AF175" i="3" s="1"/>
  <c r="AF200" i="3"/>
  <c r="AF127" i="3"/>
  <c r="AF161" i="3"/>
  <c r="AC187" i="3"/>
  <c r="AC188" i="3"/>
  <c r="AC212" i="3" s="1"/>
  <c r="AD183" i="3"/>
  <c r="AE176" i="3"/>
  <c r="AE166" i="3"/>
  <c r="AG112" i="3"/>
  <c r="AG104" i="3" s="1"/>
  <c r="AF156" i="3" l="1"/>
  <c r="AF163" i="3" s="1"/>
  <c r="AF176" i="3" s="1"/>
  <c r="AF154" i="3"/>
  <c r="AG150" i="3" s="1"/>
  <c r="AG105" i="3"/>
  <c r="AG121" i="3" s="1"/>
  <c r="AD188" i="3"/>
  <c r="AD212" i="3" s="1"/>
  <c r="AD187" i="3"/>
  <c r="AC190" i="3"/>
  <c r="AC206" i="3"/>
  <c r="AE167" i="3"/>
  <c r="AG113" i="3"/>
  <c r="AG129" i="3" l="1"/>
  <c r="AG126" i="3" s="1"/>
  <c r="AF166" i="3"/>
  <c r="AF167" i="3" s="1"/>
  <c r="AF164" i="3"/>
  <c r="AG159" i="3" s="1"/>
  <c r="AG161" i="3" s="1"/>
  <c r="AD190" i="3"/>
  <c r="AD206" i="3"/>
  <c r="AE169" i="3"/>
  <c r="AE177" i="3" s="1"/>
  <c r="AG127" i="3" l="1"/>
  <c r="AH111" i="3"/>
  <c r="AH112" i="3" s="1"/>
  <c r="AH104" i="3" s="1"/>
  <c r="AG131" i="3"/>
  <c r="AG137" i="3" s="1"/>
  <c r="AG138" i="3" s="1"/>
  <c r="AG200" i="3" s="1"/>
  <c r="AF169" i="3"/>
  <c r="AE180" i="3"/>
  <c r="AE178" i="3"/>
  <c r="AF172" i="3" s="1"/>
  <c r="AG144" i="3" l="1"/>
  <c r="AG145" i="3" s="1"/>
  <c r="AH141" i="3" s="1"/>
  <c r="AH105" i="3"/>
  <c r="AH121" i="3" s="1"/>
  <c r="AF177" i="3"/>
  <c r="AF180" i="3" s="1"/>
  <c r="AF181" i="3" s="1"/>
  <c r="AE181" i="3"/>
  <c r="AH113" i="3"/>
  <c r="AG147" i="3" l="1"/>
  <c r="AG153" i="3" s="1"/>
  <c r="AF178" i="3"/>
  <c r="AG172" i="3" s="1"/>
  <c r="AH129" i="3"/>
  <c r="AH131" i="3" s="1"/>
  <c r="AH137" i="3" s="1"/>
  <c r="AH138" i="3" s="1"/>
  <c r="AF183" i="3"/>
  <c r="AE183" i="3"/>
  <c r="AH126" i="3" l="1"/>
  <c r="AE188" i="3"/>
  <c r="AE212" i="3" s="1"/>
  <c r="AE187" i="3"/>
  <c r="AH200" i="3"/>
  <c r="AH144" i="3"/>
  <c r="AG154" i="3"/>
  <c r="AH150" i="3" s="1"/>
  <c r="AG162" i="3"/>
  <c r="AF188" i="3"/>
  <c r="AF212" i="3" s="1"/>
  <c r="AF187" i="3"/>
  <c r="AG156" i="3"/>
  <c r="AH127" i="3" l="1"/>
  <c r="AI111" i="3"/>
  <c r="AI112" i="3" s="1"/>
  <c r="AI104" i="3" s="1"/>
  <c r="AI105" i="3" s="1"/>
  <c r="AI121" i="3" s="1"/>
  <c r="AG175" i="3"/>
  <c r="AG163" i="3"/>
  <c r="AG164" i="3" s="1"/>
  <c r="AH159" i="3" s="1"/>
  <c r="AH145" i="3"/>
  <c r="AI141" i="3" s="1"/>
  <c r="AH147" i="3"/>
  <c r="AH153" i="3" s="1"/>
  <c r="AE190" i="3"/>
  <c r="AE206" i="3"/>
  <c r="AF190" i="3"/>
  <c r="AF206" i="3"/>
  <c r="AI113" i="3" l="1"/>
  <c r="AI129" i="3" s="1"/>
  <c r="AI131" i="3" s="1"/>
  <c r="AI137" i="3" s="1"/>
  <c r="AI138" i="3" s="1"/>
  <c r="AH154" i="3"/>
  <c r="AI150" i="3" s="1"/>
  <c r="AH162" i="3"/>
  <c r="AH175" i="3" s="1"/>
  <c r="AH161" i="3"/>
  <c r="AG176" i="3"/>
  <c r="AG166" i="3"/>
  <c r="AH156" i="3"/>
  <c r="AH163" i="3" l="1"/>
  <c r="AH176" i="3" s="1"/>
  <c r="AI126" i="3"/>
  <c r="AJ111" i="3" s="1"/>
  <c r="AI200" i="3"/>
  <c r="AG167" i="3"/>
  <c r="AI144" i="3"/>
  <c r="AI147" i="3" s="1"/>
  <c r="AH164" i="3" l="1"/>
  <c r="AI159" i="3" s="1"/>
  <c r="AI161" i="3" s="1"/>
  <c r="AH166" i="3"/>
  <c r="AH167" i="3" s="1"/>
  <c r="AI153" i="3"/>
  <c r="AI162" i="3" s="1"/>
  <c r="AI175" i="3" s="1"/>
  <c r="AG169" i="3"/>
  <c r="AG177" i="3" s="1"/>
  <c r="AI127" i="3"/>
  <c r="AI145" i="3"/>
  <c r="AJ141" i="3" s="1"/>
  <c r="AJ112" i="3"/>
  <c r="AJ104" i="3" s="1"/>
  <c r="AJ105" i="3" s="1"/>
  <c r="AJ121" i="3" s="1"/>
  <c r="AI154" i="3" l="1"/>
  <c r="AJ150" i="3" s="1"/>
  <c r="AG180" i="3"/>
  <c r="AG178" i="3"/>
  <c r="AH172" i="3" s="1"/>
  <c r="AH169" i="3"/>
  <c r="AI156" i="3"/>
  <c r="AI163" i="3" s="1"/>
  <c r="AJ113" i="3"/>
  <c r="AJ129" i="3" s="1"/>
  <c r="AJ126" i="3" s="1"/>
  <c r="AH177" i="3" l="1"/>
  <c r="AH180" i="3" s="1"/>
  <c r="AI176" i="3"/>
  <c r="AI166" i="3"/>
  <c r="AI164" i="3"/>
  <c r="AJ159" i="3" s="1"/>
  <c r="AG181" i="3"/>
  <c r="AK111" i="3"/>
  <c r="AJ127" i="3"/>
  <c r="AJ131" i="3"/>
  <c r="AJ137" i="3" s="1"/>
  <c r="AJ138" i="3" s="1"/>
  <c r="AH178" i="3" l="1"/>
  <c r="AI172" i="3" s="1"/>
  <c r="AH181" i="3"/>
  <c r="AH183" i="3" s="1"/>
  <c r="AH187" i="3" s="1"/>
  <c r="AH206" i="3" s="1"/>
  <c r="AJ200" i="3"/>
  <c r="AJ144" i="3"/>
  <c r="AJ147" i="3" s="1"/>
  <c r="AI167" i="3"/>
  <c r="AJ161" i="3"/>
  <c r="AG183" i="3"/>
  <c r="AK112" i="3"/>
  <c r="AK104" i="3" s="1"/>
  <c r="AK105" i="3" s="1"/>
  <c r="AK121" i="3" s="1"/>
  <c r="AH188" i="3" l="1"/>
  <c r="AH212" i="3" s="1"/>
  <c r="AJ153" i="3"/>
  <c r="AI169" i="3"/>
  <c r="AI177" i="3" s="1"/>
  <c r="AG188" i="3"/>
  <c r="AG212" i="3" s="1"/>
  <c r="AG187" i="3"/>
  <c r="AJ145" i="3"/>
  <c r="AK141" i="3" s="1"/>
  <c r="AK113" i="3"/>
  <c r="AK129" i="3" s="1"/>
  <c r="AK126" i="3" s="1"/>
  <c r="AH190" i="3" l="1"/>
  <c r="AG190" i="3"/>
  <c r="AG206" i="3"/>
  <c r="AI180" i="3"/>
  <c r="AI178" i="3"/>
  <c r="AJ172" i="3" s="1"/>
  <c r="AJ154" i="3"/>
  <c r="AK150" i="3" s="1"/>
  <c r="AJ156" i="3"/>
  <c r="AJ162" i="3"/>
  <c r="AL111" i="3"/>
  <c r="AK127" i="3"/>
  <c r="AK131" i="3"/>
  <c r="AK137" i="3" s="1"/>
  <c r="AK138" i="3" s="1"/>
  <c r="AK200" i="3" l="1"/>
  <c r="AJ175" i="3"/>
  <c r="AJ163" i="3"/>
  <c r="AJ164" i="3" s="1"/>
  <c r="AK159" i="3" s="1"/>
  <c r="AI181" i="3"/>
  <c r="AI183" i="3" s="1"/>
  <c r="AK144" i="3"/>
  <c r="AK147" i="3" s="1"/>
  <c r="AL112" i="3"/>
  <c r="AL104" i="3" s="1"/>
  <c r="AL105" i="3" s="1"/>
  <c r="AL121" i="3" s="1"/>
  <c r="AK153" i="3" l="1"/>
  <c r="AK162" i="3" s="1"/>
  <c r="AK175" i="3" s="1"/>
  <c r="AK161" i="3"/>
  <c r="AJ176" i="3"/>
  <c r="AJ166" i="3"/>
  <c r="AK145" i="3"/>
  <c r="AL141" i="3" s="1"/>
  <c r="AI187" i="3"/>
  <c r="AI188" i="3"/>
  <c r="AI212" i="3" s="1"/>
  <c r="AL113" i="3"/>
  <c r="AL129" i="3" s="1"/>
  <c r="AL126" i="3" s="1"/>
  <c r="AI190" i="3" l="1"/>
  <c r="AI206" i="3"/>
  <c r="AK154" i="3"/>
  <c r="AL150" i="3" s="1"/>
  <c r="AJ167" i="3"/>
  <c r="AK156" i="3"/>
  <c r="AK163" i="3" s="1"/>
  <c r="AM111" i="3"/>
  <c r="AL127" i="3"/>
  <c r="AL131" i="3"/>
  <c r="AL137" i="3" s="1"/>
  <c r="AL138" i="3" s="1"/>
  <c r="AK176" i="3" l="1"/>
  <c r="AK166" i="3"/>
  <c r="AK164" i="3"/>
  <c r="AL159" i="3" s="1"/>
  <c r="AL200" i="3"/>
  <c r="AL144" i="3"/>
  <c r="AJ169" i="3"/>
  <c r="AJ177" i="3" s="1"/>
  <c r="AM112" i="3"/>
  <c r="AM104" i="3" s="1"/>
  <c r="AM105" i="3" s="1"/>
  <c r="AM121" i="3" s="1"/>
  <c r="AL145" i="3" l="1"/>
  <c r="AM141" i="3" s="1"/>
  <c r="AL161" i="3"/>
  <c r="AK167" i="3"/>
  <c r="AL147" i="3"/>
  <c r="AJ180" i="3"/>
  <c r="AJ178" i="3"/>
  <c r="AK172" i="3" s="1"/>
  <c r="AM113" i="3"/>
  <c r="AM129" i="3" s="1"/>
  <c r="AM126" i="3" s="1"/>
  <c r="AK169" i="3" l="1"/>
  <c r="AK177" i="3" s="1"/>
  <c r="AK180" i="3" s="1"/>
  <c r="AJ181" i="3"/>
  <c r="AL153" i="3"/>
  <c r="AN111" i="3"/>
  <c r="AM127" i="3"/>
  <c r="AM131" i="3"/>
  <c r="AM137" i="3" s="1"/>
  <c r="AM138" i="3" s="1"/>
  <c r="AK178" i="3" l="1"/>
  <c r="AL172" i="3" s="1"/>
  <c r="AJ183" i="3"/>
  <c r="AM200" i="3"/>
  <c r="AL154" i="3"/>
  <c r="AM150" i="3" s="1"/>
  <c r="AL162" i="3"/>
  <c r="AM144" i="3"/>
  <c r="AM147" i="3" s="1"/>
  <c r="AK181" i="3"/>
  <c r="AL156" i="3"/>
  <c r="AN112" i="3"/>
  <c r="AN104" i="3" s="1"/>
  <c r="AN105" i="3" s="1"/>
  <c r="AN121" i="3" s="1"/>
  <c r="AM153" i="3" l="1"/>
  <c r="AM154" i="3" s="1"/>
  <c r="AN150" i="3" s="1"/>
  <c r="AK183" i="3"/>
  <c r="AJ188" i="3"/>
  <c r="AJ212" i="3" s="1"/>
  <c r="AJ187" i="3"/>
  <c r="AM145" i="3"/>
  <c r="AN141" i="3" s="1"/>
  <c r="AL175" i="3"/>
  <c r="AL163" i="3"/>
  <c r="AL164" i="3" s="1"/>
  <c r="AM159" i="3" s="1"/>
  <c r="AN113" i="3"/>
  <c r="AN129" i="3" s="1"/>
  <c r="AN126" i="3" s="1"/>
  <c r="AM162" i="3" l="1"/>
  <c r="AM175" i="3" s="1"/>
  <c r="AM156" i="3"/>
  <c r="AM161" i="3"/>
  <c r="AJ190" i="3"/>
  <c r="AJ206" i="3"/>
  <c r="AL176" i="3"/>
  <c r="AL166" i="3"/>
  <c r="AK187" i="3"/>
  <c r="AK188" i="3"/>
  <c r="AK212" i="3" s="1"/>
  <c r="AO111" i="3"/>
  <c r="AN127" i="3"/>
  <c r="AN131" i="3"/>
  <c r="AN137" i="3" s="1"/>
  <c r="AN138" i="3" s="1"/>
  <c r="AN144" i="3" s="1"/>
  <c r="AN145" i="3" s="1"/>
  <c r="AO141" i="3" s="1"/>
  <c r="AM163" i="3" l="1"/>
  <c r="AM166" i="3" s="1"/>
  <c r="AL167" i="3"/>
  <c r="AL169" i="3" s="1"/>
  <c r="AL177" i="3" s="1"/>
  <c r="AK190" i="3"/>
  <c r="AK206" i="3"/>
  <c r="AN200" i="3"/>
  <c r="AN147" i="3"/>
  <c r="AO112" i="3"/>
  <c r="AO104" i="3" s="1"/>
  <c r="AO105" i="3" s="1"/>
  <c r="AO121" i="3" s="1"/>
  <c r="AM176" i="3" l="1"/>
  <c r="AM164" i="3"/>
  <c r="AN159" i="3" s="1"/>
  <c r="AN161" i="3" s="1"/>
  <c r="AL180" i="3"/>
  <c r="AL178" i="3"/>
  <c r="AM172" i="3" s="1"/>
  <c r="AM167" i="3"/>
  <c r="AN153" i="3"/>
  <c r="AO113" i="3"/>
  <c r="AO129" i="3" s="1"/>
  <c r="AO126" i="3" s="1"/>
  <c r="AN154" i="3" l="1"/>
  <c r="AO150" i="3" s="1"/>
  <c r="AN162" i="3"/>
  <c r="AN175" i="3" s="1"/>
  <c r="AM169" i="3"/>
  <c r="AM177" i="3" s="1"/>
  <c r="AM180" i="3" s="1"/>
  <c r="AN156" i="3"/>
  <c r="AL181" i="3"/>
  <c r="AP111" i="3"/>
  <c r="AO127" i="3"/>
  <c r="AO131" i="3"/>
  <c r="AO137" i="3" s="1"/>
  <c r="AO138" i="3" s="1"/>
  <c r="AN163" i="3" l="1"/>
  <c r="AN166" i="3" s="1"/>
  <c r="AM181" i="3"/>
  <c r="AO200" i="3"/>
  <c r="AO144" i="3"/>
  <c r="AM178" i="3"/>
  <c r="AN172" i="3" s="1"/>
  <c r="AL183" i="3"/>
  <c r="AP112" i="3"/>
  <c r="AP104" i="3" s="1"/>
  <c r="AN164" i="3" l="1"/>
  <c r="AO159" i="3" s="1"/>
  <c r="AO161" i="3" s="1"/>
  <c r="AN176" i="3"/>
  <c r="AP105" i="3"/>
  <c r="AP121" i="3" s="1"/>
  <c r="AO145" i="3"/>
  <c r="AP141" i="3" s="1"/>
  <c r="AO147" i="3"/>
  <c r="AN167" i="3"/>
  <c r="AM183" i="3"/>
  <c r="AL188" i="3"/>
  <c r="AL212" i="3" s="1"/>
  <c r="AL187" i="3"/>
  <c r="AP113" i="3"/>
  <c r="AP129" i="3" l="1"/>
  <c r="AP126" i="3" s="1"/>
  <c r="AQ111" i="3" s="1"/>
  <c r="AN169" i="3"/>
  <c r="AN177" i="3" s="1"/>
  <c r="AL190" i="3"/>
  <c r="AL206" i="3"/>
  <c r="AO153" i="3"/>
  <c r="AM188" i="3"/>
  <c r="AM212" i="3" s="1"/>
  <c r="AM187" i="3"/>
  <c r="AP131" i="3" l="1"/>
  <c r="AP137" i="3" s="1"/>
  <c r="AP138" i="3" s="1"/>
  <c r="AP200" i="3" s="1"/>
  <c r="AP127" i="3"/>
  <c r="AN180" i="3"/>
  <c r="AN178" i="3"/>
  <c r="AO172" i="3" s="1"/>
  <c r="AM190" i="3"/>
  <c r="AM206" i="3"/>
  <c r="AO154" i="3"/>
  <c r="AP150" i="3" s="1"/>
  <c r="AO162" i="3"/>
  <c r="AO156" i="3"/>
  <c r="AQ112" i="3"/>
  <c r="AQ104" i="3" s="1"/>
  <c r="AP144" i="3" l="1"/>
  <c r="AP147" i="3" s="1"/>
  <c r="AP153" i="3" s="1"/>
  <c r="AQ105" i="3"/>
  <c r="AQ121" i="3" s="1"/>
  <c r="AN181" i="3"/>
  <c r="AO175" i="3"/>
  <c r="AO163" i="3"/>
  <c r="AQ113" i="3"/>
  <c r="AP145" i="3" l="1"/>
  <c r="AQ141" i="3" s="1"/>
  <c r="AQ129" i="3"/>
  <c r="AQ126" i="3" s="1"/>
  <c r="AQ127" i="3" s="1"/>
  <c r="AN183" i="3"/>
  <c r="AP154" i="3"/>
  <c r="AQ150" i="3" s="1"/>
  <c r="AP156" i="3"/>
  <c r="AO176" i="3"/>
  <c r="AO166" i="3"/>
  <c r="AO164" i="3"/>
  <c r="AP159" i="3" s="1"/>
  <c r="AP162" i="3"/>
  <c r="AP175" i="3" s="1"/>
  <c r="AQ131" i="3" l="1"/>
  <c r="AQ137" i="3" s="1"/>
  <c r="AQ138" i="3" s="1"/>
  <c r="AQ200" i="3" s="1"/>
  <c r="AR111" i="3"/>
  <c r="AR112" i="3" s="1"/>
  <c r="AR104" i="3" s="1"/>
  <c r="AP161" i="3"/>
  <c r="AP163" i="3" s="1"/>
  <c r="AP164" i="3" s="1"/>
  <c r="AQ159" i="3" s="1"/>
  <c r="AO167" i="3"/>
  <c r="AN188" i="3"/>
  <c r="AN212" i="3" s="1"/>
  <c r="AN187" i="3"/>
  <c r="AQ144" i="3" l="1"/>
  <c r="AQ145" i="3" s="1"/>
  <c r="AR141" i="3" s="1"/>
  <c r="AR105" i="3"/>
  <c r="AR121" i="3" s="1"/>
  <c r="AQ161" i="3"/>
  <c r="AO169" i="3"/>
  <c r="AO177" i="3" s="1"/>
  <c r="AN190" i="3"/>
  <c r="AN206" i="3"/>
  <c r="AP176" i="3"/>
  <c r="AP166" i="3"/>
  <c r="AR113" i="3"/>
  <c r="AR129" i="3" l="1"/>
  <c r="AQ147" i="3"/>
  <c r="AQ153" i="3" s="1"/>
  <c r="AR126" i="3"/>
  <c r="AS111" i="3" s="1"/>
  <c r="AO180" i="3"/>
  <c r="AO178" i="3"/>
  <c r="AP172" i="3" s="1"/>
  <c r="AP167" i="3"/>
  <c r="AR131" i="3"/>
  <c r="AR137" i="3" s="1"/>
  <c r="AR138" i="3" s="1"/>
  <c r="AR127" i="3" l="1"/>
  <c r="AP169" i="3"/>
  <c r="AP177" i="3" s="1"/>
  <c r="AP180" i="3" s="1"/>
  <c r="AQ154" i="3"/>
  <c r="AR150" i="3" s="1"/>
  <c r="AQ162" i="3"/>
  <c r="AO181" i="3"/>
  <c r="AR200" i="3"/>
  <c r="AQ156" i="3"/>
  <c r="AR144" i="3"/>
  <c r="AS112" i="3"/>
  <c r="AS104" i="3" s="1"/>
  <c r="AS105" i="3" l="1"/>
  <c r="AS121" i="3" s="1"/>
  <c r="AR145" i="3"/>
  <c r="AS141" i="3" s="1"/>
  <c r="AP178" i="3"/>
  <c r="AQ172" i="3" s="1"/>
  <c r="AQ175" i="3"/>
  <c r="AQ163" i="3"/>
  <c r="AR147" i="3"/>
  <c r="AR153" i="3" s="1"/>
  <c r="AO183" i="3"/>
  <c r="AP181" i="3"/>
  <c r="AP183" i="3" s="1"/>
  <c r="AS113" i="3"/>
  <c r="AS129" i="3" l="1"/>
  <c r="AS131" i="3" s="1"/>
  <c r="AS137" i="3" s="1"/>
  <c r="AS138" i="3" s="1"/>
  <c r="AP187" i="3"/>
  <c r="AP206" i="3" s="1"/>
  <c r="AP188" i="3"/>
  <c r="AQ164" i="3"/>
  <c r="AR159" i="3" s="1"/>
  <c r="AQ176" i="3"/>
  <c r="AQ166" i="3"/>
  <c r="AP212" i="3"/>
  <c r="AR154" i="3"/>
  <c r="AS150" i="3" s="1"/>
  <c r="AO188" i="3"/>
  <c r="AO212" i="3" s="1"/>
  <c r="AO187" i="3"/>
  <c r="AR156" i="3"/>
  <c r="AR162" i="3"/>
  <c r="AR175" i="3" s="1"/>
  <c r="AS126" i="3" l="1"/>
  <c r="AS127" i="3" s="1"/>
  <c r="AP190" i="3"/>
  <c r="AQ167" i="3"/>
  <c r="AR161" i="3"/>
  <c r="AO190" i="3"/>
  <c r="AO206" i="3"/>
  <c r="AS200" i="3"/>
  <c r="AS144" i="3"/>
  <c r="AS147" i="3" s="1"/>
  <c r="AT111" i="3" l="1"/>
  <c r="AT112" i="3" s="1"/>
  <c r="AT104" i="3" s="1"/>
  <c r="AT105" i="3" s="1"/>
  <c r="AS153" i="3"/>
  <c r="AS162" i="3" s="1"/>
  <c r="AS175" i="3" s="1"/>
  <c r="AR163" i="3"/>
  <c r="AS145" i="3"/>
  <c r="AT141" i="3" s="1"/>
  <c r="AQ169" i="3"/>
  <c r="AQ177" i="3" s="1"/>
  <c r="AT113" i="3" l="1"/>
  <c r="AR176" i="3"/>
  <c r="AR166" i="3"/>
  <c r="AR164" i="3"/>
  <c r="AS159" i="3" s="1"/>
  <c r="AS154" i="3"/>
  <c r="AT150" i="3" s="1"/>
  <c r="AT116" i="3"/>
  <c r="AT117" i="3"/>
  <c r="AQ180" i="3"/>
  <c r="AQ178" i="3"/>
  <c r="AR172" i="3" s="1"/>
  <c r="AS156" i="3"/>
  <c r="AT136" i="3" l="1"/>
  <c r="AT151" i="3"/>
  <c r="AT119" i="3"/>
  <c r="AT121" i="3" s="1"/>
  <c r="AT124" i="3"/>
  <c r="AS161" i="3"/>
  <c r="AS163" i="3" s="1"/>
  <c r="AQ181" i="3"/>
  <c r="AQ183" i="3" s="1"/>
  <c r="AR167" i="3"/>
  <c r="AR169" i="3" s="1"/>
  <c r="AR177" i="3" s="1"/>
  <c r="AT142" i="3"/>
  <c r="AT125" i="3"/>
  <c r="AU125" i="3" s="1"/>
  <c r="AV125" i="3" s="1"/>
  <c r="AW125" i="3" s="1"/>
  <c r="AX125" i="3" s="1"/>
  <c r="AY125" i="3" s="1"/>
  <c r="AR180" i="3" l="1"/>
  <c r="AR178" i="3"/>
  <c r="AS172" i="3" s="1"/>
  <c r="AQ187" i="3"/>
  <c r="AQ188" i="3"/>
  <c r="AQ212" i="3" s="1"/>
  <c r="AS176" i="3"/>
  <c r="AS166" i="3"/>
  <c r="AS164" i="3"/>
  <c r="AT159" i="3" s="1"/>
  <c r="AU124" i="3"/>
  <c r="AV124" i="3" s="1"/>
  <c r="AW124" i="3" s="1"/>
  <c r="AX124" i="3" s="1"/>
  <c r="AY124" i="3" s="1"/>
  <c r="AT129" i="3"/>
  <c r="AT152" i="3"/>
  <c r="AT143" i="3"/>
  <c r="AT160" i="3"/>
  <c r="AT126" i="3" l="1"/>
  <c r="AU111" i="3" s="1"/>
  <c r="AU112" i="3" s="1"/>
  <c r="AU104" i="3" s="1"/>
  <c r="AU105" i="3" s="1"/>
  <c r="AU121" i="3" s="1"/>
  <c r="AT161" i="3"/>
  <c r="AQ190" i="3"/>
  <c r="AQ206" i="3"/>
  <c r="AS167" i="3"/>
  <c r="AT173" i="3"/>
  <c r="AT131" i="3"/>
  <c r="AT137" i="3" s="1"/>
  <c r="AT138" i="3" s="1"/>
  <c r="AR181" i="3"/>
  <c r="AT127" i="3" l="1"/>
  <c r="AU113" i="3"/>
  <c r="AU129" i="3" s="1"/>
  <c r="AU126" i="3" s="1"/>
  <c r="AV111" i="3" s="1"/>
  <c r="AV112" i="3" s="1"/>
  <c r="AV104" i="3" s="1"/>
  <c r="AV105" i="3" s="1"/>
  <c r="AV121" i="3" s="1"/>
  <c r="AR183" i="3"/>
  <c r="AT174" i="3"/>
  <c r="AS169" i="3"/>
  <c r="AS177" i="3" s="1"/>
  <c r="AU127" i="3"/>
  <c r="AT200" i="3"/>
  <c r="AT144" i="3"/>
  <c r="AT147" i="3" s="1"/>
  <c r="AU131" i="3" l="1"/>
  <c r="AU137" i="3" s="1"/>
  <c r="AU138" i="3" s="1"/>
  <c r="AT153" i="3"/>
  <c r="AT162" i="3" s="1"/>
  <c r="AS180" i="3"/>
  <c r="AS178" i="3"/>
  <c r="AT172" i="3" s="1"/>
  <c r="AU200" i="3"/>
  <c r="AT145" i="3"/>
  <c r="AU141" i="3" s="1"/>
  <c r="AR188" i="3"/>
  <c r="AR212" i="3" s="1"/>
  <c r="AR187" i="3"/>
  <c r="AV113" i="3"/>
  <c r="AV129" i="3" s="1"/>
  <c r="AV126" i="3" s="1"/>
  <c r="AU144" i="3" l="1"/>
  <c r="AU145" i="3" s="1"/>
  <c r="AV141" i="3" s="1"/>
  <c r="AR190" i="3"/>
  <c r="AR206" i="3"/>
  <c r="AT154" i="3"/>
  <c r="AU150" i="3" s="1"/>
  <c r="AT175" i="3"/>
  <c r="AS181" i="3"/>
  <c r="AT156" i="3"/>
  <c r="AT163" i="3" s="1"/>
  <c r="AW111" i="3"/>
  <c r="AV127" i="3"/>
  <c r="AV131" i="3"/>
  <c r="AV137" i="3" s="1"/>
  <c r="AV138" i="3" s="1"/>
  <c r="AT176" i="3" l="1"/>
  <c r="AT166" i="3"/>
  <c r="AT164" i="3"/>
  <c r="AU159" i="3" s="1"/>
  <c r="AV200" i="3"/>
  <c r="AV144" i="3"/>
  <c r="AV147" i="3" s="1"/>
  <c r="AS183" i="3"/>
  <c r="AU147" i="3"/>
  <c r="AU153" i="3" s="1"/>
  <c r="AW112" i="3"/>
  <c r="AW104" i="3" s="1"/>
  <c r="AW105" i="3" s="1"/>
  <c r="AW121" i="3" s="1"/>
  <c r="AU156" i="3" l="1"/>
  <c r="AU154" i="3"/>
  <c r="AV150" i="3" s="1"/>
  <c r="AU161" i="3"/>
  <c r="AU162" i="3"/>
  <c r="AU175" i="3" s="1"/>
  <c r="AT167" i="3"/>
  <c r="AS187" i="3"/>
  <c r="AS188" i="3"/>
  <c r="AS212" i="3" s="1"/>
  <c r="AV145" i="3"/>
  <c r="AW141" i="3" s="1"/>
  <c r="AW113" i="3"/>
  <c r="AW129" i="3" s="1"/>
  <c r="AW126" i="3" s="1"/>
  <c r="AU163" i="3" l="1"/>
  <c r="AU164" i="3" s="1"/>
  <c r="AV159" i="3" s="1"/>
  <c r="AS190" i="3"/>
  <c r="AS206" i="3"/>
  <c r="AV153" i="3"/>
  <c r="AT169" i="3"/>
  <c r="AT177" i="3" s="1"/>
  <c r="AX111" i="3"/>
  <c r="AW127" i="3"/>
  <c r="AW131" i="3"/>
  <c r="AW137" i="3" s="1"/>
  <c r="AW138" i="3" s="1"/>
  <c r="AW144" i="3" s="1"/>
  <c r="AU166" i="3" l="1"/>
  <c r="AU167" i="3" s="1"/>
  <c r="AU169" i="3" s="1"/>
  <c r="AU176" i="3"/>
  <c r="AV156" i="3"/>
  <c r="AV162" i="3"/>
  <c r="AV175" i="3" s="1"/>
  <c r="AW145" i="3"/>
  <c r="AX141" i="3" s="1"/>
  <c r="AW200" i="3"/>
  <c r="AW147" i="3"/>
  <c r="AT180" i="3"/>
  <c r="AT178" i="3"/>
  <c r="AU172" i="3" s="1"/>
  <c r="AV154" i="3"/>
  <c r="AW150" i="3" s="1"/>
  <c r="AV161" i="3"/>
  <c r="AX112" i="3"/>
  <c r="AX104" i="3" s="1"/>
  <c r="AX105" i="3" s="1"/>
  <c r="AX121" i="3" s="1"/>
  <c r="AT181" i="3" l="1"/>
  <c r="AU177" i="3"/>
  <c r="AU180" i="3" s="1"/>
  <c r="AV163" i="3"/>
  <c r="AW153" i="3"/>
  <c r="AX113" i="3"/>
  <c r="AX129" i="3" s="1"/>
  <c r="AX126" i="3" s="1"/>
  <c r="AV176" i="3" l="1"/>
  <c r="AV166" i="3"/>
  <c r="AW162" i="3"/>
  <c r="AW175" i="3" s="1"/>
  <c r="AU181" i="3"/>
  <c r="AU178" i="3"/>
  <c r="AV172" i="3" s="1"/>
  <c r="AV164" i="3"/>
  <c r="AW159" i="3" s="1"/>
  <c r="AW156" i="3"/>
  <c r="AW154" i="3"/>
  <c r="AX150" i="3" s="1"/>
  <c r="AT183" i="3"/>
  <c r="AY111" i="3"/>
  <c r="AX127" i="3"/>
  <c r="AX131" i="3"/>
  <c r="AX137" i="3" s="1"/>
  <c r="AX138" i="3" s="1"/>
  <c r="AX200" i="3" l="1"/>
  <c r="AX144" i="3"/>
  <c r="AT188" i="3"/>
  <c r="AT212" i="3" s="1"/>
  <c r="AT187" i="3"/>
  <c r="AV167" i="3"/>
  <c r="AW161" i="3"/>
  <c r="AW163" i="3" s="1"/>
  <c r="AU183" i="3"/>
  <c r="AY112" i="3"/>
  <c r="AY104" i="3" s="1"/>
  <c r="AY105" i="3" s="1"/>
  <c r="AY121" i="3" s="1"/>
  <c r="AW176" i="3" l="1"/>
  <c r="AW166" i="3"/>
  <c r="AT190" i="3"/>
  <c r="AT206" i="3"/>
  <c r="AX145" i="3"/>
  <c r="AY141" i="3" s="1"/>
  <c r="AU188" i="3"/>
  <c r="AU212" i="3" s="1"/>
  <c r="AU187" i="3"/>
  <c r="AW164" i="3"/>
  <c r="AX159" i="3" s="1"/>
  <c r="AX147" i="3"/>
  <c r="AV169" i="3"/>
  <c r="AV177" i="3" s="1"/>
  <c r="AY113" i="3"/>
  <c r="AY129" i="3" s="1"/>
  <c r="AY126" i="3" s="1"/>
  <c r="AW167" i="3" l="1"/>
  <c r="AV180" i="3"/>
  <c r="AV178" i="3"/>
  <c r="AW172" i="3" s="1"/>
  <c r="AX153" i="3"/>
  <c r="AX156" i="3" s="1"/>
  <c r="AX161" i="3"/>
  <c r="AU190" i="3"/>
  <c r="AU206" i="3"/>
  <c r="AZ111" i="3"/>
  <c r="AY127" i="3"/>
  <c r="AY131" i="3"/>
  <c r="AY137" i="3" s="1"/>
  <c r="AY138" i="3" s="1"/>
  <c r="AY200" i="3" l="1"/>
  <c r="AX154" i="3"/>
  <c r="AY150" i="3" s="1"/>
  <c r="AX162" i="3"/>
  <c r="AX175" i="3" s="1"/>
  <c r="AW169" i="3"/>
  <c r="AW177" i="3" s="1"/>
  <c r="AW180" i="3" s="1"/>
  <c r="AV181" i="3"/>
  <c r="AY144" i="3"/>
  <c r="AZ112" i="3"/>
  <c r="AZ104" i="3" s="1"/>
  <c r="AZ105" i="3" s="1"/>
  <c r="AW181" i="3" l="1"/>
  <c r="AX163" i="3"/>
  <c r="AX164" i="3" s="1"/>
  <c r="AY159" i="3" s="1"/>
  <c r="AY145" i="3"/>
  <c r="AZ141" i="3" s="1"/>
  <c r="AY147" i="3"/>
  <c r="AY153" i="3" s="1"/>
  <c r="AV183" i="3"/>
  <c r="AW178" i="3"/>
  <c r="AX172" i="3" s="1"/>
  <c r="AZ113" i="3"/>
  <c r="AZ117" i="3" s="1"/>
  <c r="I85" i="2" s="1"/>
  <c r="AZ116" i="3" l="1"/>
  <c r="AY161" i="3"/>
  <c r="AY156" i="3"/>
  <c r="AY162" i="3"/>
  <c r="AY175" i="3" s="1"/>
  <c r="AZ125" i="3"/>
  <c r="BA125" i="3" s="1"/>
  <c r="BB125" i="3" s="1"/>
  <c r="BC125" i="3" s="1"/>
  <c r="BD125" i="3" s="1"/>
  <c r="BE125" i="3" s="1"/>
  <c r="BF125" i="3" s="1"/>
  <c r="BG125" i="3" s="1"/>
  <c r="BH125" i="3" s="1"/>
  <c r="BI125" i="3" s="1"/>
  <c r="BJ125" i="3" s="1"/>
  <c r="BK125" i="3" s="1"/>
  <c r="BL125" i="3" s="1"/>
  <c r="BM125" i="3" s="1"/>
  <c r="BN125" i="3" s="1"/>
  <c r="BO125" i="3" s="1"/>
  <c r="BP125" i="3" s="1"/>
  <c r="BQ125" i="3" s="1"/>
  <c r="BR125" i="3" s="1"/>
  <c r="AZ142" i="3"/>
  <c r="AX176" i="3"/>
  <c r="AX166" i="3"/>
  <c r="AV188" i="3"/>
  <c r="AV212" i="3" s="1"/>
  <c r="AV187" i="3"/>
  <c r="AY154" i="3"/>
  <c r="AZ150" i="3" s="1"/>
  <c r="AW183" i="3"/>
  <c r="AZ124" i="3" l="1"/>
  <c r="BA124" i="3" s="1"/>
  <c r="I84" i="2"/>
  <c r="I87" i="2" s="1"/>
  <c r="AZ119" i="3"/>
  <c r="AZ121" i="3" s="1"/>
  <c r="AZ129" i="3" s="1"/>
  <c r="AZ126" i="3" s="1"/>
  <c r="AZ151" i="3"/>
  <c r="AZ152" i="3" s="1"/>
  <c r="AY163" i="3"/>
  <c r="AY164" i="3" s="1"/>
  <c r="AZ159" i="3" s="1"/>
  <c r="AZ136" i="3"/>
  <c r="AZ160" i="3" s="1"/>
  <c r="AV190" i="3"/>
  <c r="AV206" i="3"/>
  <c r="AZ143" i="3"/>
  <c r="AX167" i="3"/>
  <c r="AW188" i="3"/>
  <c r="AW212" i="3" s="1"/>
  <c r="AW187" i="3"/>
  <c r="AY166" i="3" l="1"/>
  <c r="AY167" i="3" s="1"/>
  <c r="AY176" i="3"/>
  <c r="AW190" i="3"/>
  <c r="AW206" i="3"/>
  <c r="AZ161" i="3"/>
  <c r="AZ173" i="3"/>
  <c r="AX169" i="3"/>
  <c r="AX177" i="3" s="1"/>
  <c r="AZ131" i="3"/>
  <c r="AZ137" i="3" s="1"/>
  <c r="AZ138" i="3" s="1"/>
  <c r="AZ144" i="3" s="1"/>
  <c r="BA111" i="3"/>
  <c r="AZ127" i="3"/>
  <c r="BB124" i="3"/>
  <c r="AZ145" i="3" l="1"/>
  <c r="BA141" i="3" s="1"/>
  <c r="AY169" i="3"/>
  <c r="AZ200" i="3"/>
  <c r="AZ147" i="3"/>
  <c r="AX180" i="3"/>
  <c r="AX178" i="3"/>
  <c r="AY172" i="3" s="1"/>
  <c r="AZ174" i="3"/>
  <c r="BC124" i="3"/>
  <c r="BA112" i="3"/>
  <c r="BA104" i="3" s="1"/>
  <c r="BA105" i="3" s="1"/>
  <c r="BA121" i="3" s="1"/>
  <c r="AY177" i="3" l="1"/>
  <c r="AY180" i="3" s="1"/>
  <c r="AY181" i="3" s="1"/>
  <c r="AX181" i="3"/>
  <c r="AZ153" i="3"/>
  <c r="BA113" i="3"/>
  <c r="BD124" i="3"/>
  <c r="AY178" i="3" l="1"/>
  <c r="AZ172" i="3" s="1"/>
  <c r="AY183" i="3"/>
  <c r="AZ154" i="3"/>
  <c r="BA150" i="3" s="1"/>
  <c r="AZ162" i="3"/>
  <c r="AZ156" i="3"/>
  <c r="AX183" i="3"/>
  <c r="BE124" i="3"/>
  <c r="BA129" i="3"/>
  <c r="BA131" i="3" s="1"/>
  <c r="BA137" i="3" s="1"/>
  <c r="BA138" i="3" s="1"/>
  <c r="BA200" i="3" l="1"/>
  <c r="BA144" i="3"/>
  <c r="AY187" i="3"/>
  <c r="AY188" i="3"/>
  <c r="AY212" i="3" s="1"/>
  <c r="AZ175" i="3"/>
  <c r="AZ163" i="3"/>
  <c r="AZ164" i="3" s="1"/>
  <c r="BA159" i="3" s="1"/>
  <c r="AX187" i="3"/>
  <c r="AX206" i="3" s="1"/>
  <c r="AX188" i="3"/>
  <c r="AX212" i="3" s="1"/>
  <c r="BA126" i="3"/>
  <c r="BF124" i="3"/>
  <c r="AY190" i="3" l="1"/>
  <c r="AY206" i="3"/>
  <c r="BA161" i="3"/>
  <c r="BA145" i="3"/>
  <c r="BB141" i="3" s="1"/>
  <c r="AX190" i="3"/>
  <c r="BA147" i="3"/>
  <c r="AZ176" i="3"/>
  <c r="AZ166" i="3"/>
  <c r="BG124" i="3"/>
  <c r="BB111" i="3"/>
  <c r="BA127" i="3"/>
  <c r="AZ167" i="3" l="1"/>
  <c r="AZ169" i="3" s="1"/>
  <c r="AZ177" i="3" s="1"/>
  <c r="AZ180" i="3" s="1"/>
  <c r="AZ181" i="3" s="1"/>
  <c r="AZ183" i="3" s="1"/>
  <c r="BA153" i="3"/>
  <c r="BA156" i="3" s="1"/>
  <c r="BB112" i="3"/>
  <c r="BB104" i="3" s="1"/>
  <c r="BH124" i="3"/>
  <c r="BB105" i="3" l="1"/>
  <c r="BB121" i="3" s="1"/>
  <c r="AZ188" i="3"/>
  <c r="AZ212" i="3" s="1"/>
  <c r="AZ187" i="3"/>
  <c r="AZ206" i="3" s="1"/>
  <c r="BA154" i="3"/>
  <c r="BB150" i="3" s="1"/>
  <c r="BA162" i="3"/>
  <c r="AZ178" i="3"/>
  <c r="BA172" i="3" s="1"/>
  <c r="BI124" i="3"/>
  <c r="BB113" i="3"/>
  <c r="AZ190" i="3" l="1"/>
  <c r="BA175" i="3"/>
  <c r="BA163" i="3"/>
  <c r="BB129" i="3"/>
  <c r="BJ124" i="3"/>
  <c r="BB131" i="3" l="1"/>
  <c r="BB137" i="3" s="1"/>
  <c r="BB138" i="3" s="1"/>
  <c r="BB200" i="3" s="1"/>
  <c r="BA164" i="3"/>
  <c r="BB159" i="3" s="1"/>
  <c r="BA176" i="3"/>
  <c r="BA166" i="3"/>
  <c r="BK124" i="3"/>
  <c r="BB126" i="3"/>
  <c r="BB144" i="3" l="1"/>
  <c r="BB145" i="3" s="1"/>
  <c r="BC141" i="3" s="1"/>
  <c r="BA167" i="3"/>
  <c r="BB161" i="3"/>
  <c r="BC111" i="3"/>
  <c r="BB127" i="3"/>
  <c r="BL124" i="3"/>
  <c r="BB147" i="3" l="1"/>
  <c r="BB153" i="3" s="1"/>
  <c r="BA169" i="3"/>
  <c r="BA177" i="3" s="1"/>
  <c r="BM124" i="3"/>
  <c r="BC112" i="3"/>
  <c r="BC104" i="3" s="1"/>
  <c r="BC105" i="3" l="1"/>
  <c r="BC121" i="3" s="1"/>
  <c r="BB154" i="3"/>
  <c r="BC150" i="3" s="1"/>
  <c r="BB162" i="3"/>
  <c r="BB156" i="3"/>
  <c r="BA180" i="3"/>
  <c r="BA178" i="3"/>
  <c r="BB172" i="3" s="1"/>
  <c r="BC113" i="3"/>
  <c r="BN124" i="3"/>
  <c r="BC129" i="3" l="1"/>
  <c r="BC126" i="3" s="1"/>
  <c r="BA181" i="3"/>
  <c r="BB175" i="3"/>
  <c r="BB163" i="3"/>
  <c r="BO124" i="3"/>
  <c r="BC131" i="3" l="1"/>
  <c r="BC137" i="3" s="1"/>
  <c r="BC138" i="3" s="1"/>
  <c r="BC200" i="3" s="1"/>
  <c r="BD111" i="3"/>
  <c r="BC127" i="3"/>
  <c r="BB176" i="3"/>
  <c r="BB166" i="3"/>
  <c r="BB164" i="3"/>
  <c r="BC159" i="3" s="1"/>
  <c r="BA183" i="3"/>
  <c r="BD112" i="3"/>
  <c r="BD104" i="3" s="1"/>
  <c r="BP124" i="3"/>
  <c r="BC144" i="3" l="1"/>
  <c r="BC145" i="3" s="1"/>
  <c r="BD141" i="3" s="1"/>
  <c r="BD105" i="3"/>
  <c r="BD121" i="3" s="1"/>
  <c r="BA187" i="3"/>
  <c r="BA188" i="3"/>
  <c r="BA212" i="3" s="1"/>
  <c r="BC161" i="3"/>
  <c r="BB167" i="3"/>
  <c r="BQ124" i="3"/>
  <c r="BD113" i="3"/>
  <c r="BD129" i="3" s="1"/>
  <c r="BC147" i="3" l="1"/>
  <c r="BD126" i="3"/>
  <c r="BE111" i="3" s="1"/>
  <c r="BB169" i="3"/>
  <c r="BB177" i="3" s="1"/>
  <c r="BC153" i="3"/>
  <c r="BC156" i="3" s="1"/>
  <c r="BA190" i="3"/>
  <c r="BA206" i="3"/>
  <c r="BD131" i="3"/>
  <c r="BD137" i="3" s="1"/>
  <c r="BD138" i="3" s="1"/>
  <c r="BD144" i="3" s="1"/>
  <c r="BR124" i="3"/>
  <c r="BD127" i="3" l="1"/>
  <c r="BD145" i="3"/>
  <c r="BE141" i="3" s="1"/>
  <c r="BB180" i="3"/>
  <c r="BB178" i="3"/>
  <c r="BC172" i="3" s="1"/>
  <c r="BC154" i="3"/>
  <c r="BD150" i="3" s="1"/>
  <c r="BC162" i="3"/>
  <c r="BD200" i="3"/>
  <c r="BD147" i="3"/>
  <c r="BE112" i="3"/>
  <c r="BE104" i="3" s="1"/>
  <c r="BE105" i="3" l="1"/>
  <c r="BE121" i="3" s="1"/>
  <c r="BC175" i="3"/>
  <c r="BC163" i="3"/>
  <c r="BD153" i="3"/>
  <c r="BD154" i="3" s="1"/>
  <c r="BE150" i="3" s="1"/>
  <c r="BB181" i="3"/>
  <c r="BE113" i="3"/>
  <c r="BC176" i="3" l="1"/>
  <c r="BC166" i="3"/>
  <c r="BC164" i="3"/>
  <c r="BD159" i="3" s="1"/>
  <c r="BD162" i="3"/>
  <c r="BD175" i="3" s="1"/>
  <c r="BD156" i="3"/>
  <c r="BB183" i="3"/>
  <c r="BE129" i="3"/>
  <c r="BE131" i="3" l="1"/>
  <c r="BE137" i="3" s="1"/>
  <c r="BE138" i="3" s="1"/>
  <c r="BE200" i="3" s="1"/>
  <c r="BB188" i="3"/>
  <c r="BB212" i="3" s="1"/>
  <c r="BB187" i="3"/>
  <c r="BC167" i="3"/>
  <c r="BD161" i="3"/>
  <c r="BE126" i="3"/>
  <c r="BE144" i="3" l="1"/>
  <c r="BE145" i="3" s="1"/>
  <c r="BF141" i="3" s="1"/>
  <c r="BD163" i="3"/>
  <c r="BB190" i="3"/>
  <c r="BB206" i="3"/>
  <c r="BC169" i="3"/>
  <c r="BC177" i="3" s="1"/>
  <c r="BF111" i="3"/>
  <c r="BE127" i="3"/>
  <c r="BE147" i="3" l="1"/>
  <c r="BE153" i="3" s="1"/>
  <c r="BD176" i="3"/>
  <c r="BD166" i="3"/>
  <c r="BC180" i="3"/>
  <c r="BC178" i="3"/>
  <c r="BD172" i="3" s="1"/>
  <c r="BD164" i="3"/>
  <c r="BE159" i="3" s="1"/>
  <c r="BF112" i="3"/>
  <c r="BF104" i="3" s="1"/>
  <c r="BF105" i="3" l="1"/>
  <c r="BF121" i="3" s="1"/>
  <c r="BE154" i="3"/>
  <c r="BF150" i="3" s="1"/>
  <c r="BE162" i="3"/>
  <c r="BE175" i="3" s="1"/>
  <c r="BE156" i="3"/>
  <c r="BD167" i="3"/>
  <c r="BD169" i="3" s="1"/>
  <c r="BD177" i="3" s="1"/>
  <c r="BD180" i="3" s="1"/>
  <c r="BC181" i="3"/>
  <c r="BE161" i="3"/>
  <c r="BF113" i="3"/>
  <c r="BF129" i="3" s="1"/>
  <c r="BE163" i="3" l="1"/>
  <c r="BF126" i="3"/>
  <c r="BF127" i="3" s="1"/>
  <c r="BE164" i="3"/>
  <c r="BF159" i="3" s="1"/>
  <c r="BE176" i="3"/>
  <c r="BE166" i="3"/>
  <c r="BD181" i="3"/>
  <c r="BC183" i="3"/>
  <c r="BD178" i="3"/>
  <c r="BE172" i="3" s="1"/>
  <c r="BF131" i="3"/>
  <c r="BF137" i="3" s="1"/>
  <c r="BF138" i="3" s="1"/>
  <c r="BG111" i="3" l="1"/>
  <c r="BD183" i="3"/>
  <c r="BC188" i="3"/>
  <c r="BC212" i="3" s="1"/>
  <c r="BC187" i="3"/>
  <c r="BF200" i="3"/>
  <c r="BF144" i="3"/>
  <c r="BE167" i="3"/>
  <c r="BF161" i="3"/>
  <c r="BG112" i="3"/>
  <c r="BG104" i="3" s="1"/>
  <c r="BG105" i="3" s="1"/>
  <c r="BG121" i="3" s="1"/>
  <c r="BF145" i="3" l="1"/>
  <c r="BG141" i="3" s="1"/>
  <c r="BF147" i="3"/>
  <c r="BC190" i="3"/>
  <c r="BC206" i="3"/>
  <c r="BD188" i="3"/>
  <c r="BD212" i="3" s="1"/>
  <c r="BD187" i="3"/>
  <c r="BE169" i="3"/>
  <c r="BE177" i="3" s="1"/>
  <c r="BG113" i="3"/>
  <c r="BG129" i="3" s="1"/>
  <c r="BG126" i="3" s="1"/>
  <c r="BF153" i="3" l="1"/>
  <c r="BE180" i="3"/>
  <c r="BE178" i="3"/>
  <c r="BF172" i="3" s="1"/>
  <c r="BD190" i="3"/>
  <c r="BD206" i="3"/>
  <c r="BH111" i="3"/>
  <c r="BG127" i="3"/>
  <c r="BG131" i="3"/>
  <c r="BG137" i="3" s="1"/>
  <c r="BG138" i="3" s="1"/>
  <c r="BG144" i="3" s="1"/>
  <c r="BG145" i="3" l="1"/>
  <c r="BH141" i="3" s="1"/>
  <c r="BF154" i="3"/>
  <c r="BG150" i="3" s="1"/>
  <c r="BF162" i="3"/>
  <c r="BG200" i="3"/>
  <c r="BG147" i="3"/>
  <c r="BE181" i="3"/>
  <c r="BF156" i="3"/>
  <c r="BH112" i="3"/>
  <c r="BH104" i="3" s="1"/>
  <c r="BH105" i="3" s="1"/>
  <c r="BH121" i="3" s="1"/>
  <c r="BG153" i="3" l="1"/>
  <c r="BG154" i="3" s="1"/>
  <c r="BH150" i="3" s="1"/>
  <c r="BE183" i="3"/>
  <c r="BF175" i="3"/>
  <c r="BF163" i="3"/>
  <c r="BF164" i="3" s="1"/>
  <c r="BG159" i="3" s="1"/>
  <c r="BH113" i="3"/>
  <c r="BH129" i="3" s="1"/>
  <c r="BH126" i="3" s="1"/>
  <c r="BG156" i="3" l="1"/>
  <c r="BE188" i="3"/>
  <c r="BE212" i="3" s="1"/>
  <c r="BE187" i="3"/>
  <c r="BG161" i="3"/>
  <c r="BF176" i="3"/>
  <c r="BF166" i="3"/>
  <c r="BG162" i="3"/>
  <c r="BG175" i="3" s="1"/>
  <c r="BI111" i="3"/>
  <c r="BH127" i="3"/>
  <c r="BH131" i="3"/>
  <c r="BH137" i="3" s="1"/>
  <c r="BH138" i="3" s="1"/>
  <c r="BG163" i="3" l="1"/>
  <c r="BF167" i="3"/>
  <c r="BE190" i="3"/>
  <c r="BE206" i="3"/>
  <c r="BH200" i="3"/>
  <c r="BH144" i="3"/>
  <c r="BI112" i="3"/>
  <c r="BI104" i="3" s="1"/>
  <c r="BI105" i="3" s="1"/>
  <c r="BI121" i="3" s="1"/>
  <c r="BG176" i="3" l="1"/>
  <c r="BG166" i="3"/>
  <c r="BG164" i="3"/>
  <c r="BH159" i="3" s="1"/>
  <c r="BF169" i="3"/>
  <c r="BF177" i="3" s="1"/>
  <c r="BH145" i="3"/>
  <c r="BI141" i="3" s="1"/>
  <c r="BH147" i="3"/>
  <c r="BI113" i="3"/>
  <c r="BI129" i="3" s="1"/>
  <c r="BI126" i="3" s="1"/>
  <c r="BH161" i="3" l="1"/>
  <c r="BF180" i="3"/>
  <c r="BF178" i="3"/>
  <c r="BG172" i="3" s="1"/>
  <c r="BG167" i="3"/>
  <c r="BH153" i="3"/>
  <c r="BH156" i="3" s="1"/>
  <c r="BJ111" i="3"/>
  <c r="BI127" i="3"/>
  <c r="BI131" i="3"/>
  <c r="BI137" i="3" s="1"/>
  <c r="BI138" i="3" s="1"/>
  <c r="BI144" i="3" s="1"/>
  <c r="BI145" i="3" l="1"/>
  <c r="BJ141" i="3" s="1"/>
  <c r="BI200" i="3"/>
  <c r="BI147" i="3"/>
  <c r="BF181" i="3"/>
  <c r="BH154" i="3"/>
  <c r="BI150" i="3" s="1"/>
  <c r="BH162" i="3"/>
  <c r="BH175" i="3" s="1"/>
  <c r="BG169" i="3"/>
  <c r="BG177" i="3" s="1"/>
  <c r="BG180" i="3" s="1"/>
  <c r="BH163" i="3"/>
  <c r="BJ112" i="3"/>
  <c r="BJ104" i="3" s="1"/>
  <c r="BJ105" i="3" s="1"/>
  <c r="BJ121" i="3" s="1"/>
  <c r="BF183" i="3" l="1"/>
  <c r="BI153" i="3"/>
  <c r="BH164" i="3"/>
  <c r="BI159" i="3" s="1"/>
  <c r="BG181" i="3"/>
  <c r="BG178" i="3"/>
  <c r="BH172" i="3" s="1"/>
  <c r="BH176" i="3"/>
  <c r="BH166" i="3"/>
  <c r="BI156" i="3"/>
  <c r="BJ113" i="3"/>
  <c r="BJ129" i="3" s="1"/>
  <c r="BJ126" i="3" s="1"/>
  <c r="BG183" i="3" l="1"/>
  <c r="BI162" i="3"/>
  <c r="BI175" i="3" s="1"/>
  <c r="BI161" i="3"/>
  <c r="BI163" i="3" s="1"/>
  <c r="BI154" i="3"/>
  <c r="BJ150" i="3" s="1"/>
  <c r="BF187" i="3"/>
  <c r="BF206" i="3" s="1"/>
  <c r="BF188" i="3"/>
  <c r="BF212" i="3" s="1"/>
  <c r="BH167" i="3"/>
  <c r="BK111" i="3"/>
  <c r="BJ127" i="3"/>
  <c r="BJ131" i="3"/>
  <c r="BJ137" i="3" s="1"/>
  <c r="BJ138" i="3" s="1"/>
  <c r="BF190" i="3" l="1"/>
  <c r="BI164" i="3"/>
  <c r="BJ159" i="3" s="1"/>
  <c r="BI176" i="3"/>
  <c r="BI166" i="3"/>
  <c r="BJ200" i="3"/>
  <c r="BJ144" i="3"/>
  <c r="BH169" i="3"/>
  <c r="BH177" i="3" s="1"/>
  <c r="BG187" i="3"/>
  <c r="BG188" i="3"/>
  <c r="BG212" i="3" s="1"/>
  <c r="BK112" i="3"/>
  <c r="BK104" i="3" s="1"/>
  <c r="BK105" i="3" s="1"/>
  <c r="BK121" i="3" s="1"/>
  <c r="BJ145" i="3" l="1"/>
  <c r="BK141" i="3" s="1"/>
  <c r="BI167" i="3"/>
  <c r="BJ147" i="3"/>
  <c r="BG190" i="3"/>
  <c r="BG206" i="3"/>
  <c r="BH180" i="3"/>
  <c r="BH178" i="3"/>
  <c r="BI172" i="3" s="1"/>
  <c r="BJ161" i="3"/>
  <c r="BK113" i="3"/>
  <c r="BK129" i="3" s="1"/>
  <c r="BK126" i="3" s="1"/>
  <c r="BJ153" i="3" l="1"/>
  <c r="BI169" i="3"/>
  <c r="BI177" i="3" s="1"/>
  <c r="BI180" i="3" s="1"/>
  <c r="BH181" i="3"/>
  <c r="BL111" i="3"/>
  <c r="BK127" i="3"/>
  <c r="BK131" i="3"/>
  <c r="BK137" i="3" s="1"/>
  <c r="BK138" i="3" s="1"/>
  <c r="BI178" i="3" l="1"/>
  <c r="BJ172" i="3" s="1"/>
  <c r="BK200" i="3"/>
  <c r="BK144" i="3"/>
  <c r="BK147" i="3" s="1"/>
  <c r="BI181" i="3"/>
  <c r="BJ154" i="3"/>
  <c r="BK150" i="3" s="1"/>
  <c r="BJ162" i="3"/>
  <c r="BJ156" i="3"/>
  <c r="BH183" i="3"/>
  <c r="BL112" i="3"/>
  <c r="BL104" i="3" s="1"/>
  <c r="BL105" i="3" s="1"/>
  <c r="BL121" i="3" s="1"/>
  <c r="BK153" i="3" l="1"/>
  <c r="BK154" i="3" s="1"/>
  <c r="BL150" i="3" s="1"/>
  <c r="BK145" i="3"/>
  <c r="BL141" i="3" s="1"/>
  <c r="BI183" i="3"/>
  <c r="BH188" i="3"/>
  <c r="BH212" i="3" s="1"/>
  <c r="BH187" i="3"/>
  <c r="BJ175" i="3"/>
  <c r="BJ163" i="3"/>
  <c r="BL113" i="3"/>
  <c r="BL129" i="3" s="1"/>
  <c r="BL126" i="3" s="1"/>
  <c r="BK162" i="3" l="1"/>
  <c r="BK175" i="3" s="1"/>
  <c r="BI187" i="3"/>
  <c r="BI188" i="3"/>
  <c r="BI212" i="3" s="1"/>
  <c r="BJ176" i="3"/>
  <c r="BJ166" i="3"/>
  <c r="BJ164" i="3"/>
  <c r="BK159" i="3" s="1"/>
  <c r="BH190" i="3"/>
  <c r="BH206" i="3"/>
  <c r="BK156" i="3"/>
  <c r="BM111" i="3"/>
  <c r="BL127" i="3"/>
  <c r="BL131" i="3"/>
  <c r="BL137" i="3" s="1"/>
  <c r="BL138" i="3" s="1"/>
  <c r="BL200" i="3" l="1"/>
  <c r="BL144" i="3"/>
  <c r="BL147" i="3" s="1"/>
  <c r="BK161" i="3"/>
  <c r="BJ167" i="3"/>
  <c r="BI190" i="3"/>
  <c r="BI206" i="3"/>
  <c r="BM112" i="3"/>
  <c r="BM104" i="3" s="1"/>
  <c r="BM105" i="3" s="1"/>
  <c r="BM121" i="3" s="1"/>
  <c r="BL153" i="3" l="1"/>
  <c r="BL156" i="3" s="1"/>
  <c r="BK163" i="3"/>
  <c r="BJ169" i="3"/>
  <c r="BJ177" i="3" s="1"/>
  <c r="BL145" i="3"/>
  <c r="BM141" i="3" s="1"/>
  <c r="BM113" i="3"/>
  <c r="BM129" i="3" s="1"/>
  <c r="BM126" i="3" s="1"/>
  <c r="BL162" i="3" l="1"/>
  <c r="BL175" i="3" s="1"/>
  <c r="BK176" i="3"/>
  <c r="BK166" i="3"/>
  <c r="BJ180" i="3"/>
  <c r="BJ178" i="3"/>
  <c r="BK172" i="3" s="1"/>
  <c r="BL154" i="3"/>
  <c r="BM150" i="3" s="1"/>
  <c r="BK164" i="3"/>
  <c r="BL159" i="3" s="1"/>
  <c r="BN111" i="3"/>
  <c r="BM127" i="3"/>
  <c r="BM131" i="3"/>
  <c r="BM137" i="3" s="1"/>
  <c r="BM138" i="3" s="1"/>
  <c r="BM144" i="3" s="1"/>
  <c r="BJ181" i="3" l="1"/>
  <c r="BM145" i="3"/>
  <c r="BN141" i="3" s="1"/>
  <c r="BM200" i="3"/>
  <c r="BM147" i="3"/>
  <c r="BM153" i="3" s="1"/>
  <c r="BM154" i="3" s="1"/>
  <c r="BN150" i="3" s="1"/>
  <c r="BK167" i="3"/>
  <c r="BK169" i="3" s="1"/>
  <c r="BK177" i="3" s="1"/>
  <c r="BK180" i="3" s="1"/>
  <c r="BK181" i="3" s="1"/>
  <c r="BK183" i="3" s="1"/>
  <c r="BL161" i="3"/>
  <c r="BN112" i="3"/>
  <c r="BN104" i="3" s="1"/>
  <c r="BN105" i="3" l="1"/>
  <c r="BN121" i="3" s="1"/>
  <c r="BL163" i="3"/>
  <c r="BJ183" i="3"/>
  <c r="BK188" i="3"/>
  <c r="BK212" i="3" s="1"/>
  <c r="BK187" i="3"/>
  <c r="BK178" i="3"/>
  <c r="BL172" i="3" s="1"/>
  <c r="BK206" i="3"/>
  <c r="BM156" i="3"/>
  <c r="BM162" i="3"/>
  <c r="BM175" i="3" s="1"/>
  <c r="BN113" i="3"/>
  <c r="BJ188" i="3" l="1"/>
  <c r="BJ212" i="3" s="1"/>
  <c r="BJ187" i="3"/>
  <c r="BL176" i="3"/>
  <c r="BL166" i="3"/>
  <c r="BK190" i="3"/>
  <c r="BL164" i="3"/>
  <c r="BM159" i="3" s="1"/>
  <c r="BN129" i="3"/>
  <c r="BN131" i="3" l="1"/>
  <c r="BN137" i="3" s="1"/>
  <c r="BN138" i="3" s="1"/>
  <c r="BN200" i="3" s="1"/>
  <c r="BL167" i="3"/>
  <c r="BL169" i="3" s="1"/>
  <c r="BL177" i="3" s="1"/>
  <c r="BJ190" i="3"/>
  <c r="BJ206" i="3"/>
  <c r="BM161" i="3"/>
  <c r="BM163" i="3" s="1"/>
  <c r="BN126" i="3"/>
  <c r="BO111" i="3" s="1"/>
  <c r="BN144" i="3" l="1"/>
  <c r="BN145" i="3" s="1"/>
  <c r="BO141" i="3" s="1"/>
  <c r="BN127" i="3"/>
  <c r="BL180" i="3"/>
  <c r="BL178" i="3"/>
  <c r="BM172" i="3" s="1"/>
  <c r="BM176" i="3"/>
  <c r="BM166" i="3"/>
  <c r="BM164" i="3"/>
  <c r="BN159" i="3" s="1"/>
  <c r="BO112" i="3"/>
  <c r="BO104" i="3" s="1"/>
  <c r="BN147" i="3" l="1"/>
  <c r="BN153" i="3" s="1"/>
  <c r="BO105" i="3"/>
  <c r="BO121" i="3" s="1"/>
  <c r="BM167" i="3"/>
  <c r="BN161" i="3"/>
  <c r="BL181" i="3"/>
  <c r="BO113" i="3"/>
  <c r="BM169" i="3" l="1"/>
  <c r="BM177" i="3" s="1"/>
  <c r="BL183" i="3"/>
  <c r="BN154" i="3"/>
  <c r="BO150" i="3" s="1"/>
  <c r="BN162" i="3"/>
  <c r="BN175" i="3" s="1"/>
  <c r="BN156" i="3"/>
  <c r="BO129" i="3"/>
  <c r="BO131" i="3" l="1"/>
  <c r="BO137" i="3" s="1"/>
  <c r="BO138" i="3" s="1"/>
  <c r="BO200" i="3" s="1"/>
  <c r="BO126" i="3"/>
  <c r="BO127" i="3" s="1"/>
  <c r="BM180" i="3"/>
  <c r="BM178" i="3"/>
  <c r="BN172" i="3" s="1"/>
  <c r="BL188" i="3"/>
  <c r="BL212" i="3" s="1"/>
  <c r="BL187" i="3"/>
  <c r="BN163" i="3"/>
  <c r="BO144" i="3" l="1"/>
  <c r="BP111" i="3"/>
  <c r="BP112" i="3" s="1"/>
  <c r="BP104" i="3" s="1"/>
  <c r="BO145" i="3"/>
  <c r="BP141" i="3" s="1"/>
  <c r="BN176" i="3"/>
  <c r="BN166" i="3"/>
  <c r="BN164" i="3"/>
  <c r="BO159" i="3" s="1"/>
  <c r="BO147" i="3"/>
  <c r="BM181" i="3"/>
  <c r="BL190" i="3"/>
  <c r="BL206" i="3"/>
  <c r="BP105" i="3" l="1"/>
  <c r="BP121" i="3" s="1"/>
  <c r="BO153" i="3"/>
  <c r="BN167" i="3"/>
  <c r="BO161" i="3"/>
  <c r="BM183" i="3"/>
  <c r="BP113" i="3"/>
  <c r="BO154" i="3" l="1"/>
  <c r="BP150" i="3" s="1"/>
  <c r="BO162" i="3"/>
  <c r="BO175" i="3" s="1"/>
  <c r="BM188" i="3"/>
  <c r="BM212" i="3" s="1"/>
  <c r="BM187" i="3"/>
  <c r="BO156" i="3"/>
  <c r="BN169" i="3"/>
  <c r="BN177" i="3" s="1"/>
  <c r="BP129" i="3"/>
  <c r="BP131" i="3" l="1"/>
  <c r="BP137" i="3" s="1"/>
  <c r="BP138" i="3" s="1"/>
  <c r="BP200" i="3" s="1"/>
  <c r="BP126" i="3"/>
  <c r="BP127" i="3" s="1"/>
  <c r="BM190" i="3"/>
  <c r="BM206" i="3"/>
  <c r="BO163" i="3"/>
  <c r="BN180" i="3"/>
  <c r="BN178" i="3"/>
  <c r="BO172" i="3" s="1"/>
  <c r="BP144" i="3" l="1"/>
  <c r="BP147" i="3" s="1"/>
  <c r="BQ111" i="3"/>
  <c r="BN181" i="3"/>
  <c r="BO176" i="3"/>
  <c r="BO166" i="3"/>
  <c r="BO164" i="3"/>
  <c r="BP159" i="3" s="1"/>
  <c r="BQ112" i="3"/>
  <c r="BQ104" i="3" s="1"/>
  <c r="BP145" i="3" l="1"/>
  <c r="BQ141" i="3" s="1"/>
  <c r="BQ105" i="3"/>
  <c r="BQ121" i="3" s="1"/>
  <c r="BO167" i="3"/>
  <c r="BP161" i="3"/>
  <c r="BP153" i="3"/>
  <c r="BP156" i="3" s="1"/>
  <c r="BN183" i="3"/>
  <c r="BQ113" i="3"/>
  <c r="BO169" i="3" l="1"/>
  <c r="BO177" i="3" s="1"/>
  <c r="BN187" i="3"/>
  <c r="BN206" i="3" s="1"/>
  <c r="BN188" i="3"/>
  <c r="BN212" i="3" s="1"/>
  <c r="BP154" i="3"/>
  <c r="BQ150" i="3" s="1"/>
  <c r="BP162" i="3"/>
  <c r="BP175" i="3" s="1"/>
  <c r="BQ129" i="3"/>
  <c r="BQ131" i="3" l="1"/>
  <c r="BQ137" i="3" s="1"/>
  <c r="BQ138" i="3" s="1"/>
  <c r="BQ200" i="3" s="1"/>
  <c r="BN190" i="3"/>
  <c r="BO180" i="3"/>
  <c r="BO178" i="3"/>
  <c r="BP172" i="3" s="1"/>
  <c r="BP163" i="3"/>
  <c r="BQ126" i="3"/>
  <c r="BQ144" i="3" l="1"/>
  <c r="BQ145" i="3" s="1"/>
  <c r="BR141" i="3" s="1"/>
  <c r="BO181" i="3"/>
  <c r="BO183" i="3" s="1"/>
  <c r="BP176" i="3"/>
  <c r="BP166" i="3"/>
  <c r="BP164" i="3"/>
  <c r="BQ159" i="3" s="1"/>
  <c r="BR111" i="3"/>
  <c r="BQ127" i="3"/>
  <c r="BQ147" i="3" l="1"/>
  <c r="BQ153" i="3" s="1"/>
  <c r="BP167" i="3"/>
  <c r="BO187" i="3"/>
  <c r="BO188" i="3"/>
  <c r="BO212" i="3" s="1"/>
  <c r="BQ161" i="3"/>
  <c r="BR112" i="3"/>
  <c r="BR104" i="3" s="1"/>
  <c r="BR105" i="3" l="1"/>
  <c r="BR121" i="3" s="1"/>
  <c r="BO190" i="3"/>
  <c r="BO206" i="3"/>
  <c r="BQ154" i="3"/>
  <c r="BR150" i="3" s="1"/>
  <c r="BQ162" i="3"/>
  <c r="BQ175" i="3" s="1"/>
  <c r="BP169" i="3"/>
  <c r="BP177" i="3" s="1"/>
  <c r="BQ156" i="3"/>
  <c r="BR113" i="3"/>
  <c r="BP180" i="3" l="1"/>
  <c r="BP178" i="3"/>
  <c r="BQ172" i="3" s="1"/>
  <c r="BQ163" i="3"/>
  <c r="BQ164" i="3" s="1"/>
  <c r="BR159" i="3" s="1"/>
  <c r="BR129" i="3"/>
  <c r="BR131" i="3" l="1"/>
  <c r="BR137" i="3" s="1"/>
  <c r="BR138" i="3" s="1"/>
  <c r="BR200" i="3" s="1"/>
  <c r="BR126" i="3"/>
  <c r="BS111" i="3" s="1"/>
  <c r="BQ176" i="3"/>
  <c r="BQ166" i="3"/>
  <c r="BR161" i="3"/>
  <c r="BP181" i="3"/>
  <c r="BR144" i="3" l="1"/>
  <c r="BR147" i="3" s="1"/>
  <c r="BR153" i="3" s="1"/>
  <c r="BR127" i="3"/>
  <c r="BQ167" i="3"/>
  <c r="BQ169" i="3" s="1"/>
  <c r="BQ177" i="3" s="1"/>
  <c r="BP183" i="3"/>
  <c r="BS112" i="3"/>
  <c r="BS104" i="3" s="1"/>
  <c r="BS105" i="3" s="1"/>
  <c r="BR145" i="3" l="1"/>
  <c r="BS141" i="3" s="1"/>
  <c r="BQ180" i="3"/>
  <c r="BQ178" i="3"/>
  <c r="BR172" i="3" s="1"/>
  <c r="BR154" i="3"/>
  <c r="BS150" i="3" s="1"/>
  <c r="BR156" i="3"/>
  <c r="BP188" i="3"/>
  <c r="BP212" i="3" s="1"/>
  <c r="BP187" i="3"/>
  <c r="BR162" i="3"/>
  <c r="BS113" i="3"/>
  <c r="BS117" i="3" l="1"/>
  <c r="BS116" i="3"/>
  <c r="K84" i="2" s="1"/>
  <c r="BR175" i="3"/>
  <c r="BR163" i="3"/>
  <c r="BP190" i="3"/>
  <c r="BP206" i="3"/>
  <c r="BQ181" i="3"/>
  <c r="BQ183" i="3" s="1"/>
  <c r="E59" i="2" l="1"/>
  <c r="F59" i="2" s="1"/>
  <c r="K85" i="2"/>
  <c r="K87" i="2" s="1"/>
  <c r="L59" i="2"/>
  <c r="E58" i="2"/>
  <c r="BS119" i="3"/>
  <c r="BS121" i="3" s="1"/>
  <c r="BS129" i="3" s="1"/>
  <c r="BS151" i="3"/>
  <c r="BS152" i="3" s="1"/>
  <c r="BS136" i="3"/>
  <c r="BS160" i="3" s="1"/>
  <c r="BS173" i="3" s="1"/>
  <c r="BS174" i="3" s="1"/>
  <c r="BS124" i="3"/>
  <c r="BT124" i="3" s="1"/>
  <c r="BU124" i="3" s="1"/>
  <c r="BV124" i="3" s="1"/>
  <c r="BW124" i="3" s="1"/>
  <c r="BX124" i="3" s="1"/>
  <c r="BY124" i="3" s="1"/>
  <c r="BZ124" i="3" s="1"/>
  <c r="CA124" i="3" s="1"/>
  <c r="CB124" i="3" s="1"/>
  <c r="CC124" i="3" s="1"/>
  <c r="CD124" i="3" s="1"/>
  <c r="CE124" i="3" s="1"/>
  <c r="CF124" i="3" s="1"/>
  <c r="CG124" i="3" s="1"/>
  <c r="CH124" i="3" s="1"/>
  <c r="CI124" i="3" s="1"/>
  <c r="CJ124" i="3" s="1"/>
  <c r="CK124" i="3" s="1"/>
  <c r="BS142" i="3"/>
  <c r="BS143" i="3" s="1"/>
  <c r="BS125" i="3"/>
  <c r="BT125" i="3" s="1"/>
  <c r="BU125" i="3" s="1"/>
  <c r="BV125" i="3" s="1"/>
  <c r="BW125" i="3" s="1"/>
  <c r="BX125" i="3" s="1"/>
  <c r="BY125" i="3" s="1"/>
  <c r="BZ125" i="3" s="1"/>
  <c r="CA125" i="3" s="1"/>
  <c r="CB125" i="3" s="1"/>
  <c r="CC125" i="3" s="1"/>
  <c r="CD125" i="3" s="1"/>
  <c r="CE125" i="3" s="1"/>
  <c r="CF125" i="3" s="1"/>
  <c r="CG125" i="3" s="1"/>
  <c r="CH125" i="3" s="1"/>
  <c r="CI125" i="3" s="1"/>
  <c r="CJ125" i="3" s="1"/>
  <c r="CK125" i="3" s="1"/>
  <c r="BQ187" i="3"/>
  <c r="BQ188" i="3"/>
  <c r="BQ212" i="3" s="1"/>
  <c r="BR176" i="3"/>
  <c r="BR166" i="3"/>
  <c r="BR164" i="3"/>
  <c r="BS159" i="3" s="1"/>
  <c r="F58" i="2" l="1"/>
  <c r="F60" i="2" s="1"/>
  <c r="E60" i="2"/>
  <c r="M59" i="2"/>
  <c r="BS131" i="3"/>
  <c r="BS137" i="3" s="1"/>
  <c r="BS138" i="3" s="1"/>
  <c r="BS200" i="3" s="1"/>
  <c r="BS126" i="3"/>
  <c r="BR167" i="3"/>
  <c r="BR169" i="3" s="1"/>
  <c r="BR177" i="3" s="1"/>
  <c r="BR180" i="3" s="1"/>
  <c r="BR181" i="3" s="1"/>
  <c r="BR183" i="3" s="1"/>
  <c r="BS161" i="3"/>
  <c r="BQ190" i="3"/>
  <c r="BQ206" i="3"/>
  <c r="G57" i="2" l="1"/>
  <c r="G59" i="2"/>
  <c r="G58" i="2"/>
  <c r="BS127" i="3"/>
  <c r="BT111" i="3"/>
  <c r="BT112" i="3" s="1"/>
  <c r="BT104" i="3" s="1"/>
  <c r="BT105" i="3" s="1"/>
  <c r="BT121" i="3" s="1"/>
  <c r="BS144" i="3"/>
  <c r="BR188" i="3"/>
  <c r="BR212" i="3" s="1"/>
  <c r="BR187" i="3"/>
  <c r="BR178" i="3"/>
  <c r="BS172" i="3" s="1"/>
  <c r="BR190" i="3" l="1"/>
  <c r="G60" i="2"/>
  <c r="BS145" i="3"/>
  <c r="BT141" i="3" s="1"/>
  <c r="BS147" i="3"/>
  <c r="BS153" i="3" s="1"/>
  <c r="BS162" i="3" s="1"/>
  <c r="BT113" i="3"/>
  <c r="BT129" i="3" s="1"/>
  <c r="BT126" i="3" s="1"/>
  <c r="BT127" i="3" s="1"/>
  <c r="BR206" i="3"/>
  <c r="BS156" i="3" l="1"/>
  <c r="BS163" i="3" s="1"/>
  <c r="BU111" i="3"/>
  <c r="BU112" i="3" s="1"/>
  <c r="BU104" i="3" s="1"/>
  <c r="BU105" i="3" s="1"/>
  <c r="BU121" i="3" s="1"/>
  <c r="BS154" i="3"/>
  <c r="BT150" i="3" s="1"/>
  <c r="BT131" i="3"/>
  <c r="BT137" i="3" s="1"/>
  <c r="BT138" i="3" s="1"/>
  <c r="BT200" i="3" s="1"/>
  <c r="BS175" i="3"/>
  <c r="BT144" i="3" l="1"/>
  <c r="BT145" i="3" s="1"/>
  <c r="BU141" i="3" s="1"/>
  <c r="BS176" i="3"/>
  <c r="BS166" i="3"/>
  <c r="BS164" i="3"/>
  <c r="BT159" i="3" s="1"/>
  <c r="BU113" i="3"/>
  <c r="BT147" i="3" l="1"/>
  <c r="BT153" i="3"/>
  <c r="BS167" i="3"/>
  <c r="BS169" i="3" s="1"/>
  <c r="BS177" i="3" s="1"/>
  <c r="BT161" i="3"/>
  <c r="BU129" i="3"/>
  <c r="BU131" i="3" s="1"/>
  <c r="BU137" i="3" s="1"/>
  <c r="BU138" i="3" s="1"/>
  <c r="BU126" i="3" l="1"/>
  <c r="BU127" i="3" s="1"/>
  <c r="BU200" i="3"/>
  <c r="BS180" i="3"/>
  <c r="BS178" i="3"/>
  <c r="BT172" i="3" s="1"/>
  <c r="BT154" i="3"/>
  <c r="BU150" i="3" s="1"/>
  <c r="BT162" i="3"/>
  <c r="BT175" i="3" s="1"/>
  <c r="BU144" i="3"/>
  <c r="BU147" i="3" s="1"/>
  <c r="BT156" i="3"/>
  <c r="BV111" i="3" l="1"/>
  <c r="BV112" i="3" s="1"/>
  <c r="BV104" i="3" s="1"/>
  <c r="BV105" i="3" s="1"/>
  <c r="BV121" i="3" s="1"/>
  <c r="BS181" i="3"/>
  <c r="BU145" i="3"/>
  <c r="BV141" i="3" s="1"/>
  <c r="BT163" i="3"/>
  <c r="BU153" i="3"/>
  <c r="BU162" i="3" s="1"/>
  <c r="BU175" i="3" s="1"/>
  <c r="BU154" i="3" l="1"/>
  <c r="BV150" i="3" s="1"/>
  <c r="BT176" i="3"/>
  <c r="BT166" i="3"/>
  <c r="BT164" i="3"/>
  <c r="BU159" i="3" s="1"/>
  <c r="BS183" i="3"/>
  <c r="BU156" i="3"/>
  <c r="BV113" i="3"/>
  <c r="BS188" i="3" l="1"/>
  <c r="BS212" i="3" s="1"/>
  <c r="BS187" i="3"/>
  <c r="BT167" i="3"/>
  <c r="BU161" i="3"/>
  <c r="BU163" i="3" s="1"/>
  <c r="BV129" i="3"/>
  <c r="BV131" i="3" s="1"/>
  <c r="BV137" i="3" s="1"/>
  <c r="BV138" i="3" s="1"/>
  <c r="BU176" i="3" l="1"/>
  <c r="BU166" i="3"/>
  <c r="BU164" i="3"/>
  <c r="BV159" i="3" s="1"/>
  <c r="BT169" i="3"/>
  <c r="BT177" i="3" s="1"/>
  <c r="BS190" i="3"/>
  <c r="BS206" i="3"/>
  <c r="BV200" i="3"/>
  <c r="BV144" i="3"/>
  <c r="BV126" i="3"/>
  <c r="BV161" i="3" l="1"/>
  <c r="BT180" i="3"/>
  <c r="BT178" i="3"/>
  <c r="BU172" i="3" s="1"/>
  <c r="BU167" i="3"/>
  <c r="BV145" i="3"/>
  <c r="BW141" i="3" s="1"/>
  <c r="BV147" i="3"/>
  <c r="BW111" i="3"/>
  <c r="BV127" i="3"/>
  <c r="BT181" i="3" l="1"/>
  <c r="BV153" i="3"/>
  <c r="BU169" i="3"/>
  <c r="BU177" i="3" s="1"/>
  <c r="BU180" i="3" s="1"/>
  <c r="BW112" i="3"/>
  <c r="BW104" i="3" s="1"/>
  <c r="BW105" i="3" s="1"/>
  <c r="BW121" i="3" s="1"/>
  <c r="BV154" i="3" l="1"/>
  <c r="BW150" i="3" s="1"/>
  <c r="BV162" i="3"/>
  <c r="BT183" i="3"/>
  <c r="BU178" i="3"/>
  <c r="BV172" i="3" s="1"/>
  <c r="BV156" i="3"/>
  <c r="BU181" i="3"/>
  <c r="BU183" i="3" s="1"/>
  <c r="BW113" i="3"/>
  <c r="BU188" i="3" l="1"/>
  <c r="BU212" i="3" s="1"/>
  <c r="BU187" i="3"/>
  <c r="BV175" i="3"/>
  <c r="BV163" i="3"/>
  <c r="BT188" i="3"/>
  <c r="BT212" i="3" s="1"/>
  <c r="BT187" i="3"/>
  <c r="BW129" i="3"/>
  <c r="BW131" i="3" s="1"/>
  <c r="BW137" i="3" s="1"/>
  <c r="BW138" i="3" s="1"/>
  <c r="BT190" i="3" l="1"/>
  <c r="BT206" i="3"/>
  <c r="BV176" i="3"/>
  <c r="BV166" i="3"/>
  <c r="BV164" i="3"/>
  <c r="BW159" i="3" s="1"/>
  <c r="BU190" i="3"/>
  <c r="BU206" i="3"/>
  <c r="BW200" i="3"/>
  <c r="BW144" i="3"/>
  <c r="BW126" i="3"/>
  <c r="BW161" i="3" l="1"/>
  <c r="BW145" i="3"/>
  <c r="BX141" i="3" s="1"/>
  <c r="BV167" i="3"/>
  <c r="BV169" i="3" s="1"/>
  <c r="BV177" i="3" s="1"/>
  <c r="BW147" i="3"/>
  <c r="BX111" i="3"/>
  <c r="BW127" i="3"/>
  <c r="BV180" i="3" l="1"/>
  <c r="BV178" i="3"/>
  <c r="BW172" i="3" s="1"/>
  <c r="BW153" i="3"/>
  <c r="BW156" i="3" s="1"/>
  <c r="BX112" i="3"/>
  <c r="BX104" i="3" s="1"/>
  <c r="BX105" i="3" s="1"/>
  <c r="BX121" i="3" s="1"/>
  <c r="BW154" i="3" l="1"/>
  <c r="BX150" i="3" s="1"/>
  <c r="BW162" i="3"/>
  <c r="BV181" i="3"/>
  <c r="BV183" i="3" s="1"/>
  <c r="BX113" i="3"/>
  <c r="BV187" i="3" l="1"/>
  <c r="BV206" i="3" s="1"/>
  <c r="BV188" i="3"/>
  <c r="BV212" i="3" s="1"/>
  <c r="BW175" i="3"/>
  <c r="BW163" i="3"/>
  <c r="BX129" i="3"/>
  <c r="BX131" i="3" s="1"/>
  <c r="BX137" i="3" s="1"/>
  <c r="BX138" i="3" s="1"/>
  <c r="BX126" i="3" l="1"/>
  <c r="BX127" i="3" s="1"/>
  <c r="BV190" i="3"/>
  <c r="BW176" i="3"/>
  <c r="BW166" i="3"/>
  <c r="BX200" i="3"/>
  <c r="BX144" i="3"/>
  <c r="BX147" i="3" s="1"/>
  <c r="BW164" i="3"/>
  <c r="BX159" i="3" s="1"/>
  <c r="BY111" i="3" l="1"/>
  <c r="BY112" i="3" s="1"/>
  <c r="BY104" i="3" s="1"/>
  <c r="BY105" i="3" s="1"/>
  <c r="BY121" i="3" s="1"/>
  <c r="BX153" i="3"/>
  <c r="BX161" i="3"/>
  <c r="BW167" i="3"/>
  <c r="BW169" i="3" s="1"/>
  <c r="BW177" i="3" s="1"/>
  <c r="BX145" i="3"/>
  <c r="BY141" i="3" s="1"/>
  <c r="BX162" i="3"/>
  <c r="BX175" i="3" s="1"/>
  <c r="BW180" i="3" l="1"/>
  <c r="BW178" i="3"/>
  <c r="BX172" i="3" s="1"/>
  <c r="BX154" i="3"/>
  <c r="BY150" i="3" s="1"/>
  <c r="BX156" i="3"/>
  <c r="BX163" i="3" s="1"/>
  <c r="BY113" i="3"/>
  <c r="BX176" i="3" l="1"/>
  <c r="BX166" i="3"/>
  <c r="BX164" i="3"/>
  <c r="BY159" i="3" s="1"/>
  <c r="BW181" i="3"/>
  <c r="BW183" i="3" s="1"/>
  <c r="BY129" i="3"/>
  <c r="BY131" i="3" s="1"/>
  <c r="BY137" i="3" s="1"/>
  <c r="BY138" i="3" s="1"/>
  <c r="BY126" i="3" l="1"/>
  <c r="BZ111" i="3" s="1"/>
  <c r="BY161" i="3"/>
  <c r="BW187" i="3"/>
  <c r="BW188" i="3"/>
  <c r="BW212" i="3" s="1"/>
  <c r="BY200" i="3"/>
  <c r="BY144" i="3"/>
  <c r="BY147" i="3" s="1"/>
  <c r="BX167" i="3"/>
  <c r="BX169" i="3" s="1"/>
  <c r="BX177" i="3" s="1"/>
  <c r="BX180" i="3" s="1"/>
  <c r="BY127" i="3" l="1"/>
  <c r="BY153" i="3"/>
  <c r="BY162" i="3" s="1"/>
  <c r="BY175" i="3" s="1"/>
  <c r="BX181" i="3"/>
  <c r="BY145" i="3"/>
  <c r="BZ141" i="3" s="1"/>
  <c r="BW190" i="3"/>
  <c r="BW206" i="3"/>
  <c r="BX178" i="3"/>
  <c r="BY172" i="3" s="1"/>
  <c r="BZ112" i="3"/>
  <c r="BZ104" i="3" s="1"/>
  <c r="BZ105" i="3" l="1"/>
  <c r="BZ121" i="3" s="1"/>
  <c r="BX183" i="3"/>
  <c r="BY154" i="3"/>
  <c r="BZ150" i="3" s="1"/>
  <c r="BY156" i="3"/>
  <c r="BY163" i="3" s="1"/>
  <c r="BZ113" i="3"/>
  <c r="BY176" i="3" l="1"/>
  <c r="BY166" i="3"/>
  <c r="BY164" i="3"/>
  <c r="BZ159" i="3" s="1"/>
  <c r="BX188" i="3"/>
  <c r="BX212" i="3" s="1"/>
  <c r="BX187" i="3"/>
  <c r="BZ129" i="3"/>
  <c r="BZ131" i="3" l="1"/>
  <c r="BZ137" i="3" s="1"/>
  <c r="BZ138" i="3" s="1"/>
  <c r="BZ200" i="3" s="1"/>
  <c r="BX190" i="3"/>
  <c r="BX206" i="3"/>
  <c r="BZ161" i="3"/>
  <c r="BY167" i="3"/>
  <c r="BZ126" i="3"/>
  <c r="BZ144" i="3" l="1"/>
  <c r="BZ145" i="3" s="1"/>
  <c r="CA141" i="3" s="1"/>
  <c r="BY169" i="3"/>
  <c r="BY177" i="3" s="1"/>
  <c r="CA111" i="3"/>
  <c r="BZ127" i="3"/>
  <c r="BZ147" i="3" l="1"/>
  <c r="BZ153" i="3" s="1"/>
  <c r="BZ156" i="3" s="1"/>
  <c r="BY180" i="3"/>
  <c r="BY178" i="3"/>
  <c r="BZ172" i="3" s="1"/>
  <c r="CA112" i="3"/>
  <c r="CA104" i="3" s="1"/>
  <c r="CA105" i="3" l="1"/>
  <c r="CA121" i="3" s="1"/>
  <c r="BY181" i="3"/>
  <c r="BY183" i="3"/>
  <c r="BZ154" i="3"/>
  <c r="CA150" i="3" s="1"/>
  <c r="BZ162" i="3"/>
  <c r="CA113" i="3"/>
  <c r="BY187" i="3" l="1"/>
  <c r="BY188" i="3"/>
  <c r="BZ175" i="3"/>
  <c r="BZ163" i="3"/>
  <c r="BY212" i="3"/>
  <c r="CA129" i="3"/>
  <c r="CA131" i="3" l="1"/>
  <c r="CA137" i="3" s="1"/>
  <c r="CA138" i="3" s="1"/>
  <c r="CA200" i="3" s="1"/>
  <c r="CA126" i="3"/>
  <c r="CB111" i="3" s="1"/>
  <c r="BZ176" i="3"/>
  <c r="BZ166" i="3"/>
  <c r="BZ164" i="3"/>
  <c r="CA159" i="3" s="1"/>
  <c r="BY190" i="3"/>
  <c r="BY206" i="3"/>
  <c r="CA144" i="3" l="1"/>
  <c r="CA147" i="3" s="1"/>
  <c r="CA153" i="3" s="1"/>
  <c r="CA156" i="3" s="1"/>
  <c r="CA127" i="3"/>
  <c r="CA161" i="3"/>
  <c r="BZ167" i="3"/>
  <c r="CB112" i="3"/>
  <c r="CB104" i="3" s="1"/>
  <c r="CA145" i="3" l="1"/>
  <c r="CB141" i="3" s="1"/>
  <c r="CB105" i="3"/>
  <c r="CB121" i="3" s="1"/>
  <c r="CA154" i="3"/>
  <c r="CB150" i="3" s="1"/>
  <c r="BZ169" i="3"/>
  <c r="BZ177" i="3" s="1"/>
  <c r="CA162" i="3"/>
  <c r="CB113" i="3"/>
  <c r="CB129" i="3" s="1"/>
  <c r="CB126" i="3" l="1"/>
  <c r="CB127" i="3" s="1"/>
  <c r="CA175" i="3"/>
  <c r="CA163" i="3"/>
  <c r="CA164" i="3" s="1"/>
  <c r="CB159" i="3" s="1"/>
  <c r="BZ180" i="3"/>
  <c r="BZ178" i="3"/>
  <c r="CA172" i="3" s="1"/>
  <c r="CB131" i="3"/>
  <c r="CB137" i="3" s="1"/>
  <c r="CB138" i="3" s="1"/>
  <c r="CC111" i="3" l="1"/>
  <c r="CB161" i="3"/>
  <c r="CB200" i="3"/>
  <c r="CB144" i="3"/>
  <c r="CB147" i="3" s="1"/>
  <c r="BZ181" i="3"/>
  <c r="CA176" i="3"/>
  <c r="CA166" i="3"/>
  <c r="CC112" i="3"/>
  <c r="CC104" i="3" s="1"/>
  <c r="CC105" i="3" l="1"/>
  <c r="CC121" i="3" s="1"/>
  <c r="CB153" i="3"/>
  <c r="CB162" i="3" s="1"/>
  <c r="CA167" i="3"/>
  <c r="CA169" i="3" s="1"/>
  <c r="CA177" i="3" s="1"/>
  <c r="CB145" i="3"/>
  <c r="CC141" i="3" s="1"/>
  <c r="BZ183" i="3"/>
  <c r="CC113" i="3"/>
  <c r="CA180" i="3" l="1"/>
  <c r="CA178" i="3"/>
  <c r="CB172" i="3" s="1"/>
  <c r="CB154" i="3"/>
  <c r="CC150" i="3" s="1"/>
  <c r="CB175" i="3"/>
  <c r="BZ188" i="3"/>
  <c r="BZ212" i="3" s="1"/>
  <c r="BZ187" i="3"/>
  <c r="CB156" i="3"/>
  <c r="CB163" i="3" s="1"/>
  <c r="CC129" i="3"/>
  <c r="CC131" i="3" l="1"/>
  <c r="CC137" i="3" s="1"/>
  <c r="CC138" i="3" s="1"/>
  <c r="CC200" i="3" s="1"/>
  <c r="CB176" i="3"/>
  <c r="CB166" i="3"/>
  <c r="CC126" i="3"/>
  <c r="CD111" i="3" s="1"/>
  <c r="BZ190" i="3"/>
  <c r="BZ206" i="3"/>
  <c r="CA181" i="3"/>
  <c r="CB164" i="3"/>
  <c r="CC159" i="3" s="1"/>
  <c r="CC144" i="3" l="1"/>
  <c r="CC147" i="3" s="1"/>
  <c r="CC153" i="3" s="1"/>
  <c r="CC127" i="3"/>
  <c r="CB167" i="3"/>
  <c r="CB169" i="3" s="1"/>
  <c r="CB177" i="3" s="1"/>
  <c r="CC161" i="3"/>
  <c r="CA183" i="3"/>
  <c r="CD112" i="3"/>
  <c r="CD104" i="3" s="1"/>
  <c r="CC162" i="3" l="1"/>
  <c r="CC175" i="3" s="1"/>
  <c r="CC145" i="3"/>
  <c r="CD141" i="3" s="1"/>
  <c r="CD105" i="3"/>
  <c r="CD121" i="3" s="1"/>
  <c r="CB180" i="3"/>
  <c r="CB178" i="3"/>
  <c r="CC172" i="3" s="1"/>
  <c r="CC154" i="3"/>
  <c r="CD150" i="3" s="1"/>
  <c r="CA188" i="3"/>
  <c r="CA212" i="3" s="1"/>
  <c r="CA187" i="3"/>
  <c r="CC156" i="3"/>
  <c r="CC163" i="3" s="1"/>
  <c r="CD113" i="3"/>
  <c r="CC176" i="3" l="1"/>
  <c r="CC166" i="3"/>
  <c r="CC164" i="3"/>
  <c r="CD159" i="3" s="1"/>
  <c r="CA190" i="3"/>
  <c r="CA206" i="3"/>
  <c r="CB181" i="3"/>
  <c r="CD129" i="3"/>
  <c r="CD131" i="3" l="1"/>
  <c r="CD137" i="3" s="1"/>
  <c r="CD138" i="3" s="1"/>
  <c r="CD200" i="3" s="1"/>
  <c r="CD161" i="3"/>
  <c r="CC167" i="3"/>
  <c r="CB183" i="3"/>
  <c r="CD126" i="3"/>
  <c r="CD144" i="3" l="1"/>
  <c r="CD145" i="3" s="1"/>
  <c r="CE141" i="3" s="1"/>
  <c r="CB188" i="3"/>
  <c r="CB212" i="3" s="1"/>
  <c r="CB187" i="3"/>
  <c r="CC169" i="3"/>
  <c r="CC177" i="3" s="1"/>
  <c r="CE111" i="3"/>
  <c r="CD127" i="3"/>
  <c r="CD147" i="3" l="1"/>
  <c r="CD153" i="3" s="1"/>
  <c r="CD156" i="3" s="1"/>
  <c r="CC180" i="3"/>
  <c r="CC178" i="3"/>
  <c r="CD172" i="3" s="1"/>
  <c r="CB190" i="3"/>
  <c r="CB206" i="3"/>
  <c r="CE112" i="3"/>
  <c r="CE104" i="3" s="1"/>
  <c r="CE105" i="3" s="1"/>
  <c r="CE121" i="3" s="1"/>
  <c r="CD154" i="3" l="1"/>
  <c r="CE150" i="3" s="1"/>
  <c r="CD162" i="3"/>
  <c r="CC181" i="3"/>
  <c r="CE113" i="3"/>
  <c r="CC183" i="3" l="1"/>
  <c r="CD175" i="3"/>
  <c r="CD163" i="3"/>
  <c r="CE129" i="3"/>
  <c r="CE131" i="3" s="1"/>
  <c r="CE137" i="3" s="1"/>
  <c r="CE138" i="3" s="1"/>
  <c r="CD176" i="3" l="1"/>
  <c r="CD166" i="3"/>
  <c r="CD164" i="3"/>
  <c r="CE159" i="3" s="1"/>
  <c r="CE200" i="3"/>
  <c r="CE144" i="3"/>
  <c r="CC188" i="3"/>
  <c r="CC212" i="3" s="1"/>
  <c r="CC187" i="3"/>
  <c r="CE126" i="3"/>
  <c r="CE145" i="3" l="1"/>
  <c r="CF141" i="3" s="1"/>
  <c r="CD167" i="3"/>
  <c r="CE147" i="3"/>
  <c r="CE161" i="3"/>
  <c r="CC190" i="3"/>
  <c r="CC206" i="3"/>
  <c r="CF111" i="3"/>
  <c r="CE127" i="3"/>
  <c r="CE153" i="3" l="1"/>
  <c r="CD169" i="3"/>
  <c r="CD177" i="3" s="1"/>
  <c r="CF112" i="3"/>
  <c r="CF104" i="3" s="1"/>
  <c r="CF105" i="3" s="1"/>
  <c r="CF121" i="3" s="1"/>
  <c r="CE154" i="3" l="1"/>
  <c r="CF150" i="3" s="1"/>
  <c r="CE162" i="3"/>
  <c r="CD180" i="3"/>
  <c r="CD178" i="3"/>
  <c r="CE172" i="3" s="1"/>
  <c r="CE156" i="3"/>
  <c r="CF113" i="3"/>
  <c r="CD181" i="3" l="1"/>
  <c r="CE175" i="3"/>
  <c r="CE163" i="3"/>
  <c r="CE164" i="3" s="1"/>
  <c r="CF159" i="3" s="1"/>
  <c r="CF129" i="3"/>
  <c r="CF131" i="3" s="1"/>
  <c r="CF137" i="3" s="1"/>
  <c r="CF138" i="3" s="1"/>
  <c r="CF161" i="3" l="1"/>
  <c r="CE176" i="3"/>
  <c r="CE166" i="3"/>
  <c r="CD183" i="3"/>
  <c r="CF200" i="3"/>
  <c r="CF144" i="3"/>
  <c r="CF126" i="3"/>
  <c r="CD187" i="3" l="1"/>
  <c r="CD206" i="3" s="1"/>
  <c r="CD188" i="3"/>
  <c r="CD212" i="3" s="1"/>
  <c r="CF145" i="3"/>
  <c r="CG141" i="3" s="1"/>
  <c r="CF147" i="3"/>
  <c r="CE167" i="3"/>
  <c r="CG111" i="3"/>
  <c r="CF127" i="3"/>
  <c r="CD190" i="3" l="1"/>
  <c r="CE169" i="3"/>
  <c r="CE177" i="3" s="1"/>
  <c r="CF153" i="3"/>
  <c r="CG112" i="3"/>
  <c r="CG104" i="3" s="1"/>
  <c r="CG105" i="3" s="1"/>
  <c r="CG121" i="3" s="1"/>
  <c r="CF154" i="3" l="1"/>
  <c r="CG150" i="3" s="1"/>
  <c r="CF162" i="3"/>
  <c r="CF156" i="3"/>
  <c r="CE180" i="3"/>
  <c r="CE178" i="3"/>
  <c r="CF172" i="3" s="1"/>
  <c r="CG113" i="3"/>
  <c r="CE181" i="3" l="1"/>
  <c r="CE183" i="3" s="1"/>
  <c r="CF175" i="3"/>
  <c r="CF163" i="3"/>
  <c r="CF164" i="3" s="1"/>
  <c r="CG159" i="3" s="1"/>
  <c r="CG129" i="3"/>
  <c r="CG131" i="3" s="1"/>
  <c r="CG137" i="3" s="1"/>
  <c r="CG138" i="3" s="1"/>
  <c r="CG126" i="3" l="1"/>
  <c r="CG127" i="3" s="1"/>
  <c r="CG161" i="3"/>
  <c r="CF176" i="3"/>
  <c r="CF166" i="3"/>
  <c r="CE187" i="3"/>
  <c r="CE188" i="3"/>
  <c r="CE212" i="3" s="1"/>
  <c r="CG200" i="3"/>
  <c r="CG144" i="3"/>
  <c r="CH111" i="3" l="1"/>
  <c r="CH112" i="3" s="1"/>
  <c r="CH104" i="3" s="1"/>
  <c r="CH105" i="3" s="1"/>
  <c r="CH121" i="3" s="1"/>
  <c r="CF167" i="3"/>
  <c r="CF169" i="3" s="1"/>
  <c r="CF177" i="3" s="1"/>
  <c r="CE190" i="3"/>
  <c r="CE206" i="3"/>
  <c r="CG145" i="3"/>
  <c r="CH141" i="3" s="1"/>
  <c r="CG147" i="3"/>
  <c r="CF180" i="3" l="1"/>
  <c r="CF178" i="3"/>
  <c r="CG172" i="3" s="1"/>
  <c r="CG153" i="3"/>
  <c r="CH113" i="3"/>
  <c r="CG154" i="3" l="1"/>
  <c r="CH150" i="3" s="1"/>
  <c r="CG162" i="3"/>
  <c r="CG156" i="3"/>
  <c r="CF181" i="3"/>
  <c r="CF183" i="3" s="1"/>
  <c r="CH129" i="3"/>
  <c r="CH131" i="3" s="1"/>
  <c r="CH137" i="3" s="1"/>
  <c r="CH138" i="3" s="1"/>
  <c r="CF188" i="3" l="1"/>
  <c r="CF212" i="3" s="1"/>
  <c r="CF187" i="3"/>
  <c r="CG175" i="3"/>
  <c r="CG163" i="3"/>
  <c r="CH200" i="3"/>
  <c r="CH144" i="3"/>
  <c r="CH126" i="3"/>
  <c r="CG176" i="3" l="1"/>
  <c r="CG166" i="3"/>
  <c r="CH145" i="3"/>
  <c r="CI141" i="3" s="1"/>
  <c r="CF190" i="3"/>
  <c r="CF206" i="3"/>
  <c r="CG164" i="3"/>
  <c r="CH159" i="3" s="1"/>
  <c r="CH147" i="3"/>
  <c r="CI111" i="3"/>
  <c r="CH127" i="3"/>
  <c r="CG167" i="3" l="1"/>
  <c r="CH153" i="3"/>
  <c r="CH161" i="3"/>
  <c r="CI112" i="3"/>
  <c r="CI104" i="3" s="1"/>
  <c r="CI105" i="3" s="1"/>
  <c r="CI121" i="3" s="1"/>
  <c r="CH154" i="3" l="1"/>
  <c r="CI150" i="3" s="1"/>
  <c r="CH162" i="3"/>
  <c r="CH175" i="3" s="1"/>
  <c r="CG169" i="3"/>
  <c r="CG177" i="3" s="1"/>
  <c r="CH156" i="3"/>
  <c r="CH163" i="3" s="1"/>
  <c r="CI113" i="3"/>
  <c r="CH176" i="3" l="1"/>
  <c r="CH166" i="3"/>
  <c r="CG180" i="3"/>
  <c r="CG178" i="3"/>
  <c r="CH172" i="3" s="1"/>
  <c r="CH164" i="3"/>
  <c r="CI159" i="3" s="1"/>
  <c r="CI129" i="3"/>
  <c r="CI131" i="3" s="1"/>
  <c r="CI137" i="3" s="1"/>
  <c r="CI138" i="3" s="1"/>
  <c r="CI200" i="3" l="1"/>
  <c r="CI144" i="3"/>
  <c r="CH167" i="3"/>
  <c r="CH169" i="3" s="1"/>
  <c r="CH177" i="3" s="1"/>
  <c r="CI161" i="3"/>
  <c r="CG181" i="3"/>
  <c r="CI126" i="3"/>
  <c r="CI127" i="3" s="1"/>
  <c r="CJ111" i="3" l="1"/>
  <c r="CJ112" i="3" s="1"/>
  <c r="CJ104" i="3" s="1"/>
  <c r="CJ105" i="3" s="1"/>
  <c r="CJ121" i="3" s="1"/>
  <c r="CH180" i="3"/>
  <c r="CH178" i="3"/>
  <c r="CI172" i="3" s="1"/>
  <c r="CI145" i="3"/>
  <c r="CJ141" i="3" s="1"/>
  <c r="CG183" i="3"/>
  <c r="CI147" i="3"/>
  <c r="CG187" i="3" l="1"/>
  <c r="CG188" i="3"/>
  <c r="CG212" i="3" s="1"/>
  <c r="CI153" i="3"/>
  <c r="CH181" i="3"/>
  <c r="CH183" i="3" s="1"/>
  <c r="CJ113" i="3"/>
  <c r="CJ129" i="3" s="1"/>
  <c r="CJ126" i="3" s="1"/>
  <c r="CI154" i="3" l="1"/>
  <c r="CJ150" i="3" s="1"/>
  <c r="CI162" i="3"/>
  <c r="CI156" i="3"/>
  <c r="CH188" i="3"/>
  <c r="CH187" i="3"/>
  <c r="CH212" i="3"/>
  <c r="CG190" i="3"/>
  <c r="CG206" i="3"/>
  <c r="CK111" i="3"/>
  <c r="CJ127" i="3"/>
  <c r="CJ131" i="3"/>
  <c r="CJ137" i="3" s="1"/>
  <c r="CJ138" i="3" s="1"/>
  <c r="CH190" i="3" l="1"/>
  <c r="CH206" i="3"/>
  <c r="CJ200" i="3"/>
  <c r="CJ144" i="3"/>
  <c r="CI175" i="3"/>
  <c r="CI163" i="3"/>
  <c r="CK112" i="3"/>
  <c r="CK104" i="3" s="1"/>
  <c r="CK105" i="3" l="1"/>
  <c r="F80" i="2"/>
  <c r="F81" i="2" s="1"/>
  <c r="G80" i="2"/>
  <c r="G81" i="2" s="1"/>
  <c r="H80" i="2"/>
  <c r="H81" i="2" s="1"/>
  <c r="I80" i="2"/>
  <c r="I81" i="2" s="1"/>
  <c r="J80" i="2"/>
  <c r="J81" i="2" s="1"/>
  <c r="K80" i="2"/>
  <c r="K81" i="2" s="1"/>
  <c r="L80" i="2"/>
  <c r="L81" i="2" s="1"/>
  <c r="CK121" i="3"/>
  <c r="L58" i="2"/>
  <c r="CJ145" i="3"/>
  <c r="CK141" i="3" s="1"/>
  <c r="CJ147" i="3"/>
  <c r="CI176" i="3"/>
  <c r="CI166" i="3"/>
  <c r="CI164" i="3"/>
  <c r="CJ159" i="3" s="1"/>
  <c r="CK113" i="3"/>
  <c r="M58" i="2" l="1"/>
  <c r="M60" i="2" s="1"/>
  <c r="L60" i="2"/>
  <c r="CJ161" i="3"/>
  <c r="CJ153" i="3"/>
  <c r="CI167" i="3"/>
  <c r="CI169" i="3" s="1"/>
  <c r="CI177" i="3" s="1"/>
  <c r="CI180" i="3" s="1"/>
  <c r="CI181" i="3" s="1"/>
  <c r="CI183" i="3" s="1"/>
  <c r="CK129" i="3"/>
  <c r="CK131" i="3" l="1"/>
  <c r="CK137" i="3" s="1"/>
  <c r="CK138" i="3" s="1"/>
  <c r="CK144" i="3" s="1"/>
  <c r="F89" i="2"/>
  <c r="F91" i="2" s="1"/>
  <c r="G89" i="2"/>
  <c r="G91" i="2" s="1"/>
  <c r="H89" i="2"/>
  <c r="H91" i="2" s="1"/>
  <c r="I89" i="2"/>
  <c r="I91" i="2" s="1"/>
  <c r="J89" i="2"/>
  <c r="J91" i="2" s="1"/>
  <c r="K89" i="2"/>
  <c r="K91" i="2" s="1"/>
  <c r="L89" i="2"/>
  <c r="L91" i="2" s="1"/>
  <c r="N57" i="2"/>
  <c r="N59" i="2"/>
  <c r="N58" i="2"/>
  <c r="CJ154" i="3"/>
  <c r="CK150" i="3" s="1"/>
  <c r="CJ162" i="3"/>
  <c r="CI188" i="3"/>
  <c r="CI212" i="3" s="1"/>
  <c r="CI187" i="3"/>
  <c r="CI190" i="3" s="1"/>
  <c r="CJ156" i="3"/>
  <c r="CI178" i="3"/>
  <c r="CJ172" i="3" s="1"/>
  <c r="CK126" i="3"/>
  <c r="CK127" i="3" s="1"/>
  <c r="CK200" i="3" l="1"/>
  <c r="F97" i="2"/>
  <c r="G97" i="2"/>
  <c r="H97" i="2"/>
  <c r="I97" i="2"/>
  <c r="J97" i="2"/>
  <c r="K97" i="2"/>
  <c r="L97" i="2"/>
  <c r="N60" i="2"/>
  <c r="CI206" i="3"/>
  <c r="CJ175" i="3"/>
  <c r="CK145" i="3"/>
  <c r="CK147" i="3"/>
  <c r="CK153" i="3" s="1"/>
  <c r="CK162" i="3" s="1"/>
  <c r="CK175" i="3" s="1"/>
  <c r="E201" i="3"/>
  <c r="E98" i="2" s="1"/>
  <c r="E202" i="3"/>
  <c r="E203" i="3"/>
  <c r="CJ163" i="3"/>
  <c r="E204" i="3" l="1"/>
  <c r="E99" i="2" s="1"/>
  <c r="CJ176" i="3"/>
  <c r="CJ166" i="3"/>
  <c r="CJ164" i="3"/>
  <c r="CK159" i="3" s="1"/>
  <c r="CK154" i="3"/>
  <c r="CK156" i="3"/>
  <c r="CK161" i="3" l="1"/>
  <c r="CK163" i="3" s="1"/>
  <c r="CJ167" i="3"/>
  <c r="CJ169" i="3" s="1"/>
  <c r="CJ177" i="3" s="1"/>
  <c r="CJ180" i="3" s="1"/>
  <c r="CJ181" i="3" s="1"/>
  <c r="CJ183" i="3" s="1"/>
  <c r="CJ188" i="3" l="1"/>
  <c r="CJ212" i="3" s="1"/>
  <c r="CJ187" i="3"/>
  <c r="CK176" i="3"/>
  <c r="CK166" i="3"/>
  <c r="CK164" i="3"/>
  <c r="CJ178" i="3"/>
  <c r="CK172" i="3" s="1"/>
  <c r="CJ190" i="3" l="1"/>
  <c r="CJ206" i="3"/>
  <c r="CK167" i="3"/>
  <c r="CK169" i="3" l="1"/>
  <c r="CK177" i="3" s="1"/>
  <c r="CK180" i="3" l="1"/>
  <c r="CK178" i="3"/>
  <c r="CK181" i="3" l="1"/>
  <c r="CK183" i="3" l="1"/>
  <c r="CK188" i="3" l="1"/>
  <c r="CK212" i="3" s="1"/>
  <c r="CK187" i="3"/>
  <c r="F105" i="2" l="1"/>
  <c r="G105" i="2"/>
  <c r="H105" i="2"/>
  <c r="I105" i="2"/>
  <c r="J105" i="2"/>
  <c r="K105" i="2"/>
  <c r="L105" i="2"/>
  <c r="CK190" i="3"/>
  <c r="CK206" i="3"/>
  <c r="E213" i="3"/>
  <c r="E106" i="2" s="1"/>
  <c r="E215" i="3"/>
  <c r="E214" i="3"/>
  <c r="C122" i="2" l="1"/>
  <c r="C154" i="2"/>
  <c r="C170" i="2"/>
  <c r="C138" i="2"/>
  <c r="F101" i="2"/>
  <c r="G101" i="2"/>
  <c r="H101" i="2"/>
  <c r="I101" i="2"/>
  <c r="J101" i="2"/>
  <c r="K101" i="2"/>
  <c r="L101" i="2"/>
  <c r="E216" i="3"/>
  <c r="E107" i="2" s="1"/>
  <c r="E209" i="3"/>
  <c r="E207" i="3"/>
  <c r="E102" i="2" s="1"/>
  <c r="E208" i="3"/>
  <c r="C162" i="2" l="1"/>
  <c r="C114" i="2"/>
  <c r="C146" i="2"/>
  <c r="C130" i="2"/>
  <c r="E210" i="3"/>
  <c r="E103" i="2" s="1"/>
</calcChain>
</file>

<file path=xl/comments1.xml><?xml version="1.0" encoding="utf-8"?>
<comments xmlns="http://schemas.openxmlformats.org/spreadsheetml/2006/main">
  <authors>
    <author>BIWS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6 car spaces per unit.</t>
        </r>
      </text>
    </comment>
  </commentList>
</comments>
</file>

<file path=xl/sharedStrings.xml><?xml version="1.0" encoding="utf-8"?>
<sst xmlns="http://schemas.openxmlformats.org/spreadsheetml/2006/main" count="542" uniqueCount="220">
  <si>
    <t>Location:</t>
  </si>
  <si>
    <t>Units:</t>
  </si>
  <si>
    <t>Name</t>
  </si>
  <si>
    <t>#</t>
  </si>
  <si>
    <t>Months in Year:</t>
  </si>
  <si>
    <t>%</t>
  </si>
  <si>
    <t>Parking Spots:</t>
  </si>
  <si>
    <t>Number of Floors:</t>
  </si>
  <si>
    <t>Operating Cases:</t>
  </si>
  <si>
    <t>Selected Case:</t>
  </si>
  <si>
    <t>Sources of Funds:</t>
  </si>
  <si>
    <t>Uses of 
Funds:</t>
  </si>
  <si>
    <t>Total Sources:</t>
  </si>
  <si>
    <t>Total:</t>
  </si>
  <si>
    <t>% LTC:</t>
  </si>
  <si>
    <t>Assumption:</t>
  </si>
  <si>
    <t>Low:</t>
  </si>
  <si>
    <t>High:</t>
  </si>
  <si>
    <t>São Paulo</t>
  </si>
  <si>
    <t>Lot Square Meters:</t>
  </si>
  <si>
    <t>sq. m.</t>
  </si>
  <si>
    <t>Upfront Client Payment:</t>
  </si>
  <si>
    <t>Client Payment Upon Construction End:</t>
  </si>
  <si>
    <t>(R$ BRL in R$ as Stated, Unless Otherwise Noted)</t>
  </si>
  <si>
    <t>R$</t>
  </si>
  <si>
    <t>Sales Velocity per Month:</t>
  </si>
  <si>
    <t># Months in Construction Period:</t>
  </si>
  <si>
    <t>Sales Phase I - # Units To Be Sold:</t>
  </si>
  <si>
    <t>Sales Phase I - Average Unit Size:</t>
  </si>
  <si>
    <t># Units</t>
  </si>
  <si>
    <t>Sales Phase II - # Units To Be Sold:</t>
  </si>
  <si>
    <t>Sales Phase II - Average Unit Size:</t>
  </si>
  <si>
    <t>Sales Phase III - # Units To Be Sold:</t>
  </si>
  <si>
    <t>Sales Phase III - Average Unit Size:</t>
  </si>
  <si>
    <t>Construction Timeline:</t>
  </si>
  <si>
    <t>Sales Price Inflation:</t>
  </si>
  <si>
    <t>Phase I:</t>
  </si>
  <si>
    <t>Month #:</t>
  </si>
  <si>
    <t>Construction Phases:</t>
  </si>
  <si>
    <t>Pre-Construction:</t>
  </si>
  <si>
    <t>Construction:</t>
  </si>
  <si>
    <t>Post-Construction:</t>
  </si>
  <si>
    <t>Status (1 = Pre, 2 = Constr, 3 = Post-Constr):</t>
  </si>
  <si>
    <t>Monthly Units Sold:</t>
  </si>
  <si>
    <t>Cumulative Units Sold:</t>
  </si>
  <si>
    <t>Cumulative Percentage Sold:</t>
  </si>
  <si>
    <t>Construction Timeline &amp; Assumptions:</t>
  </si>
  <si>
    <t>Expense Inflation:</t>
  </si>
  <si>
    <t># Months:</t>
  </si>
  <si>
    <t># of Months of Construction:</t>
  </si>
  <si>
    <t>Monthly Gross Sales:</t>
  </si>
  <si>
    <t>Phase II:</t>
  </si>
  <si>
    <t>Construction Name:</t>
  </si>
  <si>
    <t>% of Units Pre-Sold Before Loan Draw:</t>
  </si>
  <si>
    <t>Absolute Month #:</t>
  </si>
  <si>
    <t>Phase I Total Sales:</t>
  </si>
  <si>
    <t>Phase II Total Sales:</t>
  </si>
  <si>
    <t>Phase III Total Sales:</t>
  </si>
  <si>
    <t>Phase III:</t>
  </si>
  <si>
    <t>Phase I Pre-Construction Duration:</t>
  </si>
  <si>
    <t>Phase I Construction Start Date:</t>
  </si>
  <si>
    <t>Phase I Construction Completion Date:</t>
  </si>
  <si>
    <t>Phase I Start Month:</t>
  </si>
  <si>
    <t>Phase II Start Month:</t>
  </si>
  <si>
    <t>Phase II Pre-Construction Duration:</t>
  </si>
  <si>
    <t>Phase II Construction Start Date:</t>
  </si>
  <si>
    <t>Phase II Construction Completion Date:</t>
  </si>
  <si>
    <t>Phase III Start Month:</t>
  </si>
  <si>
    <t>Phase III Pre-Construction Duration:</t>
  </si>
  <si>
    <t>Phase III Construction Start Date:</t>
  </si>
  <si>
    <t>Phase III Construction Completion Date:</t>
  </si>
  <si>
    <t>Monthly Expenses:</t>
  </si>
  <si>
    <t>R$ / sq. m.</t>
  </si>
  <si>
    <t>Total Monthly Expenses:</t>
  </si>
  <si>
    <t>Total # of Construction Months:</t>
  </si>
  <si>
    <t>Gross Income:</t>
  </si>
  <si>
    <t>Land Acquisition Costs:</t>
  </si>
  <si>
    <t>Lot Asking Price:</t>
  </si>
  <si>
    <t>Lot Upfront Payment %:</t>
  </si>
  <si>
    <t>Month # for Remainder of Payment:</t>
  </si>
  <si>
    <t>Month #</t>
  </si>
  <si>
    <t>Month # for Upfront Payment:</t>
  </si>
  <si>
    <t>% of Total Building Units Sold:</t>
  </si>
  <si>
    <t>Sales Inflation Multiplier:</t>
  </si>
  <si>
    <t>Expense Inflation Multiplier:</t>
  </si>
  <si>
    <t>Equity &amp; Debt Draws:</t>
  </si>
  <si>
    <t>Developer Equity:</t>
  </si>
  <si>
    <t>Investor Equity:</t>
  </si>
  <si>
    <t>Construction Loan:</t>
  </si>
  <si>
    <t>Total Equity &amp; Debt Draws:</t>
  </si>
  <si>
    <t>Cash Generated After Equity &amp; Debt Draws:</t>
  </si>
  <si>
    <t>Debt &amp; Equity Schedules:</t>
  </si>
  <si>
    <t>Equity &amp; Debt Balances:</t>
  </si>
  <si>
    <t>Interest on Construction Loan:</t>
  </si>
  <si>
    <t>Construction Loan Interest Rate:</t>
  </si>
  <si>
    <t>Cash Interest on Construction Loan:</t>
  </si>
  <si>
    <t>Interest Accrued to Loan Principal:</t>
  </si>
  <si>
    <t>Waterfall Returns Schedule:</t>
  </si>
  <si>
    <t>Investor / Developer Returns Split:</t>
  </si>
  <si>
    <t>Investor Name:</t>
  </si>
  <si>
    <t>Developer Name:</t>
  </si>
  <si>
    <t>Ending Balance:</t>
  </si>
  <si>
    <t>Cash Flow After Draws &amp; Debt Repayment:</t>
  </si>
  <si>
    <t>Cash Flow to Equity Investors:</t>
  </si>
  <si>
    <t>Invested Equity:</t>
  </si>
  <si>
    <t>Total Cash Flow to Equity Investors:</t>
  </si>
  <si>
    <t>Investor Cash Flow:</t>
  </si>
  <si>
    <t>Developer Cash Flow:</t>
  </si>
  <si>
    <t>Remaining Cash to Distribute:</t>
  </si>
  <si>
    <t>Returns Summary:</t>
  </si>
  <si>
    <t>Total Cash Flows to Equity Investors:</t>
  </si>
  <si>
    <t>Internal Rate of Return (IRR):</t>
  </si>
  <si>
    <t>Cash-on-Cash Multiple:</t>
  </si>
  <si>
    <t>x</t>
  </si>
  <si>
    <t>Unleveraged Cash Flows:</t>
  </si>
  <si>
    <t>Gross Square Meters:</t>
  </si>
  <si>
    <t>Total Monthly Gross Sales:</t>
  </si>
  <si>
    <t>Monthly Cash Flows:</t>
  </si>
  <si>
    <t>Floor Area Ratio (FAR):</t>
  </si>
  <si>
    <t>Absolute Year #:</t>
  </si>
  <si>
    <t>Financial Assumptions:</t>
  </si>
  <si>
    <t>Sources &amp; Uses of Funds:</t>
  </si>
  <si>
    <t>$ / RSM:</t>
  </si>
  <si>
    <t># Months</t>
  </si>
  <si>
    <t>Total Uses:</t>
  </si>
  <si>
    <t>Operating Deficit:</t>
  </si>
  <si>
    <t>Annual Financial Summary:</t>
  </si>
  <si>
    <t>Year End Date:</t>
  </si>
  <si>
    <t>Year Number:</t>
  </si>
  <si>
    <t>Days in Year:</t>
  </si>
  <si>
    <t>Total Monthly Units Sold:</t>
  </si>
  <si>
    <t>Cumulative % Total Units Sold:</t>
  </si>
  <si>
    <t>Total Equity &amp; Debt Balances:</t>
  </si>
  <si>
    <t>Lot Price per Square Meter:</t>
  </si>
  <si>
    <t>Date</t>
  </si>
  <si>
    <t># Years</t>
  </si>
  <si>
    <t>Maximum # of Years in Project:</t>
  </si>
  <si>
    <t>Total # Project Duration (MODEL CHECK):</t>
  </si>
  <si>
    <t>Cash Flow After Interest, Before Draws:</t>
  </si>
  <si>
    <t>Construction Loan Repayments:</t>
  </si>
  <si>
    <t>Total Gross Sales:</t>
  </si>
  <si>
    <t>Expenses:</t>
  </si>
  <si>
    <t>Total Expenses:</t>
  </si>
  <si>
    <t>End-of-Project Debt Repayment:</t>
  </si>
  <si>
    <t>Final Month in Model:</t>
  </si>
  <si>
    <t>Construction Start Month:</t>
  </si>
  <si>
    <t>Number of Condo Units:</t>
  </si>
  <si>
    <t>Condo Selling Price per Square Meter:</t>
  </si>
  <si>
    <t>Total Condo Units Sold:</t>
  </si>
  <si>
    <t>(-) Cash Interest Expense:</t>
  </si>
  <si>
    <t>(-) Hard Costs:</t>
  </si>
  <si>
    <t>(-) Soft Costs:</t>
  </si>
  <si>
    <t>Cyrela Brazil Realty</t>
  </si>
  <si>
    <t>Limited Partners</t>
  </si>
  <si>
    <t>Heritage Cyrela</t>
  </si>
  <si>
    <t>Condo Unit to Gross Square Meters %:</t>
  </si>
  <si>
    <t>Total Value of Condo Units Sold:</t>
  </si>
  <si>
    <t>(+) Phase I - Initial Deposits:</t>
  </si>
  <si>
    <t>(+) Phase I - Construction-End Deposits:</t>
  </si>
  <si>
    <t>(+) Phase I - Final Deposits:</t>
  </si>
  <si>
    <t>(+) Phase II - Initial Deposits:</t>
  </si>
  <si>
    <t>(+) Phase II - Final Deposits:</t>
  </si>
  <si>
    <t>(+) Phase III - Initial Deposits:</t>
  </si>
  <si>
    <t>(+) Phase III - Final Deposits:</t>
  </si>
  <si>
    <t>(+) Phase II - Construction-End Deposits:</t>
  </si>
  <si>
    <t>(+) Phase III - Construction-End Deposits:</t>
  </si>
  <si>
    <t>Operating Scenario:</t>
  </si>
  <si>
    <t>Base</t>
  </si>
  <si>
    <t>Downside</t>
  </si>
  <si>
    <t>Upside</t>
  </si>
  <si>
    <t>Client Payment Upon Building Move-In:</t>
  </si>
  <si>
    <t>Total Square Meters of Condo Units:</t>
  </si>
  <si>
    <t>(-) Land Acquisition Costs:</t>
  </si>
  <si>
    <t>Property-Wide Post-Construction Phase:</t>
  </si>
  <si>
    <t>Property-Wide Post-Construction End Month:</t>
  </si>
  <si>
    <t>Monthly Interest Rate on Construction Loan:</t>
  </si>
  <si>
    <t>(+) Developer Equity:</t>
  </si>
  <si>
    <t>(+) Investor Equity:</t>
  </si>
  <si>
    <t>(+) Construction Loan:</t>
  </si>
  <si>
    <t>Hard Costs per Gross Square Meter:</t>
  </si>
  <si>
    <t>Soft Costs per Gross Square Meter:</t>
  </si>
  <si>
    <t>FF&amp;E and Move-In Costs % Monthly Sales:</t>
  </si>
  <si>
    <t>% of Soft Costs Incurred:</t>
  </si>
  <si>
    <t>(-) FF&amp;E and Move-In Costs:</t>
  </si>
  <si>
    <t>Investor Equity Contribution:</t>
  </si>
  <si>
    <t>Developer Equity Contribution:</t>
  </si>
  <si>
    <t>(-) Invested Equity:</t>
  </si>
  <si>
    <t>(+) Net Cash Flow After Debt Service:</t>
  </si>
  <si>
    <t>Limited Partners - Preferred Return:</t>
  </si>
  <si>
    <t>Developers - Catch-Up Return:</t>
  </si>
  <si>
    <t>(+) Beginning Balance:</t>
  </si>
  <si>
    <t>(+) Investor Injections:</t>
  </si>
  <si>
    <t>(+) Investor Accruals:</t>
  </si>
  <si>
    <t>(-) Tier 1 Accrual Distribution:</t>
  </si>
  <si>
    <t>Cash Flow Avail. for Catch-Up Distributions:</t>
  </si>
  <si>
    <t>Cash Flow Avail. for Tier 1 Distributions:</t>
  </si>
  <si>
    <t>(-) Developer Catch-Up Distribution:</t>
  </si>
  <si>
    <t>IRR / Multiple Between:</t>
  </si>
  <si>
    <t>Developer Promote:</t>
  </si>
  <si>
    <t>(-) Preferred and Catch-Up Distributions:</t>
  </si>
  <si>
    <t>Cash Flow Avail. for Tier 2 Distributions:</t>
  </si>
  <si>
    <t>(-) Tier 2 Accrual Distribution:</t>
  </si>
  <si>
    <t>Cash Flow Avail. for Tier 3 Distributions:</t>
  </si>
  <si>
    <t>Positive Cash Flows:</t>
  </si>
  <si>
    <t>Invested Amounts:</t>
  </si>
  <si>
    <t>Sensitivity Analyses:</t>
  </si>
  <si>
    <t>Construction &amp; Operating Assumptions:</t>
  </si>
  <si>
    <t>% Units Pre-Sold for Construction to Begin:</t>
  </si>
  <si>
    <t>% Units Pre-Sold for Next Phase to Begin:</t>
  </si>
  <si>
    <t>(-) Investor Preferred Distribution:</t>
  </si>
  <si>
    <t>Scenario:</t>
  </si>
  <si>
    <t>Investors - Equity IRR and Scenario vs. Sales Velocity:</t>
  </si>
  <si>
    <t>Developers - Equity IRR and Scenario vs. Sales Velocity:</t>
  </si>
  <si>
    <t>Investors - Equity IRR and Scenario vs. Months in Construction Period:</t>
  </si>
  <si>
    <t>Months in Construction Period:</t>
  </si>
  <si>
    <t>Developers - Equity IRR and Scenario vs. Months in Construction Period:</t>
  </si>
  <si>
    <t>Investors - Equity IRR and Scenario vs. Condo Selling Price per Square Meter:</t>
  </si>
  <si>
    <t>Developers - Equity IRR and Scenario vs. Condo Selling Price per Square Meter:</t>
  </si>
  <si>
    <t>Annual Sales Price Inflation:</t>
  </si>
  <si>
    <t>Annual Expense Inflation: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</si>
</sst>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(* #,##0_);_(* \(#,##0\);_(* &quot;-&quot;_);_(@_)"/>
    <numFmt numFmtId="43" formatCode="_(* #,##0.00_);_(* \(#,##0.00\);_(* &quot;-&quot;??_);_(@_)"/>
    <numFmt numFmtId="164" formatCode="#,##0.0_);\(#,##0.0\);\-_);@_)"/>
    <numFmt numFmtId="165" formatCode="yyyy\-mm\-dd"/>
    <numFmt numFmtId="166" formatCode="mmm\ yy"/>
    <numFmt numFmtId="167" formatCode="#,##0_);\(#,##0\);\-_);@_)"/>
    <numFmt numFmtId="168" formatCode="0.0%_);\(0.0%\);\-_);@_)"/>
    <numFmt numFmtId="169" formatCode="0.00%_);\(0.00%\);\-_);@_)"/>
    <numFmt numFmtId="170" formatCode="0.0%"/>
    <numFmt numFmtId="171" formatCode="_-[$R$-416]\ * #,##0_-;\-[$R$-416]\ * #,##0_-;_-[$R$-416]\ * &quot;-&quot;_-;_-@_-"/>
    <numFmt numFmtId="172" formatCode="#,##0\ &quot;sq. m.&quot;"/>
    <numFmt numFmtId="173" formatCode="0.00\ \x"/>
    <numFmt numFmtId="174" formatCode="0.0_);\(0.0\)"/>
    <numFmt numFmtId="175" formatCode="&quot;FY&quot;yy"/>
    <numFmt numFmtId="176" formatCode="&quot;FY&quot;\ yy"/>
    <numFmt numFmtId="177" formatCode="#,##0_)&quot;sq. m.&quot;;\(#,##0\);\-_)&quot;sq. m.&quot;;@_)"/>
    <numFmt numFmtId="178" formatCode="_-[$R$-416]* #,##0.00_-;\-[$R$-416]* #,##0.00_-;_-[$R$-416]* &quot;-&quot;??_-;_-@_-"/>
    <numFmt numFmtId="179" formatCode="_(* #,##0_);_(* \(#,##0\);_(* &quot;-&quot;??_);_(@_)"/>
    <numFmt numFmtId="180" formatCode="0_);\(0\)"/>
    <numFmt numFmtId="181" formatCode="_-[$R$-416]* #,##0_-;\-[$R$-416]* #,##0_-;_-[$R$-416]* &quot;-&quot;_-;_-@_-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1F497D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8" fillId="0" borderId="0"/>
  </cellStyleXfs>
  <cellXfs count="176">
    <xf numFmtId="0" fontId="0" fillId="0" borderId="0" xfId="0"/>
    <xf numFmtId="0" fontId="10" fillId="0" borderId="0" xfId="0" applyNumberFormat="1" applyFont="1" applyBorder="1"/>
    <xf numFmtId="0" fontId="7" fillId="0" borderId="0" xfId="0" applyFont="1"/>
    <xf numFmtId="0" fontId="7" fillId="0" borderId="0" xfId="0" applyNumberFormat="1" applyFont="1" applyBorder="1"/>
    <xf numFmtId="0" fontId="11" fillId="2" borderId="2" xfId="0" applyNumberFormat="1" applyFont="1" applyFill="1" applyBorder="1" applyAlignment="1">
      <alignment horizontal="left"/>
    </xf>
    <xf numFmtId="0" fontId="13" fillId="2" borderId="2" xfId="0" applyNumberFormat="1" applyFont="1" applyFill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5" fillId="4" borderId="1" xfId="0" applyNumberFormat="1" applyFont="1" applyFill="1" applyBorder="1" applyAlignment="1" applyProtection="1">
      <alignment horizontal="center"/>
      <protection locked="0"/>
    </xf>
    <xf numFmtId="167" fontId="16" fillId="4" borderId="1" xfId="0" applyNumberFormat="1" applyFont="1" applyFill="1" applyBorder="1" applyAlignment="1" applyProtection="1">
      <alignment horizontal="center"/>
      <protection locked="0"/>
    </xf>
    <xf numFmtId="167" fontId="15" fillId="4" borderId="1" xfId="0" applyNumberFormat="1" applyFont="1" applyFill="1" applyBorder="1" applyAlignment="1" applyProtection="1">
      <alignment horizontal="center"/>
      <protection locked="0"/>
    </xf>
    <xf numFmtId="165" fontId="15" fillId="4" borderId="1" xfId="0" applyNumberFormat="1" applyFont="1" applyFill="1" applyBorder="1" applyAlignment="1" applyProtection="1">
      <alignment horizontal="center"/>
      <protection locked="0"/>
    </xf>
    <xf numFmtId="0" fontId="16" fillId="0" borderId="0" xfId="0" applyNumberFormat="1" applyFont="1" applyBorder="1"/>
    <xf numFmtId="0" fontId="17" fillId="0" borderId="0" xfId="0" applyNumberFormat="1" applyFont="1" applyBorder="1" applyAlignment="1">
      <alignment horizontal="left"/>
    </xf>
    <xf numFmtId="0" fontId="14" fillId="0" borderId="0" xfId="0" applyFont="1" applyAlignment="1">
      <alignment horizontal="center"/>
    </xf>
    <xf numFmtId="177" fontId="16" fillId="4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/>
    <xf numFmtId="168" fontId="15" fillId="4" borderId="1" xfId="0" applyNumberFormat="1" applyFont="1" applyFill="1" applyBorder="1" applyAlignment="1" applyProtection="1">
      <alignment horizontal="center"/>
      <protection locked="0"/>
    </xf>
    <xf numFmtId="177" fontId="16" fillId="0" borderId="0" xfId="0" applyNumberFormat="1" applyFont="1" applyFill="1" applyBorder="1" applyAlignment="1" applyProtection="1">
      <alignment horizontal="center"/>
      <protection locked="0"/>
    </xf>
    <xf numFmtId="0" fontId="15" fillId="4" borderId="7" xfId="0" applyNumberFormat="1" applyFont="1" applyFill="1" applyBorder="1" applyAlignment="1" applyProtection="1">
      <alignment horizontal="centerContinuous"/>
      <protection locked="0"/>
    </xf>
    <xf numFmtId="0" fontId="15" fillId="4" borderId="6" xfId="0" applyNumberFormat="1" applyFont="1" applyFill="1" applyBorder="1" applyAlignment="1" applyProtection="1">
      <alignment horizontal="centerContinuous"/>
      <protection locked="0"/>
    </xf>
    <xf numFmtId="174" fontId="15" fillId="4" borderId="1" xfId="0" applyNumberFormat="1" applyFont="1" applyFill="1" applyBorder="1" applyAlignment="1" applyProtection="1">
      <alignment horizontal="center"/>
      <protection locked="0"/>
    </xf>
    <xf numFmtId="171" fontId="16" fillId="4" borderId="1" xfId="0" applyNumberFormat="1" applyFont="1" applyFill="1" applyBorder="1" applyProtection="1">
      <protection locked="0"/>
    </xf>
    <xf numFmtId="0" fontId="14" fillId="0" borderId="0" xfId="0" applyNumberFormat="1" applyFont="1" applyFill="1" applyBorder="1" applyAlignment="1">
      <alignment horizontal="center"/>
    </xf>
    <xf numFmtId="170" fontId="7" fillId="0" borderId="0" xfId="0" applyNumberFormat="1" applyFont="1" applyAlignment="1">
      <alignment horizontal="center"/>
    </xf>
    <xf numFmtId="0" fontId="14" fillId="0" borderId="0" xfId="0" quotePrefix="1" applyNumberFormat="1" applyFont="1" applyBorder="1" applyAlignment="1">
      <alignment horizontal="center"/>
    </xf>
    <xf numFmtId="169" fontId="15" fillId="4" borderId="1" xfId="0" applyNumberFormat="1" applyFont="1" applyFill="1" applyBorder="1" applyAlignment="1" applyProtection="1">
      <alignment horizontal="center"/>
      <protection locked="0"/>
    </xf>
    <xf numFmtId="0" fontId="12" fillId="3" borderId="2" xfId="0" applyNumberFormat="1" applyFont="1" applyFill="1" applyBorder="1" applyAlignment="1">
      <alignment horizontal="centerContinuous"/>
    </xf>
    <xf numFmtId="0" fontId="7" fillId="0" borderId="0" xfId="0" applyFont="1" applyBorder="1"/>
    <xf numFmtId="0" fontId="12" fillId="3" borderId="2" xfId="0" applyFont="1" applyFill="1" applyBorder="1" applyAlignment="1">
      <alignment horizontal="center"/>
    </xf>
    <xf numFmtId="168" fontId="16" fillId="0" borderId="5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/>
    <xf numFmtId="0" fontId="12" fillId="3" borderId="2" xfId="0" applyFont="1" applyFill="1" applyBorder="1" applyAlignment="1">
      <alignment horizontal="centerContinuous"/>
    </xf>
    <xf numFmtId="0" fontId="18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wrapText="1"/>
    </xf>
    <xf numFmtId="0" fontId="12" fillId="3" borderId="2" xfId="0" applyFont="1" applyFill="1" applyBorder="1"/>
    <xf numFmtId="171" fontId="15" fillId="4" borderId="1" xfId="0" applyNumberFormat="1" applyFont="1" applyFill="1" applyBorder="1" applyProtection="1">
      <protection locked="0"/>
    </xf>
    <xf numFmtId="168" fontId="16" fillId="4" borderId="1" xfId="0" applyNumberFormat="1" applyFont="1" applyFill="1" applyBorder="1" applyAlignment="1" applyProtection="1">
      <alignment horizontal="center"/>
      <protection locked="0"/>
    </xf>
    <xf numFmtId="171" fontId="7" fillId="0" borderId="0" xfId="0" applyNumberFormat="1" applyFont="1"/>
    <xf numFmtId="41" fontId="7" fillId="0" borderId="0" xfId="0" applyNumberFormat="1" applyFont="1"/>
    <xf numFmtId="0" fontId="7" fillId="0" borderId="0" xfId="0" applyNumberFormat="1" applyFont="1" applyBorder="1" applyAlignment="1">
      <alignment horizontal="left" indent="1"/>
    </xf>
    <xf numFmtId="0" fontId="14" fillId="0" borderId="0" xfId="0" applyNumberFormat="1" applyFont="1" applyBorder="1" applyAlignment="1">
      <alignment horizontal="left"/>
    </xf>
    <xf numFmtId="0" fontId="12" fillId="3" borderId="2" xfId="0" applyNumberFormat="1" applyFont="1" applyFill="1" applyBorder="1" applyAlignment="1"/>
    <xf numFmtId="0" fontId="12" fillId="3" borderId="2" xfId="0" applyNumberFormat="1" applyFont="1" applyFill="1" applyBorder="1" applyAlignment="1">
      <alignment horizontal="center"/>
    </xf>
    <xf numFmtId="167" fontId="7" fillId="0" borderId="0" xfId="0" applyNumberFormat="1" applyFont="1" applyBorder="1" applyAlignment="1">
      <alignment horizontal="left" indent="1"/>
    </xf>
    <xf numFmtId="171" fontId="16" fillId="0" borderId="0" xfId="0" applyNumberFormat="1" applyFont="1" applyFill="1" applyBorder="1" applyProtection="1">
      <protection locked="0"/>
    </xf>
    <xf numFmtId="0" fontId="7" fillId="0" borderId="0" xfId="0" applyFont="1" applyAlignment="1">
      <alignment horizontal="left" indent="1"/>
    </xf>
    <xf numFmtId="167" fontId="7" fillId="0" borderId="0" xfId="0" applyNumberFormat="1" applyFont="1" applyBorder="1"/>
    <xf numFmtId="41" fontId="7" fillId="0" borderId="0" xfId="0" applyNumberFormat="1" applyFont="1" applyBorder="1"/>
    <xf numFmtId="168" fontId="16" fillId="0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68" fontId="16" fillId="0" borderId="2" xfId="0" applyNumberFormat="1" applyFont="1" applyFill="1" applyBorder="1" applyAlignment="1" applyProtection="1">
      <alignment horizontal="center"/>
      <protection locked="0"/>
    </xf>
    <xf numFmtId="41" fontId="7" fillId="0" borderId="2" xfId="0" applyNumberFormat="1" applyFont="1" applyBorder="1"/>
    <xf numFmtId="167" fontId="12" fillId="0" borderId="3" xfId="0" applyNumberFormat="1" applyFont="1" applyBorder="1"/>
    <xf numFmtId="171" fontId="19" fillId="0" borderId="3" xfId="0" applyNumberFormat="1" applyFont="1" applyFill="1" applyBorder="1" applyProtection="1">
      <protection locked="0"/>
    </xf>
    <xf numFmtId="168" fontId="19" fillId="0" borderId="0" xfId="0" applyNumberFormat="1" applyFont="1" applyFill="1" applyBorder="1" applyAlignment="1" applyProtection="1">
      <alignment horizontal="center"/>
      <protection locked="0"/>
    </xf>
    <xf numFmtId="171" fontId="19" fillId="0" borderId="0" xfId="0" applyNumberFormat="1" applyFont="1" applyFill="1" applyBorder="1" applyProtection="1">
      <protection locked="0"/>
    </xf>
    <xf numFmtId="9" fontId="7" fillId="0" borderId="0" xfId="0" applyNumberFormat="1" applyFont="1"/>
    <xf numFmtId="164" fontId="16" fillId="0" borderId="0" xfId="0" applyNumberFormat="1" applyFont="1" applyFill="1" applyBorder="1"/>
    <xf numFmtId="0" fontId="7" fillId="0" borderId="0" xfId="0" applyNumberFormat="1" applyFont="1" applyBorder="1" applyAlignment="1"/>
    <xf numFmtId="167" fontId="7" fillId="0" borderId="0" xfId="0" applyNumberFormat="1" applyFont="1" applyAlignment="1">
      <alignment horizontal="center"/>
    </xf>
    <xf numFmtId="0" fontId="7" fillId="0" borderId="0" xfId="0" applyFon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3" borderId="2" xfId="0" applyFont="1" applyFill="1" applyBorder="1"/>
    <xf numFmtId="167" fontId="7" fillId="0" borderId="0" xfId="0" applyNumberFormat="1" applyFont="1"/>
    <xf numFmtId="168" fontId="7" fillId="0" borderId="0" xfId="0" applyNumberFormat="1" applyFont="1" applyAlignment="1">
      <alignment horizontal="center"/>
    </xf>
    <xf numFmtId="0" fontId="12" fillId="0" borderId="0" xfId="0" applyFont="1"/>
    <xf numFmtId="41" fontId="12" fillId="0" borderId="0" xfId="0" applyNumberFormat="1" applyFont="1" applyBorder="1"/>
    <xf numFmtId="41" fontId="16" fillId="0" borderId="0" xfId="0" applyNumberFormat="1" applyFont="1" applyFill="1" applyBorder="1" applyProtection="1">
      <protection locked="0"/>
    </xf>
    <xf numFmtId="0" fontId="12" fillId="0" borderId="3" xfId="0" applyFont="1" applyBorder="1"/>
    <xf numFmtId="41" fontId="7" fillId="0" borderId="3" xfId="0" applyNumberFormat="1" applyFont="1" applyBorder="1"/>
    <xf numFmtId="41" fontId="12" fillId="0" borderId="3" xfId="0" applyNumberFormat="1" applyFont="1" applyBorder="1"/>
    <xf numFmtId="41" fontId="12" fillId="0" borderId="0" xfId="0" applyNumberFormat="1" applyFont="1"/>
    <xf numFmtId="0" fontId="7" fillId="0" borderId="2" xfId="0" applyFont="1" applyBorder="1" applyAlignment="1">
      <alignment horizontal="left" indent="1"/>
    </xf>
    <xf numFmtId="0" fontId="14" fillId="0" borderId="3" xfId="0" applyFont="1" applyBorder="1" applyAlignment="1">
      <alignment horizontal="center"/>
    </xf>
    <xf numFmtId="0" fontId="7" fillId="0" borderId="3" xfId="0" applyFont="1" applyBorder="1"/>
    <xf numFmtId="0" fontId="12" fillId="0" borderId="0" xfId="0" applyFont="1" applyBorder="1"/>
    <xf numFmtId="0" fontId="7" fillId="0" borderId="0" xfId="0" applyFont="1" applyFill="1" applyBorder="1" applyAlignment="1">
      <alignment horizontal="left"/>
    </xf>
    <xf numFmtId="41" fontId="19" fillId="0" borderId="0" xfId="0" applyNumberFormat="1" applyFont="1" applyFill="1" applyBorder="1" applyProtection="1">
      <protection locked="0"/>
    </xf>
    <xf numFmtId="168" fontId="20" fillId="0" borderId="0" xfId="0" applyNumberFormat="1" applyFont="1" applyAlignment="1">
      <alignment horizontal="center"/>
    </xf>
    <xf numFmtId="173" fontId="20" fillId="0" borderId="0" xfId="0" applyNumberFormat="1" applyFont="1" applyBorder="1" applyAlignment="1">
      <alignment horizontal="center"/>
    </xf>
    <xf numFmtId="175" fontId="11" fillId="2" borderId="2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/>
    </xf>
    <xf numFmtId="0" fontId="12" fillId="3" borderId="2" xfId="0" applyNumberFormat="1" applyFont="1" applyFill="1" applyBorder="1"/>
    <xf numFmtId="0" fontId="18" fillId="3" borderId="2" xfId="0" applyNumberFormat="1" applyFont="1" applyFill="1" applyBorder="1" applyAlignment="1">
      <alignment horizontal="center"/>
    </xf>
    <xf numFmtId="0" fontId="14" fillId="3" borderId="2" xfId="0" applyNumberFormat="1" applyFont="1" applyFill="1" applyBorder="1" applyAlignment="1">
      <alignment horizontal="center"/>
    </xf>
    <xf numFmtId="164" fontId="21" fillId="3" borderId="2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 indent="1"/>
    </xf>
    <xf numFmtId="167" fontId="15" fillId="4" borderId="4" xfId="0" applyNumberFormat="1" applyFont="1" applyFill="1" applyBorder="1" applyAlignment="1" applyProtection="1">
      <alignment horizontal="center"/>
      <protection locked="0"/>
    </xf>
    <xf numFmtId="164" fontId="15" fillId="4" borderId="1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2" fontId="15" fillId="4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Border="1" applyAlignment="1">
      <alignment horizontal="left"/>
    </xf>
    <xf numFmtId="39" fontId="15" fillId="4" borderId="1" xfId="0" applyNumberFormat="1" applyFont="1" applyFill="1" applyBorder="1" applyAlignment="1" applyProtection="1">
      <alignment horizontal="center"/>
      <protection locked="0"/>
    </xf>
    <xf numFmtId="39" fontId="7" fillId="0" borderId="0" xfId="0" applyNumberFormat="1" applyFont="1" applyAlignment="1">
      <alignment horizontal="center"/>
    </xf>
    <xf numFmtId="164" fontId="16" fillId="3" borderId="2" xfId="0" applyNumberFormat="1" applyFont="1" applyFill="1" applyBorder="1"/>
    <xf numFmtId="0" fontId="18" fillId="0" borderId="0" xfId="0" applyFont="1" applyAlignment="1">
      <alignment horizontal="center"/>
    </xf>
    <xf numFmtId="170" fontId="7" fillId="0" borderId="0" xfId="0" applyNumberFormat="1" applyFont="1"/>
    <xf numFmtId="0" fontId="12" fillId="0" borderId="3" xfId="0" applyFont="1" applyBorder="1" applyAlignment="1">
      <alignment horizontal="left"/>
    </xf>
    <xf numFmtId="41" fontId="19" fillId="0" borderId="3" xfId="0" applyNumberFormat="1" applyFont="1" applyFill="1" applyBorder="1" applyProtection="1">
      <protection locked="0"/>
    </xf>
    <xf numFmtId="0" fontId="7" fillId="0" borderId="2" xfId="0" applyFont="1" applyBorder="1"/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Border="1" applyAlignment="1">
      <alignment horizontal="left"/>
    </xf>
    <xf numFmtId="41" fontId="15" fillId="4" borderId="1" xfId="0" applyNumberFormat="1" applyFont="1" applyFill="1" applyBorder="1" applyProtection="1">
      <protection locked="0"/>
    </xf>
    <xf numFmtId="41" fontId="7" fillId="0" borderId="0" xfId="0" applyNumberFormat="1" applyFont="1" applyAlignment="1">
      <alignment horizontal="center"/>
    </xf>
    <xf numFmtId="173" fontId="7" fillId="0" borderId="0" xfId="0" applyNumberFormat="1" applyFont="1" applyBorder="1" applyAlignment="1">
      <alignment horizontal="center"/>
    </xf>
    <xf numFmtId="166" fontId="11" fillId="2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0" fontId="7" fillId="0" borderId="0" xfId="0" applyNumberFormat="1" applyFont="1" applyAlignment="1">
      <alignment horizontal="center"/>
    </xf>
    <xf numFmtId="0" fontId="6" fillId="0" borderId="0" xfId="0" applyFont="1"/>
    <xf numFmtId="174" fontId="16" fillId="4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left" indent="1"/>
    </xf>
    <xf numFmtId="178" fontId="16" fillId="0" borderId="0" xfId="0" applyNumberFormat="1" applyFont="1" applyFill="1" applyBorder="1" applyProtection="1">
      <protection locked="0"/>
    </xf>
    <xf numFmtId="0" fontId="6" fillId="0" borderId="0" xfId="0" applyFont="1" applyAlignment="1">
      <alignment horizontal="left"/>
    </xf>
    <xf numFmtId="169" fontId="7" fillId="0" borderId="0" xfId="0" applyNumberFormat="1" applyFont="1" applyAlignment="1">
      <alignment horizontal="center"/>
    </xf>
    <xf numFmtId="176" fontId="11" fillId="5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0" fontId="5" fillId="0" borderId="0" xfId="0" applyFont="1"/>
    <xf numFmtId="0" fontId="5" fillId="0" borderId="0" xfId="0" applyFont="1" applyBorder="1"/>
    <xf numFmtId="0" fontId="20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16" fillId="4" borderId="1" xfId="0" applyFont="1" applyFill="1" applyBorder="1" applyAlignment="1" applyProtection="1">
      <alignment horizontal="center" wrapText="1"/>
      <protection locked="0"/>
    </xf>
    <xf numFmtId="173" fontId="15" fillId="4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left" indent="1"/>
    </xf>
    <xf numFmtId="173" fontId="20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/>
    </xf>
    <xf numFmtId="168" fontId="15" fillId="0" borderId="0" xfId="0" applyNumberFormat="1" applyFont="1" applyFill="1" applyBorder="1" applyAlignment="1" applyProtection="1">
      <alignment horizontal="center"/>
      <protection locked="0"/>
    </xf>
    <xf numFmtId="173" fontId="15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Border="1" applyAlignment="1">
      <alignment horizontal="left" indent="1"/>
    </xf>
    <xf numFmtId="179" fontId="16" fillId="0" borderId="0" xfId="0" applyNumberFormat="1" applyFont="1" applyFill="1" applyBorder="1" applyProtection="1">
      <protection locked="0"/>
    </xf>
    <xf numFmtId="43" fontId="7" fillId="0" borderId="0" xfId="0" applyNumberFormat="1" applyFont="1"/>
    <xf numFmtId="178" fontId="7" fillId="0" borderId="0" xfId="0" applyNumberFormat="1" applyFont="1"/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 indent="1"/>
    </xf>
    <xf numFmtId="0" fontId="24" fillId="0" borderId="0" xfId="0" applyFont="1"/>
    <xf numFmtId="0" fontId="25" fillId="0" borderId="0" xfId="0" applyFont="1"/>
    <xf numFmtId="0" fontId="11" fillId="2" borderId="8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Continuous"/>
    </xf>
    <xf numFmtId="0" fontId="11" fillId="2" borderId="10" xfId="1" applyFont="1" applyFill="1" applyBorder="1" applyAlignment="1">
      <alignment horizontal="centerContinuous"/>
    </xf>
    <xf numFmtId="168" fontId="26" fillId="2" borderId="11" xfId="1" applyNumberFormat="1" applyFont="1" applyFill="1" applyBorder="1"/>
    <xf numFmtId="0" fontId="16" fillId="6" borderId="13" xfId="1" applyFont="1" applyFill="1" applyBorder="1" applyAlignment="1">
      <alignment horizontal="right"/>
    </xf>
    <xf numFmtId="168" fontId="16" fillId="0" borderId="8" xfId="1" applyNumberFormat="1" applyFont="1" applyFill="1" applyBorder="1" applyAlignment="1">
      <alignment horizontal="center"/>
    </xf>
    <xf numFmtId="168" fontId="28" fillId="0" borderId="0" xfId="0" quotePrefix="1" applyNumberFormat="1" applyFont="1" applyFill="1" applyBorder="1" applyAlignment="1">
      <alignment horizontal="center"/>
    </xf>
    <xf numFmtId="168" fontId="28" fillId="0" borderId="0" xfId="0" quotePrefix="1" applyNumberFormat="1" applyFont="1" applyBorder="1" applyAlignment="1">
      <alignment horizontal="center"/>
    </xf>
    <xf numFmtId="168" fontId="16" fillId="0" borderId="14" xfId="1" applyNumberFormat="1" applyFont="1" applyFill="1" applyBorder="1" applyAlignment="1">
      <alignment horizontal="center"/>
    </xf>
    <xf numFmtId="0" fontId="16" fillId="6" borderId="11" xfId="1" applyFont="1" applyFill="1" applyBorder="1" applyAlignment="1">
      <alignment horizontal="right"/>
    </xf>
    <xf numFmtId="0" fontId="16" fillId="6" borderId="15" xfId="1" applyFont="1" applyFill="1" applyBorder="1" applyAlignment="1">
      <alignment horizontal="right"/>
    </xf>
    <xf numFmtId="174" fontId="16" fillId="3" borderId="9" xfId="1" applyNumberFormat="1" applyFont="1" applyFill="1" applyBorder="1" applyAlignment="1">
      <alignment horizontal="center"/>
    </xf>
    <xf numFmtId="174" fontId="27" fillId="3" borderId="12" xfId="1" applyNumberFormat="1" applyFont="1" applyFill="1" applyBorder="1" applyAlignment="1">
      <alignment horizontal="center"/>
    </xf>
    <xf numFmtId="174" fontId="19" fillId="3" borderId="9" xfId="1" applyNumberFormat="1" applyFont="1" applyFill="1" applyBorder="1" applyAlignment="1">
      <alignment horizontal="center"/>
    </xf>
    <xf numFmtId="174" fontId="19" fillId="3" borderId="10" xfId="1" applyNumberFormat="1" applyFont="1" applyFill="1" applyBorder="1" applyAlignment="1">
      <alignment horizontal="center"/>
    </xf>
    <xf numFmtId="168" fontId="29" fillId="0" borderId="0" xfId="0" quotePrefix="1" applyNumberFormat="1" applyFont="1" applyBorder="1" applyAlignment="1">
      <alignment horizontal="center"/>
    </xf>
    <xf numFmtId="168" fontId="19" fillId="0" borderId="8" xfId="1" applyNumberFormat="1" applyFont="1" applyFill="1" applyBorder="1" applyAlignment="1">
      <alignment horizontal="center"/>
    </xf>
    <xf numFmtId="174" fontId="19" fillId="3" borderId="12" xfId="1" applyNumberFormat="1" applyFont="1" applyFill="1" applyBorder="1" applyAlignment="1">
      <alignment horizontal="center"/>
    </xf>
    <xf numFmtId="180" fontId="16" fillId="3" borderId="9" xfId="1" applyNumberFormat="1" applyFont="1" applyFill="1" applyBorder="1" applyAlignment="1">
      <alignment horizontal="center"/>
    </xf>
    <xf numFmtId="180" fontId="19" fillId="3" borderId="9" xfId="1" applyNumberFormat="1" applyFont="1" applyFill="1" applyBorder="1" applyAlignment="1">
      <alignment horizontal="center"/>
    </xf>
    <xf numFmtId="180" fontId="15" fillId="3" borderId="12" xfId="1" applyNumberFormat="1" applyFont="1" applyFill="1" applyBorder="1" applyAlignment="1">
      <alignment horizontal="center"/>
    </xf>
    <xf numFmtId="180" fontId="16" fillId="3" borderId="10" xfId="1" applyNumberFormat="1" applyFont="1" applyFill="1" applyBorder="1" applyAlignment="1">
      <alignment horizontal="center"/>
    </xf>
    <xf numFmtId="180" fontId="16" fillId="3" borderId="12" xfId="1" applyNumberFormat="1" applyFont="1" applyFill="1" applyBorder="1" applyAlignment="1">
      <alignment horizontal="center"/>
    </xf>
    <xf numFmtId="181" fontId="15" fillId="3" borderId="12" xfId="1" applyNumberFormat="1" applyFont="1" applyFill="1" applyBorder="1" applyAlignment="1">
      <alignment horizontal="center"/>
    </xf>
    <xf numFmtId="181" fontId="16" fillId="3" borderId="12" xfId="1" applyNumberFormat="1" applyFont="1" applyFill="1" applyBorder="1" applyAlignment="1">
      <alignment horizontal="center"/>
    </xf>
    <xf numFmtId="181" fontId="16" fillId="3" borderId="9" xfId="1" applyNumberFormat="1" applyFont="1" applyFill="1" applyBorder="1" applyAlignment="1">
      <alignment horizontal="center"/>
    </xf>
    <xf numFmtId="181" fontId="19" fillId="3" borderId="9" xfId="1" applyNumberFormat="1" applyFont="1" applyFill="1" applyBorder="1" applyAlignment="1">
      <alignment horizontal="center"/>
    </xf>
    <xf numFmtId="0" fontId="2" fillId="0" borderId="0" xfId="0" applyFont="1"/>
    <xf numFmtId="0" fontId="14" fillId="0" borderId="0" xfId="0" applyFont="1" applyFill="1" applyBorder="1" applyAlignment="1">
      <alignment horizontal="center"/>
    </xf>
    <xf numFmtId="168" fontId="7" fillId="0" borderId="0" xfId="0" applyNumberFormat="1" applyFo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B2:N173"/>
  <sheetViews>
    <sheetView showGridLines="0" tabSelected="1" zoomScaleNormal="100" zoomScaleSheetLayoutView="70" workbookViewId="0">
      <selection activeCell="B2" sqref="B2"/>
    </sheetView>
  </sheetViews>
  <sheetFormatPr defaultRowHeight="15.75" outlineLevelRow="1" x14ac:dyDescent="0.25"/>
  <cols>
    <col min="1" max="2" width="2.7109375" style="2" customWidth="1"/>
    <col min="3" max="3" width="41" style="2" customWidth="1"/>
    <col min="4" max="4" width="12.7109375" style="2" customWidth="1"/>
    <col min="5" max="14" width="17" style="2" customWidth="1"/>
    <col min="15" max="15" width="2.7109375" style="2" customWidth="1"/>
    <col min="16" max="16384" width="9.140625" style="2"/>
  </cols>
  <sheetData>
    <row r="2" spans="2:14" ht="18.75" x14ac:dyDescent="0.3">
      <c r="B2" s="1" t="str">
        <f>Property_Name&amp;" - Investment Analysis Model ("&amp;Scenario&amp;" Case)"</f>
        <v>Heritage Cyrela - Investment Analysis Model (Base Case)</v>
      </c>
    </row>
    <row r="3" spans="2:14" x14ac:dyDescent="0.25">
      <c r="B3" s="3" t="s">
        <v>23</v>
      </c>
    </row>
    <row r="5" spans="2:14" x14ac:dyDescent="0.25">
      <c r="B5" s="4" t="s">
        <v>206</v>
      </c>
      <c r="C5" s="4"/>
      <c r="D5" s="5" t="s">
        <v>1</v>
      </c>
      <c r="E5" s="4"/>
      <c r="F5" s="4"/>
      <c r="G5" s="4"/>
      <c r="H5" s="4"/>
      <c r="I5" s="4"/>
      <c r="J5" s="4"/>
      <c r="K5" s="5" t="str">
        <f>+$D$5</f>
        <v>Units:</v>
      </c>
      <c r="L5" s="4"/>
      <c r="M5" s="4"/>
      <c r="N5" s="4"/>
    </row>
    <row r="6" spans="2:14" outlineLevel="1" x14ac:dyDescent="0.25"/>
    <row r="7" spans="2:14" outlineLevel="1" x14ac:dyDescent="0.25">
      <c r="C7" s="3" t="s">
        <v>52</v>
      </c>
      <c r="D7" s="6" t="s">
        <v>2</v>
      </c>
      <c r="E7" s="7" t="s">
        <v>154</v>
      </c>
      <c r="H7" s="3" t="s">
        <v>146</v>
      </c>
      <c r="K7" s="6" t="s">
        <v>3</v>
      </c>
      <c r="L7" s="8">
        <f>+Phase_1_Units+Phase_2_Units+Phase_3_Units</f>
        <v>33</v>
      </c>
    </row>
    <row r="8" spans="2:14" outlineLevel="1" x14ac:dyDescent="0.25">
      <c r="C8" s="3" t="s">
        <v>0</v>
      </c>
      <c r="D8" s="6" t="s">
        <v>2</v>
      </c>
      <c r="E8" s="7" t="s">
        <v>18</v>
      </c>
      <c r="H8" s="3" t="s">
        <v>6</v>
      </c>
      <c r="K8" s="6" t="s">
        <v>3</v>
      </c>
      <c r="L8" s="8">
        <f>6*Num_Units</f>
        <v>198</v>
      </c>
    </row>
    <row r="9" spans="2:14" outlineLevel="1" x14ac:dyDescent="0.25">
      <c r="C9" s="3" t="s">
        <v>145</v>
      </c>
      <c r="D9" s="6" t="s">
        <v>134</v>
      </c>
      <c r="E9" s="10">
        <v>43131</v>
      </c>
      <c r="H9" s="3" t="s">
        <v>7</v>
      </c>
      <c r="K9" s="6" t="s">
        <v>3</v>
      </c>
      <c r="L9" s="9">
        <v>33</v>
      </c>
    </row>
    <row r="10" spans="2:14" outlineLevel="1" x14ac:dyDescent="0.25">
      <c r="C10" s="11"/>
      <c r="D10" s="12"/>
      <c r="E10" s="11"/>
    </row>
    <row r="11" spans="2:14" outlineLevel="1" x14ac:dyDescent="0.25">
      <c r="C11" s="3" t="s">
        <v>4</v>
      </c>
      <c r="D11" s="6" t="s">
        <v>3</v>
      </c>
      <c r="E11" s="9">
        <v>12</v>
      </c>
      <c r="H11" s="119" t="s">
        <v>171</v>
      </c>
      <c r="K11" s="13" t="s">
        <v>20</v>
      </c>
      <c r="L11" s="14">
        <f>+Phase_1_Units*Phase_1_Avg_Size+Phase_2_Units*Phase_2_Avg_Size+Phase_3_Units*Phase_3_Avg_Size</f>
        <v>19209</v>
      </c>
    </row>
    <row r="12" spans="2:14" outlineLevel="1" x14ac:dyDescent="0.25">
      <c r="C12" s="15" t="s">
        <v>129</v>
      </c>
      <c r="D12" s="6" t="s">
        <v>3</v>
      </c>
      <c r="E12" s="9">
        <v>365</v>
      </c>
      <c r="H12" s="111" t="s">
        <v>155</v>
      </c>
      <c r="K12" s="6" t="s">
        <v>5</v>
      </c>
      <c r="L12" s="16">
        <v>0.9</v>
      </c>
    </row>
    <row r="13" spans="2:14" outlineLevel="1" x14ac:dyDescent="0.25">
      <c r="C13" s="3" t="s">
        <v>1</v>
      </c>
      <c r="D13" s="6" t="s">
        <v>3</v>
      </c>
      <c r="E13" s="9">
        <v>1000</v>
      </c>
      <c r="H13" s="2" t="s">
        <v>115</v>
      </c>
      <c r="K13" s="13" t="s">
        <v>20</v>
      </c>
      <c r="L13" s="17">
        <f>+Rentable_Area/L12</f>
        <v>21343.333333333332</v>
      </c>
    </row>
    <row r="14" spans="2:14" outlineLevel="1" x14ac:dyDescent="0.25">
      <c r="C14" s="3"/>
      <c r="D14" s="6"/>
      <c r="E14" s="6"/>
    </row>
    <row r="15" spans="2:14" outlineLevel="1" x14ac:dyDescent="0.25">
      <c r="C15" s="2" t="s">
        <v>100</v>
      </c>
      <c r="D15" s="6" t="s">
        <v>2</v>
      </c>
      <c r="E15" s="18" t="s">
        <v>152</v>
      </c>
      <c r="F15" s="19"/>
      <c r="H15" s="111" t="s">
        <v>118</v>
      </c>
      <c r="K15" s="6" t="s">
        <v>3</v>
      </c>
      <c r="L15" s="20">
        <v>4</v>
      </c>
    </row>
    <row r="16" spans="2:14" outlineLevel="1" x14ac:dyDescent="0.25">
      <c r="C16" s="2" t="s">
        <v>99</v>
      </c>
      <c r="D16" s="6" t="s">
        <v>2</v>
      </c>
      <c r="E16" s="18" t="s">
        <v>153</v>
      </c>
      <c r="F16" s="19"/>
      <c r="H16" s="2" t="s">
        <v>19</v>
      </c>
      <c r="K16" s="13" t="s">
        <v>20</v>
      </c>
      <c r="L16" s="14">
        <f>+Gross_Area/L15</f>
        <v>5335.833333333333</v>
      </c>
    </row>
    <row r="17" spans="2:14" outlineLevel="1" x14ac:dyDescent="0.25"/>
    <row r="18" spans="2:14" outlineLevel="1" x14ac:dyDescent="0.25">
      <c r="C18" s="120" t="s">
        <v>166</v>
      </c>
      <c r="D18" s="22" t="s">
        <v>2</v>
      </c>
      <c r="E18" s="125" t="s">
        <v>167</v>
      </c>
    </row>
    <row r="19" spans="2:14" outlineLevel="1" x14ac:dyDescent="0.25"/>
    <row r="20" spans="2:14" outlineLevel="1" x14ac:dyDescent="0.25">
      <c r="C20" s="30"/>
      <c r="D20" s="30"/>
      <c r="E20" s="30"/>
      <c r="F20" s="30"/>
      <c r="G20" s="31" t="s">
        <v>8</v>
      </c>
      <c r="H20" s="31"/>
      <c r="I20" s="31"/>
    </row>
    <row r="21" spans="2:14" outlineLevel="1" x14ac:dyDescent="0.25">
      <c r="C21" s="28" t="s">
        <v>15</v>
      </c>
      <c r="D21" s="32"/>
      <c r="E21" s="33" t="s">
        <v>9</v>
      </c>
      <c r="F21" s="34"/>
      <c r="G21" s="33" t="s">
        <v>168</v>
      </c>
      <c r="H21" s="33" t="s">
        <v>167</v>
      </c>
      <c r="I21" s="33" t="s">
        <v>169</v>
      </c>
    </row>
    <row r="22" spans="2:14" outlineLevel="1" x14ac:dyDescent="0.25"/>
    <row r="23" spans="2:14" outlineLevel="1" x14ac:dyDescent="0.25">
      <c r="C23" s="2" t="s">
        <v>25</v>
      </c>
      <c r="D23" s="13" t="s">
        <v>29</v>
      </c>
      <c r="E23" s="112">
        <f>INDEX(G23:I23,1,MATCH(Scenario,$G$21:$I$21,0))</f>
        <v>1</v>
      </c>
      <c r="G23" s="20">
        <v>0.5</v>
      </c>
      <c r="H23" s="20">
        <v>1</v>
      </c>
      <c r="I23" s="20">
        <v>1.5</v>
      </c>
    </row>
    <row r="24" spans="2:14" outlineLevel="1" x14ac:dyDescent="0.25"/>
    <row r="25" spans="2:14" outlineLevel="1" x14ac:dyDescent="0.25">
      <c r="C25" s="168" t="s">
        <v>218</v>
      </c>
      <c r="D25" s="13" t="s">
        <v>5</v>
      </c>
      <c r="E25" s="36">
        <f>INDEX(G25:I25,1,MATCH(Scenario,$G$21:$I$21,0))</f>
        <v>2.5000000000000001E-2</v>
      </c>
      <c r="G25" s="16">
        <v>0.01</v>
      </c>
      <c r="H25" s="16">
        <v>2.5000000000000001E-2</v>
      </c>
      <c r="I25" s="16">
        <v>0.04</v>
      </c>
    </row>
    <row r="26" spans="2:14" outlineLevel="1" x14ac:dyDescent="0.25">
      <c r="C26" s="168" t="s">
        <v>219</v>
      </c>
      <c r="D26" s="13" t="s">
        <v>5</v>
      </c>
      <c r="E26" s="36">
        <f>INDEX(G26:I26,1,MATCH(Scenario,$G$21:$I$21,0))</f>
        <v>2.5000000000000001E-2</v>
      </c>
      <c r="G26" s="16">
        <v>0.02</v>
      </c>
      <c r="H26" s="16">
        <v>2.5000000000000001E-2</v>
      </c>
      <c r="I26" s="16">
        <v>0.03</v>
      </c>
    </row>
    <row r="28" spans="2:14" x14ac:dyDescent="0.25">
      <c r="B28" s="4" t="s">
        <v>120</v>
      </c>
      <c r="C28" s="4"/>
      <c r="D28" s="5" t="s">
        <v>1</v>
      </c>
      <c r="E28" s="4"/>
      <c r="F28" s="4"/>
      <c r="G28" s="4"/>
      <c r="H28" s="4"/>
      <c r="I28" s="4"/>
      <c r="J28" s="4"/>
      <c r="K28" s="5" t="str">
        <f>+$D$5</f>
        <v>Units:</v>
      </c>
      <c r="L28" s="4"/>
      <c r="M28" s="4"/>
      <c r="N28" s="4"/>
    </row>
    <row r="29" spans="2:14" outlineLevel="1" x14ac:dyDescent="0.25"/>
    <row r="30" spans="2:14" outlineLevel="1" x14ac:dyDescent="0.25">
      <c r="C30" s="2" t="s">
        <v>133</v>
      </c>
      <c r="D30" s="13" t="s">
        <v>72</v>
      </c>
      <c r="E30" s="35">
        <v>3000</v>
      </c>
      <c r="H30" s="123" t="s">
        <v>184</v>
      </c>
      <c r="K30" s="6" t="s">
        <v>5</v>
      </c>
      <c r="L30" s="16">
        <v>0.8</v>
      </c>
    </row>
    <row r="31" spans="2:14" outlineLevel="1" x14ac:dyDescent="0.25">
      <c r="C31" s="2" t="s">
        <v>77</v>
      </c>
      <c r="D31" s="13" t="s">
        <v>24</v>
      </c>
      <c r="E31" s="21">
        <f>+Lot_Price_per_Sq_M*L16</f>
        <v>16007500</v>
      </c>
      <c r="H31" s="123" t="s">
        <v>185</v>
      </c>
      <c r="K31" s="24" t="s">
        <v>5</v>
      </c>
      <c r="L31" s="29">
        <f>1-Investor_Equity_Pct</f>
        <v>0.19999999999999996</v>
      </c>
    </row>
    <row r="32" spans="2:14" outlineLevel="1" x14ac:dyDescent="0.25">
      <c r="C32" s="2" t="s">
        <v>78</v>
      </c>
      <c r="D32" s="6" t="s">
        <v>5</v>
      </c>
      <c r="E32" s="16">
        <v>0.5</v>
      </c>
    </row>
    <row r="33" spans="3:13" outlineLevel="1" x14ac:dyDescent="0.25">
      <c r="C33" s="2" t="s">
        <v>81</v>
      </c>
      <c r="D33" s="22" t="s">
        <v>80</v>
      </c>
      <c r="E33" s="9">
        <v>1</v>
      </c>
      <c r="H33" s="41" t="s">
        <v>98</v>
      </c>
      <c r="I33" s="26"/>
      <c r="J33" s="26"/>
      <c r="K33" s="26"/>
      <c r="L33" s="28" t="s">
        <v>16</v>
      </c>
      <c r="M33" s="28" t="s">
        <v>17</v>
      </c>
    </row>
    <row r="34" spans="3:13" outlineLevel="1" x14ac:dyDescent="0.25">
      <c r="C34" s="2" t="s">
        <v>79</v>
      </c>
      <c r="D34" s="22" t="s">
        <v>80</v>
      </c>
      <c r="E34" s="9">
        <v>6</v>
      </c>
      <c r="H34" s="123" t="s">
        <v>188</v>
      </c>
      <c r="K34" s="13" t="s">
        <v>113</v>
      </c>
      <c r="M34" s="126">
        <v>1</v>
      </c>
    </row>
    <row r="35" spans="3:13" outlineLevel="1" x14ac:dyDescent="0.25">
      <c r="H35" s="123" t="s">
        <v>189</v>
      </c>
      <c r="K35" s="13" t="s">
        <v>113</v>
      </c>
      <c r="M35" s="126">
        <v>1</v>
      </c>
    </row>
    <row r="36" spans="3:13" outlineLevel="1" x14ac:dyDescent="0.25">
      <c r="C36" s="2" t="s">
        <v>53</v>
      </c>
      <c r="D36" s="6" t="s">
        <v>5</v>
      </c>
      <c r="E36" s="16">
        <v>0.5</v>
      </c>
    </row>
    <row r="37" spans="3:13" outlineLevel="1" x14ac:dyDescent="0.25">
      <c r="C37" s="2" t="s">
        <v>94</v>
      </c>
      <c r="D37" s="24" t="s">
        <v>5</v>
      </c>
      <c r="E37" s="25">
        <v>0.1</v>
      </c>
      <c r="H37" s="45" t="s">
        <v>197</v>
      </c>
      <c r="K37" s="6" t="s">
        <v>5</v>
      </c>
      <c r="L37" s="126">
        <v>1</v>
      </c>
      <c r="M37" s="16">
        <v>0.2</v>
      </c>
    </row>
    <row r="38" spans="3:13" outlineLevel="1" x14ac:dyDescent="0.25">
      <c r="H38" s="45" t="str">
        <f>Investor_Name&amp;" (Investors):"</f>
        <v>Limited Partners (Investors):</v>
      </c>
      <c r="K38" s="6" t="s">
        <v>5</v>
      </c>
      <c r="M38" s="29">
        <f>Investor_Equity_Pct</f>
        <v>0.8</v>
      </c>
    </row>
    <row r="39" spans="3:13" outlineLevel="1" x14ac:dyDescent="0.25">
      <c r="C39" s="2" t="s">
        <v>21</v>
      </c>
      <c r="D39" s="6" t="s">
        <v>5</v>
      </c>
      <c r="E39" s="16">
        <v>0.3</v>
      </c>
      <c r="H39" s="45" t="str">
        <f>Developer_Name&amp;" (Developers):"</f>
        <v>Cyrela Brazil Realty (Developers):</v>
      </c>
      <c r="K39" s="6" t="s">
        <v>5</v>
      </c>
      <c r="M39" s="48">
        <f>Developer_Equity_Pct</f>
        <v>0.19999999999999996</v>
      </c>
    </row>
    <row r="40" spans="3:13" outlineLevel="1" x14ac:dyDescent="0.25">
      <c r="C40" s="2" t="s">
        <v>22</v>
      </c>
      <c r="D40" s="6" t="s">
        <v>5</v>
      </c>
      <c r="E40" s="16">
        <v>0.3</v>
      </c>
    </row>
    <row r="41" spans="3:13" outlineLevel="1" x14ac:dyDescent="0.25">
      <c r="C41" s="119" t="s">
        <v>170</v>
      </c>
      <c r="D41" s="6" t="s">
        <v>5</v>
      </c>
      <c r="E41" s="23">
        <f>1-Upfront_Payment_Pct-Constr_End_Payment_Pct</f>
        <v>0.39999999999999997</v>
      </c>
      <c r="H41" s="45" t="s">
        <v>197</v>
      </c>
      <c r="K41" s="6" t="s">
        <v>5</v>
      </c>
      <c r="L41" s="16">
        <v>0.2</v>
      </c>
      <c r="M41" s="126">
        <v>3</v>
      </c>
    </row>
    <row r="42" spans="3:13" outlineLevel="1" x14ac:dyDescent="0.25">
      <c r="H42" s="123" t="s">
        <v>198</v>
      </c>
      <c r="K42" s="6" t="s">
        <v>5</v>
      </c>
      <c r="L42" s="130"/>
      <c r="M42" s="16">
        <v>0.1</v>
      </c>
    </row>
    <row r="43" spans="3:13" outlineLevel="1" x14ac:dyDescent="0.25">
      <c r="C43" s="136" t="s">
        <v>207</v>
      </c>
      <c r="D43" s="6" t="s">
        <v>5</v>
      </c>
      <c r="E43" s="16">
        <v>0.3</v>
      </c>
      <c r="H43" s="45" t="str">
        <f>Investor_Name&amp;" (Investors):"</f>
        <v>Limited Partners (Investors):</v>
      </c>
      <c r="K43" s="6" t="s">
        <v>5</v>
      </c>
      <c r="M43" s="29">
        <f>Tier_1_LP_Split-M42</f>
        <v>0.70000000000000007</v>
      </c>
    </row>
    <row r="44" spans="3:13" outlineLevel="1" x14ac:dyDescent="0.25">
      <c r="C44" s="136" t="s">
        <v>208</v>
      </c>
      <c r="D44" s="6" t="s">
        <v>5</v>
      </c>
      <c r="E44" s="16">
        <v>0.7</v>
      </c>
      <c r="H44" s="45" t="str">
        <f>Developer_Name&amp;" (Developers):"</f>
        <v>Cyrela Brazil Realty (Developers):</v>
      </c>
      <c r="K44" s="6" t="s">
        <v>5</v>
      </c>
      <c r="M44" s="48">
        <f>Tier_1_Dev_Split+M42</f>
        <v>0.29999999999999993</v>
      </c>
    </row>
    <row r="45" spans="3:13" outlineLevel="1" x14ac:dyDescent="0.25"/>
    <row r="46" spans="3:13" outlineLevel="1" x14ac:dyDescent="0.25">
      <c r="C46" s="2" t="s">
        <v>26</v>
      </c>
      <c r="D46" s="22" t="s">
        <v>123</v>
      </c>
      <c r="E46" s="9">
        <v>24</v>
      </c>
      <c r="H46" s="45" t="s">
        <v>197</v>
      </c>
      <c r="K46" s="6" t="s">
        <v>5</v>
      </c>
      <c r="L46" s="126">
        <v>3</v>
      </c>
      <c r="M46" s="126"/>
    </row>
    <row r="47" spans="3:13" outlineLevel="1" x14ac:dyDescent="0.25">
      <c r="H47" s="123" t="s">
        <v>198</v>
      </c>
      <c r="K47" s="6" t="s">
        <v>5</v>
      </c>
      <c r="L47" s="131"/>
      <c r="M47" s="16">
        <v>0.1</v>
      </c>
    </row>
    <row r="48" spans="3:13" outlineLevel="1" x14ac:dyDescent="0.25">
      <c r="C48" s="2" t="s">
        <v>147</v>
      </c>
      <c r="D48" s="13" t="s">
        <v>72</v>
      </c>
      <c r="E48" s="35">
        <v>28000</v>
      </c>
      <c r="H48" s="45" t="str">
        <f>Investor_Name&amp;" (Investors):"</f>
        <v>Limited Partners (Investors):</v>
      </c>
      <c r="K48" s="6" t="s">
        <v>5</v>
      </c>
      <c r="M48" s="29">
        <f>Tier_2_LP_Split-M47</f>
        <v>0.60000000000000009</v>
      </c>
    </row>
    <row r="49" spans="2:14" outlineLevel="1" x14ac:dyDescent="0.25">
      <c r="H49" s="45" t="str">
        <f>Developer_Name&amp;" (Developers):"</f>
        <v>Cyrela Brazil Realty (Developers):</v>
      </c>
      <c r="K49" s="6" t="s">
        <v>5</v>
      </c>
      <c r="M49" s="48">
        <f>Tier_2_Dev_Split+M47</f>
        <v>0.39999999999999991</v>
      </c>
    </row>
    <row r="50" spans="2:14" outlineLevel="1" x14ac:dyDescent="0.25">
      <c r="C50" s="122" t="s">
        <v>179</v>
      </c>
      <c r="D50" s="13" t="s">
        <v>72</v>
      </c>
      <c r="E50" s="105">
        <v>15000</v>
      </c>
      <c r="L50" s="114"/>
    </row>
    <row r="51" spans="2:14" outlineLevel="1" x14ac:dyDescent="0.25">
      <c r="C51" s="122" t="s">
        <v>180</v>
      </c>
      <c r="D51" s="13" t="s">
        <v>72</v>
      </c>
      <c r="E51" s="105">
        <v>3500</v>
      </c>
    </row>
    <row r="52" spans="2:14" outlineLevel="1" x14ac:dyDescent="0.25">
      <c r="C52" s="122" t="s">
        <v>181</v>
      </c>
      <c r="D52" s="13" t="s">
        <v>5</v>
      </c>
      <c r="E52" s="16">
        <v>0.1</v>
      </c>
    </row>
    <row r="54" spans="2:14" x14ac:dyDescent="0.25">
      <c r="B54" s="4" t="s">
        <v>121</v>
      </c>
      <c r="C54" s="4"/>
      <c r="D54" s="5" t="str">
        <f>+$D$5</f>
        <v>Units:</v>
      </c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outlineLevel="1" x14ac:dyDescent="0.25">
      <c r="B55" s="3"/>
      <c r="C55" s="39"/>
      <c r="D55" s="40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outlineLevel="1" x14ac:dyDescent="0.25">
      <c r="B56" s="3"/>
      <c r="C56" s="41" t="s">
        <v>10</v>
      </c>
      <c r="D56" s="41"/>
      <c r="E56" s="26" t="s">
        <v>13</v>
      </c>
      <c r="F56" s="42" t="s">
        <v>122</v>
      </c>
      <c r="G56" s="42" t="s">
        <v>14</v>
      </c>
      <c r="I56" s="41" t="s">
        <v>11</v>
      </c>
      <c r="J56" s="26"/>
      <c r="K56" s="26"/>
      <c r="L56" s="26" t="s">
        <v>13</v>
      </c>
      <c r="M56" s="42" t="s">
        <v>122</v>
      </c>
      <c r="N56" s="42" t="s">
        <v>14</v>
      </c>
    </row>
    <row r="57" spans="2:14" outlineLevel="1" x14ac:dyDescent="0.25">
      <c r="B57" s="3"/>
      <c r="C57" s="43" t="s">
        <v>88</v>
      </c>
      <c r="D57" s="13" t="s">
        <v>24</v>
      </c>
      <c r="E57" s="44">
        <f>SUM('Monthly-CF'!F118:CK118)</f>
        <v>179276718.64706606</v>
      </c>
      <c r="F57" s="44">
        <f>+E57/Rentable_Area</f>
        <v>9332.9542738854725</v>
      </c>
      <c r="G57" s="29">
        <f>+E57/E$60</f>
        <v>0.72819733895785188</v>
      </c>
      <c r="I57" s="45" t="s">
        <v>76</v>
      </c>
      <c r="J57" s="46"/>
      <c r="K57" s="13" t="s">
        <v>24</v>
      </c>
      <c r="L57" s="44">
        <f>-SUM('Monthly-CF'!F101:CK101)</f>
        <v>16007500</v>
      </c>
      <c r="M57" s="44">
        <f>+L57/Rentable_Area</f>
        <v>833.33333333333337</v>
      </c>
      <c r="N57" s="29">
        <f>+L57/L$60</f>
        <v>6.5020260250945747E-2</v>
      </c>
    </row>
    <row r="58" spans="2:14" outlineLevel="1" x14ac:dyDescent="0.25">
      <c r="B58" s="3"/>
      <c r="C58" s="45" t="s">
        <v>86</v>
      </c>
      <c r="D58" s="13" t="s">
        <v>24</v>
      </c>
      <c r="E58" s="47">
        <f>SUM('Monthly-CF'!F116:CK116)</f>
        <v>13383154.973049806</v>
      </c>
      <c r="F58" s="47">
        <f>+E58/Rentable_Area</f>
        <v>696.71273741734637</v>
      </c>
      <c r="G58" s="48">
        <f t="shared" ref="G58:G59" si="0">+E58/E$60</f>
        <v>5.4360532208429624E-2</v>
      </c>
      <c r="I58" s="45" t="s">
        <v>125</v>
      </c>
      <c r="J58" s="46"/>
      <c r="K58" s="49" t="s">
        <v>24</v>
      </c>
      <c r="L58" s="47">
        <f>-SUMIF('Monthly-CF'!$F$105:$CK$105,"&lt;=0",'Monthly-CF'!$F$105:$CK$105)-L57</f>
        <v>230184993.51231509</v>
      </c>
      <c r="M58" s="47">
        <f>+L58/Rentable_Area</f>
        <v>11983.184627638871</v>
      </c>
      <c r="N58" s="48">
        <f t="shared" ref="N58:N59" si="1">+L58/L$60</f>
        <v>0.93497973974905424</v>
      </c>
    </row>
    <row r="59" spans="2:14" outlineLevel="1" x14ac:dyDescent="0.25">
      <c r="B59" s="3"/>
      <c r="C59" s="45" t="s">
        <v>87</v>
      </c>
      <c r="D59" s="50" t="s">
        <v>24</v>
      </c>
      <c r="E59" s="47">
        <f>SUM('Monthly-CF'!F117:CK117)</f>
        <v>53532619.892199233</v>
      </c>
      <c r="F59" s="47">
        <f>+E59/Rentable_Area</f>
        <v>2786.850949669386</v>
      </c>
      <c r="G59" s="51">
        <f t="shared" si="0"/>
        <v>0.21744212883371852</v>
      </c>
      <c r="I59" s="45" t="s">
        <v>143</v>
      </c>
      <c r="K59" s="50" t="s">
        <v>24</v>
      </c>
      <c r="L59" s="52">
        <f>INDEX('Monthly-CF'!$F$36:$CK$117,ROWS('Monthly-CF'!$F$36:$F$116),MATCH(Post_Constr_Phase_End,'Monthly-CF'!$F$39:$CK$39,0))+INDEX('Monthly-CF'!$F$36:$CK$117,ROWS('Monthly-CF'!$F$36:$F$117),MATCH(Post_Constr_Phase_End,'Monthly-CF'!$F$39:$CK$39,0))</f>
        <v>0</v>
      </c>
      <c r="M59" s="47">
        <f>+L59/Rentable_Area</f>
        <v>0</v>
      </c>
      <c r="N59" s="51">
        <f t="shared" si="1"/>
        <v>0</v>
      </c>
    </row>
    <row r="60" spans="2:14" outlineLevel="1" x14ac:dyDescent="0.25">
      <c r="B60" s="3"/>
      <c r="C60" s="53" t="s">
        <v>12</v>
      </c>
      <c r="D60" s="13" t="s">
        <v>24</v>
      </c>
      <c r="E60" s="54">
        <f>SUM(E57:E59)</f>
        <v>246192493.51231509</v>
      </c>
      <c r="F60" s="54">
        <f>SUM(F57:F59)</f>
        <v>12816.517960972205</v>
      </c>
      <c r="G60" s="55">
        <f>SUM(G57:G59)</f>
        <v>1</v>
      </c>
      <c r="I60" s="53" t="s">
        <v>124</v>
      </c>
      <c r="J60" s="53"/>
      <c r="K60" s="49" t="s">
        <v>24</v>
      </c>
      <c r="L60" s="56">
        <f>SUM(L57:L59)</f>
        <v>246192493.51231509</v>
      </c>
      <c r="M60" s="54">
        <f>SUM(M57:M59)</f>
        <v>12816.517960972205</v>
      </c>
      <c r="N60" s="55">
        <f>SUM(N57:N59)</f>
        <v>1</v>
      </c>
    </row>
    <row r="61" spans="2:14" x14ac:dyDescent="0.25">
      <c r="E61" s="57"/>
      <c r="K61" s="58"/>
    </row>
    <row r="62" spans="2:14" x14ac:dyDescent="0.25">
      <c r="B62" s="4" t="s">
        <v>126</v>
      </c>
      <c r="C62" s="4"/>
      <c r="D62" s="5" t="str">
        <f>+$D$5</f>
        <v>Units:</v>
      </c>
      <c r="E62" s="4"/>
      <c r="F62" s="117">
        <f>+F65</f>
        <v>43496</v>
      </c>
      <c r="G62" s="117">
        <f>+G65</f>
        <v>43861</v>
      </c>
      <c r="H62" s="117">
        <f>+H65</f>
        <v>44227</v>
      </c>
      <c r="I62" s="117">
        <f>+I65</f>
        <v>44592</v>
      </c>
      <c r="J62" s="117">
        <f>+J65</f>
        <v>44957</v>
      </c>
      <c r="K62" s="117">
        <f t="shared" ref="K62:L62" si="2">+K65</f>
        <v>45322</v>
      </c>
      <c r="L62" s="117">
        <f t="shared" si="2"/>
        <v>45688</v>
      </c>
      <c r="M62" s="4"/>
      <c r="N62" s="4"/>
    </row>
    <row r="63" spans="2:14" outlineLevel="1" x14ac:dyDescent="0.25">
      <c r="B63" s="3"/>
      <c r="C63" s="39"/>
      <c r="D63" s="40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2:14" outlineLevel="1" x14ac:dyDescent="0.25">
      <c r="B64" s="3"/>
      <c r="C64" s="59" t="s">
        <v>128</v>
      </c>
      <c r="D64" s="6" t="s">
        <v>3</v>
      </c>
      <c r="E64" s="3"/>
      <c r="F64" s="9">
        <v>1</v>
      </c>
      <c r="G64" s="60">
        <f>+F64+1</f>
        <v>2</v>
      </c>
      <c r="H64" s="60">
        <f t="shared" ref="H64:J64" si="3">+G64+1</f>
        <v>3</v>
      </c>
      <c r="I64" s="60">
        <f t="shared" si="3"/>
        <v>4</v>
      </c>
      <c r="J64" s="60">
        <f t="shared" si="3"/>
        <v>5</v>
      </c>
      <c r="K64" s="60">
        <f t="shared" ref="K64" si="4">+J64+1</f>
        <v>6</v>
      </c>
      <c r="L64" s="60">
        <f t="shared" ref="L64" si="5">+K64+1</f>
        <v>7</v>
      </c>
      <c r="M64" s="60"/>
      <c r="N64" s="3"/>
    </row>
    <row r="65" spans="3:14" outlineLevel="1" x14ac:dyDescent="0.25">
      <c r="C65" s="61" t="s">
        <v>127</v>
      </c>
      <c r="D65" s="169" t="s">
        <v>134</v>
      </c>
      <c r="E65" s="61"/>
      <c r="F65" s="62">
        <f>EOMONTH(Start_Date,Months)</f>
        <v>43496</v>
      </c>
      <c r="G65" s="62">
        <f t="shared" ref="G65:J65" si="6">EOMONTH(F65,Months)</f>
        <v>43861</v>
      </c>
      <c r="H65" s="62">
        <f t="shared" si="6"/>
        <v>44227</v>
      </c>
      <c r="I65" s="62">
        <f t="shared" si="6"/>
        <v>44592</v>
      </c>
      <c r="J65" s="62">
        <f t="shared" si="6"/>
        <v>44957</v>
      </c>
      <c r="K65" s="62">
        <f t="shared" ref="K65" si="7">EOMONTH(J65,Months)</f>
        <v>45322</v>
      </c>
      <c r="L65" s="62">
        <f t="shared" ref="L65" si="8">EOMONTH(K65,Months)</f>
        <v>45688</v>
      </c>
      <c r="M65" s="62"/>
    </row>
    <row r="66" spans="3:14" outlineLevel="1" x14ac:dyDescent="0.25">
      <c r="C66" s="2" t="s">
        <v>148</v>
      </c>
      <c r="D66" s="6" t="s">
        <v>3</v>
      </c>
      <c r="E66" s="64"/>
      <c r="F66" s="60">
        <f>SUMIF('Monthly-CF'!$F$38:$CK$38,F$64,'Monthly-CF'!$F41:$CK41)</f>
        <v>15</v>
      </c>
      <c r="G66" s="60">
        <f>SUMIF('Monthly-CF'!$F$38:$CK$38,G$64,'Monthly-CF'!$F41:$CK41)</f>
        <v>16</v>
      </c>
      <c r="H66" s="60">
        <f>SUMIF('Monthly-CF'!$F$38:$CK$38,H$64,'Monthly-CF'!$F41:$CK41)</f>
        <v>2</v>
      </c>
      <c r="I66" s="60">
        <f>SUMIF('Monthly-CF'!$F$38:$CK$38,I$64,'Monthly-CF'!$F41:$CK41)</f>
        <v>0</v>
      </c>
      <c r="J66" s="60">
        <f>SUMIF('Monthly-CF'!$F$38:$CK$38,J$64,'Monthly-CF'!$F41:$CK41)</f>
        <v>0</v>
      </c>
      <c r="K66" s="60">
        <f>SUMIF('Monthly-CF'!$F$38:$CK$38,K$64,'Monthly-CF'!$F41:$CK41)</f>
        <v>0</v>
      </c>
      <c r="L66" s="60">
        <f>SUMIF('Monthly-CF'!$F$38:$CK$38,L$64,'Monthly-CF'!$F41:$CK41)</f>
        <v>0</v>
      </c>
      <c r="M66" s="60"/>
    </row>
    <row r="67" spans="3:14" outlineLevel="1" x14ac:dyDescent="0.25">
      <c r="C67" s="2" t="s">
        <v>131</v>
      </c>
      <c r="D67" s="13" t="s">
        <v>5</v>
      </c>
      <c r="F67" s="65">
        <f>SUM($F66:F66)/Num_Units</f>
        <v>0.45454545454545453</v>
      </c>
      <c r="G67" s="65">
        <f>SUM($F66:G66)/Num_Units</f>
        <v>0.93939393939393945</v>
      </c>
      <c r="H67" s="65">
        <f>SUM($F66:H66)/Num_Units</f>
        <v>1</v>
      </c>
      <c r="I67" s="65">
        <f>SUM($F66:I66)/Num_Units</f>
        <v>1</v>
      </c>
      <c r="J67" s="65">
        <f>SUM($F66:J66)/Num_Units</f>
        <v>1</v>
      </c>
      <c r="K67" s="65">
        <f>SUM($F66:K66)/Num_Units</f>
        <v>1</v>
      </c>
      <c r="L67" s="65">
        <f>SUM($F66:L66)/Num_Units</f>
        <v>1</v>
      </c>
      <c r="M67" s="65"/>
    </row>
    <row r="68" spans="3:14" outlineLevel="1" x14ac:dyDescent="0.25"/>
    <row r="69" spans="3:14" outlineLevel="1" x14ac:dyDescent="0.25">
      <c r="C69" s="66" t="s">
        <v>140</v>
      </c>
      <c r="D69" s="13" t="s">
        <v>24</v>
      </c>
      <c r="E69" s="47"/>
      <c r="F69" s="56">
        <f>SUMIF('Monthly-CF'!$F$38:$CK$38,F$64,'Monthly-CF'!$F93:$CK93)</f>
        <v>72738953.393492371</v>
      </c>
      <c r="G69" s="56">
        <f>SUMIF('Monthly-CF'!$F$38:$CK$38,G$64,'Monthly-CF'!$F93:$CK93)</f>
        <v>82575260.048611954</v>
      </c>
      <c r="H69" s="56">
        <f>SUMIF('Monthly-CF'!$F$38:$CK$38,H$64,'Monthly-CF'!$F93:$CK93)</f>
        <v>113403158.93726858</v>
      </c>
      <c r="I69" s="56">
        <f>SUMIF('Monthly-CF'!$F$38:$CK$38,I$64,'Monthly-CF'!$F93:$CK93)</f>
        <v>284465835.6481564</v>
      </c>
      <c r="J69" s="56">
        <f>SUMIF('Monthly-CF'!$F$38:$CK$38,J$64,'Monthly-CF'!$F93:$CK93)</f>
        <v>0</v>
      </c>
      <c r="K69" s="56">
        <f>SUMIF('Monthly-CF'!$F$38:$CK$38,K$64,'Monthly-CF'!$F93:$CK93)</f>
        <v>0</v>
      </c>
      <c r="L69" s="56">
        <f>SUMIF('Monthly-CF'!$F$38:$CK$38,L$64,'Monthly-CF'!$F93:$CK93)</f>
        <v>0</v>
      </c>
      <c r="M69" s="56"/>
      <c r="N69" s="67"/>
    </row>
    <row r="70" spans="3:14" outlineLevel="1" x14ac:dyDescent="0.25">
      <c r="E70" s="38"/>
      <c r="F70" s="38"/>
      <c r="K70" s="58"/>
      <c r="L70" s="27"/>
      <c r="M70" s="27"/>
      <c r="N70" s="27"/>
    </row>
    <row r="71" spans="3:14" outlineLevel="1" x14ac:dyDescent="0.25">
      <c r="C71" s="66" t="s">
        <v>141</v>
      </c>
      <c r="F71" s="135"/>
      <c r="K71" s="58"/>
      <c r="L71" s="27"/>
      <c r="M71" s="27"/>
      <c r="N71" s="27"/>
    </row>
    <row r="72" spans="3:14" outlineLevel="1" x14ac:dyDescent="0.25">
      <c r="C72" s="45" t="s">
        <v>150</v>
      </c>
      <c r="D72" s="13" t="s">
        <v>24</v>
      </c>
      <c r="E72" s="38"/>
      <c r="F72" s="68">
        <f>SUMIF('Monthly-CF'!$F$38:$CK$38,F$64,'Monthly-CF'!$F96:$CK96)</f>
        <v>-77084630.004893631</v>
      </c>
      <c r="G72" s="68">
        <f>SUMIF('Monthly-CF'!$F$38:$CK$38,G$64,'Monthly-CF'!$F96:$CK96)</f>
        <v>-105025495.23326811</v>
      </c>
      <c r="H72" s="68">
        <f>SUMIF('Monthly-CF'!$F$38:$CK$38,H$64,'Monthly-CF'!$F96:$CK96)</f>
        <v>-107651132.61409965</v>
      </c>
      <c r="I72" s="68">
        <f>SUMIF('Monthly-CF'!$F$38:$CK$38,I$64,'Monthly-CF'!$F96:$CK96)</f>
        <v>-45645116.019353122</v>
      </c>
      <c r="J72" s="68">
        <f>SUMIF('Monthly-CF'!$F$38:$CK$38,J$64,'Monthly-CF'!$F96:$CK96)</f>
        <v>0</v>
      </c>
      <c r="K72" s="68">
        <f>SUMIF('Monthly-CF'!$F$38:$CK$38,K$64,'Monthly-CF'!$F96:$CK96)</f>
        <v>0</v>
      </c>
      <c r="L72" s="68">
        <f>SUMIF('Monthly-CF'!$F$38:$CK$38,L$64,'Monthly-CF'!$F96:$CK96)</f>
        <v>0</v>
      </c>
      <c r="M72" s="68"/>
      <c r="N72" s="68"/>
    </row>
    <row r="73" spans="3:14" outlineLevel="1" x14ac:dyDescent="0.25">
      <c r="C73" s="123" t="s">
        <v>151</v>
      </c>
      <c r="D73" s="13" t="s">
        <v>24</v>
      </c>
      <c r="E73" s="38"/>
      <c r="F73" s="68">
        <f>SUMIF('Monthly-CF'!$F$38:$CK$38,F$64,'Monthly-CF'!$F97:$CK97)</f>
        <v>-29516660.822223831</v>
      </c>
      <c r="G73" s="68">
        <f>SUMIF('Monthly-CF'!$F$38:$CK$38,G$64,'Monthly-CF'!$F97:$CK97)</f>
        <v>-17865216.212524872</v>
      </c>
      <c r="H73" s="68">
        <f>SUMIF('Monthly-CF'!$F$38:$CK$38,H$64,'Monthly-CF'!$F97:$CK97)</f>
        <v>-22203200.044338815</v>
      </c>
      <c r="I73" s="68">
        <f>SUMIF('Monthly-CF'!$F$38:$CK$38,I$64,'Monthly-CF'!$F97:$CK97)</f>
        <v>-8228716.4531792691</v>
      </c>
      <c r="J73" s="68">
        <f>SUMIF('Monthly-CF'!$F$38:$CK$38,J$64,'Monthly-CF'!$F97:$CK97)</f>
        <v>0</v>
      </c>
      <c r="K73" s="68">
        <f>SUMIF('Monthly-CF'!$F$38:$CK$38,K$64,'Monthly-CF'!$F97:$CK97)</f>
        <v>0</v>
      </c>
      <c r="L73" s="68">
        <f>SUMIF('Monthly-CF'!$F$38:$CK$38,L$64,'Monthly-CF'!$F97:$CK97)</f>
        <v>0</v>
      </c>
      <c r="M73" s="68"/>
      <c r="N73" s="68"/>
    </row>
    <row r="74" spans="3:14" outlineLevel="1" x14ac:dyDescent="0.25">
      <c r="C74" s="123" t="s">
        <v>183</v>
      </c>
      <c r="D74" s="50" t="s">
        <v>24</v>
      </c>
      <c r="F74" s="68">
        <f>SUMIF('Monthly-CF'!$F$38:$CK$38,F$64,'Monthly-CF'!$F98:$CK98)</f>
        <v>-7273895.3393492373</v>
      </c>
      <c r="G74" s="68">
        <f>SUMIF('Monthly-CF'!$F$38:$CK$38,G$64,'Monthly-CF'!$F98:$CK98)</f>
        <v>-8257526.0048611956</v>
      </c>
      <c r="H74" s="68">
        <f>SUMIF('Monthly-CF'!$F$38:$CK$38,H$64,'Monthly-CF'!$F98:$CK98)</f>
        <v>-11340315.893726859</v>
      </c>
      <c r="I74" s="68">
        <f>SUMIF('Monthly-CF'!$F$38:$CK$38,I$64,'Monthly-CF'!$F98:$CK98)</f>
        <v>-28446583.564815644</v>
      </c>
      <c r="J74" s="68">
        <f>SUMIF('Monthly-CF'!$F$38:$CK$38,J$64,'Monthly-CF'!$F98:$CK98)</f>
        <v>0</v>
      </c>
      <c r="K74" s="68">
        <f>SUMIF('Monthly-CF'!$F$38:$CK$38,K$64,'Monthly-CF'!$F98:$CK98)</f>
        <v>0</v>
      </c>
      <c r="L74" s="68">
        <f>SUMIF('Monthly-CF'!$F$38:$CK$38,L$64,'Monthly-CF'!$F98:$CK98)</f>
        <v>0</v>
      </c>
      <c r="M74" s="68"/>
      <c r="N74" s="68"/>
    </row>
    <row r="75" spans="3:14" outlineLevel="1" x14ac:dyDescent="0.25">
      <c r="C75" s="69" t="s">
        <v>142</v>
      </c>
      <c r="D75" s="13" t="s">
        <v>24</v>
      </c>
      <c r="E75" s="70"/>
      <c r="F75" s="71">
        <f>SUM(F72:F74)</f>
        <v>-113875186.1664667</v>
      </c>
      <c r="G75" s="71">
        <f t="shared" ref="G75:L75" si="9">SUM(G72:G74)</f>
        <v>-131148237.45065418</v>
      </c>
      <c r="H75" s="71">
        <f t="shared" si="9"/>
        <v>-141194648.55216533</v>
      </c>
      <c r="I75" s="71">
        <f t="shared" si="9"/>
        <v>-82320416.037348032</v>
      </c>
      <c r="J75" s="71">
        <f t="shared" si="9"/>
        <v>0</v>
      </c>
      <c r="K75" s="71">
        <f t="shared" si="9"/>
        <v>0</v>
      </c>
      <c r="L75" s="71">
        <f t="shared" si="9"/>
        <v>0</v>
      </c>
      <c r="M75" s="67"/>
      <c r="N75" s="67"/>
    </row>
    <row r="76" spans="3:14" outlineLevel="1" x14ac:dyDescent="0.25">
      <c r="E76" s="38"/>
      <c r="F76" s="38"/>
      <c r="G76" s="134"/>
      <c r="M76" s="27"/>
      <c r="N76" s="27"/>
    </row>
    <row r="77" spans="3:14" outlineLevel="1" x14ac:dyDescent="0.25">
      <c r="C77" s="122" t="s">
        <v>172</v>
      </c>
      <c r="D77" s="13" t="s">
        <v>24</v>
      </c>
      <c r="F77" s="68">
        <f>SUMIF('Monthly-CF'!$F$38:$CK$38,F$64,'Monthly-CF'!$F101:$CK101)</f>
        <v>-16007500</v>
      </c>
      <c r="G77" s="68">
        <f>SUMIF('Monthly-CF'!$F$38:$CK$38,G$64,'Monthly-CF'!$F101:$CK101)</f>
        <v>0</v>
      </c>
      <c r="H77" s="68">
        <f>SUMIF('Monthly-CF'!$F$38:$CK$38,H$64,'Monthly-CF'!$F101:$CK101)</f>
        <v>0</v>
      </c>
      <c r="I77" s="68">
        <f>SUMIF('Monthly-CF'!$F$38:$CK$38,I$64,'Monthly-CF'!$F101:$CK101)</f>
        <v>0</v>
      </c>
      <c r="J77" s="68">
        <f>SUMIF('Monthly-CF'!$F$38:$CK$38,J$64,'Monthly-CF'!$F101:$CK101)</f>
        <v>0</v>
      </c>
      <c r="K77" s="68">
        <f>SUMIF('Monthly-CF'!$F$38:$CK$38,K$64,'Monthly-CF'!$F101:$CK101)</f>
        <v>0</v>
      </c>
      <c r="L77" s="68">
        <f>SUMIF('Monthly-CF'!$F$38:$CK$38,L$64,'Monthly-CF'!$F101:$CK101)</f>
        <v>0</v>
      </c>
      <c r="M77" s="68"/>
      <c r="N77" s="68"/>
    </row>
    <row r="78" spans="3:14" outlineLevel="1" x14ac:dyDescent="0.25">
      <c r="E78" s="38"/>
      <c r="F78" s="38"/>
      <c r="M78" s="27"/>
      <c r="N78" s="27"/>
    </row>
    <row r="79" spans="3:14" outlineLevel="1" x14ac:dyDescent="0.25">
      <c r="C79" s="66" t="s">
        <v>75</v>
      </c>
      <c r="D79" s="13" t="s">
        <v>24</v>
      </c>
      <c r="F79" s="78">
        <f>+F69+F75+F77</f>
        <v>-57143732.772974327</v>
      </c>
      <c r="G79" s="72">
        <f t="shared" ref="G79:L79" si="10">+G69+G75+G77</f>
        <v>-48572977.402042225</v>
      </c>
      <c r="H79" s="72">
        <f t="shared" si="10"/>
        <v>-27791489.614896744</v>
      </c>
      <c r="I79" s="72">
        <f t="shared" si="10"/>
        <v>202145419.61080837</v>
      </c>
      <c r="J79" s="72">
        <f t="shared" si="10"/>
        <v>0</v>
      </c>
      <c r="K79" s="72">
        <f t="shared" si="10"/>
        <v>0</v>
      </c>
      <c r="L79" s="72">
        <f t="shared" si="10"/>
        <v>0</v>
      </c>
      <c r="M79" s="67"/>
      <c r="N79" s="67"/>
    </row>
    <row r="80" spans="3:14" outlineLevel="1" x14ac:dyDescent="0.25">
      <c r="C80" s="124" t="s">
        <v>149</v>
      </c>
      <c r="D80" s="13" t="s">
        <v>24</v>
      </c>
      <c r="F80" s="38">
        <f>SUMIF('Monthly-CF'!$F$38:$CK$38,F$64,'Monthly-CF'!$F104:$CK104)</f>
        <v>0</v>
      </c>
      <c r="G80" s="38">
        <f>SUMIF('Monthly-CF'!$F$38:$CK$38,G$64,'Monthly-CF'!$F104:$CK104)</f>
        <v>0</v>
      </c>
      <c r="H80" s="38">
        <f>SUMIF('Monthly-CF'!$F$38:$CK$38,H$64,'Monthly-CF'!$F104:$CK104)</f>
        <v>-1256618.2623083491</v>
      </c>
      <c r="I80" s="38">
        <f>SUMIF('Monthly-CF'!$F$38:$CK$38,I$64,'Monthly-CF'!$F104:$CK104)</f>
        <v>-1532507.3675259696</v>
      </c>
      <c r="J80" s="38">
        <f>SUMIF('Monthly-CF'!$F$38:$CK$38,J$64,'Monthly-CF'!$F104:$CK104)</f>
        <v>0</v>
      </c>
      <c r="K80" s="38">
        <f>SUMIF('Monthly-CF'!$F$38:$CK$38,K$64,'Monthly-CF'!$F104:$CK104)</f>
        <v>0</v>
      </c>
      <c r="L80" s="38">
        <f>SUMIF('Monthly-CF'!$F$38:$CK$38,L$64,'Monthly-CF'!$F104:$CK104)</f>
        <v>0</v>
      </c>
      <c r="M80" s="47"/>
      <c r="N80" s="47"/>
    </row>
    <row r="81" spans="3:14" outlineLevel="1" x14ac:dyDescent="0.25">
      <c r="C81" s="66" t="s">
        <v>138</v>
      </c>
      <c r="D81" s="74" t="s">
        <v>24</v>
      </c>
      <c r="E81" s="75"/>
      <c r="F81" s="71">
        <f>SUM(F79:F80)</f>
        <v>-57143732.772974327</v>
      </c>
      <c r="G81" s="71">
        <f t="shared" ref="G81:L81" si="11">SUM(G79:G80)</f>
        <v>-48572977.402042225</v>
      </c>
      <c r="H81" s="71">
        <f t="shared" si="11"/>
        <v>-29048107.877205092</v>
      </c>
      <c r="I81" s="71">
        <f t="shared" si="11"/>
        <v>200612912.24328241</v>
      </c>
      <c r="J81" s="71">
        <f t="shared" si="11"/>
        <v>0</v>
      </c>
      <c r="K81" s="71">
        <f t="shared" si="11"/>
        <v>0</v>
      </c>
      <c r="L81" s="71">
        <f t="shared" si="11"/>
        <v>0</v>
      </c>
      <c r="M81" s="67"/>
      <c r="N81" s="67"/>
    </row>
    <row r="82" spans="3:14" outlineLevel="1" x14ac:dyDescent="0.25">
      <c r="C82" s="38"/>
      <c r="E82" s="38"/>
      <c r="M82" s="27"/>
      <c r="N82" s="27"/>
    </row>
    <row r="83" spans="3:14" outlineLevel="1" x14ac:dyDescent="0.25">
      <c r="C83" s="66" t="s">
        <v>85</v>
      </c>
      <c r="E83" s="57"/>
      <c r="M83" s="27"/>
    </row>
    <row r="84" spans="3:14" outlineLevel="1" x14ac:dyDescent="0.25">
      <c r="C84" s="123" t="s">
        <v>176</v>
      </c>
      <c r="D84" s="13" t="s">
        <v>24</v>
      </c>
      <c r="E84" s="38"/>
      <c r="F84" s="68">
        <f>SUMIF('Monthly-CF'!$F$38:$CK$38,F$64,'Monthly-CF'!$F116:$CK116)</f>
        <v>12395095.098463461</v>
      </c>
      <c r="G84" s="68">
        <f>SUMIF('Monthly-CF'!$F$38:$CK$38,G$64,'Monthly-CF'!$F116:$CK116)</f>
        <v>988059.87458634528</v>
      </c>
      <c r="H84" s="68">
        <f>SUMIF('Monthly-CF'!$F$38:$CK$38,H$64,'Monthly-CF'!$F116:$CK116)</f>
        <v>0</v>
      </c>
      <c r="I84" s="68">
        <f>SUMIF('Monthly-CF'!$F$38:$CK$38,I$64,'Monthly-CF'!$F116:$CK116)</f>
        <v>0</v>
      </c>
      <c r="J84" s="68">
        <f>SUMIF('Monthly-CF'!$F$38:$CK$38,J$64,'Monthly-CF'!$F116:$CK116)</f>
        <v>0</v>
      </c>
      <c r="K84" s="68">
        <f>SUMIF('Monthly-CF'!$F$38:$CK$38,K$64,'Monthly-CF'!$F116:$CK116)</f>
        <v>0</v>
      </c>
      <c r="L84" s="68">
        <f>SUMIF('Monthly-CF'!$F$38:$CK$38,L$64,'Monthly-CF'!$F116:$CK116)</f>
        <v>0</v>
      </c>
      <c r="M84" s="68"/>
    </row>
    <row r="85" spans="3:14" outlineLevel="1" x14ac:dyDescent="0.25">
      <c r="C85" s="123" t="s">
        <v>177</v>
      </c>
      <c r="D85" s="13" t="s">
        <v>24</v>
      </c>
      <c r="E85" s="38"/>
      <c r="F85" s="68">
        <f>SUMIF('Monthly-CF'!$F$38:$CK$38,F$64,'Monthly-CF'!$F117:$CK117)</f>
        <v>49580380.393853851</v>
      </c>
      <c r="G85" s="68">
        <f>SUMIF('Monthly-CF'!$F$38:$CK$38,G$64,'Monthly-CF'!$F117:$CK117)</f>
        <v>3952239.498345382</v>
      </c>
      <c r="H85" s="68">
        <f>SUMIF('Monthly-CF'!$F$38:$CK$38,H$64,'Monthly-CF'!$F117:$CK117)</f>
        <v>0</v>
      </c>
      <c r="I85" s="68">
        <f>SUMIF('Monthly-CF'!$F$38:$CK$38,I$64,'Monthly-CF'!$F117:$CK117)</f>
        <v>0</v>
      </c>
      <c r="J85" s="68">
        <f>SUMIF('Monthly-CF'!$F$38:$CK$38,J$64,'Monthly-CF'!$F117:$CK117)</f>
        <v>0</v>
      </c>
      <c r="K85" s="68">
        <f>SUMIF('Monthly-CF'!$F$38:$CK$38,K$64,'Monthly-CF'!$F117:$CK117)</f>
        <v>0</v>
      </c>
      <c r="L85" s="68">
        <f>SUMIF('Monthly-CF'!$F$38:$CK$38,L$64,'Monthly-CF'!$F117:$CK117)</f>
        <v>0</v>
      </c>
      <c r="M85" s="68"/>
    </row>
    <row r="86" spans="3:14" outlineLevel="1" x14ac:dyDescent="0.25">
      <c r="C86" s="124" t="s">
        <v>178</v>
      </c>
      <c r="D86" s="50" t="s">
        <v>24</v>
      </c>
      <c r="E86" s="52"/>
      <c r="F86" s="68">
        <f>SUMIF('Monthly-CF'!$F$38:$CK$38,F$64,'Monthly-CF'!$F118:$CK118)</f>
        <v>0</v>
      </c>
      <c r="G86" s="68">
        <f>SUMIF('Monthly-CF'!$F$38:$CK$38,G$64,'Monthly-CF'!$F118:$CK118)</f>
        <v>43632678.029110506</v>
      </c>
      <c r="H86" s="68">
        <f>SUMIF('Monthly-CF'!$F$38:$CK$38,H$64,'Monthly-CF'!$F118:$CK118)</f>
        <v>99165556.30902645</v>
      </c>
      <c r="I86" s="68">
        <f>SUMIF('Monthly-CF'!$F$38:$CK$38,I$64,'Monthly-CF'!$F118:$CK118)</f>
        <v>36478484.308929101</v>
      </c>
      <c r="J86" s="68">
        <f>SUMIF('Monthly-CF'!$F$38:$CK$38,J$64,'Monthly-CF'!$F118:$CK118)</f>
        <v>0</v>
      </c>
      <c r="K86" s="68">
        <f>SUMIF('Monthly-CF'!$F$38:$CK$38,K$64,'Monthly-CF'!$F118:$CK118)</f>
        <v>0</v>
      </c>
      <c r="L86" s="68">
        <f>SUMIF('Monthly-CF'!$F$38:$CK$38,L$64,'Monthly-CF'!$F118:$CK118)</f>
        <v>0</v>
      </c>
      <c r="M86" s="68"/>
    </row>
    <row r="87" spans="3:14" outlineLevel="1" x14ac:dyDescent="0.25">
      <c r="C87" s="76" t="s">
        <v>89</v>
      </c>
      <c r="D87" s="13" t="s">
        <v>24</v>
      </c>
      <c r="F87" s="71">
        <f>SUM(F84:F86)</f>
        <v>61975475.492317311</v>
      </c>
      <c r="G87" s="71">
        <f t="shared" ref="G87:L87" si="12">SUM(G84:G86)</f>
        <v>48572977.402042232</v>
      </c>
      <c r="H87" s="71">
        <f t="shared" si="12"/>
        <v>99165556.30902645</v>
      </c>
      <c r="I87" s="71">
        <f t="shared" si="12"/>
        <v>36478484.308929101</v>
      </c>
      <c r="J87" s="71">
        <f t="shared" si="12"/>
        <v>0</v>
      </c>
      <c r="K87" s="71">
        <f t="shared" si="12"/>
        <v>0</v>
      </c>
      <c r="L87" s="71">
        <f t="shared" si="12"/>
        <v>0</v>
      </c>
      <c r="M87" s="67"/>
    </row>
    <row r="88" spans="3:14" outlineLevel="1" x14ac:dyDescent="0.25">
      <c r="C88" s="38"/>
      <c r="F88" s="38"/>
      <c r="M88" s="27"/>
    </row>
    <row r="89" spans="3:14" outlineLevel="1" x14ac:dyDescent="0.25">
      <c r="C89" s="77" t="s">
        <v>139</v>
      </c>
      <c r="D89" s="13" t="s">
        <v>24</v>
      </c>
      <c r="F89" s="68">
        <f>SUMIF('Monthly-CF'!$F$38:$CK$38,F$64,'Monthly-CF'!$F129:$CK129)</f>
        <v>0</v>
      </c>
      <c r="G89" s="68">
        <f>SUMIF('Monthly-CF'!$F$38:$CK$38,G$64,'Monthly-CF'!$F129:$CK129)</f>
        <v>0</v>
      </c>
      <c r="H89" s="68">
        <f>SUMIF('Monthly-CF'!$F$38:$CK$38,H$64,'Monthly-CF'!$F129:$CK129)</f>
        <v>-70117448.431821391</v>
      </c>
      <c r="I89" s="68">
        <f>SUMIF('Monthly-CF'!$F$38:$CK$38,I$64,'Monthly-CF'!$F129:$CK129)</f>
        <v>-120918609.42905298</v>
      </c>
      <c r="J89" s="68">
        <f>SUMIF('Monthly-CF'!$F$38:$CK$38,J$64,'Monthly-CF'!$F129:$CK129)</f>
        <v>0</v>
      </c>
      <c r="K89" s="68">
        <f>SUMIF('Monthly-CF'!$F$38:$CK$38,K$64,'Monthly-CF'!$F129:$CK129)</f>
        <v>0</v>
      </c>
      <c r="L89" s="68">
        <f>SUMIF('Monthly-CF'!$F$38:$CK$38,L$64,'Monthly-CF'!$F129:$CK129)</f>
        <v>0</v>
      </c>
      <c r="M89" s="68"/>
    </row>
    <row r="90" spans="3:14" outlineLevel="1" x14ac:dyDescent="0.25">
      <c r="C90" s="38"/>
      <c r="F90" s="38"/>
      <c r="M90" s="27"/>
    </row>
    <row r="91" spans="3:14" outlineLevel="1" x14ac:dyDescent="0.25">
      <c r="C91" s="66" t="s">
        <v>102</v>
      </c>
      <c r="D91" s="13" t="s">
        <v>24</v>
      </c>
      <c r="E91" s="37"/>
      <c r="F91" s="56">
        <f>+F81+F87+F89</f>
        <v>4831742.7193429843</v>
      </c>
      <c r="G91" s="56">
        <f t="shared" ref="G91:L91" si="13">+G81+G87+G89</f>
        <v>7.4505805969238281E-9</v>
      </c>
      <c r="H91" s="56">
        <f t="shared" si="13"/>
        <v>0</v>
      </c>
      <c r="I91" s="56">
        <f t="shared" si="13"/>
        <v>116172787.12315854</v>
      </c>
      <c r="J91" s="56">
        <f t="shared" si="13"/>
        <v>0</v>
      </c>
      <c r="K91" s="56">
        <f t="shared" si="13"/>
        <v>0</v>
      </c>
      <c r="L91" s="56">
        <f t="shared" si="13"/>
        <v>0</v>
      </c>
      <c r="M91" s="56"/>
    </row>
    <row r="92" spans="3:14" outlineLevel="1" x14ac:dyDescent="0.25">
      <c r="E92" s="37"/>
      <c r="M92" s="27"/>
    </row>
    <row r="93" spans="3:14" outlineLevel="1" x14ac:dyDescent="0.25">
      <c r="C93" s="66" t="s">
        <v>114</v>
      </c>
      <c r="D93" s="13" t="s">
        <v>24</v>
      </c>
      <c r="F93" s="78">
        <f>SUMIF('Monthly-CF'!$F$38:$CK$38,F$64,'Monthly-CF'!$F194:$CK194)</f>
        <v>-57143732.772974342</v>
      </c>
      <c r="G93" s="78">
        <f>SUMIF('Monthly-CF'!$F$38:$CK$38,G$64,'Monthly-CF'!$F194:$CK194)</f>
        <v>-48572977.402042232</v>
      </c>
      <c r="H93" s="78">
        <f>SUMIF('Monthly-CF'!$F$38:$CK$38,H$64,'Monthly-CF'!$F194:$CK194)</f>
        <v>-27791489.61489673</v>
      </c>
      <c r="I93" s="78">
        <f>SUMIF('Monthly-CF'!$F$38:$CK$38,I$64,'Monthly-CF'!$F194:$CK194)</f>
        <v>202145419.61080837</v>
      </c>
      <c r="J93" s="78">
        <f>SUMIF('Monthly-CF'!$F$38:$CK$38,J$64,'Monthly-CF'!$F194:$CK194)</f>
        <v>0</v>
      </c>
      <c r="K93" s="78">
        <f>SUMIF('Monthly-CF'!$F$38:$CK$38,K$64,'Monthly-CF'!$F194:$CK194)</f>
        <v>0</v>
      </c>
      <c r="L93" s="78">
        <f>SUMIF('Monthly-CF'!$F$38:$CK$38,L$64,'Monthly-CF'!$F194:$CK194)</f>
        <v>0</v>
      </c>
      <c r="M93" s="78"/>
    </row>
    <row r="94" spans="3:14" outlineLevel="1" x14ac:dyDescent="0.25">
      <c r="C94" s="45" t="s">
        <v>111</v>
      </c>
      <c r="D94" s="13" t="s">
        <v>5</v>
      </c>
      <c r="E94" s="79">
        <f>'Monthly-CF'!E195</f>
        <v>0.17175232768058779</v>
      </c>
      <c r="M94" s="27"/>
    </row>
    <row r="95" spans="3:14" outlineLevel="1" x14ac:dyDescent="0.25">
      <c r="C95" s="45" t="s">
        <v>112</v>
      </c>
      <c r="D95" s="13" t="s">
        <v>113</v>
      </c>
      <c r="E95" s="80">
        <f>'Monthly-CF'!E198</f>
        <v>1.2787949333534887</v>
      </c>
      <c r="F95" s="57"/>
      <c r="M95" s="27"/>
    </row>
    <row r="96" spans="3:14" outlineLevel="1" x14ac:dyDescent="0.25">
      <c r="M96" s="27"/>
    </row>
    <row r="97" spans="2:14" outlineLevel="1" x14ac:dyDescent="0.25">
      <c r="C97" s="66" t="s">
        <v>110</v>
      </c>
      <c r="D97" s="13" t="s">
        <v>24</v>
      </c>
      <c r="F97" s="78">
        <f>SUMIF('Monthly-CF'!$F$38:$CK$38,F$64,'Monthly-CF'!$F200:$CK200)</f>
        <v>-57143732.772974342</v>
      </c>
      <c r="G97" s="78">
        <f>SUMIF('Monthly-CF'!$F$38:$CK$38,G$64,'Monthly-CF'!$F200:$CK200)</f>
        <v>-4940299.3729317272</v>
      </c>
      <c r="H97" s="78">
        <f>SUMIF('Monthly-CF'!$F$38:$CK$38,H$64,'Monthly-CF'!$F200:$CK200)</f>
        <v>0</v>
      </c>
      <c r="I97" s="78">
        <f>SUMIF('Monthly-CF'!$F$38:$CK$38,I$64,'Monthly-CF'!$F200:$CK200)</f>
        <v>116172787.12315851</v>
      </c>
      <c r="J97" s="78">
        <f>SUMIF('Monthly-CF'!$F$38:$CK$38,J$64,'Monthly-CF'!$F200:$CK200)</f>
        <v>0</v>
      </c>
      <c r="K97" s="78">
        <f>SUMIF('Monthly-CF'!$F$38:$CK$38,K$64,'Monthly-CF'!$F200:$CK200)</f>
        <v>0</v>
      </c>
      <c r="L97" s="78">
        <f>SUMIF('Monthly-CF'!$F$38:$CK$38,L$64,'Monthly-CF'!$F200:$CK200)</f>
        <v>0</v>
      </c>
      <c r="M97" s="78"/>
    </row>
    <row r="98" spans="2:14" outlineLevel="1" x14ac:dyDescent="0.25">
      <c r="C98" s="45" t="s">
        <v>111</v>
      </c>
      <c r="D98" s="13" t="s">
        <v>5</v>
      </c>
      <c r="E98" s="79">
        <f>'Monthly-CF'!E201</f>
        <v>0.20884199738502504</v>
      </c>
      <c r="M98" s="27"/>
    </row>
    <row r="99" spans="2:14" outlineLevel="1" x14ac:dyDescent="0.25">
      <c r="C99" s="45" t="s">
        <v>112</v>
      </c>
      <c r="D99" s="13" t="s">
        <v>113</v>
      </c>
      <c r="E99" s="80">
        <f>'Monthly-CF'!E204</f>
        <v>1.8083109713094279</v>
      </c>
      <c r="M99" s="27"/>
    </row>
    <row r="100" spans="2:14" outlineLevel="1" x14ac:dyDescent="0.25">
      <c r="M100" s="27"/>
    </row>
    <row r="101" spans="2:14" outlineLevel="1" x14ac:dyDescent="0.25">
      <c r="C101" s="66" t="s">
        <v>106</v>
      </c>
      <c r="D101" s="13" t="s">
        <v>24</v>
      </c>
      <c r="F101" s="78">
        <f>SUMIF('Monthly-CF'!$F$38:$CK$38,F$64,'Monthly-CF'!$F206:$CK206)</f>
        <v>-44748637.674510874</v>
      </c>
      <c r="G101" s="78">
        <f>SUMIF('Monthly-CF'!$F$38:$CK$38,G$64,'Monthly-CF'!$F206:$CK206)</f>
        <v>-3952239.498345382</v>
      </c>
      <c r="H101" s="78">
        <f>SUMIF('Monthly-CF'!$F$38:$CK$38,H$64,'Monthly-CF'!$F206:$CK206)</f>
        <v>0</v>
      </c>
      <c r="I101" s="78">
        <f>SUMIF('Monthly-CF'!$F$38:$CK$38,I$64,'Monthly-CF'!$F206:$CK206)</f>
        <v>91687515.272750571</v>
      </c>
      <c r="J101" s="78">
        <f>SUMIF('Monthly-CF'!$F$38:$CK$38,J$64,'Monthly-CF'!$F206:$CK206)</f>
        <v>0</v>
      </c>
      <c r="K101" s="78">
        <f>SUMIF('Monthly-CF'!$F$38:$CK$38,K$64,'Monthly-CF'!$F206:$CK206)</f>
        <v>0</v>
      </c>
      <c r="L101" s="78">
        <f>SUMIF('Monthly-CF'!$F$38:$CK$38,L$64,'Monthly-CF'!$F206:$CK206)</f>
        <v>0</v>
      </c>
      <c r="M101" s="78"/>
    </row>
    <row r="102" spans="2:14" outlineLevel="1" x14ac:dyDescent="0.25">
      <c r="C102" s="45" t="s">
        <v>111</v>
      </c>
      <c r="D102" s="13" t="s">
        <v>5</v>
      </c>
      <c r="E102" s="79">
        <f>'Monthly-CF'!E207</f>
        <v>0.21167514920234679</v>
      </c>
      <c r="M102" s="27"/>
    </row>
    <row r="103" spans="2:14" outlineLevel="1" x14ac:dyDescent="0.25">
      <c r="C103" s="45" t="s">
        <v>112</v>
      </c>
      <c r="D103" s="13" t="s">
        <v>113</v>
      </c>
      <c r="E103" s="80">
        <f>'Monthly-CF'!E210</f>
        <v>1.8029989600071545</v>
      </c>
      <c r="F103" s="57"/>
      <c r="M103" s="27"/>
    </row>
    <row r="104" spans="2:14" outlineLevel="1" x14ac:dyDescent="0.25">
      <c r="M104" s="27"/>
    </row>
    <row r="105" spans="2:14" outlineLevel="1" x14ac:dyDescent="0.25">
      <c r="C105" s="66" t="s">
        <v>107</v>
      </c>
      <c r="D105" s="13" t="s">
        <v>24</v>
      </c>
      <c r="F105" s="78">
        <f>SUMIF('Monthly-CF'!$F$38:$CK$38,F$64,'Monthly-CF'!$F212:$CK212)</f>
        <v>-12395095.098463461</v>
      </c>
      <c r="G105" s="78">
        <f>SUMIF('Monthly-CF'!$F$38:$CK$38,G$64,'Monthly-CF'!$F212:$CK212)</f>
        <v>-988059.87458634528</v>
      </c>
      <c r="H105" s="78">
        <f>SUMIF('Monthly-CF'!$F$38:$CK$38,H$64,'Monthly-CF'!$F212:$CK212)</f>
        <v>0</v>
      </c>
      <c r="I105" s="78">
        <f>SUMIF('Monthly-CF'!$F$38:$CK$38,I$64,'Monthly-CF'!$F212:$CK212)</f>
        <v>24485271.850407936</v>
      </c>
      <c r="J105" s="78">
        <f>SUMIF('Monthly-CF'!$F$38:$CK$38,J$64,'Monthly-CF'!$F212:$CK212)</f>
        <v>0</v>
      </c>
      <c r="K105" s="78">
        <f>SUMIF('Monthly-CF'!$F$38:$CK$38,K$64,'Monthly-CF'!$F212:$CK212)</f>
        <v>0</v>
      </c>
      <c r="L105" s="78">
        <f>SUMIF('Monthly-CF'!$F$38:$CK$38,L$64,'Monthly-CF'!$F212:$CK212)</f>
        <v>0</v>
      </c>
      <c r="M105" s="78"/>
    </row>
    <row r="106" spans="2:14" outlineLevel="1" x14ac:dyDescent="0.25">
      <c r="C106" s="45" t="s">
        <v>111</v>
      </c>
      <c r="D106" s="13" t="s">
        <v>5</v>
      </c>
      <c r="E106" s="79">
        <f>'Monthly-CF'!E213</f>
        <v>0.19860388636589055</v>
      </c>
      <c r="K106" s="58"/>
      <c r="L106" s="27"/>
      <c r="M106" s="27"/>
    </row>
    <row r="107" spans="2:14" outlineLevel="1" x14ac:dyDescent="0.25">
      <c r="C107" s="45" t="s">
        <v>112</v>
      </c>
      <c r="D107" s="13" t="s">
        <v>113</v>
      </c>
      <c r="E107" s="80">
        <f>'Monthly-CF'!E216</f>
        <v>1.8295590165185194</v>
      </c>
      <c r="F107" s="57"/>
      <c r="K107" s="58"/>
      <c r="L107" s="27"/>
      <c r="M107" s="27"/>
    </row>
    <row r="109" spans="2:14" x14ac:dyDescent="0.25">
      <c r="B109" s="4" t="s">
        <v>205</v>
      </c>
      <c r="C109" s="4"/>
      <c r="D109" s="5"/>
      <c r="E109" s="4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 outlineLevel="1" x14ac:dyDescent="0.25"/>
    <row r="111" spans="2:14" outlineLevel="1" x14ac:dyDescent="0.25">
      <c r="C111" s="139" t="s">
        <v>211</v>
      </c>
      <c r="D111" s="140"/>
      <c r="E111" s="140"/>
      <c r="F111" s="140"/>
      <c r="G111" s="140"/>
      <c r="H111" s="140"/>
      <c r="I111" s="140"/>
      <c r="J111" s="140"/>
      <c r="K111" s="140"/>
      <c r="L111" s="140"/>
    </row>
    <row r="112" spans="2:14" outlineLevel="1" x14ac:dyDescent="0.25"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</row>
    <row r="113" spans="3:14" outlineLevel="1" x14ac:dyDescent="0.25">
      <c r="C113" s="141" t="s">
        <v>210</v>
      </c>
      <c r="D113" s="142" t="s">
        <v>25</v>
      </c>
      <c r="E113" s="142"/>
      <c r="F113" s="142"/>
      <c r="G113" s="142"/>
      <c r="H113" s="142"/>
      <c r="I113" s="142"/>
      <c r="J113" s="142"/>
      <c r="K113" s="142"/>
      <c r="L113" s="143"/>
      <c r="M113" s="143"/>
      <c r="N113" s="143"/>
    </row>
    <row r="114" spans="3:14" outlineLevel="1" x14ac:dyDescent="0.25">
      <c r="C114" s="144">
        <f>$E$102</f>
        <v>0.21167514920234679</v>
      </c>
      <c r="D114" s="153">
        <v>0.5</v>
      </c>
      <c r="E114" s="152">
        <f>+D114+0.1</f>
        <v>0.6</v>
      </c>
      <c r="F114" s="152">
        <f t="shared" ref="F114:N114" si="14">+E114+0.1</f>
        <v>0.7</v>
      </c>
      <c r="G114" s="152">
        <f t="shared" si="14"/>
        <v>0.79999999999999993</v>
      </c>
      <c r="H114" s="152">
        <f t="shared" si="14"/>
        <v>0.89999999999999991</v>
      </c>
      <c r="I114" s="154">
        <f t="shared" si="14"/>
        <v>0.99999999999999989</v>
      </c>
      <c r="J114" s="152">
        <f t="shared" si="14"/>
        <v>1.0999999999999999</v>
      </c>
      <c r="K114" s="152">
        <f t="shared" si="14"/>
        <v>1.2</v>
      </c>
      <c r="L114" s="152">
        <f t="shared" si="14"/>
        <v>1.3</v>
      </c>
      <c r="M114" s="152">
        <f t="shared" si="14"/>
        <v>1.4000000000000001</v>
      </c>
      <c r="N114" s="155">
        <f t="shared" si="14"/>
        <v>1.5000000000000002</v>
      </c>
    </row>
    <row r="115" spans="3:14" outlineLevel="1" x14ac:dyDescent="0.25">
      <c r="C115" s="145" t="str">
        <f t="array" ref="C115:C117">TRANSPOSE($G$21:$I$21)</f>
        <v>Downside</v>
      </c>
      <c r="D115" s="157">
        <f t="dataTable" ref="D115:N117" dt2D="1" dtr="1" r1="E23" r2="E18" ca="1"/>
        <v>0.10206699967384339</v>
      </c>
      <c r="E115" s="147">
        <v>0.12144001126289369</v>
      </c>
      <c r="F115" s="148">
        <v>0.13179472088813782</v>
      </c>
      <c r="G115" s="148">
        <v>0.15472571253776557</v>
      </c>
      <c r="H115" s="148">
        <v>0.1791306078433991</v>
      </c>
      <c r="I115" s="148">
        <v>0.19676626324653629</v>
      </c>
      <c r="J115" s="148">
        <v>0.21496450304985043</v>
      </c>
      <c r="K115" s="148">
        <v>0.25274130702018738</v>
      </c>
      <c r="L115" s="148">
        <v>0.28358687758445744</v>
      </c>
      <c r="M115" s="148">
        <v>0.29429941773414614</v>
      </c>
      <c r="N115" s="148">
        <v>0.38401145339012155</v>
      </c>
    </row>
    <row r="116" spans="3:14" outlineLevel="1" x14ac:dyDescent="0.25">
      <c r="C116" s="150" t="str">
        <v>Base</v>
      </c>
      <c r="D116" s="149">
        <v>0.12143177390098572</v>
      </c>
      <c r="E116" s="147">
        <v>0.13969016671180726</v>
      </c>
      <c r="F116" s="148">
        <v>0.14872005581855777</v>
      </c>
      <c r="G116" s="148">
        <v>0.17069033980369572</v>
      </c>
      <c r="H116" s="148">
        <v>0.19507263302803041</v>
      </c>
      <c r="I116" s="156">
        <v>0.21167514920234679</v>
      </c>
      <c r="J116" s="148">
        <v>0.2289919435977936</v>
      </c>
      <c r="K116" s="148">
        <v>0.26648259758949278</v>
      </c>
      <c r="L116" s="148">
        <v>0.29784069657325751</v>
      </c>
      <c r="M116" s="148">
        <v>0.30834951996803284</v>
      </c>
      <c r="N116" s="148">
        <v>0.40038059353828426</v>
      </c>
    </row>
    <row r="117" spans="3:14" outlineLevel="1" x14ac:dyDescent="0.25">
      <c r="C117" s="151" t="str">
        <v>Upside</v>
      </c>
      <c r="D117" s="149">
        <v>0.14074594378471372</v>
      </c>
      <c r="E117" s="147">
        <v>0.15782523751258851</v>
      </c>
      <c r="F117" s="148">
        <v>0.16557089686393742</v>
      </c>
      <c r="G117" s="148">
        <v>0.18640778660774229</v>
      </c>
      <c r="H117" s="148">
        <v>0.20973630547523506</v>
      </c>
      <c r="I117" s="148">
        <v>0.22554182410240173</v>
      </c>
      <c r="J117" s="148">
        <v>0.24281141161918646</v>
      </c>
      <c r="K117" s="148">
        <v>0.28002155423164365</v>
      </c>
      <c r="L117" s="148">
        <v>0.3118683397769928</v>
      </c>
      <c r="M117" s="148">
        <v>0.32218144536018378</v>
      </c>
      <c r="N117" s="156">
        <v>0.41653661131858832</v>
      </c>
    </row>
    <row r="118" spans="3:14" outlineLevel="1" x14ac:dyDescent="0.25"/>
    <row r="119" spans="3:14" outlineLevel="1" x14ac:dyDescent="0.25">
      <c r="C119" s="139" t="s">
        <v>212</v>
      </c>
      <c r="D119" s="140"/>
      <c r="E119" s="140"/>
      <c r="F119" s="140"/>
      <c r="G119" s="140"/>
      <c r="H119" s="140"/>
      <c r="I119" s="140"/>
      <c r="J119" s="140"/>
      <c r="K119" s="140"/>
      <c r="L119" s="140"/>
    </row>
    <row r="120" spans="3:14" outlineLevel="1" x14ac:dyDescent="0.25"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</row>
    <row r="121" spans="3:14" outlineLevel="1" x14ac:dyDescent="0.25">
      <c r="C121" s="141" t="s">
        <v>210</v>
      </c>
      <c r="D121" s="142" t="s">
        <v>25</v>
      </c>
      <c r="E121" s="142"/>
      <c r="F121" s="142"/>
      <c r="G121" s="142"/>
      <c r="H121" s="142"/>
      <c r="I121" s="142"/>
      <c r="J121" s="142"/>
      <c r="K121" s="142"/>
      <c r="L121" s="143"/>
      <c r="M121" s="143"/>
      <c r="N121" s="143"/>
    </row>
    <row r="122" spans="3:14" outlineLevel="1" x14ac:dyDescent="0.25">
      <c r="C122" s="144">
        <f>$E$106</f>
        <v>0.19860388636589055</v>
      </c>
      <c r="D122" s="158">
        <f>+D114</f>
        <v>0.5</v>
      </c>
      <c r="E122" s="152">
        <f t="shared" ref="E122:N122" si="15">+E114</f>
        <v>0.6</v>
      </c>
      <c r="F122" s="152">
        <f t="shared" si="15"/>
        <v>0.7</v>
      </c>
      <c r="G122" s="152">
        <f t="shared" si="15"/>
        <v>0.79999999999999993</v>
      </c>
      <c r="H122" s="152">
        <f t="shared" si="15"/>
        <v>0.89999999999999991</v>
      </c>
      <c r="I122" s="154">
        <f t="shared" si="15"/>
        <v>0.99999999999999989</v>
      </c>
      <c r="J122" s="152">
        <f t="shared" si="15"/>
        <v>1.0999999999999999</v>
      </c>
      <c r="K122" s="152">
        <f t="shared" si="15"/>
        <v>1.2</v>
      </c>
      <c r="L122" s="152">
        <f t="shared" si="15"/>
        <v>1.3</v>
      </c>
      <c r="M122" s="152">
        <f t="shared" si="15"/>
        <v>1.4000000000000001</v>
      </c>
      <c r="N122" s="155">
        <f t="shared" si="15"/>
        <v>1.5000000000000002</v>
      </c>
    </row>
    <row r="123" spans="3:14" outlineLevel="1" x14ac:dyDescent="0.25">
      <c r="C123" s="145" t="str">
        <f t="array" ref="C123:C125">TRANSPOSE($G$21:$I$21)</f>
        <v>Downside</v>
      </c>
      <c r="D123" s="157">
        <f t="dataTable" ref="D123:N125" dt2D="1" dtr="1" r1="E23" r2="E18" ca="1"/>
        <v>8.6295989155769345E-2</v>
      </c>
      <c r="E123" s="147">
        <v>0.11078876852989197</v>
      </c>
      <c r="F123" s="148">
        <v>0.12272244095802307</v>
      </c>
      <c r="G123" s="148">
        <v>0.14746807217597968</v>
      </c>
      <c r="H123" s="148">
        <v>0.16694293618202208</v>
      </c>
      <c r="I123" s="148">
        <v>0.17973145842552188</v>
      </c>
      <c r="J123" s="148">
        <v>0.20855031609535216</v>
      </c>
      <c r="K123" s="148">
        <v>0.2608245313167572</v>
      </c>
      <c r="L123" s="148">
        <v>0.30000447630882277</v>
      </c>
      <c r="M123" s="148">
        <v>0.30959234833717353</v>
      </c>
      <c r="N123" s="148">
        <v>0.38511435389518744</v>
      </c>
    </row>
    <row r="124" spans="3:14" outlineLevel="1" x14ac:dyDescent="0.25">
      <c r="C124" s="150" t="str">
        <v>Base</v>
      </c>
      <c r="D124" s="149">
        <v>0.10284182429313662</v>
      </c>
      <c r="E124" s="147">
        <v>0.12685800194740296</v>
      </c>
      <c r="F124" s="148">
        <v>0.13776982426643375</v>
      </c>
      <c r="G124" s="148">
        <v>0.16271085143089295</v>
      </c>
      <c r="H124" s="148">
        <v>0.18183284401893621</v>
      </c>
      <c r="I124" s="156">
        <v>0.19860388636589055</v>
      </c>
      <c r="J124" s="148">
        <v>0.2305205881595612</v>
      </c>
      <c r="K124" s="148">
        <v>0.28110393881797791</v>
      </c>
      <c r="L124" s="148">
        <v>0.32019953131675727</v>
      </c>
      <c r="M124" s="148">
        <v>0.3290081441402436</v>
      </c>
      <c r="N124" s="148">
        <v>0.40357573628425603</v>
      </c>
    </row>
    <row r="125" spans="3:14" outlineLevel="1" x14ac:dyDescent="0.25">
      <c r="C125" s="151" t="str">
        <v>Upside</v>
      </c>
      <c r="D125" s="149">
        <v>0.11887905001640317</v>
      </c>
      <c r="E125" s="147">
        <v>0.14269368052482609</v>
      </c>
      <c r="F125" s="148">
        <v>0.15261214375495913</v>
      </c>
      <c r="G125" s="148">
        <v>0.17771942019462583</v>
      </c>
      <c r="H125" s="148">
        <v>0.20029825568199158</v>
      </c>
      <c r="I125" s="148">
        <v>0.22000210881233215</v>
      </c>
      <c r="J125" s="148">
        <v>0.25180920958518993</v>
      </c>
      <c r="K125" s="148">
        <v>0.30082244277000436</v>
      </c>
      <c r="L125" s="148">
        <v>0.33984540104866023</v>
      </c>
      <c r="M125" s="148">
        <v>0.34790999293327329</v>
      </c>
      <c r="N125" s="156">
        <v>0.4215310394763947</v>
      </c>
    </row>
    <row r="126" spans="3:14" outlineLevel="1" x14ac:dyDescent="0.25"/>
    <row r="127" spans="3:14" outlineLevel="1" x14ac:dyDescent="0.25">
      <c r="C127" s="139" t="s">
        <v>213</v>
      </c>
      <c r="D127" s="140"/>
      <c r="E127" s="140"/>
      <c r="F127" s="140"/>
      <c r="G127" s="140"/>
      <c r="H127" s="140"/>
      <c r="I127" s="140"/>
      <c r="J127" s="140"/>
      <c r="K127" s="140"/>
      <c r="L127" s="140"/>
    </row>
    <row r="128" spans="3:14" outlineLevel="1" x14ac:dyDescent="0.25"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</row>
    <row r="129" spans="3:14" outlineLevel="1" x14ac:dyDescent="0.25">
      <c r="C129" s="141" t="s">
        <v>210</v>
      </c>
      <c r="D129" s="142" t="s">
        <v>214</v>
      </c>
      <c r="E129" s="142"/>
      <c r="F129" s="142"/>
      <c r="G129" s="142"/>
      <c r="H129" s="142"/>
      <c r="I129" s="142"/>
      <c r="J129" s="142"/>
      <c r="K129" s="142"/>
      <c r="L129" s="143"/>
      <c r="M129" s="143"/>
      <c r="N129" s="143"/>
    </row>
    <row r="130" spans="3:14" outlineLevel="1" x14ac:dyDescent="0.25">
      <c r="C130" s="144">
        <f>$E$102</f>
        <v>0.21167514920234679</v>
      </c>
      <c r="D130" s="161">
        <v>20</v>
      </c>
      <c r="E130" s="159">
        <f>+D130+1</f>
        <v>21</v>
      </c>
      <c r="F130" s="159">
        <f t="shared" ref="F130:N130" si="16">+E130+1</f>
        <v>22</v>
      </c>
      <c r="G130" s="159">
        <f t="shared" si="16"/>
        <v>23</v>
      </c>
      <c r="H130" s="160">
        <f t="shared" si="16"/>
        <v>24</v>
      </c>
      <c r="I130" s="159">
        <f t="shared" si="16"/>
        <v>25</v>
      </c>
      <c r="J130" s="159">
        <f t="shared" si="16"/>
        <v>26</v>
      </c>
      <c r="K130" s="159">
        <f t="shared" si="16"/>
        <v>27</v>
      </c>
      <c r="L130" s="159">
        <f t="shared" si="16"/>
        <v>28</v>
      </c>
      <c r="M130" s="159">
        <f t="shared" si="16"/>
        <v>29</v>
      </c>
      <c r="N130" s="162">
        <f t="shared" si="16"/>
        <v>30</v>
      </c>
    </row>
    <row r="131" spans="3:14" outlineLevel="1" x14ac:dyDescent="0.25">
      <c r="C131" s="145" t="str">
        <f t="array" ref="C131:C133">TRANSPOSE($G$21:$I$21)</f>
        <v>Downside</v>
      </c>
      <c r="D131" s="146">
        <f t="dataTable" ref="D131:N133" dt2D="1" dtr="1" r1="E46" r2="E18" ca="1"/>
        <v>0.11720616221427918</v>
      </c>
      <c r="E131" s="147">
        <v>0.11323084235191347</v>
      </c>
      <c r="F131" s="148">
        <v>0.10885340571403504</v>
      </c>
      <c r="G131" s="148">
        <v>0.10501447319984439</v>
      </c>
      <c r="H131" s="156">
        <v>0.10206699967384339</v>
      </c>
      <c r="I131" s="148">
        <v>9.9187475442886364E-2</v>
      </c>
      <c r="J131" s="148">
        <v>9.6355789899826072E-2</v>
      </c>
      <c r="K131" s="148">
        <v>9.3599405884742748E-2</v>
      </c>
      <c r="L131" s="148">
        <v>9.1100886464118971E-2</v>
      </c>
      <c r="M131" s="148">
        <v>8.8734629750251787E-2</v>
      </c>
      <c r="N131" s="148">
        <v>8.6371621489524833E-2</v>
      </c>
    </row>
    <row r="132" spans="3:14" outlineLevel="1" x14ac:dyDescent="0.25">
      <c r="C132" s="150" t="str">
        <v>Base</v>
      </c>
      <c r="D132" s="149">
        <v>0.22834516167640687</v>
      </c>
      <c r="E132" s="147">
        <v>0.22404617667198182</v>
      </c>
      <c r="F132" s="148">
        <v>0.21998607516288757</v>
      </c>
      <c r="G132" s="148">
        <v>0.21572557091712949</v>
      </c>
      <c r="H132" s="156">
        <v>0.21167514920234679</v>
      </c>
      <c r="I132" s="148">
        <v>0.20743513703346256</v>
      </c>
      <c r="J132" s="148">
        <v>0.20313811898231507</v>
      </c>
      <c r="K132" s="148">
        <v>0.19879910349845889</v>
      </c>
      <c r="L132" s="148">
        <v>0.19392312169075013</v>
      </c>
      <c r="M132" s="148">
        <v>0.18918122649192812</v>
      </c>
      <c r="N132" s="148">
        <v>0.18425597548484804</v>
      </c>
    </row>
    <row r="133" spans="3:14" outlineLevel="1" x14ac:dyDescent="0.25">
      <c r="C133" s="151" t="str">
        <v>Upside</v>
      </c>
      <c r="D133" s="149">
        <v>0.42359536290168764</v>
      </c>
      <c r="E133" s="147">
        <v>0.42265450358390821</v>
      </c>
      <c r="F133" s="148">
        <v>0.42029878497123729</v>
      </c>
      <c r="G133" s="148">
        <v>0.41857294440269477</v>
      </c>
      <c r="H133" s="156">
        <v>0.41653661131858832</v>
      </c>
      <c r="I133" s="148">
        <v>0.423635333776474</v>
      </c>
      <c r="J133" s="148">
        <v>0.43284313082695014</v>
      </c>
      <c r="K133" s="148">
        <v>0.44407209753990173</v>
      </c>
      <c r="L133" s="148">
        <v>0.45833055377006537</v>
      </c>
      <c r="M133" s="148">
        <v>0.47555562853813171</v>
      </c>
      <c r="N133" s="148">
        <v>0.49783124327659611</v>
      </c>
    </row>
    <row r="134" spans="3:14" outlineLevel="1" x14ac:dyDescent="0.25"/>
    <row r="135" spans="3:14" outlineLevel="1" x14ac:dyDescent="0.25">
      <c r="C135" s="139" t="s">
        <v>215</v>
      </c>
      <c r="D135" s="140"/>
      <c r="E135" s="140"/>
      <c r="F135" s="140"/>
      <c r="G135" s="140"/>
      <c r="H135" s="140"/>
      <c r="I135" s="140"/>
      <c r="J135" s="140"/>
      <c r="K135" s="140"/>
      <c r="L135" s="140"/>
    </row>
    <row r="136" spans="3:14" outlineLevel="1" x14ac:dyDescent="0.25"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</row>
    <row r="137" spans="3:14" outlineLevel="1" x14ac:dyDescent="0.25">
      <c r="C137" s="141" t="s">
        <v>210</v>
      </c>
      <c r="D137" s="142" t="s">
        <v>214</v>
      </c>
      <c r="E137" s="142"/>
      <c r="F137" s="142"/>
      <c r="G137" s="142"/>
      <c r="H137" s="142"/>
      <c r="I137" s="142"/>
      <c r="J137" s="142"/>
      <c r="K137" s="142"/>
      <c r="L137" s="143"/>
      <c r="M137" s="143"/>
      <c r="N137" s="143"/>
    </row>
    <row r="138" spans="3:14" outlineLevel="1" x14ac:dyDescent="0.25">
      <c r="C138" s="144">
        <f>$E$106</f>
        <v>0.19860388636589055</v>
      </c>
      <c r="D138" s="163">
        <f>+D130</f>
        <v>20</v>
      </c>
      <c r="E138" s="159">
        <f t="shared" ref="E138:N138" si="17">+E130</f>
        <v>21</v>
      </c>
      <c r="F138" s="159">
        <f t="shared" si="17"/>
        <v>22</v>
      </c>
      <c r="G138" s="159">
        <f t="shared" si="17"/>
        <v>23</v>
      </c>
      <c r="H138" s="160">
        <f t="shared" si="17"/>
        <v>24</v>
      </c>
      <c r="I138" s="159">
        <f t="shared" si="17"/>
        <v>25</v>
      </c>
      <c r="J138" s="159">
        <f t="shared" si="17"/>
        <v>26</v>
      </c>
      <c r="K138" s="159">
        <f t="shared" si="17"/>
        <v>27</v>
      </c>
      <c r="L138" s="159">
        <f t="shared" si="17"/>
        <v>28</v>
      </c>
      <c r="M138" s="159">
        <f t="shared" si="17"/>
        <v>29</v>
      </c>
      <c r="N138" s="162">
        <f t="shared" si="17"/>
        <v>30</v>
      </c>
    </row>
    <row r="139" spans="3:14" outlineLevel="1" x14ac:dyDescent="0.25">
      <c r="C139" s="145" t="str">
        <f t="array" ref="C139:C141">TRANSPOSE($G$21:$I$21)</f>
        <v>Downside</v>
      </c>
      <c r="D139" s="146">
        <f t="dataTable" ref="D139:N141" dt2D="1" dtr="1" r1="E46" r2="E18" ca="1"/>
        <v>8.7662371993064897E-2</v>
      </c>
      <c r="E139" s="147">
        <v>8.6125722527503959E-2</v>
      </c>
      <c r="F139" s="148">
        <v>8.7031748890876809E-2</v>
      </c>
      <c r="G139" s="148">
        <v>8.7402692437171928E-2</v>
      </c>
      <c r="H139" s="156">
        <v>8.6295989155769345E-2</v>
      </c>
      <c r="I139" s="148">
        <v>8.5050669312477123E-2</v>
      </c>
      <c r="J139" s="148">
        <v>8.4090670943260185E-2</v>
      </c>
      <c r="K139" s="148">
        <v>8.3828076720237732E-2</v>
      </c>
      <c r="L139" s="148">
        <v>8.2373449206352242E-2</v>
      </c>
      <c r="M139" s="148">
        <v>8.09041053056717E-2</v>
      </c>
      <c r="N139" s="148">
        <v>7.9324778914451624E-2</v>
      </c>
    </row>
    <row r="140" spans="3:14" outlineLevel="1" x14ac:dyDescent="0.25">
      <c r="C140" s="150" t="str">
        <v>Base</v>
      </c>
      <c r="D140" s="149">
        <v>0.22665839791297912</v>
      </c>
      <c r="E140" s="147">
        <v>0.21951118111610415</v>
      </c>
      <c r="F140" s="148">
        <v>0.21260346770286562</v>
      </c>
      <c r="G140" s="148">
        <v>0.20550728440284735</v>
      </c>
      <c r="H140" s="156">
        <v>0.19860388636589055</v>
      </c>
      <c r="I140" s="148">
        <v>0.19151440262794497</v>
      </c>
      <c r="J140" s="148">
        <v>0.18465413451194765</v>
      </c>
      <c r="K140" s="148">
        <v>0.18023063540458678</v>
      </c>
      <c r="L140" s="148">
        <v>0.17534050345420835</v>
      </c>
      <c r="M140" s="148">
        <v>0.17058103680610659</v>
      </c>
      <c r="N140" s="148">
        <v>0.16567128300666811</v>
      </c>
    </row>
    <row r="141" spans="3:14" outlineLevel="1" x14ac:dyDescent="0.25">
      <c r="C141" s="151" t="str">
        <v>Upside</v>
      </c>
      <c r="D141" s="149">
        <v>0.46872755885124207</v>
      </c>
      <c r="E141" s="147">
        <v>0.45785189270973214</v>
      </c>
      <c r="F141" s="148">
        <v>0.44543854594230659</v>
      </c>
      <c r="G141" s="148">
        <v>0.43366842865943911</v>
      </c>
      <c r="H141" s="156">
        <v>0.4215310394763947</v>
      </c>
      <c r="I141" s="148">
        <v>0.40947927832603459</v>
      </c>
      <c r="J141" s="148">
        <v>0.39701378941535959</v>
      </c>
      <c r="K141" s="148">
        <v>0.38461161255836485</v>
      </c>
      <c r="L141" s="148">
        <v>0.37259421944618232</v>
      </c>
      <c r="M141" s="148">
        <v>0.3602057278156281</v>
      </c>
      <c r="N141" s="148">
        <v>0.34809637665748605</v>
      </c>
    </row>
    <row r="142" spans="3:14" outlineLevel="1" x14ac:dyDescent="0.25"/>
    <row r="143" spans="3:14" outlineLevel="1" x14ac:dyDescent="0.25">
      <c r="C143" s="139" t="s">
        <v>216</v>
      </c>
      <c r="D143" s="140"/>
      <c r="E143" s="140"/>
      <c r="F143" s="140"/>
      <c r="G143" s="140"/>
      <c r="H143" s="140"/>
      <c r="I143" s="140"/>
      <c r="J143" s="140"/>
      <c r="K143" s="140"/>
      <c r="L143" s="140"/>
    </row>
    <row r="144" spans="3:14" outlineLevel="1" x14ac:dyDescent="0.25"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</row>
    <row r="145" spans="3:14" outlineLevel="1" x14ac:dyDescent="0.25">
      <c r="C145" s="141" t="s">
        <v>210</v>
      </c>
      <c r="D145" s="142" t="s">
        <v>147</v>
      </c>
      <c r="E145" s="142"/>
      <c r="F145" s="142"/>
      <c r="G145" s="142"/>
      <c r="H145" s="142"/>
      <c r="I145" s="142"/>
      <c r="J145" s="142"/>
      <c r="K145" s="142"/>
      <c r="L145" s="143"/>
      <c r="M145" s="143"/>
      <c r="N145" s="143"/>
    </row>
    <row r="146" spans="3:14" outlineLevel="1" x14ac:dyDescent="0.25">
      <c r="C146" s="144">
        <f>$E$102</f>
        <v>0.21167514920234679</v>
      </c>
      <c r="D146" s="164">
        <v>22000</v>
      </c>
      <c r="E146" s="166">
        <f>+D146+1000</f>
        <v>23000</v>
      </c>
      <c r="F146" s="166">
        <f t="shared" ref="F146:N146" si="18">+E146+1000</f>
        <v>24000</v>
      </c>
      <c r="G146" s="166">
        <f t="shared" si="18"/>
        <v>25000</v>
      </c>
      <c r="H146" s="166">
        <f t="shared" si="18"/>
        <v>26000</v>
      </c>
      <c r="I146" s="166">
        <f t="shared" si="18"/>
        <v>27000</v>
      </c>
      <c r="J146" s="167">
        <f t="shared" si="18"/>
        <v>28000</v>
      </c>
      <c r="K146" s="166">
        <f t="shared" si="18"/>
        <v>29000</v>
      </c>
      <c r="L146" s="166">
        <f t="shared" si="18"/>
        <v>30000</v>
      </c>
      <c r="M146" s="166">
        <f t="shared" si="18"/>
        <v>31000</v>
      </c>
      <c r="N146" s="166">
        <f t="shared" si="18"/>
        <v>32000</v>
      </c>
    </row>
    <row r="147" spans="3:14" outlineLevel="1" x14ac:dyDescent="0.25">
      <c r="C147" s="145" t="str">
        <f t="array" ref="C147:C149">TRANSPOSE($G$21:$I$21)</f>
        <v>Downside</v>
      </c>
      <c r="D147" s="146">
        <f t="dataTable" ref="D147:N149" dt2D="1" dtr="1" r1="E48" r2="E18" ca="1"/>
        <v>2.9802322387695314E-9</v>
      </c>
      <c r="E147" s="147">
        <v>-3.0462788790464403E-2</v>
      </c>
      <c r="F147" s="148">
        <v>2.9802322387695314E-9</v>
      </c>
      <c r="G147" s="148">
        <v>2.9802322387695314E-9</v>
      </c>
      <c r="H147" s="148">
        <v>3.2761338353157046E-2</v>
      </c>
      <c r="I147" s="148">
        <v>6.8121001124382047E-2</v>
      </c>
      <c r="J147" s="156">
        <v>0.10206699967384339</v>
      </c>
      <c r="K147" s="148">
        <v>0.13493761420249942</v>
      </c>
      <c r="L147" s="148">
        <v>0.1680572211742401</v>
      </c>
      <c r="M147" s="148">
        <v>0.20124743580818177</v>
      </c>
      <c r="N147" s="148">
        <v>0.2317615330219269</v>
      </c>
    </row>
    <row r="148" spans="3:14" outlineLevel="1" x14ac:dyDescent="0.25">
      <c r="C148" s="150" t="str">
        <v>Base</v>
      </c>
      <c r="D148" s="149">
        <v>2.9802322387695314E-9</v>
      </c>
      <c r="E148" s="147">
        <v>2.9802322387695314E-9</v>
      </c>
      <c r="F148" s="148">
        <v>-3.8673495501279839E-2</v>
      </c>
      <c r="G148" s="148">
        <v>-7.4505805969238285E-10</v>
      </c>
      <c r="H148" s="148">
        <v>6.8185755610466026E-2</v>
      </c>
      <c r="I148" s="148">
        <v>0.14285070300102237</v>
      </c>
      <c r="J148" s="156">
        <v>0.21167514920234679</v>
      </c>
      <c r="K148" s="148">
        <v>0.2707663714885713</v>
      </c>
      <c r="L148" s="148">
        <v>0.32881787419319153</v>
      </c>
      <c r="M148" s="148">
        <v>0.38643462061882017</v>
      </c>
      <c r="N148" s="148">
        <v>0.43966119885444632</v>
      </c>
    </row>
    <row r="149" spans="3:14" outlineLevel="1" x14ac:dyDescent="0.25">
      <c r="C149" s="151" t="str">
        <v>Upside</v>
      </c>
      <c r="D149" s="149">
        <v>2.9802322387695314E-9</v>
      </c>
      <c r="E149" s="147">
        <v>2.9802322387695314E-9</v>
      </c>
      <c r="F149" s="148">
        <v>2.9802322387695314E-9</v>
      </c>
      <c r="G149" s="148">
        <v>-1.4565530419349673E-2</v>
      </c>
      <c r="H149" s="148">
        <v>0.10373985171318051</v>
      </c>
      <c r="I149" s="148">
        <v>0.26962729096412663</v>
      </c>
      <c r="J149" s="156">
        <v>0.41653661131858832</v>
      </c>
      <c r="K149" s="148">
        <v>0.57947766184806837</v>
      </c>
      <c r="L149" s="148">
        <v>0.74162081480026254</v>
      </c>
      <c r="M149" s="148">
        <v>0.92793284654617314</v>
      </c>
      <c r="N149" s="148">
        <v>1.1555386662483216</v>
      </c>
    </row>
    <row r="150" spans="3:14" outlineLevel="1" x14ac:dyDescent="0.25"/>
    <row r="151" spans="3:14" outlineLevel="1" x14ac:dyDescent="0.25">
      <c r="C151" s="139" t="s">
        <v>217</v>
      </c>
      <c r="D151" s="140"/>
      <c r="E151" s="140"/>
      <c r="F151" s="140"/>
      <c r="G151" s="140"/>
      <c r="H151" s="140"/>
      <c r="I151" s="140"/>
      <c r="J151" s="140"/>
      <c r="K151" s="140"/>
      <c r="L151" s="140"/>
    </row>
    <row r="152" spans="3:14" outlineLevel="1" x14ac:dyDescent="0.25"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</row>
    <row r="153" spans="3:14" outlineLevel="1" x14ac:dyDescent="0.25">
      <c r="C153" s="141" t="s">
        <v>210</v>
      </c>
      <c r="D153" s="142" t="s">
        <v>147</v>
      </c>
      <c r="E153" s="142"/>
      <c r="F153" s="142"/>
      <c r="G153" s="142"/>
      <c r="H153" s="142"/>
      <c r="I153" s="142"/>
      <c r="J153" s="142"/>
      <c r="K153" s="142"/>
      <c r="L153" s="143"/>
      <c r="M153" s="143"/>
      <c r="N153" s="143"/>
    </row>
    <row r="154" spans="3:14" outlineLevel="1" x14ac:dyDescent="0.25">
      <c r="C154" s="144">
        <f>$E$106</f>
        <v>0.19860388636589055</v>
      </c>
      <c r="D154" s="165">
        <f>+D146</f>
        <v>22000</v>
      </c>
      <c r="E154" s="166">
        <f t="shared" ref="E154:N154" si="19">+E146</f>
        <v>23000</v>
      </c>
      <c r="F154" s="166">
        <f t="shared" si="19"/>
        <v>24000</v>
      </c>
      <c r="G154" s="166">
        <f t="shared" si="19"/>
        <v>25000</v>
      </c>
      <c r="H154" s="166">
        <f t="shared" si="19"/>
        <v>26000</v>
      </c>
      <c r="I154" s="166">
        <f t="shared" si="19"/>
        <v>27000</v>
      </c>
      <c r="J154" s="167">
        <f t="shared" si="19"/>
        <v>28000</v>
      </c>
      <c r="K154" s="166">
        <f t="shared" si="19"/>
        <v>29000</v>
      </c>
      <c r="L154" s="166">
        <f t="shared" si="19"/>
        <v>30000</v>
      </c>
      <c r="M154" s="166">
        <f t="shared" si="19"/>
        <v>31000</v>
      </c>
      <c r="N154" s="166">
        <f t="shared" si="19"/>
        <v>32000</v>
      </c>
    </row>
    <row r="155" spans="3:14" outlineLevel="1" x14ac:dyDescent="0.25">
      <c r="C155" s="145" t="str">
        <f t="array" ref="C155:C157">TRANSPOSE($G$21:$I$21)</f>
        <v>Downside</v>
      </c>
      <c r="D155" s="146" t="e">
        <f t="dataTable" ref="D155:N157" dt2D="1" dtr="1" r1="E48" r2="E18" ca="1"/>
        <v>#NUM!</v>
      </c>
      <c r="E155" s="147" t="e">
        <v>#NUM!</v>
      </c>
      <c r="F155" s="148">
        <v>2.9802322387695314E-9</v>
      </c>
      <c r="G155" s="148">
        <v>-1.9748594611883163E-2</v>
      </c>
      <c r="H155" s="148">
        <v>2.8196045756340025E-2</v>
      </c>
      <c r="I155" s="148">
        <v>5.8109590411186227E-2</v>
      </c>
      <c r="J155" s="156">
        <v>8.6295989155769345E-2</v>
      </c>
      <c r="K155" s="148">
        <v>0.11303251385688784</v>
      </c>
      <c r="L155" s="148">
        <v>0.13772761225700378</v>
      </c>
      <c r="M155" s="148">
        <v>0.1614398062229157</v>
      </c>
      <c r="N155" s="148">
        <v>0.19396461844444277</v>
      </c>
    </row>
    <row r="156" spans="3:14" outlineLevel="1" x14ac:dyDescent="0.25">
      <c r="C156" s="150" t="str">
        <v>Base</v>
      </c>
      <c r="D156" s="149" t="e">
        <v>#NUM!</v>
      </c>
      <c r="E156" s="147" t="e">
        <v>#NUM!</v>
      </c>
      <c r="F156" s="148" t="e">
        <v>#NUM!</v>
      </c>
      <c r="G156" s="148">
        <v>-6.7158725857734705E-2</v>
      </c>
      <c r="H156" s="148">
        <v>6.2849155068397555E-2</v>
      </c>
      <c r="I156" s="148">
        <v>0.13114148974418643</v>
      </c>
      <c r="J156" s="156">
        <v>0.19860388636589055</v>
      </c>
      <c r="K156" s="148">
        <v>0.28563080430030829</v>
      </c>
      <c r="L156" s="148">
        <v>0.36518171429634094</v>
      </c>
      <c r="M156" s="148">
        <v>0.43947009444236751</v>
      </c>
      <c r="N156" s="148">
        <v>0.52325006127357476</v>
      </c>
    </row>
    <row r="157" spans="3:14" outlineLevel="1" x14ac:dyDescent="0.25">
      <c r="C157" s="151" t="str">
        <v>Upside</v>
      </c>
      <c r="D157" s="149" t="e">
        <v>#NUM!</v>
      </c>
      <c r="E157" s="147" t="e">
        <v>#NUM!</v>
      </c>
      <c r="F157" s="148" t="e">
        <v>#NUM!</v>
      </c>
      <c r="G157" s="148" t="e">
        <v>#NUM!</v>
      </c>
      <c r="H157" s="148">
        <v>8.4823122620582586E-2</v>
      </c>
      <c r="I157" s="148">
        <v>0.24910939335823057</v>
      </c>
      <c r="J157" s="156">
        <v>0.4215310394763947</v>
      </c>
      <c r="K157" s="148">
        <v>0.58203004002571113</v>
      </c>
      <c r="L157" s="148">
        <v>0.79210151433944698</v>
      </c>
      <c r="M157" s="148">
        <v>1.0210129141807558</v>
      </c>
      <c r="N157" s="148">
        <v>1.2810261368751532</v>
      </c>
    </row>
    <row r="158" spans="3:14" outlineLevel="1" x14ac:dyDescent="0.25"/>
    <row r="159" spans="3:14" outlineLevel="1" x14ac:dyDescent="0.25">
      <c r="C159" s="139" t="s">
        <v>216</v>
      </c>
      <c r="D159" s="140"/>
      <c r="E159" s="140"/>
      <c r="F159" s="140"/>
      <c r="G159" s="140"/>
      <c r="H159" s="140"/>
      <c r="I159" s="140"/>
      <c r="J159" s="140"/>
      <c r="K159" s="140"/>
      <c r="L159" s="140"/>
    </row>
    <row r="160" spans="3:14" outlineLevel="1" x14ac:dyDescent="0.25"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</row>
    <row r="161" spans="3:14" outlineLevel="1" x14ac:dyDescent="0.25">
      <c r="C161" s="141" t="s">
        <v>210</v>
      </c>
      <c r="D161" s="142" t="s">
        <v>179</v>
      </c>
      <c r="E161" s="142"/>
      <c r="F161" s="142"/>
      <c r="G161" s="142"/>
      <c r="H161" s="142"/>
      <c r="I161" s="142"/>
      <c r="J161" s="142"/>
      <c r="K161" s="142"/>
      <c r="L161" s="143"/>
      <c r="M161" s="143"/>
      <c r="N161" s="143"/>
    </row>
    <row r="162" spans="3:14" outlineLevel="1" x14ac:dyDescent="0.25">
      <c r="C162" s="144">
        <f>$E$102</f>
        <v>0.21167514920234679</v>
      </c>
      <c r="D162" s="164">
        <v>10000</v>
      </c>
      <c r="E162" s="166">
        <f>+D162+1000</f>
        <v>11000</v>
      </c>
      <c r="F162" s="166">
        <f t="shared" ref="F162:N162" si="20">+E162+1000</f>
        <v>12000</v>
      </c>
      <c r="G162" s="166">
        <f t="shared" si="20"/>
        <v>13000</v>
      </c>
      <c r="H162" s="166">
        <f t="shared" si="20"/>
        <v>14000</v>
      </c>
      <c r="I162" s="167">
        <f t="shared" si="20"/>
        <v>15000</v>
      </c>
      <c r="J162" s="166">
        <f t="shared" si="20"/>
        <v>16000</v>
      </c>
      <c r="K162" s="166">
        <f t="shared" si="20"/>
        <v>17000</v>
      </c>
      <c r="L162" s="166">
        <f t="shared" si="20"/>
        <v>18000</v>
      </c>
      <c r="M162" s="166">
        <f t="shared" si="20"/>
        <v>19000</v>
      </c>
      <c r="N162" s="166">
        <f t="shared" si="20"/>
        <v>20000</v>
      </c>
    </row>
    <row r="163" spans="3:14" outlineLevel="1" x14ac:dyDescent="0.25">
      <c r="C163" s="145" t="str">
        <f t="array" ref="C163:C165">TRANSPOSE($G$21:$I$21)</f>
        <v>Downside</v>
      </c>
      <c r="D163" s="146">
        <f t="dataTable" ref="D163:N165" dt2D="1" dtr="1" r1="E50" r2="E18" ca="1"/>
        <v>0.37046354413032534</v>
      </c>
      <c r="E163" s="147">
        <v>0.30865738987922675</v>
      </c>
      <c r="F163" s="148">
        <v>0.25356540083885193</v>
      </c>
      <c r="G163" s="148">
        <v>0.20284115672111508</v>
      </c>
      <c r="H163" s="148">
        <v>0.15060340762138372</v>
      </c>
      <c r="I163" s="156">
        <v>0.10206699967384339</v>
      </c>
      <c r="J163" s="148">
        <v>5.4920080304145816E-2</v>
      </c>
      <c r="K163" s="148">
        <v>7.8226357698440545E-3</v>
      </c>
      <c r="L163" s="148">
        <v>2.9802322387695314E-9</v>
      </c>
      <c r="M163" s="148">
        <v>-3.1191296130418777E-2</v>
      </c>
      <c r="N163" s="148">
        <v>2.9802322387695314E-9</v>
      </c>
    </row>
    <row r="164" spans="3:14" outlineLevel="1" x14ac:dyDescent="0.25">
      <c r="C164" s="150" t="str">
        <v>Base</v>
      </c>
      <c r="D164" s="149">
        <v>0.76280413866043095</v>
      </c>
      <c r="E164" s="147">
        <v>0.58782607913017282</v>
      </c>
      <c r="F164" s="148">
        <v>0.47103036046028135</v>
      </c>
      <c r="G164" s="148">
        <v>0.38591601252555852</v>
      </c>
      <c r="H164" s="148">
        <v>0.29705100655555738</v>
      </c>
      <c r="I164" s="156">
        <v>0.21167514920234679</v>
      </c>
      <c r="J164" s="148">
        <v>0.11604941487312317</v>
      </c>
      <c r="K164" s="148">
        <v>1.5567722916603088E-2</v>
      </c>
      <c r="L164" s="148">
        <v>-2.3156693577766421E-2</v>
      </c>
      <c r="M164" s="148">
        <v>2.9802322387695314E-9</v>
      </c>
      <c r="N164" s="148">
        <v>2.9802322387695314E-9</v>
      </c>
    </row>
    <row r="165" spans="3:14" outlineLevel="1" x14ac:dyDescent="0.25">
      <c r="C165" s="151" t="str">
        <v>Upside</v>
      </c>
      <c r="D165" s="149">
        <v>2.9687650918960569</v>
      </c>
      <c r="E165" s="147">
        <v>2.1067932844161992</v>
      </c>
      <c r="F165" s="148">
        <v>1.4087097287178041</v>
      </c>
      <c r="G165" s="148">
        <v>0.94286507368087746</v>
      </c>
      <c r="H165" s="148">
        <v>0.64825121760368376</v>
      </c>
      <c r="I165" s="156">
        <v>0.41653661131858832</v>
      </c>
      <c r="J165" s="148">
        <v>0.21695335507392879</v>
      </c>
      <c r="K165" s="148">
        <v>2.9802322387695314E-9</v>
      </c>
      <c r="L165" s="148">
        <v>2.9802322387695314E-9</v>
      </c>
      <c r="M165" s="148">
        <v>2.9802322387695314E-9</v>
      </c>
      <c r="N165" s="148">
        <v>2.9802322387695314E-9</v>
      </c>
    </row>
    <row r="166" spans="3:14" outlineLevel="1" x14ac:dyDescent="0.25"/>
    <row r="167" spans="3:14" outlineLevel="1" x14ac:dyDescent="0.25">
      <c r="C167" s="139" t="s">
        <v>217</v>
      </c>
      <c r="D167" s="140"/>
      <c r="E167" s="140"/>
      <c r="F167" s="140"/>
      <c r="G167" s="140"/>
      <c r="H167" s="140"/>
      <c r="I167" s="140"/>
      <c r="J167" s="140"/>
      <c r="K167" s="140"/>
      <c r="L167" s="140"/>
    </row>
    <row r="168" spans="3:14" outlineLevel="1" x14ac:dyDescent="0.25"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</row>
    <row r="169" spans="3:14" outlineLevel="1" x14ac:dyDescent="0.25">
      <c r="C169" s="141" t="s">
        <v>210</v>
      </c>
      <c r="D169" s="142" t="s">
        <v>179</v>
      </c>
      <c r="E169" s="142"/>
      <c r="F169" s="142"/>
      <c r="G169" s="142"/>
      <c r="H169" s="142"/>
      <c r="I169" s="142"/>
      <c r="J169" s="142"/>
      <c r="K169" s="142"/>
      <c r="L169" s="143"/>
      <c r="M169" s="143"/>
      <c r="N169" s="143"/>
    </row>
    <row r="170" spans="3:14" outlineLevel="1" x14ac:dyDescent="0.25">
      <c r="C170" s="144">
        <f>$E$106</f>
        <v>0.19860388636589055</v>
      </c>
      <c r="D170" s="165">
        <f>+D162</f>
        <v>10000</v>
      </c>
      <c r="E170" s="166">
        <f t="shared" ref="E170:N170" si="21">+E162</f>
        <v>11000</v>
      </c>
      <c r="F170" s="166">
        <f t="shared" si="21"/>
        <v>12000</v>
      </c>
      <c r="G170" s="166">
        <f t="shared" si="21"/>
        <v>13000</v>
      </c>
      <c r="H170" s="166">
        <f t="shared" si="21"/>
        <v>14000</v>
      </c>
      <c r="I170" s="167">
        <f t="shared" si="21"/>
        <v>15000</v>
      </c>
      <c r="J170" s="166">
        <f t="shared" si="21"/>
        <v>16000</v>
      </c>
      <c r="K170" s="166">
        <f t="shared" si="21"/>
        <v>17000</v>
      </c>
      <c r="L170" s="166">
        <f t="shared" si="21"/>
        <v>18000</v>
      </c>
      <c r="M170" s="166">
        <f t="shared" si="21"/>
        <v>19000</v>
      </c>
      <c r="N170" s="166">
        <f t="shared" si="21"/>
        <v>20000</v>
      </c>
    </row>
    <row r="171" spans="3:14" outlineLevel="1" x14ac:dyDescent="0.25">
      <c r="C171" s="145" t="str">
        <f t="array" ref="C171:C173">TRANSPOSE($G$21:$I$21)</f>
        <v>Downside</v>
      </c>
      <c r="D171" s="146">
        <f t="dataTable" ref="D171:N173" dt2D="1" dtr="1" r1="E50" r2="E18" ca="1"/>
        <v>0.33954650759696969</v>
      </c>
      <c r="E171" s="147">
        <v>0.27969974875450132</v>
      </c>
      <c r="F171" s="148">
        <v>0.2208781063556671</v>
      </c>
      <c r="G171" s="148">
        <v>0.16324976086616522</v>
      </c>
      <c r="H171" s="148">
        <v>0.12500615715980531</v>
      </c>
      <c r="I171" s="156">
        <v>8.6295989155769345E-2</v>
      </c>
      <c r="J171" s="148">
        <v>4.6771553158760068E-2</v>
      </c>
      <c r="K171" s="148">
        <v>6.7054837942123417E-3</v>
      </c>
      <c r="L171" s="148">
        <v>2.9802322387695314E-9</v>
      </c>
      <c r="M171" s="148" t="e">
        <v>#NUM!</v>
      </c>
      <c r="N171" s="148" t="e">
        <v>#NUM!</v>
      </c>
    </row>
    <row r="172" spans="3:14" outlineLevel="1" x14ac:dyDescent="0.25">
      <c r="C172" s="150" t="str">
        <v>Base</v>
      </c>
      <c r="D172" s="149">
        <v>0.86189879179000872</v>
      </c>
      <c r="E172" s="147">
        <v>0.72859147787094147</v>
      </c>
      <c r="F172" s="148">
        <v>0.58816766142845167</v>
      </c>
      <c r="G172" s="148">
        <v>0.44361403584480275</v>
      </c>
      <c r="H172" s="148">
        <v>0.32406584620475776</v>
      </c>
      <c r="I172" s="156">
        <v>0.19860388636589055</v>
      </c>
      <c r="J172" s="148">
        <v>0.10617459416389469</v>
      </c>
      <c r="K172" s="148">
        <v>1.4236554503440857E-2</v>
      </c>
      <c r="L172" s="148" t="e">
        <v>#NUM!</v>
      </c>
      <c r="M172" s="148" t="e">
        <v>#NUM!</v>
      </c>
      <c r="N172" s="148" t="e">
        <v>#NUM!</v>
      </c>
    </row>
    <row r="173" spans="3:14" outlineLevel="1" x14ac:dyDescent="0.25">
      <c r="C173" s="151" t="str">
        <v>Upside</v>
      </c>
      <c r="D173" s="149">
        <v>3.1900679826736442</v>
      </c>
      <c r="E173" s="147">
        <v>1.5907629847526554</v>
      </c>
      <c r="F173" s="148">
        <v>1.1470182538032534</v>
      </c>
      <c r="G173" s="148">
        <v>0.90811365842819214</v>
      </c>
      <c r="H173" s="148">
        <v>0.65923228859901417</v>
      </c>
      <c r="I173" s="156">
        <v>0.4215310394763947</v>
      </c>
      <c r="J173" s="148">
        <v>0.17844156622886662</v>
      </c>
      <c r="K173" s="148">
        <v>-0.12618562793359159</v>
      </c>
      <c r="L173" s="148" t="e">
        <v>#NUM!</v>
      </c>
      <c r="M173" s="148" t="e">
        <v>#NUM!</v>
      </c>
      <c r="N173" s="148" t="e">
        <v>#NUM!</v>
      </c>
    </row>
  </sheetData>
  <dataValidations count="2">
    <dataValidation type="decimal" allowBlank="1" showInputMessage="1" showErrorMessage="1" sqref="M38:M39 M48:M49 M43:M44">
      <formula1>0</formula1>
      <formula2>1</formula2>
    </dataValidation>
    <dataValidation type="list" allowBlank="1" showInputMessage="1" showErrorMessage="1" sqref="E18">
      <formula1>$G$21:$I$21</formula1>
    </dataValidation>
  </dataValidations>
  <pageMargins left="0.7" right="0.7" top="0.75" bottom="0.75" header="0.3" footer="0.3"/>
  <pageSetup scale="36" orientation="portrait" r:id="rId1"/>
  <rowBreaks count="2" manualBreakCount="2">
    <brk id="61" max="14" man="1"/>
    <brk id="108" max="14" man="1"/>
  </rowBreaks>
  <ignoredErrors>
    <ignoredError sqref="L7:L8 L11:L16 E31 M38:M39 L31 E23:E26 M43:M49 E57:E60 F57:G60 L57:L58 L60 M57:N60 F69:L105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CK216"/>
  <sheetViews>
    <sheetView showGridLines="0" zoomScaleNormal="100" zoomScaleSheetLayoutView="55" workbookViewId="0">
      <selection activeCell="B2" sqref="B2"/>
    </sheetView>
  </sheetViews>
  <sheetFormatPr defaultRowHeight="15.75" outlineLevelRow="1" x14ac:dyDescent="0.25"/>
  <cols>
    <col min="1" max="2" width="2.7109375" style="2" customWidth="1"/>
    <col min="3" max="3" width="43.5703125" style="2" bestFit="1" customWidth="1"/>
    <col min="4" max="89" width="15.7109375" style="2" customWidth="1"/>
    <col min="90" max="90" width="2.7109375" style="2" customWidth="1"/>
    <col min="91" max="16384" width="9.140625" style="2"/>
  </cols>
  <sheetData>
    <row r="2" spans="2:32" ht="18.75" x14ac:dyDescent="0.3">
      <c r="B2" s="1" t="str">
        <f>Property_Name&amp;" - Construction Timeline and Monthly Cash Flows ("&amp;Scenario&amp;" Case)"</f>
        <v>Heritage Cyrela - Construction Timeline and Monthly Cash Flows (Base Case)</v>
      </c>
    </row>
    <row r="3" spans="2:32" x14ac:dyDescent="0.25">
      <c r="B3" s="3" t="str">
        <f>Assumptions!$B$3</f>
        <v>(R$ BRL in R$ as Stated, Unless Otherwise Noted)</v>
      </c>
    </row>
    <row r="5" spans="2:32" x14ac:dyDescent="0.25">
      <c r="B5" s="4" t="s">
        <v>46</v>
      </c>
      <c r="C5" s="4"/>
      <c r="D5" s="5" t="str">
        <f>+Assumptions!$D$5</f>
        <v>Units:</v>
      </c>
      <c r="E5" s="4"/>
      <c r="F5" s="4"/>
      <c r="G5" s="4"/>
      <c r="H5" s="4"/>
      <c r="I5" s="4"/>
      <c r="J5" s="5"/>
      <c r="K5" s="5" t="str">
        <f>+Assumptions!$D$5</f>
        <v>Units:</v>
      </c>
      <c r="L5" s="4"/>
      <c r="M5" s="82"/>
      <c r="X5" s="171"/>
      <c r="Y5" s="172"/>
      <c r="Z5" s="172"/>
      <c r="AA5" s="172"/>
      <c r="AB5" s="173"/>
      <c r="AC5" s="171"/>
      <c r="AD5" s="172"/>
      <c r="AE5" s="172"/>
      <c r="AF5" s="172"/>
    </row>
    <row r="6" spans="2:32" outlineLevel="1" x14ac:dyDescent="0.25">
      <c r="X6" s="174"/>
      <c r="Y6" s="174"/>
      <c r="Z6" s="174"/>
      <c r="AA6" s="174"/>
      <c r="AB6" s="174"/>
      <c r="AC6" s="174"/>
      <c r="AD6" s="174"/>
      <c r="AE6" s="174"/>
      <c r="AF6" s="174"/>
    </row>
    <row r="7" spans="2:32" outlineLevel="1" x14ac:dyDescent="0.25">
      <c r="C7" s="83" t="s">
        <v>38</v>
      </c>
      <c r="D7" s="84"/>
      <c r="E7" s="85"/>
      <c r="F7" s="63"/>
      <c r="G7" s="63"/>
      <c r="H7" s="63"/>
      <c r="I7" s="63"/>
      <c r="J7" s="63"/>
      <c r="K7" s="86"/>
      <c r="L7" s="63"/>
      <c r="W7" s="174"/>
      <c r="X7" s="174"/>
      <c r="Y7" s="174"/>
      <c r="Z7" s="174"/>
      <c r="AA7" s="174"/>
      <c r="AB7" s="174"/>
      <c r="AC7" s="174"/>
      <c r="AD7" s="174"/>
      <c r="AE7" s="174"/>
      <c r="AF7" s="174"/>
    </row>
    <row r="8" spans="2:32" outlineLevel="1" x14ac:dyDescent="0.25">
      <c r="C8" s="45" t="s">
        <v>74</v>
      </c>
      <c r="D8" s="22" t="s">
        <v>123</v>
      </c>
      <c r="E8" s="60">
        <f>+Ph3_Constr_End-Ph1_Constr_Start+1</f>
        <v>38</v>
      </c>
      <c r="H8" s="87" t="s">
        <v>39</v>
      </c>
      <c r="K8" s="6" t="s">
        <v>3</v>
      </c>
      <c r="L8" s="88">
        <v>1</v>
      </c>
      <c r="W8" s="174"/>
      <c r="X8" s="174"/>
      <c r="Y8" s="174"/>
      <c r="Z8" s="174"/>
      <c r="AA8" s="174"/>
      <c r="AB8" s="174"/>
      <c r="AC8" s="174"/>
      <c r="AD8" s="174"/>
      <c r="AE8" s="174"/>
      <c r="AF8" s="174"/>
    </row>
    <row r="9" spans="2:32" outlineLevel="1" x14ac:dyDescent="0.25">
      <c r="C9" s="45" t="s">
        <v>144</v>
      </c>
      <c r="D9" s="22" t="s">
        <v>80</v>
      </c>
      <c r="E9" s="60">
        <f>MAX($F$39:$CK$39)</f>
        <v>84</v>
      </c>
      <c r="H9" s="87" t="s">
        <v>40</v>
      </c>
      <c r="K9" s="6" t="s">
        <v>3</v>
      </c>
      <c r="L9" s="9">
        <v>2</v>
      </c>
      <c r="W9" s="174"/>
      <c r="X9" s="174"/>
      <c r="Y9" s="174"/>
      <c r="Z9" s="174"/>
      <c r="AA9" s="174"/>
      <c r="AB9" s="174"/>
      <c r="AC9" s="174"/>
      <c r="AD9" s="174"/>
      <c r="AE9" s="174"/>
      <c r="AF9" s="174"/>
    </row>
    <row r="10" spans="2:32" outlineLevel="1" x14ac:dyDescent="0.25">
      <c r="C10" s="45" t="s">
        <v>136</v>
      </c>
      <c r="D10" s="22" t="s">
        <v>135</v>
      </c>
      <c r="E10" s="89">
        <v>6</v>
      </c>
      <c r="H10" s="87" t="s">
        <v>41</v>
      </c>
      <c r="K10" s="6" t="s">
        <v>3</v>
      </c>
      <c r="L10" s="9">
        <v>3</v>
      </c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</row>
    <row r="11" spans="2:32" outlineLevel="1" x14ac:dyDescent="0.25">
      <c r="C11" s="45" t="s">
        <v>137</v>
      </c>
      <c r="D11" s="22" t="s">
        <v>135</v>
      </c>
      <c r="E11" s="90">
        <f>+Post_Constr_Phase_End/Months</f>
        <v>3.9166666666666665</v>
      </c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</row>
    <row r="12" spans="2:32" outlineLevel="1" x14ac:dyDescent="0.25">
      <c r="H12" s="123" t="s">
        <v>173</v>
      </c>
      <c r="K12" s="22" t="s">
        <v>123</v>
      </c>
      <c r="L12" s="9">
        <v>6</v>
      </c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</row>
    <row r="13" spans="2:32" outlineLevel="1" x14ac:dyDescent="0.25">
      <c r="H13" s="123" t="s">
        <v>174</v>
      </c>
      <c r="K13" s="22" t="s">
        <v>80</v>
      </c>
      <c r="L13" s="60">
        <f>+Ph3_Constr_End+L12</f>
        <v>47</v>
      </c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</row>
    <row r="14" spans="2:32" outlineLevel="1" x14ac:dyDescent="0.25"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</row>
    <row r="15" spans="2:32" outlineLevel="1" x14ac:dyDescent="0.25">
      <c r="C15" s="34" t="s">
        <v>36</v>
      </c>
      <c r="D15" s="34"/>
      <c r="E15" s="42" t="s">
        <v>48</v>
      </c>
      <c r="F15" s="28" t="s">
        <v>37</v>
      </c>
      <c r="G15" s="28"/>
      <c r="H15" s="28"/>
      <c r="I15" s="28"/>
      <c r="J15" s="28"/>
      <c r="K15" s="28"/>
      <c r="L15" s="28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</row>
    <row r="16" spans="2:32" outlineLevel="1" x14ac:dyDescent="0.25">
      <c r="C16" s="45" t="s">
        <v>62</v>
      </c>
      <c r="D16" s="22" t="s">
        <v>80</v>
      </c>
      <c r="F16" s="88">
        <v>1</v>
      </c>
      <c r="H16" s="2" t="s">
        <v>27</v>
      </c>
      <c r="K16" s="13" t="s">
        <v>29</v>
      </c>
      <c r="L16" s="9">
        <v>10</v>
      </c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</row>
    <row r="17" spans="3:32" outlineLevel="1" x14ac:dyDescent="0.25">
      <c r="C17" s="45" t="s">
        <v>59</v>
      </c>
      <c r="D17" s="22" t="s">
        <v>123</v>
      </c>
      <c r="E17" s="91">
        <f>COUNTIF($F$54:$CK$54,"&lt;="&amp;Pct_Units_Sold_Before_Constr)</f>
        <v>3</v>
      </c>
      <c r="H17" s="2" t="s">
        <v>28</v>
      </c>
      <c r="K17" s="13" t="s">
        <v>20</v>
      </c>
      <c r="L17" s="92">
        <v>565</v>
      </c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</row>
    <row r="18" spans="3:32" outlineLevel="1" x14ac:dyDescent="0.25">
      <c r="C18" s="45" t="s">
        <v>60</v>
      </c>
      <c r="D18" s="22" t="s">
        <v>80</v>
      </c>
      <c r="F18" s="60">
        <f>+Ph1_Start_Month+Ph1_Pre_Constr_Months</f>
        <v>4</v>
      </c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</row>
    <row r="19" spans="3:32" outlineLevel="1" x14ac:dyDescent="0.25">
      <c r="C19" s="45" t="s">
        <v>49</v>
      </c>
      <c r="D19" s="22" t="s">
        <v>123</v>
      </c>
      <c r="E19" s="121">
        <f>Constr_Months</f>
        <v>24</v>
      </c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</row>
    <row r="20" spans="3:32" outlineLevel="1" x14ac:dyDescent="0.25">
      <c r="C20" s="45" t="s">
        <v>61</v>
      </c>
      <c r="D20" s="22" t="s">
        <v>80</v>
      </c>
      <c r="F20" s="60">
        <f>+Ph1_Constr_Start+Final_Constr_Month-1</f>
        <v>27</v>
      </c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</row>
    <row r="21" spans="3:32" outlineLevel="1" x14ac:dyDescent="0.25"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</row>
    <row r="22" spans="3:32" outlineLevel="1" x14ac:dyDescent="0.25">
      <c r="C22" s="34" t="s">
        <v>51</v>
      </c>
      <c r="D22" s="34"/>
      <c r="E22" s="42" t="s">
        <v>48</v>
      </c>
      <c r="F22" s="28" t="s">
        <v>37</v>
      </c>
      <c r="G22" s="28"/>
      <c r="H22" s="28"/>
      <c r="I22" s="28"/>
      <c r="J22" s="28"/>
      <c r="K22" s="28"/>
      <c r="L22" s="28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</row>
    <row r="23" spans="3:32" outlineLevel="1" x14ac:dyDescent="0.25">
      <c r="C23" s="45" t="s">
        <v>63</v>
      </c>
      <c r="D23" s="22" t="s">
        <v>80</v>
      </c>
      <c r="F23" s="91">
        <f>INDEX($F$39:$CK$54,1,MATCH(TRUE,INDEX(VALUE($F54:$CK54)&gt;Pct_Units_Sold_for_Next_Phase,0),))</f>
        <v>8</v>
      </c>
      <c r="H23" s="2" t="s">
        <v>30</v>
      </c>
      <c r="K23" s="13" t="s">
        <v>29</v>
      </c>
      <c r="L23" s="9">
        <v>11</v>
      </c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</row>
    <row r="24" spans="3:32" outlineLevel="1" x14ac:dyDescent="0.25">
      <c r="C24" s="45" t="s">
        <v>64</v>
      </c>
      <c r="D24" s="22" t="s">
        <v>123</v>
      </c>
      <c r="E24" s="91">
        <f>COUNTIF($F$62:$CK$62,"&lt;="&amp;Pct_Units_Sold_Before_Constr)</f>
        <v>3</v>
      </c>
      <c r="H24" s="2" t="s">
        <v>31</v>
      </c>
      <c r="K24" s="13" t="s">
        <v>20</v>
      </c>
      <c r="L24" s="92">
        <v>577</v>
      </c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</row>
    <row r="25" spans="3:32" outlineLevel="1" x14ac:dyDescent="0.25">
      <c r="C25" s="45" t="s">
        <v>65</v>
      </c>
      <c r="D25" s="22" t="s">
        <v>80</v>
      </c>
      <c r="F25" s="60">
        <f>+Ph2_Start_Month+Ph2_Pre_Constr_Months</f>
        <v>11</v>
      </c>
      <c r="I25" s="93"/>
      <c r="K25" s="6"/>
      <c r="L25" s="6"/>
      <c r="W25" s="174"/>
    </row>
    <row r="26" spans="3:32" outlineLevel="1" x14ac:dyDescent="0.25">
      <c r="C26" s="45" t="s">
        <v>49</v>
      </c>
      <c r="D26" s="22" t="s">
        <v>123</v>
      </c>
      <c r="E26" s="121">
        <f>Constr_Months</f>
        <v>24</v>
      </c>
      <c r="W26" s="174"/>
    </row>
    <row r="27" spans="3:32" outlineLevel="1" x14ac:dyDescent="0.25">
      <c r="C27" s="45" t="s">
        <v>66</v>
      </c>
      <c r="D27" s="22" t="s">
        <v>80</v>
      </c>
      <c r="F27" s="60">
        <f>+Ph2_Constr_Start+E26-1</f>
        <v>34</v>
      </c>
      <c r="W27" s="174"/>
    </row>
    <row r="28" spans="3:32" outlineLevel="1" x14ac:dyDescent="0.25">
      <c r="K28" s="58"/>
      <c r="N28" s="174"/>
      <c r="O28" s="174"/>
      <c r="P28" s="174"/>
      <c r="Q28" s="174"/>
      <c r="R28" s="174"/>
      <c r="S28" s="174"/>
      <c r="T28" s="174"/>
      <c r="U28" s="174"/>
      <c r="V28" s="174"/>
      <c r="W28" s="174"/>
    </row>
    <row r="29" spans="3:32" outlineLevel="1" x14ac:dyDescent="0.25">
      <c r="C29" s="34" t="s">
        <v>58</v>
      </c>
      <c r="D29" s="34"/>
      <c r="E29" s="42" t="s">
        <v>48</v>
      </c>
      <c r="F29" s="28" t="s">
        <v>37</v>
      </c>
      <c r="G29" s="28"/>
      <c r="H29" s="28"/>
      <c r="I29" s="28"/>
      <c r="J29" s="28"/>
      <c r="K29" s="28"/>
      <c r="L29" s="28"/>
      <c r="N29" s="174"/>
      <c r="O29" s="174"/>
      <c r="P29" s="174"/>
      <c r="Q29" s="174"/>
      <c r="R29" s="174"/>
      <c r="S29" s="174"/>
      <c r="T29" s="174"/>
      <c r="U29" s="174"/>
      <c r="V29" s="174"/>
      <c r="W29" s="174"/>
    </row>
    <row r="30" spans="3:32" outlineLevel="1" x14ac:dyDescent="0.25">
      <c r="C30" s="45" t="s">
        <v>67</v>
      </c>
      <c r="D30" s="22" t="s">
        <v>80</v>
      </c>
      <c r="F30" s="91">
        <f>INDEX($F$39:$CK$62,1,MATCH(TRUE,INDEX(VALUE($F62:$CK62)&gt;Pct_Units_Sold_for_Next_Phase,0),))</f>
        <v>15</v>
      </c>
      <c r="H30" s="2" t="s">
        <v>32</v>
      </c>
      <c r="K30" s="13" t="s">
        <v>29</v>
      </c>
      <c r="L30" s="9">
        <v>12</v>
      </c>
      <c r="N30" s="175"/>
      <c r="O30" s="174"/>
      <c r="P30" s="174"/>
      <c r="Q30" s="174"/>
      <c r="R30" s="174"/>
      <c r="S30" s="174"/>
      <c r="T30" s="174"/>
      <c r="U30" s="174"/>
      <c r="V30" s="174"/>
      <c r="W30" s="174"/>
    </row>
    <row r="31" spans="3:32" outlineLevel="1" x14ac:dyDescent="0.25">
      <c r="C31" s="45" t="s">
        <v>68</v>
      </c>
      <c r="D31" s="22" t="s">
        <v>123</v>
      </c>
      <c r="E31" s="91">
        <f>COUNTIF($F$70:$CK$70,"&lt;="&amp;Pct_Units_Sold_Before_Constr)</f>
        <v>3</v>
      </c>
      <c r="H31" s="2" t="s">
        <v>33</v>
      </c>
      <c r="K31" s="13" t="s">
        <v>20</v>
      </c>
      <c r="L31" s="92">
        <v>601</v>
      </c>
      <c r="N31" s="174"/>
      <c r="O31" s="174"/>
      <c r="P31" s="174"/>
      <c r="Q31" s="174"/>
      <c r="R31" s="174"/>
      <c r="S31" s="174"/>
      <c r="T31" s="174"/>
      <c r="U31" s="174"/>
      <c r="V31" s="174"/>
      <c r="W31" s="174"/>
    </row>
    <row r="32" spans="3:32" outlineLevel="1" x14ac:dyDescent="0.25">
      <c r="C32" s="45" t="s">
        <v>69</v>
      </c>
      <c r="D32" s="22" t="s">
        <v>80</v>
      </c>
      <c r="F32" s="60">
        <f>+Ph3_Start_Month+Ph3_Pre_Constr_Months</f>
        <v>18</v>
      </c>
      <c r="K32" s="58"/>
      <c r="N32" s="175"/>
      <c r="O32" s="174"/>
      <c r="P32" s="174"/>
      <c r="Q32" s="174"/>
      <c r="R32" s="174"/>
      <c r="S32" s="174"/>
      <c r="T32" s="174"/>
      <c r="U32" s="174"/>
      <c r="V32" s="174"/>
      <c r="W32" s="174"/>
    </row>
    <row r="33" spans="2:89" outlineLevel="1" x14ac:dyDescent="0.25">
      <c r="C33" s="45" t="s">
        <v>49</v>
      </c>
      <c r="D33" s="22" t="s">
        <v>123</v>
      </c>
      <c r="E33" s="121">
        <f>Constr_Months</f>
        <v>24</v>
      </c>
      <c r="K33" s="58"/>
      <c r="N33" s="174"/>
      <c r="O33" s="174"/>
      <c r="P33" s="174"/>
      <c r="Q33" s="174"/>
      <c r="R33" s="174"/>
      <c r="S33" s="174"/>
      <c r="T33" s="174"/>
      <c r="U33" s="174"/>
      <c r="V33" s="174"/>
      <c r="W33" s="174"/>
    </row>
    <row r="34" spans="2:89" outlineLevel="1" x14ac:dyDescent="0.25">
      <c r="C34" s="45" t="s">
        <v>70</v>
      </c>
      <c r="D34" s="22" t="s">
        <v>80</v>
      </c>
      <c r="F34" s="60">
        <f>+Ph3_Constr_Start+E33-1</f>
        <v>41</v>
      </c>
      <c r="K34" s="58"/>
      <c r="N34" s="175"/>
      <c r="O34" s="174"/>
      <c r="P34" s="174"/>
      <c r="Q34" s="174"/>
      <c r="R34" s="174"/>
      <c r="S34" s="174"/>
      <c r="T34" s="174"/>
      <c r="U34" s="174"/>
      <c r="V34" s="174"/>
      <c r="W34" s="174"/>
    </row>
    <row r="35" spans="2:89" x14ac:dyDescent="0.25">
      <c r="K35" s="58"/>
    </row>
    <row r="36" spans="2:89" x14ac:dyDescent="0.25">
      <c r="B36" s="4" t="s">
        <v>34</v>
      </c>
      <c r="C36" s="4"/>
      <c r="D36" s="5" t="str">
        <f>+Assumptions!$D$5</f>
        <v>Units:</v>
      </c>
      <c r="E36" s="4"/>
      <c r="F36" s="108">
        <f>Start_Date</f>
        <v>43131</v>
      </c>
      <c r="G36" s="108">
        <f t="shared" ref="G36:AL36" si="0">EOMONTH(F36,1)</f>
        <v>43159</v>
      </c>
      <c r="H36" s="108">
        <f t="shared" si="0"/>
        <v>43190</v>
      </c>
      <c r="I36" s="108">
        <f t="shared" si="0"/>
        <v>43220</v>
      </c>
      <c r="J36" s="108">
        <f t="shared" si="0"/>
        <v>43251</v>
      </c>
      <c r="K36" s="108">
        <f t="shared" si="0"/>
        <v>43281</v>
      </c>
      <c r="L36" s="108">
        <f t="shared" si="0"/>
        <v>43312</v>
      </c>
      <c r="M36" s="108">
        <f t="shared" si="0"/>
        <v>43343</v>
      </c>
      <c r="N36" s="108">
        <f t="shared" si="0"/>
        <v>43373</v>
      </c>
      <c r="O36" s="108">
        <f t="shared" si="0"/>
        <v>43404</v>
      </c>
      <c r="P36" s="108">
        <f t="shared" si="0"/>
        <v>43434</v>
      </c>
      <c r="Q36" s="108">
        <f t="shared" si="0"/>
        <v>43465</v>
      </c>
      <c r="R36" s="108">
        <f t="shared" si="0"/>
        <v>43496</v>
      </c>
      <c r="S36" s="108">
        <f t="shared" si="0"/>
        <v>43524</v>
      </c>
      <c r="T36" s="108">
        <f t="shared" si="0"/>
        <v>43555</v>
      </c>
      <c r="U36" s="108">
        <f t="shared" si="0"/>
        <v>43585</v>
      </c>
      <c r="V36" s="108">
        <f t="shared" si="0"/>
        <v>43616</v>
      </c>
      <c r="W36" s="108">
        <f t="shared" si="0"/>
        <v>43646</v>
      </c>
      <c r="X36" s="108">
        <f t="shared" si="0"/>
        <v>43677</v>
      </c>
      <c r="Y36" s="108">
        <f t="shared" si="0"/>
        <v>43708</v>
      </c>
      <c r="Z36" s="108">
        <f t="shared" si="0"/>
        <v>43738</v>
      </c>
      <c r="AA36" s="108">
        <f t="shared" si="0"/>
        <v>43769</v>
      </c>
      <c r="AB36" s="108">
        <f t="shared" si="0"/>
        <v>43799</v>
      </c>
      <c r="AC36" s="108">
        <f t="shared" si="0"/>
        <v>43830</v>
      </c>
      <c r="AD36" s="108">
        <f t="shared" si="0"/>
        <v>43861</v>
      </c>
      <c r="AE36" s="108">
        <f t="shared" si="0"/>
        <v>43890</v>
      </c>
      <c r="AF36" s="108">
        <f t="shared" si="0"/>
        <v>43921</v>
      </c>
      <c r="AG36" s="108">
        <f t="shared" si="0"/>
        <v>43951</v>
      </c>
      <c r="AH36" s="108">
        <f t="shared" si="0"/>
        <v>43982</v>
      </c>
      <c r="AI36" s="108">
        <f t="shared" si="0"/>
        <v>44012</v>
      </c>
      <c r="AJ36" s="108">
        <f t="shared" si="0"/>
        <v>44043</v>
      </c>
      <c r="AK36" s="108">
        <f t="shared" si="0"/>
        <v>44074</v>
      </c>
      <c r="AL36" s="108">
        <f t="shared" si="0"/>
        <v>44104</v>
      </c>
      <c r="AM36" s="108">
        <f t="shared" ref="AM36:BA36" si="1">EOMONTH(AL36,1)</f>
        <v>44135</v>
      </c>
      <c r="AN36" s="108">
        <f t="shared" si="1"/>
        <v>44165</v>
      </c>
      <c r="AO36" s="108">
        <f t="shared" si="1"/>
        <v>44196</v>
      </c>
      <c r="AP36" s="108">
        <f t="shared" si="1"/>
        <v>44227</v>
      </c>
      <c r="AQ36" s="108">
        <f t="shared" si="1"/>
        <v>44255</v>
      </c>
      <c r="AR36" s="108">
        <f t="shared" si="1"/>
        <v>44286</v>
      </c>
      <c r="AS36" s="108">
        <f t="shared" si="1"/>
        <v>44316</v>
      </c>
      <c r="AT36" s="108">
        <f t="shared" si="1"/>
        <v>44347</v>
      </c>
      <c r="AU36" s="108">
        <f t="shared" si="1"/>
        <v>44377</v>
      </c>
      <c r="AV36" s="108">
        <f t="shared" si="1"/>
        <v>44408</v>
      </c>
      <c r="AW36" s="108">
        <f t="shared" si="1"/>
        <v>44439</v>
      </c>
      <c r="AX36" s="108">
        <f t="shared" si="1"/>
        <v>44469</v>
      </c>
      <c r="AY36" s="108">
        <f t="shared" si="1"/>
        <v>44500</v>
      </c>
      <c r="AZ36" s="108">
        <f t="shared" si="1"/>
        <v>44530</v>
      </c>
      <c r="BA36" s="108">
        <f t="shared" si="1"/>
        <v>44561</v>
      </c>
      <c r="BB36" s="108">
        <f t="shared" ref="BB36" si="2">EOMONTH(BA36,1)</f>
        <v>44592</v>
      </c>
      <c r="BC36" s="108">
        <f t="shared" ref="BC36" si="3">EOMONTH(BB36,1)</f>
        <v>44620</v>
      </c>
      <c r="BD36" s="108">
        <f t="shared" ref="BD36" si="4">EOMONTH(BC36,1)</f>
        <v>44651</v>
      </c>
      <c r="BE36" s="108">
        <f t="shared" ref="BE36" si="5">EOMONTH(BD36,1)</f>
        <v>44681</v>
      </c>
      <c r="BF36" s="108">
        <f t="shared" ref="BF36" si="6">EOMONTH(BE36,1)</f>
        <v>44712</v>
      </c>
      <c r="BG36" s="108">
        <f t="shared" ref="BG36" si="7">EOMONTH(BF36,1)</f>
        <v>44742</v>
      </c>
      <c r="BH36" s="108">
        <f t="shared" ref="BH36" si="8">EOMONTH(BG36,1)</f>
        <v>44773</v>
      </c>
      <c r="BI36" s="108">
        <f t="shared" ref="BI36" si="9">EOMONTH(BH36,1)</f>
        <v>44804</v>
      </c>
      <c r="BJ36" s="108">
        <f t="shared" ref="BJ36" si="10">EOMONTH(BI36,1)</f>
        <v>44834</v>
      </c>
      <c r="BK36" s="108">
        <f t="shared" ref="BK36" si="11">EOMONTH(BJ36,1)</f>
        <v>44865</v>
      </c>
      <c r="BL36" s="108">
        <f t="shared" ref="BL36" si="12">EOMONTH(BK36,1)</f>
        <v>44895</v>
      </c>
      <c r="BM36" s="108">
        <f t="shared" ref="BM36" si="13">EOMONTH(BL36,1)</f>
        <v>44926</v>
      </c>
      <c r="BN36" s="108">
        <f t="shared" ref="BN36" si="14">EOMONTH(BM36,1)</f>
        <v>44957</v>
      </c>
      <c r="BO36" s="108">
        <f t="shared" ref="BO36" si="15">EOMONTH(BN36,1)</f>
        <v>44985</v>
      </c>
      <c r="BP36" s="108">
        <f t="shared" ref="BP36" si="16">EOMONTH(BO36,1)</f>
        <v>45016</v>
      </c>
      <c r="BQ36" s="108">
        <f t="shared" ref="BQ36" si="17">EOMONTH(BP36,1)</f>
        <v>45046</v>
      </c>
      <c r="BR36" s="108">
        <f t="shared" ref="BR36" si="18">EOMONTH(BQ36,1)</f>
        <v>45077</v>
      </c>
      <c r="BS36" s="108">
        <f t="shared" ref="BS36" si="19">EOMONTH(BR36,1)</f>
        <v>45107</v>
      </c>
      <c r="BT36" s="108">
        <f t="shared" ref="BT36" si="20">EOMONTH(BS36,1)</f>
        <v>45138</v>
      </c>
      <c r="BU36" s="108">
        <f t="shared" ref="BU36" si="21">EOMONTH(BT36,1)</f>
        <v>45169</v>
      </c>
      <c r="BV36" s="108">
        <f t="shared" ref="BV36" si="22">EOMONTH(BU36,1)</f>
        <v>45199</v>
      </c>
      <c r="BW36" s="108">
        <f t="shared" ref="BW36" si="23">EOMONTH(BV36,1)</f>
        <v>45230</v>
      </c>
      <c r="BX36" s="108">
        <f t="shared" ref="BX36" si="24">EOMONTH(BW36,1)</f>
        <v>45260</v>
      </c>
      <c r="BY36" s="108">
        <f t="shared" ref="BY36" si="25">EOMONTH(BX36,1)</f>
        <v>45291</v>
      </c>
      <c r="BZ36" s="108">
        <f t="shared" ref="BZ36" si="26">EOMONTH(BY36,1)</f>
        <v>45322</v>
      </c>
      <c r="CA36" s="108">
        <f t="shared" ref="CA36" si="27">EOMONTH(BZ36,1)</f>
        <v>45351</v>
      </c>
      <c r="CB36" s="108">
        <f t="shared" ref="CB36" si="28">EOMONTH(CA36,1)</f>
        <v>45382</v>
      </c>
      <c r="CC36" s="108">
        <f t="shared" ref="CC36" si="29">EOMONTH(CB36,1)</f>
        <v>45412</v>
      </c>
      <c r="CD36" s="108">
        <f t="shared" ref="CD36" si="30">EOMONTH(CC36,1)</f>
        <v>45443</v>
      </c>
      <c r="CE36" s="108">
        <f t="shared" ref="CE36" si="31">EOMONTH(CD36,1)</f>
        <v>45473</v>
      </c>
      <c r="CF36" s="108">
        <f t="shared" ref="CF36" si="32">EOMONTH(CE36,1)</f>
        <v>45504</v>
      </c>
      <c r="CG36" s="108">
        <f t="shared" ref="CG36" si="33">EOMONTH(CF36,1)</f>
        <v>45535</v>
      </c>
      <c r="CH36" s="108">
        <f t="shared" ref="CH36" si="34">EOMONTH(CG36,1)</f>
        <v>45565</v>
      </c>
      <c r="CI36" s="108">
        <f t="shared" ref="CI36" si="35">EOMONTH(CH36,1)</f>
        <v>45596</v>
      </c>
      <c r="CJ36" s="108">
        <f t="shared" ref="CJ36" si="36">EOMONTH(CI36,1)</f>
        <v>45626</v>
      </c>
      <c r="CK36" s="108">
        <f t="shared" ref="CK36" si="37">EOMONTH(CJ36,1)</f>
        <v>45657</v>
      </c>
    </row>
    <row r="37" spans="2:89" outlineLevel="1" x14ac:dyDescent="0.25"/>
    <row r="38" spans="2:89" outlineLevel="1" x14ac:dyDescent="0.25">
      <c r="C38" s="109" t="s">
        <v>119</v>
      </c>
      <c r="D38" s="13" t="s">
        <v>3</v>
      </c>
      <c r="F38" s="60">
        <f t="shared" ref="F38:AK38" si="38">ROUNDUP(F39/Months,0)</f>
        <v>1</v>
      </c>
      <c r="G38" s="60">
        <f t="shared" si="38"/>
        <v>1</v>
      </c>
      <c r="H38" s="60">
        <f t="shared" si="38"/>
        <v>1</v>
      </c>
      <c r="I38" s="60">
        <f t="shared" si="38"/>
        <v>1</v>
      </c>
      <c r="J38" s="60">
        <f t="shared" si="38"/>
        <v>1</v>
      </c>
      <c r="K38" s="60">
        <f t="shared" si="38"/>
        <v>1</v>
      </c>
      <c r="L38" s="60">
        <f t="shared" si="38"/>
        <v>1</v>
      </c>
      <c r="M38" s="60">
        <f t="shared" si="38"/>
        <v>1</v>
      </c>
      <c r="N38" s="60">
        <f t="shared" si="38"/>
        <v>1</v>
      </c>
      <c r="O38" s="60">
        <f t="shared" si="38"/>
        <v>1</v>
      </c>
      <c r="P38" s="60">
        <f t="shared" si="38"/>
        <v>1</v>
      </c>
      <c r="Q38" s="60">
        <f t="shared" si="38"/>
        <v>1</v>
      </c>
      <c r="R38" s="60">
        <f t="shared" si="38"/>
        <v>2</v>
      </c>
      <c r="S38" s="60">
        <f t="shared" si="38"/>
        <v>2</v>
      </c>
      <c r="T38" s="60">
        <f t="shared" si="38"/>
        <v>2</v>
      </c>
      <c r="U38" s="60">
        <f t="shared" si="38"/>
        <v>2</v>
      </c>
      <c r="V38" s="60">
        <f t="shared" si="38"/>
        <v>2</v>
      </c>
      <c r="W38" s="60">
        <f t="shared" si="38"/>
        <v>2</v>
      </c>
      <c r="X38" s="60">
        <f t="shared" si="38"/>
        <v>2</v>
      </c>
      <c r="Y38" s="60">
        <f t="shared" si="38"/>
        <v>2</v>
      </c>
      <c r="Z38" s="60">
        <f t="shared" si="38"/>
        <v>2</v>
      </c>
      <c r="AA38" s="60">
        <f t="shared" si="38"/>
        <v>2</v>
      </c>
      <c r="AB38" s="60">
        <f t="shared" si="38"/>
        <v>2</v>
      </c>
      <c r="AC38" s="60">
        <f t="shared" si="38"/>
        <v>2</v>
      </c>
      <c r="AD38" s="60">
        <f t="shared" si="38"/>
        <v>3</v>
      </c>
      <c r="AE38" s="60">
        <f t="shared" si="38"/>
        <v>3</v>
      </c>
      <c r="AF38" s="60">
        <f t="shared" si="38"/>
        <v>3</v>
      </c>
      <c r="AG38" s="60">
        <f t="shared" si="38"/>
        <v>3</v>
      </c>
      <c r="AH38" s="60">
        <f t="shared" si="38"/>
        <v>3</v>
      </c>
      <c r="AI38" s="60">
        <f t="shared" si="38"/>
        <v>3</v>
      </c>
      <c r="AJ38" s="60">
        <f t="shared" si="38"/>
        <v>3</v>
      </c>
      <c r="AK38" s="60">
        <f t="shared" si="38"/>
        <v>3</v>
      </c>
      <c r="AL38" s="60">
        <f t="shared" ref="AL38:BQ38" si="39">ROUNDUP(AL39/Months,0)</f>
        <v>3</v>
      </c>
      <c r="AM38" s="60">
        <f t="shared" si="39"/>
        <v>3</v>
      </c>
      <c r="AN38" s="60">
        <f t="shared" si="39"/>
        <v>3</v>
      </c>
      <c r="AO38" s="60">
        <f t="shared" si="39"/>
        <v>3</v>
      </c>
      <c r="AP38" s="60">
        <f t="shared" si="39"/>
        <v>4</v>
      </c>
      <c r="AQ38" s="60">
        <f t="shared" si="39"/>
        <v>4</v>
      </c>
      <c r="AR38" s="60">
        <f t="shared" si="39"/>
        <v>4</v>
      </c>
      <c r="AS38" s="60">
        <f t="shared" si="39"/>
        <v>4</v>
      </c>
      <c r="AT38" s="60">
        <f t="shared" si="39"/>
        <v>4</v>
      </c>
      <c r="AU38" s="60">
        <f t="shared" si="39"/>
        <v>4</v>
      </c>
      <c r="AV38" s="60">
        <f t="shared" si="39"/>
        <v>4</v>
      </c>
      <c r="AW38" s="60">
        <f t="shared" si="39"/>
        <v>4</v>
      </c>
      <c r="AX38" s="60">
        <f t="shared" si="39"/>
        <v>4</v>
      </c>
      <c r="AY38" s="60">
        <f t="shared" si="39"/>
        <v>4</v>
      </c>
      <c r="AZ38" s="60">
        <f t="shared" si="39"/>
        <v>4</v>
      </c>
      <c r="BA38" s="60">
        <f t="shared" si="39"/>
        <v>4</v>
      </c>
      <c r="BB38" s="60">
        <f t="shared" si="39"/>
        <v>5</v>
      </c>
      <c r="BC38" s="60">
        <f t="shared" si="39"/>
        <v>5</v>
      </c>
      <c r="BD38" s="60">
        <f t="shared" si="39"/>
        <v>5</v>
      </c>
      <c r="BE38" s="60">
        <f t="shared" si="39"/>
        <v>5</v>
      </c>
      <c r="BF38" s="60">
        <f t="shared" si="39"/>
        <v>5</v>
      </c>
      <c r="BG38" s="60">
        <f t="shared" si="39"/>
        <v>5</v>
      </c>
      <c r="BH38" s="60">
        <f t="shared" si="39"/>
        <v>5</v>
      </c>
      <c r="BI38" s="60">
        <f t="shared" si="39"/>
        <v>5</v>
      </c>
      <c r="BJ38" s="60">
        <f t="shared" si="39"/>
        <v>5</v>
      </c>
      <c r="BK38" s="60">
        <f t="shared" si="39"/>
        <v>5</v>
      </c>
      <c r="BL38" s="60">
        <f t="shared" si="39"/>
        <v>5</v>
      </c>
      <c r="BM38" s="60">
        <f t="shared" si="39"/>
        <v>5</v>
      </c>
      <c r="BN38" s="60">
        <f t="shared" si="39"/>
        <v>6</v>
      </c>
      <c r="BO38" s="60">
        <f t="shared" si="39"/>
        <v>6</v>
      </c>
      <c r="BP38" s="60">
        <f t="shared" si="39"/>
        <v>6</v>
      </c>
      <c r="BQ38" s="60">
        <f t="shared" si="39"/>
        <v>6</v>
      </c>
      <c r="BR38" s="60">
        <f t="shared" ref="BR38:CK38" si="40">ROUNDUP(BR39/Months,0)</f>
        <v>6</v>
      </c>
      <c r="BS38" s="60">
        <f t="shared" si="40"/>
        <v>6</v>
      </c>
      <c r="BT38" s="60">
        <f t="shared" si="40"/>
        <v>6</v>
      </c>
      <c r="BU38" s="60">
        <f t="shared" si="40"/>
        <v>6</v>
      </c>
      <c r="BV38" s="60">
        <f t="shared" si="40"/>
        <v>6</v>
      </c>
      <c r="BW38" s="60">
        <f t="shared" si="40"/>
        <v>6</v>
      </c>
      <c r="BX38" s="60">
        <f t="shared" si="40"/>
        <v>6</v>
      </c>
      <c r="BY38" s="60">
        <f t="shared" si="40"/>
        <v>6</v>
      </c>
      <c r="BZ38" s="60">
        <f t="shared" si="40"/>
        <v>7</v>
      </c>
      <c r="CA38" s="60">
        <f t="shared" si="40"/>
        <v>7</v>
      </c>
      <c r="CB38" s="60">
        <f t="shared" si="40"/>
        <v>7</v>
      </c>
      <c r="CC38" s="60">
        <f t="shared" si="40"/>
        <v>7</v>
      </c>
      <c r="CD38" s="60">
        <f t="shared" si="40"/>
        <v>7</v>
      </c>
      <c r="CE38" s="60">
        <f t="shared" si="40"/>
        <v>7</v>
      </c>
      <c r="CF38" s="60">
        <f t="shared" si="40"/>
        <v>7</v>
      </c>
      <c r="CG38" s="60">
        <f t="shared" si="40"/>
        <v>7</v>
      </c>
      <c r="CH38" s="60">
        <f t="shared" si="40"/>
        <v>7</v>
      </c>
      <c r="CI38" s="60">
        <f t="shared" si="40"/>
        <v>7</v>
      </c>
      <c r="CJ38" s="60">
        <f t="shared" si="40"/>
        <v>7</v>
      </c>
      <c r="CK38" s="60">
        <f t="shared" si="40"/>
        <v>7</v>
      </c>
    </row>
    <row r="39" spans="2:89" outlineLevel="1" x14ac:dyDescent="0.25">
      <c r="C39" s="109" t="s">
        <v>54</v>
      </c>
      <c r="D39" s="13" t="s">
        <v>3</v>
      </c>
      <c r="F39" s="9">
        <v>1</v>
      </c>
      <c r="G39" s="60">
        <f>+F39+1</f>
        <v>2</v>
      </c>
      <c r="H39" s="60">
        <f t="shared" ref="H39:BS39" si="41">+G39+1</f>
        <v>3</v>
      </c>
      <c r="I39" s="60">
        <f t="shared" si="41"/>
        <v>4</v>
      </c>
      <c r="J39" s="60">
        <f t="shared" si="41"/>
        <v>5</v>
      </c>
      <c r="K39" s="60">
        <f t="shared" si="41"/>
        <v>6</v>
      </c>
      <c r="L39" s="60">
        <f t="shared" si="41"/>
        <v>7</v>
      </c>
      <c r="M39" s="60">
        <f t="shared" si="41"/>
        <v>8</v>
      </c>
      <c r="N39" s="60">
        <f t="shared" si="41"/>
        <v>9</v>
      </c>
      <c r="O39" s="60">
        <f t="shared" si="41"/>
        <v>10</v>
      </c>
      <c r="P39" s="60">
        <f t="shared" si="41"/>
        <v>11</v>
      </c>
      <c r="Q39" s="60">
        <f t="shared" si="41"/>
        <v>12</v>
      </c>
      <c r="R39" s="60">
        <f t="shared" si="41"/>
        <v>13</v>
      </c>
      <c r="S39" s="60">
        <f t="shared" si="41"/>
        <v>14</v>
      </c>
      <c r="T39" s="60">
        <f t="shared" si="41"/>
        <v>15</v>
      </c>
      <c r="U39" s="60">
        <f t="shared" si="41"/>
        <v>16</v>
      </c>
      <c r="V39" s="60">
        <f t="shared" si="41"/>
        <v>17</v>
      </c>
      <c r="W39" s="60">
        <f t="shared" si="41"/>
        <v>18</v>
      </c>
      <c r="X39" s="60">
        <f t="shared" si="41"/>
        <v>19</v>
      </c>
      <c r="Y39" s="60">
        <f t="shared" si="41"/>
        <v>20</v>
      </c>
      <c r="Z39" s="60">
        <f t="shared" si="41"/>
        <v>21</v>
      </c>
      <c r="AA39" s="60">
        <f t="shared" si="41"/>
        <v>22</v>
      </c>
      <c r="AB39" s="60">
        <f t="shared" si="41"/>
        <v>23</v>
      </c>
      <c r="AC39" s="60">
        <f t="shared" si="41"/>
        <v>24</v>
      </c>
      <c r="AD39" s="60">
        <f t="shared" si="41"/>
        <v>25</v>
      </c>
      <c r="AE39" s="60">
        <f t="shared" si="41"/>
        <v>26</v>
      </c>
      <c r="AF39" s="60">
        <f t="shared" si="41"/>
        <v>27</v>
      </c>
      <c r="AG39" s="60">
        <f t="shared" si="41"/>
        <v>28</v>
      </c>
      <c r="AH39" s="60">
        <f t="shared" si="41"/>
        <v>29</v>
      </c>
      <c r="AI39" s="60">
        <f t="shared" si="41"/>
        <v>30</v>
      </c>
      <c r="AJ39" s="60">
        <f t="shared" si="41"/>
        <v>31</v>
      </c>
      <c r="AK39" s="60">
        <f t="shared" si="41"/>
        <v>32</v>
      </c>
      <c r="AL39" s="60">
        <f t="shared" si="41"/>
        <v>33</v>
      </c>
      <c r="AM39" s="60">
        <f t="shared" si="41"/>
        <v>34</v>
      </c>
      <c r="AN39" s="60">
        <f t="shared" si="41"/>
        <v>35</v>
      </c>
      <c r="AO39" s="60">
        <f t="shared" si="41"/>
        <v>36</v>
      </c>
      <c r="AP39" s="60">
        <f t="shared" si="41"/>
        <v>37</v>
      </c>
      <c r="AQ39" s="60">
        <f t="shared" si="41"/>
        <v>38</v>
      </c>
      <c r="AR39" s="60">
        <f t="shared" si="41"/>
        <v>39</v>
      </c>
      <c r="AS39" s="60">
        <f t="shared" si="41"/>
        <v>40</v>
      </c>
      <c r="AT39" s="60">
        <f t="shared" si="41"/>
        <v>41</v>
      </c>
      <c r="AU39" s="60">
        <f t="shared" si="41"/>
        <v>42</v>
      </c>
      <c r="AV39" s="60">
        <f t="shared" si="41"/>
        <v>43</v>
      </c>
      <c r="AW39" s="60">
        <f t="shared" si="41"/>
        <v>44</v>
      </c>
      <c r="AX39" s="60">
        <f t="shared" si="41"/>
        <v>45</v>
      </c>
      <c r="AY39" s="60">
        <f t="shared" si="41"/>
        <v>46</v>
      </c>
      <c r="AZ39" s="60">
        <f t="shared" si="41"/>
        <v>47</v>
      </c>
      <c r="BA39" s="60">
        <f t="shared" si="41"/>
        <v>48</v>
      </c>
      <c r="BB39" s="60">
        <f t="shared" si="41"/>
        <v>49</v>
      </c>
      <c r="BC39" s="60">
        <f t="shared" si="41"/>
        <v>50</v>
      </c>
      <c r="BD39" s="60">
        <f t="shared" si="41"/>
        <v>51</v>
      </c>
      <c r="BE39" s="60">
        <f t="shared" si="41"/>
        <v>52</v>
      </c>
      <c r="BF39" s="60">
        <f t="shared" si="41"/>
        <v>53</v>
      </c>
      <c r="BG39" s="60">
        <f t="shared" si="41"/>
        <v>54</v>
      </c>
      <c r="BH39" s="60">
        <f t="shared" si="41"/>
        <v>55</v>
      </c>
      <c r="BI39" s="60">
        <f t="shared" si="41"/>
        <v>56</v>
      </c>
      <c r="BJ39" s="60">
        <f t="shared" si="41"/>
        <v>57</v>
      </c>
      <c r="BK39" s="60">
        <f t="shared" si="41"/>
        <v>58</v>
      </c>
      <c r="BL39" s="60">
        <f t="shared" si="41"/>
        <v>59</v>
      </c>
      <c r="BM39" s="60">
        <f t="shared" si="41"/>
        <v>60</v>
      </c>
      <c r="BN39" s="60">
        <f t="shared" si="41"/>
        <v>61</v>
      </c>
      <c r="BO39" s="60">
        <f t="shared" si="41"/>
        <v>62</v>
      </c>
      <c r="BP39" s="60">
        <f t="shared" si="41"/>
        <v>63</v>
      </c>
      <c r="BQ39" s="60">
        <f t="shared" si="41"/>
        <v>64</v>
      </c>
      <c r="BR39" s="60">
        <f t="shared" si="41"/>
        <v>65</v>
      </c>
      <c r="BS39" s="60">
        <f t="shared" si="41"/>
        <v>66</v>
      </c>
      <c r="BT39" s="60">
        <f t="shared" ref="BT39:CK39" si="42">+BS39+1</f>
        <v>67</v>
      </c>
      <c r="BU39" s="60">
        <f t="shared" si="42"/>
        <v>68</v>
      </c>
      <c r="BV39" s="60">
        <f t="shared" si="42"/>
        <v>69</v>
      </c>
      <c r="BW39" s="60">
        <f t="shared" si="42"/>
        <v>70</v>
      </c>
      <c r="BX39" s="60">
        <f t="shared" si="42"/>
        <v>71</v>
      </c>
      <c r="BY39" s="60">
        <f t="shared" si="42"/>
        <v>72</v>
      </c>
      <c r="BZ39" s="60">
        <f t="shared" si="42"/>
        <v>73</v>
      </c>
      <c r="CA39" s="60">
        <f t="shared" si="42"/>
        <v>74</v>
      </c>
      <c r="CB39" s="60">
        <f t="shared" si="42"/>
        <v>75</v>
      </c>
      <c r="CC39" s="60">
        <f t="shared" si="42"/>
        <v>76</v>
      </c>
      <c r="CD39" s="60">
        <f t="shared" si="42"/>
        <v>77</v>
      </c>
      <c r="CE39" s="60">
        <f t="shared" si="42"/>
        <v>78</v>
      </c>
      <c r="CF39" s="60">
        <f t="shared" si="42"/>
        <v>79</v>
      </c>
      <c r="CG39" s="60">
        <f t="shared" si="42"/>
        <v>80</v>
      </c>
      <c r="CH39" s="60">
        <f t="shared" si="42"/>
        <v>81</v>
      </c>
      <c r="CI39" s="60">
        <f t="shared" si="42"/>
        <v>82</v>
      </c>
      <c r="CJ39" s="60">
        <f t="shared" si="42"/>
        <v>83</v>
      </c>
      <c r="CK39" s="60">
        <f t="shared" si="42"/>
        <v>84</v>
      </c>
    </row>
    <row r="40" spans="2:89" outlineLevel="1" x14ac:dyDescent="0.25">
      <c r="C40" s="115" t="s">
        <v>82</v>
      </c>
      <c r="D40" s="13" t="s">
        <v>5</v>
      </c>
      <c r="F40" s="65">
        <f t="shared" ref="F40:AK40" si="43">(IF(ISNUMBER(F53),F53,0)+IF(ISNUMBER(F61),F61,0)+IF(ISNUMBER(F69),F69,0))/Num_Units</f>
        <v>3.0303030303030304E-2</v>
      </c>
      <c r="G40" s="65">
        <f t="shared" si="43"/>
        <v>6.0606060606060608E-2</v>
      </c>
      <c r="H40" s="65">
        <f t="shared" si="43"/>
        <v>9.0909090909090912E-2</v>
      </c>
      <c r="I40" s="65">
        <f t="shared" si="43"/>
        <v>0.12121212121212122</v>
      </c>
      <c r="J40" s="65">
        <f t="shared" si="43"/>
        <v>0.15151515151515152</v>
      </c>
      <c r="K40" s="65">
        <f t="shared" si="43"/>
        <v>0.18181818181818182</v>
      </c>
      <c r="L40" s="65">
        <f t="shared" si="43"/>
        <v>0.21212121212121213</v>
      </c>
      <c r="M40" s="65">
        <f t="shared" si="43"/>
        <v>0.27272727272727271</v>
      </c>
      <c r="N40" s="65">
        <f t="shared" si="43"/>
        <v>0.33333333333333331</v>
      </c>
      <c r="O40" s="65">
        <f t="shared" si="43"/>
        <v>0.39393939393939392</v>
      </c>
      <c r="P40" s="65">
        <f t="shared" si="43"/>
        <v>0.42424242424242425</v>
      </c>
      <c r="Q40" s="65">
        <f t="shared" si="43"/>
        <v>0.45454545454545453</v>
      </c>
      <c r="R40" s="65">
        <f t="shared" si="43"/>
        <v>0.48484848484848486</v>
      </c>
      <c r="S40" s="65">
        <f t="shared" si="43"/>
        <v>0.51515151515151514</v>
      </c>
      <c r="T40" s="65">
        <f t="shared" si="43"/>
        <v>0.5757575757575758</v>
      </c>
      <c r="U40" s="65">
        <f t="shared" si="43"/>
        <v>0.63636363636363635</v>
      </c>
      <c r="V40" s="65">
        <f t="shared" si="43"/>
        <v>0.69696969696969702</v>
      </c>
      <c r="W40" s="65">
        <f t="shared" si="43"/>
        <v>0.75757575757575757</v>
      </c>
      <c r="X40" s="65">
        <f t="shared" si="43"/>
        <v>0.78787878787878785</v>
      </c>
      <c r="Y40" s="65">
        <f t="shared" si="43"/>
        <v>0.81818181818181823</v>
      </c>
      <c r="Z40" s="65">
        <f t="shared" si="43"/>
        <v>0.84848484848484851</v>
      </c>
      <c r="AA40" s="65">
        <f t="shared" si="43"/>
        <v>0.87878787878787878</v>
      </c>
      <c r="AB40" s="65">
        <f t="shared" si="43"/>
        <v>0.90909090909090906</v>
      </c>
      <c r="AC40" s="65">
        <f t="shared" si="43"/>
        <v>0.93939393939393945</v>
      </c>
      <c r="AD40" s="65">
        <f t="shared" si="43"/>
        <v>0.96969696969696972</v>
      </c>
      <c r="AE40" s="65">
        <f t="shared" si="43"/>
        <v>1</v>
      </c>
      <c r="AF40" s="65">
        <f t="shared" si="43"/>
        <v>1</v>
      </c>
      <c r="AG40" s="65">
        <f t="shared" si="43"/>
        <v>1</v>
      </c>
      <c r="AH40" s="65">
        <f t="shared" si="43"/>
        <v>1</v>
      </c>
      <c r="AI40" s="65">
        <f t="shared" si="43"/>
        <v>1</v>
      </c>
      <c r="AJ40" s="65">
        <f t="shared" si="43"/>
        <v>1</v>
      </c>
      <c r="AK40" s="65">
        <f t="shared" si="43"/>
        <v>1</v>
      </c>
      <c r="AL40" s="65">
        <f t="shared" ref="AL40:BQ40" si="44">(IF(ISNUMBER(AL53),AL53,0)+IF(ISNUMBER(AL61),AL61,0)+IF(ISNUMBER(AL69),AL69,0))/Num_Units</f>
        <v>1</v>
      </c>
      <c r="AM40" s="65">
        <f t="shared" si="44"/>
        <v>1</v>
      </c>
      <c r="AN40" s="65">
        <f t="shared" si="44"/>
        <v>1</v>
      </c>
      <c r="AO40" s="65">
        <f t="shared" si="44"/>
        <v>1</v>
      </c>
      <c r="AP40" s="65">
        <f t="shared" si="44"/>
        <v>1</v>
      </c>
      <c r="AQ40" s="65">
        <f t="shared" si="44"/>
        <v>1</v>
      </c>
      <c r="AR40" s="65">
        <f t="shared" si="44"/>
        <v>1</v>
      </c>
      <c r="AS40" s="65">
        <f t="shared" si="44"/>
        <v>1</v>
      </c>
      <c r="AT40" s="65">
        <f t="shared" si="44"/>
        <v>1</v>
      </c>
      <c r="AU40" s="65">
        <f t="shared" si="44"/>
        <v>1</v>
      </c>
      <c r="AV40" s="65">
        <f t="shared" si="44"/>
        <v>1</v>
      </c>
      <c r="AW40" s="65">
        <f t="shared" si="44"/>
        <v>1</v>
      </c>
      <c r="AX40" s="65">
        <f t="shared" si="44"/>
        <v>1</v>
      </c>
      <c r="AY40" s="65">
        <f t="shared" si="44"/>
        <v>1</v>
      </c>
      <c r="AZ40" s="65">
        <f t="shared" si="44"/>
        <v>1</v>
      </c>
      <c r="BA40" s="65">
        <f t="shared" si="44"/>
        <v>1</v>
      </c>
      <c r="BB40" s="65">
        <f t="shared" si="44"/>
        <v>1</v>
      </c>
      <c r="BC40" s="65">
        <f t="shared" si="44"/>
        <v>1</v>
      </c>
      <c r="BD40" s="65">
        <f t="shared" si="44"/>
        <v>1</v>
      </c>
      <c r="BE40" s="65">
        <f t="shared" si="44"/>
        <v>1</v>
      </c>
      <c r="BF40" s="65">
        <f t="shared" si="44"/>
        <v>1</v>
      </c>
      <c r="BG40" s="65">
        <f t="shared" si="44"/>
        <v>1</v>
      </c>
      <c r="BH40" s="65">
        <f t="shared" si="44"/>
        <v>1</v>
      </c>
      <c r="BI40" s="65">
        <f t="shared" si="44"/>
        <v>1</v>
      </c>
      <c r="BJ40" s="65">
        <f t="shared" si="44"/>
        <v>1</v>
      </c>
      <c r="BK40" s="65">
        <f t="shared" si="44"/>
        <v>1</v>
      </c>
      <c r="BL40" s="65">
        <f t="shared" si="44"/>
        <v>1</v>
      </c>
      <c r="BM40" s="65">
        <f t="shared" si="44"/>
        <v>1</v>
      </c>
      <c r="BN40" s="65">
        <f t="shared" si="44"/>
        <v>1</v>
      </c>
      <c r="BO40" s="65">
        <f t="shared" si="44"/>
        <v>1</v>
      </c>
      <c r="BP40" s="65">
        <f t="shared" si="44"/>
        <v>1</v>
      </c>
      <c r="BQ40" s="65">
        <f t="shared" si="44"/>
        <v>1</v>
      </c>
      <c r="BR40" s="65">
        <f t="shared" ref="BR40:CK40" si="45">(IF(ISNUMBER(BR53),BR53,0)+IF(ISNUMBER(BR61),BR61,0)+IF(ISNUMBER(BR69),BR69,0))/Num_Units</f>
        <v>1</v>
      </c>
      <c r="BS40" s="65">
        <f t="shared" si="45"/>
        <v>1</v>
      </c>
      <c r="BT40" s="65">
        <f t="shared" si="45"/>
        <v>1</v>
      </c>
      <c r="BU40" s="65">
        <f t="shared" si="45"/>
        <v>1</v>
      </c>
      <c r="BV40" s="65">
        <f t="shared" si="45"/>
        <v>1</v>
      </c>
      <c r="BW40" s="65">
        <f t="shared" si="45"/>
        <v>1</v>
      </c>
      <c r="BX40" s="65">
        <f t="shared" si="45"/>
        <v>1</v>
      </c>
      <c r="BY40" s="65">
        <f t="shared" si="45"/>
        <v>1</v>
      </c>
      <c r="BZ40" s="65">
        <f t="shared" si="45"/>
        <v>1</v>
      </c>
      <c r="CA40" s="65">
        <f t="shared" si="45"/>
        <v>1</v>
      </c>
      <c r="CB40" s="65">
        <f t="shared" si="45"/>
        <v>1</v>
      </c>
      <c r="CC40" s="65">
        <f t="shared" si="45"/>
        <v>1</v>
      </c>
      <c r="CD40" s="65">
        <f t="shared" si="45"/>
        <v>1</v>
      </c>
      <c r="CE40" s="65">
        <f t="shared" si="45"/>
        <v>1</v>
      </c>
      <c r="CF40" s="65">
        <f t="shared" si="45"/>
        <v>1</v>
      </c>
      <c r="CG40" s="65">
        <f t="shared" si="45"/>
        <v>1</v>
      </c>
      <c r="CH40" s="65">
        <f t="shared" si="45"/>
        <v>1</v>
      </c>
      <c r="CI40" s="65">
        <f t="shared" si="45"/>
        <v>1</v>
      </c>
      <c r="CJ40" s="65">
        <f t="shared" si="45"/>
        <v>1</v>
      </c>
      <c r="CK40" s="65">
        <f t="shared" si="45"/>
        <v>1</v>
      </c>
    </row>
    <row r="41" spans="2:89" outlineLevel="1" x14ac:dyDescent="0.25">
      <c r="C41" s="109" t="s">
        <v>130</v>
      </c>
      <c r="D41" s="13" t="s">
        <v>3</v>
      </c>
      <c r="E41" s="64"/>
      <c r="F41" s="90">
        <f>IF(ISNUMBER(F52),F52,0)+IF(ISNUMBER(F60),F60,0)+IF(ISNUMBER(F68),F68,0)</f>
        <v>1</v>
      </c>
      <c r="G41" s="90">
        <f t="shared" ref="G41:H41" si="46">IF(ISNUMBER(G52),G52,0)+IF(ISNUMBER(G60),G60,0)+IF(ISNUMBER(G68),G68,0)</f>
        <v>1</v>
      </c>
      <c r="H41" s="90">
        <f t="shared" si="46"/>
        <v>1</v>
      </c>
      <c r="I41" s="90">
        <f t="shared" ref="I41:BT41" si="47">IF(ISNUMBER(I52),I52,0)+IF(ISNUMBER(I60),I60,0)+IF(ISNUMBER(I68),I68,0)</f>
        <v>1</v>
      </c>
      <c r="J41" s="90">
        <f t="shared" si="47"/>
        <v>1</v>
      </c>
      <c r="K41" s="90">
        <f t="shared" si="47"/>
        <v>1</v>
      </c>
      <c r="L41" s="90">
        <f t="shared" si="47"/>
        <v>1</v>
      </c>
      <c r="M41" s="90">
        <f t="shared" si="47"/>
        <v>2</v>
      </c>
      <c r="N41" s="90">
        <f t="shared" si="47"/>
        <v>2</v>
      </c>
      <c r="O41" s="90">
        <f t="shared" si="47"/>
        <v>2</v>
      </c>
      <c r="P41" s="90">
        <f t="shared" si="47"/>
        <v>1</v>
      </c>
      <c r="Q41" s="90">
        <f t="shared" si="47"/>
        <v>1</v>
      </c>
      <c r="R41" s="90">
        <f t="shared" si="47"/>
        <v>1</v>
      </c>
      <c r="S41" s="90">
        <f t="shared" si="47"/>
        <v>1</v>
      </c>
      <c r="T41" s="90">
        <f t="shared" si="47"/>
        <v>2</v>
      </c>
      <c r="U41" s="90">
        <f t="shared" si="47"/>
        <v>2</v>
      </c>
      <c r="V41" s="90">
        <f t="shared" si="47"/>
        <v>2</v>
      </c>
      <c r="W41" s="90">
        <f t="shared" si="47"/>
        <v>2</v>
      </c>
      <c r="X41" s="90">
        <f t="shared" si="47"/>
        <v>1</v>
      </c>
      <c r="Y41" s="90">
        <f t="shared" si="47"/>
        <v>1</v>
      </c>
      <c r="Z41" s="90">
        <f t="shared" si="47"/>
        <v>1</v>
      </c>
      <c r="AA41" s="90">
        <f t="shared" si="47"/>
        <v>1</v>
      </c>
      <c r="AB41" s="90">
        <f t="shared" si="47"/>
        <v>1</v>
      </c>
      <c r="AC41" s="90">
        <f t="shared" si="47"/>
        <v>1</v>
      </c>
      <c r="AD41" s="90">
        <f t="shared" si="47"/>
        <v>1</v>
      </c>
      <c r="AE41" s="90">
        <f t="shared" si="47"/>
        <v>1</v>
      </c>
      <c r="AF41" s="90">
        <f t="shared" si="47"/>
        <v>0</v>
      </c>
      <c r="AG41" s="90">
        <f t="shared" si="47"/>
        <v>0</v>
      </c>
      <c r="AH41" s="90">
        <f t="shared" si="47"/>
        <v>0</v>
      </c>
      <c r="AI41" s="90">
        <f t="shared" si="47"/>
        <v>0</v>
      </c>
      <c r="AJ41" s="90">
        <f t="shared" si="47"/>
        <v>0</v>
      </c>
      <c r="AK41" s="90">
        <f t="shared" si="47"/>
        <v>0</v>
      </c>
      <c r="AL41" s="90">
        <f t="shared" si="47"/>
        <v>0</v>
      </c>
      <c r="AM41" s="90">
        <f t="shared" si="47"/>
        <v>0</v>
      </c>
      <c r="AN41" s="90">
        <f t="shared" si="47"/>
        <v>0</v>
      </c>
      <c r="AO41" s="90">
        <f t="shared" si="47"/>
        <v>0</v>
      </c>
      <c r="AP41" s="90">
        <f t="shared" si="47"/>
        <v>0</v>
      </c>
      <c r="AQ41" s="90">
        <f t="shared" si="47"/>
        <v>0</v>
      </c>
      <c r="AR41" s="90">
        <f t="shared" si="47"/>
        <v>0</v>
      </c>
      <c r="AS41" s="90">
        <f t="shared" si="47"/>
        <v>0</v>
      </c>
      <c r="AT41" s="90">
        <f t="shared" si="47"/>
        <v>0</v>
      </c>
      <c r="AU41" s="90">
        <f t="shared" si="47"/>
        <v>0</v>
      </c>
      <c r="AV41" s="90">
        <f t="shared" si="47"/>
        <v>0</v>
      </c>
      <c r="AW41" s="90">
        <f t="shared" si="47"/>
        <v>0</v>
      </c>
      <c r="AX41" s="90">
        <f t="shared" si="47"/>
        <v>0</v>
      </c>
      <c r="AY41" s="90">
        <f t="shared" si="47"/>
        <v>0</v>
      </c>
      <c r="AZ41" s="90">
        <f t="shared" si="47"/>
        <v>0</v>
      </c>
      <c r="BA41" s="90">
        <f t="shared" si="47"/>
        <v>0</v>
      </c>
      <c r="BB41" s="90">
        <f t="shared" si="47"/>
        <v>0</v>
      </c>
      <c r="BC41" s="90">
        <f t="shared" si="47"/>
        <v>0</v>
      </c>
      <c r="BD41" s="90">
        <f t="shared" si="47"/>
        <v>0</v>
      </c>
      <c r="BE41" s="90">
        <f t="shared" si="47"/>
        <v>0</v>
      </c>
      <c r="BF41" s="90">
        <f t="shared" si="47"/>
        <v>0</v>
      </c>
      <c r="BG41" s="90">
        <f t="shared" si="47"/>
        <v>0</v>
      </c>
      <c r="BH41" s="90">
        <f t="shared" si="47"/>
        <v>0</v>
      </c>
      <c r="BI41" s="90">
        <f t="shared" si="47"/>
        <v>0</v>
      </c>
      <c r="BJ41" s="90">
        <f t="shared" si="47"/>
        <v>0</v>
      </c>
      <c r="BK41" s="90">
        <f t="shared" si="47"/>
        <v>0</v>
      </c>
      <c r="BL41" s="90">
        <f t="shared" si="47"/>
        <v>0</v>
      </c>
      <c r="BM41" s="90">
        <f t="shared" si="47"/>
        <v>0</v>
      </c>
      <c r="BN41" s="90">
        <f t="shared" si="47"/>
        <v>0</v>
      </c>
      <c r="BO41" s="90">
        <f t="shared" si="47"/>
        <v>0</v>
      </c>
      <c r="BP41" s="90">
        <f t="shared" si="47"/>
        <v>0</v>
      </c>
      <c r="BQ41" s="90">
        <f t="shared" si="47"/>
        <v>0</v>
      </c>
      <c r="BR41" s="90">
        <f t="shared" si="47"/>
        <v>0</v>
      </c>
      <c r="BS41" s="90">
        <f t="shared" si="47"/>
        <v>0</v>
      </c>
      <c r="BT41" s="90">
        <f t="shared" si="47"/>
        <v>0</v>
      </c>
      <c r="BU41" s="90">
        <f t="shared" ref="BU41:CK41" si="48">IF(ISNUMBER(BU52),BU52,0)+IF(ISNUMBER(BU60),BU60,0)+IF(ISNUMBER(BU68),BU68,0)</f>
        <v>0</v>
      </c>
      <c r="BV41" s="90">
        <f t="shared" si="48"/>
        <v>0</v>
      </c>
      <c r="BW41" s="90">
        <f t="shared" si="48"/>
        <v>0</v>
      </c>
      <c r="BX41" s="90">
        <f t="shared" si="48"/>
        <v>0</v>
      </c>
      <c r="BY41" s="90">
        <f t="shared" si="48"/>
        <v>0</v>
      </c>
      <c r="BZ41" s="90">
        <f t="shared" si="48"/>
        <v>0</v>
      </c>
      <c r="CA41" s="90">
        <f t="shared" si="48"/>
        <v>0</v>
      </c>
      <c r="CB41" s="90">
        <f t="shared" si="48"/>
        <v>0</v>
      </c>
      <c r="CC41" s="90">
        <f t="shared" si="48"/>
        <v>0</v>
      </c>
      <c r="CD41" s="90">
        <f t="shared" si="48"/>
        <v>0</v>
      </c>
      <c r="CE41" s="90">
        <f t="shared" si="48"/>
        <v>0</v>
      </c>
      <c r="CF41" s="90">
        <f t="shared" si="48"/>
        <v>0</v>
      </c>
      <c r="CG41" s="90">
        <f t="shared" si="48"/>
        <v>0</v>
      </c>
      <c r="CH41" s="90">
        <f t="shared" si="48"/>
        <v>0</v>
      </c>
      <c r="CI41" s="90">
        <f t="shared" si="48"/>
        <v>0</v>
      </c>
      <c r="CJ41" s="90">
        <f t="shared" si="48"/>
        <v>0</v>
      </c>
      <c r="CK41" s="90">
        <f t="shared" si="48"/>
        <v>0</v>
      </c>
    </row>
    <row r="42" spans="2:89" outlineLevel="1" x14ac:dyDescent="0.25"/>
    <row r="43" spans="2:89" outlineLevel="1" x14ac:dyDescent="0.25">
      <c r="C43" s="2" t="s">
        <v>35</v>
      </c>
      <c r="D43" s="13" t="s">
        <v>5</v>
      </c>
      <c r="F43" s="116">
        <f t="shared" ref="F43:AK43" si="49">(1+Sales_Price_Inflation)^(1/Months)-1</f>
        <v>2.0598362698427408E-3</v>
      </c>
      <c r="G43" s="116">
        <f t="shared" si="49"/>
        <v>2.0598362698427408E-3</v>
      </c>
      <c r="H43" s="116">
        <f t="shared" si="49"/>
        <v>2.0598362698427408E-3</v>
      </c>
      <c r="I43" s="116">
        <f t="shared" si="49"/>
        <v>2.0598362698427408E-3</v>
      </c>
      <c r="J43" s="116">
        <f t="shared" si="49"/>
        <v>2.0598362698427408E-3</v>
      </c>
      <c r="K43" s="116">
        <f t="shared" si="49"/>
        <v>2.0598362698427408E-3</v>
      </c>
      <c r="L43" s="116">
        <f t="shared" si="49"/>
        <v>2.0598362698427408E-3</v>
      </c>
      <c r="M43" s="116">
        <f t="shared" si="49"/>
        <v>2.0598362698427408E-3</v>
      </c>
      <c r="N43" s="116">
        <f t="shared" si="49"/>
        <v>2.0598362698427408E-3</v>
      </c>
      <c r="O43" s="116">
        <f t="shared" si="49"/>
        <v>2.0598362698427408E-3</v>
      </c>
      <c r="P43" s="116">
        <f t="shared" si="49"/>
        <v>2.0598362698427408E-3</v>
      </c>
      <c r="Q43" s="116">
        <f t="shared" si="49"/>
        <v>2.0598362698427408E-3</v>
      </c>
      <c r="R43" s="116">
        <f t="shared" si="49"/>
        <v>2.0598362698427408E-3</v>
      </c>
      <c r="S43" s="116">
        <f t="shared" si="49"/>
        <v>2.0598362698427408E-3</v>
      </c>
      <c r="T43" s="116">
        <f t="shared" si="49"/>
        <v>2.0598362698427408E-3</v>
      </c>
      <c r="U43" s="116">
        <f t="shared" si="49"/>
        <v>2.0598362698427408E-3</v>
      </c>
      <c r="V43" s="116">
        <f t="shared" si="49"/>
        <v>2.0598362698427408E-3</v>
      </c>
      <c r="W43" s="116">
        <f t="shared" si="49"/>
        <v>2.0598362698427408E-3</v>
      </c>
      <c r="X43" s="116">
        <f t="shared" si="49"/>
        <v>2.0598362698427408E-3</v>
      </c>
      <c r="Y43" s="116">
        <f t="shared" si="49"/>
        <v>2.0598362698427408E-3</v>
      </c>
      <c r="Z43" s="116">
        <f t="shared" si="49"/>
        <v>2.0598362698427408E-3</v>
      </c>
      <c r="AA43" s="116">
        <f t="shared" si="49"/>
        <v>2.0598362698427408E-3</v>
      </c>
      <c r="AB43" s="116">
        <f t="shared" si="49"/>
        <v>2.0598362698427408E-3</v>
      </c>
      <c r="AC43" s="116">
        <f t="shared" si="49"/>
        <v>2.0598362698427408E-3</v>
      </c>
      <c r="AD43" s="116">
        <f t="shared" si="49"/>
        <v>2.0598362698427408E-3</v>
      </c>
      <c r="AE43" s="116">
        <f t="shared" si="49"/>
        <v>2.0598362698427408E-3</v>
      </c>
      <c r="AF43" s="116">
        <f t="shared" si="49"/>
        <v>2.0598362698427408E-3</v>
      </c>
      <c r="AG43" s="116">
        <f t="shared" si="49"/>
        <v>2.0598362698427408E-3</v>
      </c>
      <c r="AH43" s="116">
        <f t="shared" si="49"/>
        <v>2.0598362698427408E-3</v>
      </c>
      <c r="AI43" s="116">
        <f t="shared" si="49"/>
        <v>2.0598362698427408E-3</v>
      </c>
      <c r="AJ43" s="116">
        <f t="shared" si="49"/>
        <v>2.0598362698427408E-3</v>
      </c>
      <c r="AK43" s="116">
        <f t="shared" si="49"/>
        <v>2.0598362698427408E-3</v>
      </c>
      <c r="AL43" s="116">
        <f t="shared" ref="AL43:BQ43" si="50">(1+Sales_Price_Inflation)^(1/Months)-1</f>
        <v>2.0598362698427408E-3</v>
      </c>
      <c r="AM43" s="116">
        <f t="shared" si="50"/>
        <v>2.0598362698427408E-3</v>
      </c>
      <c r="AN43" s="116">
        <f t="shared" si="50"/>
        <v>2.0598362698427408E-3</v>
      </c>
      <c r="AO43" s="116">
        <f t="shared" si="50"/>
        <v>2.0598362698427408E-3</v>
      </c>
      <c r="AP43" s="116">
        <f t="shared" si="50"/>
        <v>2.0598362698427408E-3</v>
      </c>
      <c r="AQ43" s="116">
        <f t="shared" si="50"/>
        <v>2.0598362698427408E-3</v>
      </c>
      <c r="AR43" s="116">
        <f t="shared" si="50"/>
        <v>2.0598362698427408E-3</v>
      </c>
      <c r="AS43" s="116">
        <f t="shared" si="50"/>
        <v>2.0598362698427408E-3</v>
      </c>
      <c r="AT43" s="116">
        <f t="shared" si="50"/>
        <v>2.0598362698427408E-3</v>
      </c>
      <c r="AU43" s="116">
        <f t="shared" si="50"/>
        <v>2.0598362698427408E-3</v>
      </c>
      <c r="AV43" s="116">
        <f t="shared" si="50"/>
        <v>2.0598362698427408E-3</v>
      </c>
      <c r="AW43" s="116">
        <f t="shared" si="50"/>
        <v>2.0598362698427408E-3</v>
      </c>
      <c r="AX43" s="116">
        <f t="shared" si="50"/>
        <v>2.0598362698427408E-3</v>
      </c>
      <c r="AY43" s="116">
        <f t="shared" si="50"/>
        <v>2.0598362698427408E-3</v>
      </c>
      <c r="AZ43" s="116">
        <f t="shared" si="50"/>
        <v>2.0598362698427408E-3</v>
      </c>
      <c r="BA43" s="116">
        <f t="shared" si="50"/>
        <v>2.0598362698427408E-3</v>
      </c>
      <c r="BB43" s="116">
        <f t="shared" si="50"/>
        <v>2.0598362698427408E-3</v>
      </c>
      <c r="BC43" s="116">
        <f t="shared" si="50"/>
        <v>2.0598362698427408E-3</v>
      </c>
      <c r="BD43" s="116">
        <f t="shared" si="50"/>
        <v>2.0598362698427408E-3</v>
      </c>
      <c r="BE43" s="116">
        <f t="shared" si="50"/>
        <v>2.0598362698427408E-3</v>
      </c>
      <c r="BF43" s="116">
        <f t="shared" si="50"/>
        <v>2.0598362698427408E-3</v>
      </c>
      <c r="BG43" s="116">
        <f t="shared" si="50"/>
        <v>2.0598362698427408E-3</v>
      </c>
      <c r="BH43" s="116">
        <f t="shared" si="50"/>
        <v>2.0598362698427408E-3</v>
      </c>
      <c r="BI43" s="116">
        <f t="shared" si="50"/>
        <v>2.0598362698427408E-3</v>
      </c>
      <c r="BJ43" s="116">
        <f t="shared" si="50"/>
        <v>2.0598362698427408E-3</v>
      </c>
      <c r="BK43" s="116">
        <f t="shared" si="50"/>
        <v>2.0598362698427408E-3</v>
      </c>
      <c r="BL43" s="116">
        <f t="shared" si="50"/>
        <v>2.0598362698427408E-3</v>
      </c>
      <c r="BM43" s="116">
        <f t="shared" si="50"/>
        <v>2.0598362698427408E-3</v>
      </c>
      <c r="BN43" s="116">
        <f t="shared" si="50"/>
        <v>2.0598362698427408E-3</v>
      </c>
      <c r="BO43" s="116">
        <f t="shared" si="50"/>
        <v>2.0598362698427408E-3</v>
      </c>
      <c r="BP43" s="116">
        <f t="shared" si="50"/>
        <v>2.0598362698427408E-3</v>
      </c>
      <c r="BQ43" s="116">
        <f t="shared" si="50"/>
        <v>2.0598362698427408E-3</v>
      </c>
      <c r="BR43" s="116">
        <f t="shared" ref="BR43:CK43" si="51">(1+Sales_Price_Inflation)^(1/Months)-1</f>
        <v>2.0598362698427408E-3</v>
      </c>
      <c r="BS43" s="116">
        <f t="shared" si="51"/>
        <v>2.0598362698427408E-3</v>
      </c>
      <c r="BT43" s="116">
        <f t="shared" si="51"/>
        <v>2.0598362698427408E-3</v>
      </c>
      <c r="BU43" s="116">
        <f t="shared" si="51"/>
        <v>2.0598362698427408E-3</v>
      </c>
      <c r="BV43" s="116">
        <f t="shared" si="51"/>
        <v>2.0598362698427408E-3</v>
      </c>
      <c r="BW43" s="116">
        <f t="shared" si="51"/>
        <v>2.0598362698427408E-3</v>
      </c>
      <c r="BX43" s="116">
        <f t="shared" si="51"/>
        <v>2.0598362698427408E-3</v>
      </c>
      <c r="BY43" s="116">
        <f t="shared" si="51"/>
        <v>2.0598362698427408E-3</v>
      </c>
      <c r="BZ43" s="116">
        <f t="shared" si="51"/>
        <v>2.0598362698427408E-3</v>
      </c>
      <c r="CA43" s="116">
        <f t="shared" si="51"/>
        <v>2.0598362698427408E-3</v>
      </c>
      <c r="CB43" s="116">
        <f t="shared" si="51"/>
        <v>2.0598362698427408E-3</v>
      </c>
      <c r="CC43" s="116">
        <f t="shared" si="51"/>
        <v>2.0598362698427408E-3</v>
      </c>
      <c r="CD43" s="116">
        <f t="shared" si="51"/>
        <v>2.0598362698427408E-3</v>
      </c>
      <c r="CE43" s="116">
        <f t="shared" si="51"/>
        <v>2.0598362698427408E-3</v>
      </c>
      <c r="CF43" s="116">
        <f t="shared" si="51"/>
        <v>2.0598362698427408E-3</v>
      </c>
      <c r="CG43" s="116">
        <f t="shared" si="51"/>
        <v>2.0598362698427408E-3</v>
      </c>
      <c r="CH43" s="116">
        <f t="shared" si="51"/>
        <v>2.0598362698427408E-3</v>
      </c>
      <c r="CI43" s="116">
        <f t="shared" si="51"/>
        <v>2.0598362698427408E-3</v>
      </c>
      <c r="CJ43" s="116">
        <f t="shared" si="51"/>
        <v>2.0598362698427408E-3</v>
      </c>
      <c r="CK43" s="116">
        <f t="shared" si="51"/>
        <v>2.0598362698427408E-3</v>
      </c>
    </row>
    <row r="44" spans="2:89" outlineLevel="1" x14ac:dyDescent="0.25">
      <c r="C44" s="2" t="s">
        <v>83</v>
      </c>
      <c r="D44" s="13" t="s">
        <v>3</v>
      </c>
      <c r="E44" s="94">
        <v>1</v>
      </c>
      <c r="F44" s="95">
        <f>+E44*(1+F43)</f>
        <v>1.0020598362698427</v>
      </c>
      <c r="G44" s="95">
        <f t="shared" ref="G44:H44" si="52">+F44*(1+G43)</f>
        <v>1.004123915465144</v>
      </c>
      <c r="H44" s="95">
        <f t="shared" si="52"/>
        <v>1.0061922463256356</v>
      </c>
      <c r="I44" s="95">
        <f t="shared" ref="I44" si="53">+H44*(1+I43)</f>
        <v>1.0082648376090517</v>
      </c>
      <c r="J44" s="95">
        <f t="shared" ref="J44" si="54">+I44*(1+J43)</f>
        <v>1.0103416980911659</v>
      </c>
      <c r="K44" s="95">
        <f t="shared" ref="K44" si="55">+J44*(1+K43)</f>
        <v>1.0124228365658285</v>
      </c>
      <c r="L44" s="95">
        <f t="shared" ref="L44" si="56">+K44*(1+L43)</f>
        <v>1.0145082618450039</v>
      </c>
      <c r="M44" s="95">
        <f t="shared" ref="M44" si="57">+L44*(1+M43)</f>
        <v>1.0165979827588074</v>
      </c>
      <c r="N44" s="95">
        <f t="shared" ref="N44" si="58">+M44*(1+N43)</f>
        <v>1.0186920081555431</v>
      </c>
      <c r="O44" s="95">
        <f t="shared" ref="O44" si="59">+N44*(1+O43)</f>
        <v>1.0207903469017408</v>
      </c>
      <c r="P44" s="95">
        <f t="shared" ref="P44" si="60">+O44*(1+P43)</f>
        <v>1.0228930078821943</v>
      </c>
      <c r="Q44" s="95">
        <f t="shared" ref="Q44" si="61">+P44*(1+Q43)</f>
        <v>1.0249999999999986</v>
      </c>
      <c r="R44" s="95">
        <f t="shared" ref="R44" si="62">+Q44*(1+R43)</f>
        <v>1.0271113321765875</v>
      </c>
      <c r="S44" s="95">
        <f t="shared" ref="S44" si="63">+R44*(1+S43)</f>
        <v>1.0292270133517714</v>
      </c>
      <c r="T44" s="95">
        <f t="shared" ref="T44" si="64">+S44*(1+T43)</f>
        <v>1.0313470524837753</v>
      </c>
      <c r="U44" s="95">
        <f t="shared" ref="U44" si="65">+T44*(1+U43)</f>
        <v>1.0334714585492768</v>
      </c>
      <c r="V44" s="95">
        <f t="shared" ref="V44" si="66">+U44*(1+V43)</f>
        <v>1.0356002405434439</v>
      </c>
      <c r="W44" s="95">
        <f t="shared" ref="W44" si="67">+V44*(1+W43)</f>
        <v>1.0377334074799731</v>
      </c>
      <c r="X44" s="95">
        <f t="shared" ref="X44" si="68">+W44*(1+X43)</f>
        <v>1.0398709683911278</v>
      </c>
      <c r="Y44" s="95">
        <f t="shared" ref="Y44" si="69">+X44*(1+Y43)</f>
        <v>1.0420129323277763</v>
      </c>
      <c r="Z44" s="95">
        <f t="shared" ref="Z44" si="70">+Y44*(1+Z43)</f>
        <v>1.0441593083594303</v>
      </c>
      <c r="AA44" s="95">
        <f t="shared" ref="AA44" si="71">+Z44*(1+AA43)</f>
        <v>1.0463101055742829</v>
      </c>
      <c r="AB44" s="95">
        <f t="shared" ref="AB44" si="72">+AA44*(1+AB43)</f>
        <v>1.0484653330792479</v>
      </c>
      <c r="AC44" s="95">
        <f t="shared" ref="AC44" si="73">+AB44*(1+AC43)</f>
        <v>1.0506249999999973</v>
      </c>
      <c r="AD44" s="95">
        <f t="shared" ref="AD44" si="74">+AC44*(1+AD43)</f>
        <v>1.0527891154810007</v>
      </c>
      <c r="AE44" s="95">
        <f t="shared" ref="AE44" si="75">+AD44*(1+AE43)</f>
        <v>1.0549576886855641</v>
      </c>
      <c r="AF44" s="95">
        <f t="shared" ref="AF44" si="76">+AE44*(1+AF43)</f>
        <v>1.057130728795868</v>
      </c>
      <c r="AG44" s="95">
        <f t="shared" ref="AG44" si="77">+AF44*(1+AG43)</f>
        <v>1.0593082450130069</v>
      </c>
      <c r="AH44" s="95">
        <f t="shared" ref="AH44" si="78">+AG44*(1+AH43)</f>
        <v>1.0614902465570282</v>
      </c>
      <c r="AI44" s="95">
        <f t="shared" ref="AI44" si="79">+AH44*(1+AI43)</f>
        <v>1.0636767426669707</v>
      </c>
      <c r="AJ44" s="95">
        <f t="shared" ref="AJ44" si="80">+AI44*(1+AJ43)</f>
        <v>1.0658677426009042</v>
      </c>
      <c r="AK44" s="95">
        <f t="shared" ref="AK44" si="81">+AJ44*(1+AK43)</f>
        <v>1.068063255635969</v>
      </c>
      <c r="AL44" s="95">
        <f t="shared" ref="AL44" si="82">+AK44*(1+AL43)</f>
        <v>1.0702632910684142</v>
      </c>
      <c r="AM44" s="95">
        <f t="shared" ref="AM44" si="83">+AL44*(1+AM43)</f>
        <v>1.0724678582136382</v>
      </c>
      <c r="AN44" s="95">
        <f t="shared" ref="AN44" si="84">+AM44*(1+AN43)</f>
        <v>1.0746769664062272</v>
      </c>
      <c r="AO44" s="95">
        <f t="shared" ref="AO44" si="85">+AN44*(1+AO43)</f>
        <v>1.0768906249999954</v>
      </c>
      <c r="AP44" s="95">
        <f t="shared" ref="AP44" si="86">+AO44*(1+AP43)</f>
        <v>1.079108843368024</v>
      </c>
      <c r="AQ44" s="95">
        <f t="shared" ref="AQ44" si="87">+AP44*(1+AQ43)</f>
        <v>1.0813316309027015</v>
      </c>
      <c r="AR44" s="95">
        <f t="shared" ref="AR44" si="88">+AQ44*(1+AR43)</f>
        <v>1.0835589970157631</v>
      </c>
      <c r="AS44" s="95">
        <f t="shared" ref="AS44" si="89">+AR44*(1+AS43)</f>
        <v>1.0857909511383306</v>
      </c>
      <c r="AT44" s="95">
        <f t="shared" ref="AT44" si="90">+AS44*(1+AT43)</f>
        <v>1.0880275027209523</v>
      </c>
      <c r="AU44" s="95">
        <f t="shared" ref="AU44" si="91">+AT44*(1+AU43)</f>
        <v>1.0902686612336434</v>
      </c>
      <c r="AV44" s="95">
        <f t="shared" ref="AV44" si="92">+AU44*(1+AV43)</f>
        <v>1.0925144361659254</v>
      </c>
      <c r="AW44" s="95">
        <f t="shared" ref="AW44" si="93">+AV44*(1+AW43)</f>
        <v>1.0947648370268668</v>
      </c>
      <c r="AX44" s="95">
        <f t="shared" ref="AX44" si="94">+AW44*(1+AX43)</f>
        <v>1.0970198733451233</v>
      </c>
      <c r="AY44" s="95">
        <f t="shared" ref="AY44" si="95">+AX44*(1+AY43)</f>
        <v>1.099279554668978</v>
      </c>
      <c r="AZ44" s="95">
        <f t="shared" ref="AZ44" si="96">+AY44*(1+AZ43)</f>
        <v>1.1015438905663817</v>
      </c>
      <c r="BA44" s="95">
        <f t="shared" ref="BA44" si="97">+AZ44*(1+BA43)</f>
        <v>1.103812890624994</v>
      </c>
      <c r="BB44" s="95">
        <f t="shared" ref="BB44" si="98">+BA44*(1+BB43)</f>
        <v>1.1060865644522233</v>
      </c>
      <c r="BC44" s="95">
        <f t="shared" ref="BC44" si="99">+BB44*(1+BC43)</f>
        <v>1.1083649216752678</v>
      </c>
      <c r="BD44" s="95">
        <f t="shared" ref="BD44" si="100">+BC44*(1+BD43)</f>
        <v>1.1106479719411559</v>
      </c>
      <c r="BE44" s="95">
        <f t="shared" ref="BE44" si="101">+BD44*(1+BE43)</f>
        <v>1.1129357249167877</v>
      </c>
      <c r="BF44" s="95">
        <f t="shared" ref="BF44" si="102">+BE44*(1+BF43)</f>
        <v>1.1152281902889751</v>
      </c>
      <c r="BG44" s="95">
        <f t="shared" ref="BG44" si="103">+BF44*(1+BG43)</f>
        <v>1.1175253777644834</v>
      </c>
      <c r="BH44" s="95">
        <f t="shared" ref="BH44" si="104">+BG44*(1+BH43)</f>
        <v>1.1198272970700724</v>
      </c>
      <c r="BI44" s="95">
        <f t="shared" ref="BI44" si="105">+BH44*(1+BI43)</f>
        <v>1.1221339579525373</v>
      </c>
      <c r="BJ44" s="95">
        <f t="shared" ref="BJ44" si="106">+BI44*(1+BJ43)</f>
        <v>1.1244453701787502</v>
      </c>
      <c r="BK44" s="95">
        <f t="shared" ref="BK44" si="107">+BJ44*(1+BK43)</f>
        <v>1.1267615435357012</v>
      </c>
      <c r="BL44" s="95">
        <f t="shared" ref="BL44" si="108">+BK44*(1+BL43)</f>
        <v>1.1290824878305401</v>
      </c>
      <c r="BM44" s="95">
        <f t="shared" ref="BM44" si="109">+BL44*(1+BM43)</f>
        <v>1.1314082128906178</v>
      </c>
      <c r="BN44" s="95">
        <f t="shared" ref="BN44" si="110">+BM44*(1+BN43)</f>
        <v>1.1337387285635279</v>
      </c>
      <c r="BO44" s="95">
        <f t="shared" ref="BO44" si="111">+BN44*(1+BO43)</f>
        <v>1.1360740447171485</v>
      </c>
      <c r="BP44" s="95">
        <f t="shared" ref="BP44" si="112">+BO44*(1+BP43)</f>
        <v>1.1384141712396838</v>
      </c>
      <c r="BQ44" s="95">
        <f t="shared" ref="BQ44" si="113">+BP44*(1+BQ43)</f>
        <v>1.1407591180397063</v>
      </c>
      <c r="BR44" s="95">
        <f t="shared" ref="BR44" si="114">+BQ44*(1+BR43)</f>
        <v>1.1431088950461983</v>
      </c>
      <c r="BS44" s="95">
        <f t="shared" ref="BS44" si="115">+BR44*(1+BS43)</f>
        <v>1.1454635122085943</v>
      </c>
      <c r="BT44" s="95">
        <f t="shared" ref="BT44" si="116">+BS44*(1+BT43)</f>
        <v>1.1478229794968231</v>
      </c>
      <c r="BU44" s="95">
        <f t="shared" ref="BU44" si="117">+BT44*(1+BU43)</f>
        <v>1.1501873069013495</v>
      </c>
      <c r="BV44" s="95">
        <f t="shared" ref="BV44" si="118">+BU44*(1+BV43)</f>
        <v>1.1525565044332176</v>
      </c>
      <c r="BW44" s="95">
        <f t="shared" ref="BW44" si="119">+BV44*(1+BW43)</f>
        <v>1.1549305821240923</v>
      </c>
      <c r="BX44" s="95">
        <f t="shared" ref="BX44" si="120">+BW44*(1+BX43)</f>
        <v>1.157309550026302</v>
      </c>
      <c r="BY44" s="95">
        <f t="shared" ref="BY44" si="121">+BX44*(1+BY43)</f>
        <v>1.1596934182128815</v>
      </c>
      <c r="BZ44" s="95">
        <f t="shared" ref="BZ44" si="122">+BY44*(1+BZ43)</f>
        <v>1.1620821967776143</v>
      </c>
      <c r="CA44" s="95">
        <f t="shared" ref="CA44" si="123">+BZ44*(1+CA43)</f>
        <v>1.1644758958350754</v>
      </c>
      <c r="CB44" s="95">
        <f t="shared" ref="CB44" si="124">+CA44*(1+CB43)</f>
        <v>1.1668745255206741</v>
      </c>
      <c r="CC44" s="95">
        <f t="shared" ref="CC44" si="125">+CB44*(1+CC43)</f>
        <v>1.169278095990697</v>
      </c>
      <c r="CD44" s="95">
        <f t="shared" ref="CD44" si="126">+CC44*(1+CD43)</f>
        <v>1.1716866174223513</v>
      </c>
      <c r="CE44" s="95">
        <f t="shared" ref="CE44" si="127">+CD44*(1+CE43)</f>
        <v>1.1741001000138072</v>
      </c>
      <c r="CF44" s="95">
        <f t="shared" ref="CF44" si="128">+CE44*(1+CF43)</f>
        <v>1.1765185539842415</v>
      </c>
      <c r="CG44" s="95">
        <f t="shared" ref="CG44" si="129">+CF44*(1+CG43)</f>
        <v>1.1789419895738813</v>
      </c>
      <c r="CH44" s="95">
        <f t="shared" ref="CH44" si="130">+CG44*(1+CH43)</f>
        <v>1.1813704170440462</v>
      </c>
      <c r="CI44" s="95">
        <f t="shared" ref="CI44" si="131">+CH44*(1+CI43)</f>
        <v>1.1838038466771927</v>
      </c>
      <c r="CJ44" s="95">
        <f t="shared" ref="CJ44" si="132">+CI44*(1+CJ43)</f>
        <v>1.1862422887769577</v>
      </c>
      <c r="CK44" s="95">
        <f t="shared" ref="CK44" si="133">+CJ44*(1+CK43)</f>
        <v>1.1886857536682018</v>
      </c>
    </row>
    <row r="45" spans="2:89" outlineLevel="1" x14ac:dyDescent="0.25">
      <c r="L45" s="58"/>
    </row>
    <row r="46" spans="2:89" outlineLevel="1" x14ac:dyDescent="0.25">
      <c r="C46" s="2" t="s">
        <v>47</v>
      </c>
      <c r="D46" s="13" t="s">
        <v>5</v>
      </c>
      <c r="F46" s="116">
        <f t="shared" ref="F46:AK46" si="134">(1+Expense_Inflation)^(1/Months)-1</f>
        <v>2.0598362698427408E-3</v>
      </c>
      <c r="G46" s="116">
        <f t="shared" si="134"/>
        <v>2.0598362698427408E-3</v>
      </c>
      <c r="H46" s="116">
        <f t="shared" si="134"/>
        <v>2.0598362698427408E-3</v>
      </c>
      <c r="I46" s="116">
        <f t="shared" si="134"/>
        <v>2.0598362698427408E-3</v>
      </c>
      <c r="J46" s="116">
        <f t="shared" si="134"/>
        <v>2.0598362698427408E-3</v>
      </c>
      <c r="K46" s="116">
        <f t="shared" si="134"/>
        <v>2.0598362698427408E-3</v>
      </c>
      <c r="L46" s="116">
        <f t="shared" si="134"/>
        <v>2.0598362698427408E-3</v>
      </c>
      <c r="M46" s="116">
        <f t="shared" si="134"/>
        <v>2.0598362698427408E-3</v>
      </c>
      <c r="N46" s="116">
        <f t="shared" si="134"/>
        <v>2.0598362698427408E-3</v>
      </c>
      <c r="O46" s="116">
        <f t="shared" si="134"/>
        <v>2.0598362698427408E-3</v>
      </c>
      <c r="P46" s="116">
        <f t="shared" si="134"/>
        <v>2.0598362698427408E-3</v>
      </c>
      <c r="Q46" s="116">
        <f t="shared" si="134"/>
        <v>2.0598362698427408E-3</v>
      </c>
      <c r="R46" s="116">
        <f t="shared" si="134"/>
        <v>2.0598362698427408E-3</v>
      </c>
      <c r="S46" s="116">
        <f t="shared" si="134"/>
        <v>2.0598362698427408E-3</v>
      </c>
      <c r="T46" s="116">
        <f t="shared" si="134"/>
        <v>2.0598362698427408E-3</v>
      </c>
      <c r="U46" s="116">
        <f t="shared" si="134"/>
        <v>2.0598362698427408E-3</v>
      </c>
      <c r="V46" s="116">
        <f t="shared" si="134"/>
        <v>2.0598362698427408E-3</v>
      </c>
      <c r="W46" s="116">
        <f t="shared" si="134"/>
        <v>2.0598362698427408E-3</v>
      </c>
      <c r="X46" s="116">
        <f t="shared" si="134"/>
        <v>2.0598362698427408E-3</v>
      </c>
      <c r="Y46" s="116">
        <f t="shared" si="134"/>
        <v>2.0598362698427408E-3</v>
      </c>
      <c r="Z46" s="116">
        <f t="shared" si="134"/>
        <v>2.0598362698427408E-3</v>
      </c>
      <c r="AA46" s="116">
        <f t="shared" si="134"/>
        <v>2.0598362698427408E-3</v>
      </c>
      <c r="AB46" s="116">
        <f t="shared" si="134"/>
        <v>2.0598362698427408E-3</v>
      </c>
      <c r="AC46" s="116">
        <f t="shared" si="134"/>
        <v>2.0598362698427408E-3</v>
      </c>
      <c r="AD46" s="116">
        <f t="shared" si="134"/>
        <v>2.0598362698427408E-3</v>
      </c>
      <c r="AE46" s="116">
        <f t="shared" si="134"/>
        <v>2.0598362698427408E-3</v>
      </c>
      <c r="AF46" s="116">
        <f t="shared" si="134"/>
        <v>2.0598362698427408E-3</v>
      </c>
      <c r="AG46" s="116">
        <f t="shared" si="134"/>
        <v>2.0598362698427408E-3</v>
      </c>
      <c r="AH46" s="116">
        <f t="shared" si="134"/>
        <v>2.0598362698427408E-3</v>
      </c>
      <c r="AI46" s="116">
        <f t="shared" si="134"/>
        <v>2.0598362698427408E-3</v>
      </c>
      <c r="AJ46" s="116">
        <f t="shared" si="134"/>
        <v>2.0598362698427408E-3</v>
      </c>
      <c r="AK46" s="116">
        <f t="shared" si="134"/>
        <v>2.0598362698427408E-3</v>
      </c>
      <c r="AL46" s="116">
        <f t="shared" ref="AL46:BQ46" si="135">(1+Expense_Inflation)^(1/Months)-1</f>
        <v>2.0598362698427408E-3</v>
      </c>
      <c r="AM46" s="116">
        <f t="shared" si="135"/>
        <v>2.0598362698427408E-3</v>
      </c>
      <c r="AN46" s="116">
        <f t="shared" si="135"/>
        <v>2.0598362698427408E-3</v>
      </c>
      <c r="AO46" s="116">
        <f t="shared" si="135"/>
        <v>2.0598362698427408E-3</v>
      </c>
      <c r="AP46" s="116">
        <f t="shared" si="135"/>
        <v>2.0598362698427408E-3</v>
      </c>
      <c r="AQ46" s="116">
        <f t="shared" si="135"/>
        <v>2.0598362698427408E-3</v>
      </c>
      <c r="AR46" s="116">
        <f t="shared" si="135"/>
        <v>2.0598362698427408E-3</v>
      </c>
      <c r="AS46" s="116">
        <f t="shared" si="135"/>
        <v>2.0598362698427408E-3</v>
      </c>
      <c r="AT46" s="116">
        <f t="shared" si="135"/>
        <v>2.0598362698427408E-3</v>
      </c>
      <c r="AU46" s="116">
        <f t="shared" si="135"/>
        <v>2.0598362698427408E-3</v>
      </c>
      <c r="AV46" s="116">
        <f t="shared" si="135"/>
        <v>2.0598362698427408E-3</v>
      </c>
      <c r="AW46" s="116">
        <f t="shared" si="135"/>
        <v>2.0598362698427408E-3</v>
      </c>
      <c r="AX46" s="116">
        <f t="shared" si="135"/>
        <v>2.0598362698427408E-3</v>
      </c>
      <c r="AY46" s="116">
        <f t="shared" si="135"/>
        <v>2.0598362698427408E-3</v>
      </c>
      <c r="AZ46" s="116">
        <f t="shared" si="135"/>
        <v>2.0598362698427408E-3</v>
      </c>
      <c r="BA46" s="116">
        <f t="shared" si="135"/>
        <v>2.0598362698427408E-3</v>
      </c>
      <c r="BB46" s="116">
        <f t="shared" si="135"/>
        <v>2.0598362698427408E-3</v>
      </c>
      <c r="BC46" s="116">
        <f t="shared" si="135"/>
        <v>2.0598362698427408E-3</v>
      </c>
      <c r="BD46" s="116">
        <f t="shared" si="135"/>
        <v>2.0598362698427408E-3</v>
      </c>
      <c r="BE46" s="116">
        <f t="shared" si="135"/>
        <v>2.0598362698427408E-3</v>
      </c>
      <c r="BF46" s="116">
        <f t="shared" si="135"/>
        <v>2.0598362698427408E-3</v>
      </c>
      <c r="BG46" s="116">
        <f t="shared" si="135"/>
        <v>2.0598362698427408E-3</v>
      </c>
      <c r="BH46" s="116">
        <f t="shared" si="135"/>
        <v>2.0598362698427408E-3</v>
      </c>
      <c r="BI46" s="116">
        <f t="shared" si="135"/>
        <v>2.0598362698427408E-3</v>
      </c>
      <c r="BJ46" s="116">
        <f t="shared" si="135"/>
        <v>2.0598362698427408E-3</v>
      </c>
      <c r="BK46" s="116">
        <f t="shared" si="135"/>
        <v>2.0598362698427408E-3</v>
      </c>
      <c r="BL46" s="116">
        <f t="shared" si="135"/>
        <v>2.0598362698427408E-3</v>
      </c>
      <c r="BM46" s="116">
        <f t="shared" si="135"/>
        <v>2.0598362698427408E-3</v>
      </c>
      <c r="BN46" s="116">
        <f t="shared" si="135"/>
        <v>2.0598362698427408E-3</v>
      </c>
      <c r="BO46" s="116">
        <f t="shared" si="135"/>
        <v>2.0598362698427408E-3</v>
      </c>
      <c r="BP46" s="116">
        <f t="shared" si="135"/>
        <v>2.0598362698427408E-3</v>
      </c>
      <c r="BQ46" s="116">
        <f t="shared" si="135"/>
        <v>2.0598362698427408E-3</v>
      </c>
      <c r="BR46" s="116">
        <f t="shared" ref="BR46:CK46" si="136">(1+Expense_Inflation)^(1/Months)-1</f>
        <v>2.0598362698427408E-3</v>
      </c>
      <c r="BS46" s="116">
        <f t="shared" si="136"/>
        <v>2.0598362698427408E-3</v>
      </c>
      <c r="BT46" s="116">
        <f t="shared" si="136"/>
        <v>2.0598362698427408E-3</v>
      </c>
      <c r="BU46" s="116">
        <f t="shared" si="136"/>
        <v>2.0598362698427408E-3</v>
      </c>
      <c r="BV46" s="116">
        <f t="shared" si="136"/>
        <v>2.0598362698427408E-3</v>
      </c>
      <c r="BW46" s="116">
        <f t="shared" si="136"/>
        <v>2.0598362698427408E-3</v>
      </c>
      <c r="BX46" s="116">
        <f t="shared" si="136"/>
        <v>2.0598362698427408E-3</v>
      </c>
      <c r="BY46" s="116">
        <f t="shared" si="136"/>
        <v>2.0598362698427408E-3</v>
      </c>
      <c r="BZ46" s="116">
        <f t="shared" si="136"/>
        <v>2.0598362698427408E-3</v>
      </c>
      <c r="CA46" s="116">
        <f t="shared" si="136"/>
        <v>2.0598362698427408E-3</v>
      </c>
      <c r="CB46" s="116">
        <f t="shared" si="136"/>
        <v>2.0598362698427408E-3</v>
      </c>
      <c r="CC46" s="116">
        <f t="shared" si="136"/>
        <v>2.0598362698427408E-3</v>
      </c>
      <c r="CD46" s="116">
        <f t="shared" si="136"/>
        <v>2.0598362698427408E-3</v>
      </c>
      <c r="CE46" s="116">
        <f t="shared" si="136"/>
        <v>2.0598362698427408E-3</v>
      </c>
      <c r="CF46" s="116">
        <f t="shared" si="136"/>
        <v>2.0598362698427408E-3</v>
      </c>
      <c r="CG46" s="116">
        <f t="shared" si="136"/>
        <v>2.0598362698427408E-3</v>
      </c>
      <c r="CH46" s="116">
        <f t="shared" si="136"/>
        <v>2.0598362698427408E-3</v>
      </c>
      <c r="CI46" s="116">
        <f t="shared" si="136"/>
        <v>2.0598362698427408E-3</v>
      </c>
      <c r="CJ46" s="116">
        <f t="shared" si="136"/>
        <v>2.0598362698427408E-3</v>
      </c>
      <c r="CK46" s="116">
        <f t="shared" si="136"/>
        <v>2.0598362698427408E-3</v>
      </c>
    </row>
    <row r="47" spans="2:89" outlineLevel="1" x14ac:dyDescent="0.25">
      <c r="C47" s="2" t="s">
        <v>84</v>
      </c>
      <c r="D47" s="13" t="s">
        <v>3</v>
      </c>
      <c r="E47" s="94">
        <v>1</v>
      </c>
      <c r="F47" s="95">
        <f>+E47*(1+F46)</f>
        <v>1.0020598362698427</v>
      </c>
      <c r="G47" s="95">
        <f t="shared" ref="G47:H47" si="137">+F47*(1+G46)</f>
        <v>1.004123915465144</v>
      </c>
      <c r="H47" s="95">
        <f t="shared" si="137"/>
        <v>1.0061922463256356</v>
      </c>
      <c r="I47" s="95">
        <f t="shared" ref="I47" si="138">+H47*(1+I46)</f>
        <v>1.0082648376090517</v>
      </c>
      <c r="J47" s="95">
        <f t="shared" ref="J47" si="139">+I47*(1+J46)</f>
        <v>1.0103416980911659</v>
      </c>
      <c r="K47" s="95">
        <f t="shared" ref="K47" si="140">+J47*(1+K46)</f>
        <v>1.0124228365658285</v>
      </c>
      <c r="L47" s="95">
        <f t="shared" ref="L47" si="141">+K47*(1+L46)</f>
        <v>1.0145082618450039</v>
      </c>
      <c r="M47" s="95">
        <f t="shared" ref="M47" si="142">+L47*(1+M46)</f>
        <v>1.0165979827588074</v>
      </c>
      <c r="N47" s="95">
        <f t="shared" ref="N47" si="143">+M47*(1+N46)</f>
        <v>1.0186920081555431</v>
      </c>
      <c r="O47" s="95">
        <f t="shared" ref="O47" si="144">+N47*(1+O46)</f>
        <v>1.0207903469017408</v>
      </c>
      <c r="P47" s="95">
        <f t="shared" ref="P47" si="145">+O47*(1+P46)</f>
        <v>1.0228930078821943</v>
      </c>
      <c r="Q47" s="95">
        <f t="shared" ref="Q47" si="146">+P47*(1+Q46)</f>
        <v>1.0249999999999986</v>
      </c>
      <c r="R47" s="95">
        <f t="shared" ref="R47" si="147">+Q47*(1+R46)</f>
        <v>1.0271113321765875</v>
      </c>
      <c r="S47" s="95">
        <f t="shared" ref="S47" si="148">+R47*(1+S46)</f>
        <v>1.0292270133517714</v>
      </c>
      <c r="T47" s="95">
        <f t="shared" ref="T47" si="149">+S47*(1+T46)</f>
        <v>1.0313470524837753</v>
      </c>
      <c r="U47" s="95">
        <f t="shared" ref="U47" si="150">+T47*(1+U46)</f>
        <v>1.0334714585492768</v>
      </c>
      <c r="V47" s="95">
        <f t="shared" ref="V47" si="151">+U47*(1+V46)</f>
        <v>1.0356002405434439</v>
      </c>
      <c r="W47" s="95">
        <f t="shared" ref="W47" si="152">+V47*(1+W46)</f>
        <v>1.0377334074799731</v>
      </c>
      <c r="X47" s="95">
        <f t="shared" ref="X47" si="153">+W47*(1+X46)</f>
        <v>1.0398709683911278</v>
      </c>
      <c r="Y47" s="95">
        <f t="shared" ref="Y47" si="154">+X47*(1+Y46)</f>
        <v>1.0420129323277763</v>
      </c>
      <c r="Z47" s="95">
        <f t="shared" ref="Z47" si="155">+Y47*(1+Z46)</f>
        <v>1.0441593083594303</v>
      </c>
      <c r="AA47" s="95">
        <f t="shared" ref="AA47" si="156">+Z47*(1+AA46)</f>
        <v>1.0463101055742829</v>
      </c>
      <c r="AB47" s="95">
        <f t="shared" ref="AB47" si="157">+AA47*(1+AB46)</f>
        <v>1.0484653330792479</v>
      </c>
      <c r="AC47" s="95">
        <f t="shared" ref="AC47" si="158">+AB47*(1+AC46)</f>
        <v>1.0506249999999973</v>
      </c>
      <c r="AD47" s="95">
        <f t="shared" ref="AD47" si="159">+AC47*(1+AD46)</f>
        <v>1.0527891154810007</v>
      </c>
      <c r="AE47" s="95">
        <f t="shared" ref="AE47" si="160">+AD47*(1+AE46)</f>
        <v>1.0549576886855641</v>
      </c>
      <c r="AF47" s="95">
        <f t="shared" ref="AF47" si="161">+AE47*(1+AF46)</f>
        <v>1.057130728795868</v>
      </c>
      <c r="AG47" s="95">
        <f t="shared" ref="AG47" si="162">+AF47*(1+AG46)</f>
        <v>1.0593082450130069</v>
      </c>
      <c r="AH47" s="95">
        <f t="shared" ref="AH47" si="163">+AG47*(1+AH46)</f>
        <v>1.0614902465570282</v>
      </c>
      <c r="AI47" s="95">
        <f t="shared" ref="AI47" si="164">+AH47*(1+AI46)</f>
        <v>1.0636767426669707</v>
      </c>
      <c r="AJ47" s="95">
        <f t="shared" ref="AJ47" si="165">+AI47*(1+AJ46)</f>
        <v>1.0658677426009042</v>
      </c>
      <c r="AK47" s="95">
        <f t="shared" ref="AK47" si="166">+AJ47*(1+AK46)</f>
        <v>1.068063255635969</v>
      </c>
      <c r="AL47" s="95">
        <f t="shared" ref="AL47" si="167">+AK47*(1+AL46)</f>
        <v>1.0702632910684142</v>
      </c>
      <c r="AM47" s="95">
        <f t="shared" ref="AM47" si="168">+AL47*(1+AM46)</f>
        <v>1.0724678582136382</v>
      </c>
      <c r="AN47" s="95">
        <f t="shared" ref="AN47" si="169">+AM47*(1+AN46)</f>
        <v>1.0746769664062272</v>
      </c>
      <c r="AO47" s="95">
        <f t="shared" ref="AO47" si="170">+AN47*(1+AO46)</f>
        <v>1.0768906249999954</v>
      </c>
      <c r="AP47" s="95">
        <f t="shared" ref="AP47" si="171">+AO47*(1+AP46)</f>
        <v>1.079108843368024</v>
      </c>
      <c r="AQ47" s="95">
        <f t="shared" ref="AQ47" si="172">+AP47*(1+AQ46)</f>
        <v>1.0813316309027015</v>
      </c>
      <c r="AR47" s="95">
        <f t="shared" ref="AR47" si="173">+AQ47*(1+AR46)</f>
        <v>1.0835589970157631</v>
      </c>
      <c r="AS47" s="95">
        <f t="shared" ref="AS47" si="174">+AR47*(1+AS46)</f>
        <v>1.0857909511383306</v>
      </c>
      <c r="AT47" s="95">
        <f t="shared" ref="AT47" si="175">+AS47*(1+AT46)</f>
        <v>1.0880275027209523</v>
      </c>
      <c r="AU47" s="95">
        <f t="shared" ref="AU47" si="176">+AT47*(1+AU46)</f>
        <v>1.0902686612336434</v>
      </c>
      <c r="AV47" s="95">
        <f t="shared" ref="AV47" si="177">+AU47*(1+AV46)</f>
        <v>1.0925144361659254</v>
      </c>
      <c r="AW47" s="95">
        <f t="shared" ref="AW47" si="178">+AV47*(1+AW46)</f>
        <v>1.0947648370268668</v>
      </c>
      <c r="AX47" s="95">
        <f t="shared" ref="AX47" si="179">+AW47*(1+AX46)</f>
        <v>1.0970198733451233</v>
      </c>
      <c r="AY47" s="95">
        <f t="shared" ref="AY47" si="180">+AX47*(1+AY46)</f>
        <v>1.099279554668978</v>
      </c>
      <c r="AZ47" s="95">
        <f t="shared" ref="AZ47" si="181">+AY47*(1+AZ46)</f>
        <v>1.1015438905663817</v>
      </c>
      <c r="BA47" s="95">
        <f t="shared" ref="BA47" si="182">+AZ47*(1+BA46)</f>
        <v>1.103812890624994</v>
      </c>
      <c r="BB47" s="95">
        <f t="shared" ref="BB47" si="183">+BA47*(1+BB46)</f>
        <v>1.1060865644522233</v>
      </c>
      <c r="BC47" s="95">
        <f t="shared" ref="BC47" si="184">+BB47*(1+BC46)</f>
        <v>1.1083649216752678</v>
      </c>
      <c r="BD47" s="95">
        <f t="shared" ref="BD47" si="185">+BC47*(1+BD46)</f>
        <v>1.1106479719411559</v>
      </c>
      <c r="BE47" s="95">
        <f t="shared" ref="BE47" si="186">+BD47*(1+BE46)</f>
        <v>1.1129357249167877</v>
      </c>
      <c r="BF47" s="95">
        <f t="shared" ref="BF47" si="187">+BE47*(1+BF46)</f>
        <v>1.1152281902889751</v>
      </c>
      <c r="BG47" s="95">
        <f t="shared" ref="BG47" si="188">+BF47*(1+BG46)</f>
        <v>1.1175253777644834</v>
      </c>
      <c r="BH47" s="95">
        <f t="shared" ref="BH47" si="189">+BG47*(1+BH46)</f>
        <v>1.1198272970700724</v>
      </c>
      <c r="BI47" s="95">
        <f t="shared" ref="BI47" si="190">+BH47*(1+BI46)</f>
        <v>1.1221339579525373</v>
      </c>
      <c r="BJ47" s="95">
        <f t="shared" ref="BJ47" si="191">+BI47*(1+BJ46)</f>
        <v>1.1244453701787502</v>
      </c>
      <c r="BK47" s="95">
        <f t="shared" ref="BK47" si="192">+BJ47*(1+BK46)</f>
        <v>1.1267615435357012</v>
      </c>
      <c r="BL47" s="95">
        <f t="shared" ref="BL47" si="193">+BK47*(1+BL46)</f>
        <v>1.1290824878305401</v>
      </c>
      <c r="BM47" s="95">
        <f t="shared" ref="BM47" si="194">+BL47*(1+BM46)</f>
        <v>1.1314082128906178</v>
      </c>
      <c r="BN47" s="95">
        <f t="shared" ref="BN47" si="195">+BM47*(1+BN46)</f>
        <v>1.1337387285635279</v>
      </c>
      <c r="BO47" s="95">
        <f t="shared" ref="BO47" si="196">+BN47*(1+BO46)</f>
        <v>1.1360740447171485</v>
      </c>
      <c r="BP47" s="95">
        <f t="shared" ref="BP47" si="197">+BO47*(1+BP46)</f>
        <v>1.1384141712396838</v>
      </c>
      <c r="BQ47" s="95">
        <f t="shared" ref="BQ47" si="198">+BP47*(1+BQ46)</f>
        <v>1.1407591180397063</v>
      </c>
      <c r="BR47" s="95">
        <f t="shared" ref="BR47" si="199">+BQ47*(1+BR46)</f>
        <v>1.1431088950461983</v>
      </c>
      <c r="BS47" s="95">
        <f t="shared" ref="BS47" si="200">+BR47*(1+BS46)</f>
        <v>1.1454635122085943</v>
      </c>
      <c r="BT47" s="95">
        <f t="shared" ref="BT47" si="201">+BS47*(1+BT46)</f>
        <v>1.1478229794968231</v>
      </c>
      <c r="BU47" s="95">
        <f t="shared" ref="BU47" si="202">+BT47*(1+BU46)</f>
        <v>1.1501873069013495</v>
      </c>
      <c r="BV47" s="95">
        <f t="shared" ref="BV47" si="203">+BU47*(1+BV46)</f>
        <v>1.1525565044332176</v>
      </c>
      <c r="BW47" s="95">
        <f t="shared" ref="BW47" si="204">+BV47*(1+BW46)</f>
        <v>1.1549305821240923</v>
      </c>
      <c r="BX47" s="95">
        <f t="shared" ref="BX47" si="205">+BW47*(1+BX46)</f>
        <v>1.157309550026302</v>
      </c>
      <c r="BY47" s="95">
        <f t="shared" ref="BY47" si="206">+BX47*(1+BY46)</f>
        <v>1.1596934182128815</v>
      </c>
      <c r="BZ47" s="95">
        <f t="shared" ref="BZ47" si="207">+BY47*(1+BZ46)</f>
        <v>1.1620821967776143</v>
      </c>
      <c r="CA47" s="95">
        <f t="shared" ref="CA47" si="208">+BZ47*(1+CA46)</f>
        <v>1.1644758958350754</v>
      </c>
      <c r="CB47" s="95">
        <f t="shared" ref="CB47" si="209">+CA47*(1+CB46)</f>
        <v>1.1668745255206741</v>
      </c>
      <c r="CC47" s="95">
        <f t="shared" ref="CC47" si="210">+CB47*(1+CC46)</f>
        <v>1.169278095990697</v>
      </c>
      <c r="CD47" s="95">
        <f t="shared" ref="CD47" si="211">+CC47*(1+CD46)</f>
        <v>1.1716866174223513</v>
      </c>
      <c r="CE47" s="95">
        <f t="shared" ref="CE47" si="212">+CD47*(1+CE46)</f>
        <v>1.1741001000138072</v>
      </c>
      <c r="CF47" s="95">
        <f t="shared" ref="CF47" si="213">+CE47*(1+CF46)</f>
        <v>1.1765185539842415</v>
      </c>
      <c r="CG47" s="95">
        <f t="shared" ref="CG47" si="214">+CF47*(1+CG46)</f>
        <v>1.1789419895738813</v>
      </c>
      <c r="CH47" s="95">
        <f t="shared" ref="CH47" si="215">+CG47*(1+CH46)</f>
        <v>1.1813704170440462</v>
      </c>
      <c r="CI47" s="95">
        <f t="shared" ref="CI47" si="216">+CH47*(1+CI46)</f>
        <v>1.1838038466771927</v>
      </c>
      <c r="CJ47" s="95">
        <f t="shared" ref="CJ47" si="217">+CI47*(1+CJ46)</f>
        <v>1.1862422887769577</v>
      </c>
      <c r="CK47" s="95">
        <f t="shared" ref="CK47" si="218">+CJ47*(1+CK46)</f>
        <v>1.1886857536682018</v>
      </c>
    </row>
    <row r="48" spans="2:89" outlineLevel="1" x14ac:dyDescent="0.25">
      <c r="E48" s="37"/>
      <c r="L48" s="58"/>
      <c r="AP48" s="170"/>
    </row>
    <row r="49" spans="3:89" outlineLevel="1" x14ac:dyDescent="0.25">
      <c r="C49" s="122" t="s">
        <v>182</v>
      </c>
      <c r="D49" s="13" t="s">
        <v>5</v>
      </c>
      <c r="E49" s="37"/>
      <c r="F49" s="16">
        <v>7.0000000000000007E-2</v>
      </c>
      <c r="G49" s="16">
        <v>0.02</v>
      </c>
      <c r="H49" s="16">
        <v>0.03</v>
      </c>
      <c r="I49" s="16">
        <v>0.01</v>
      </c>
      <c r="J49" s="16">
        <v>0.02</v>
      </c>
      <c r="K49" s="16">
        <v>0.01</v>
      </c>
      <c r="L49" s="16">
        <v>0.08</v>
      </c>
      <c r="M49" s="16">
        <v>0.04</v>
      </c>
      <c r="N49" s="16">
        <v>0.02</v>
      </c>
      <c r="O49" s="16">
        <v>0.03</v>
      </c>
      <c r="P49" s="16">
        <v>0.01</v>
      </c>
      <c r="Q49" s="16">
        <v>0.05</v>
      </c>
      <c r="R49" s="16">
        <v>0.01</v>
      </c>
      <c r="S49" s="16">
        <v>0.02</v>
      </c>
      <c r="T49" s="16">
        <v>0.01</v>
      </c>
      <c r="U49" s="16">
        <v>0.01</v>
      </c>
      <c r="V49" s="16">
        <v>0.03</v>
      </c>
      <c r="W49" s="16">
        <v>0.02</v>
      </c>
      <c r="X49" s="16">
        <v>0.04</v>
      </c>
      <c r="Y49" s="16">
        <v>0.01</v>
      </c>
      <c r="Z49" s="16">
        <v>0.01</v>
      </c>
      <c r="AA49" s="16">
        <v>0.03</v>
      </c>
      <c r="AB49" s="16">
        <v>0.02</v>
      </c>
      <c r="AC49" s="16">
        <v>0.02</v>
      </c>
      <c r="AD49" s="16">
        <v>7.0000000000000007E-2</v>
      </c>
      <c r="AE49" s="16">
        <v>0.02</v>
      </c>
      <c r="AF49" s="16">
        <v>0.03</v>
      </c>
      <c r="AG49" s="16">
        <v>0.03</v>
      </c>
      <c r="AH49" s="16">
        <v>0.02</v>
      </c>
      <c r="AI49" s="16">
        <v>0.01</v>
      </c>
      <c r="AJ49" s="16">
        <v>0.01</v>
      </c>
      <c r="AK49" s="16">
        <v>0.02</v>
      </c>
      <c r="AL49" s="16">
        <v>0.04</v>
      </c>
      <c r="AM49" s="16">
        <v>0.01</v>
      </c>
      <c r="AN49" s="16">
        <v>0.01</v>
      </c>
      <c r="AO49" s="16">
        <v>0.01</v>
      </c>
      <c r="AP49" s="36">
        <f>IF(AP$39=Post_Constr_Phase_End,1-SUM($F49:AO49),0)</f>
        <v>0</v>
      </c>
      <c r="AQ49" s="36">
        <f>IF(AQ$39=Post_Constr_Phase_End,1-SUM($F49:AP49),0)</f>
        <v>0</v>
      </c>
      <c r="AR49" s="36">
        <f>IF(AR$39=Post_Constr_Phase_End,1-SUM($F49:AQ49),0)</f>
        <v>0</v>
      </c>
      <c r="AS49" s="36">
        <f>IF(AS$39=Post_Constr_Phase_End,1-SUM($F49:AR49),0)</f>
        <v>0</v>
      </c>
      <c r="AT49" s="36">
        <f>IF(AT$39=Post_Constr_Phase_End,1-SUM($F49:AS49),0)</f>
        <v>0</v>
      </c>
      <c r="AU49" s="36">
        <f>IF(AU$39=Post_Constr_Phase_End,1-SUM($F49:AT49),0)</f>
        <v>0</v>
      </c>
      <c r="AV49" s="36">
        <f>IF(AV$39=Post_Constr_Phase_End,1-SUM($F49:AU49),0)</f>
        <v>0</v>
      </c>
      <c r="AW49" s="36">
        <f>IF(AW$39=Post_Constr_Phase_End,1-SUM($F49:AV49),0)</f>
        <v>0</v>
      </c>
      <c r="AX49" s="36">
        <f>IF(AX$39=Post_Constr_Phase_End,1-SUM($F49:AW49),0)</f>
        <v>0</v>
      </c>
      <c r="AY49" s="36">
        <f>IF(AY$39=Post_Constr_Phase_End,1-SUM($F49:AX49),0)</f>
        <v>0</v>
      </c>
      <c r="AZ49" s="36">
        <f>IF(AZ$39=Post_Constr_Phase_End,1-SUM($F49:AY49),0)</f>
        <v>9.9999999999999645E-2</v>
      </c>
      <c r="BA49" s="36">
        <f>IF(BA$39=Post_Constr_Phase_End,1-SUM($F49:AZ49),0)</f>
        <v>0</v>
      </c>
      <c r="BB49" s="36">
        <f>IF(BB$39=Post_Constr_Phase_End,1-SUM($F49:BA49),0)</f>
        <v>0</v>
      </c>
      <c r="BC49" s="36">
        <f>IF(BC$39=Post_Constr_Phase_End,1-SUM($F49:BB49),0)</f>
        <v>0</v>
      </c>
      <c r="BD49" s="36">
        <f>IF(BD$39=Post_Constr_Phase_End,1-SUM($F49:BC49),0)</f>
        <v>0</v>
      </c>
      <c r="BE49" s="36">
        <f>IF(BE$39=Post_Constr_Phase_End,1-SUM($F49:BD49),0)</f>
        <v>0</v>
      </c>
      <c r="BF49" s="36">
        <f>IF(BF$39=Post_Constr_Phase_End,1-SUM($F49:BE49),0)</f>
        <v>0</v>
      </c>
      <c r="BG49" s="36">
        <f>IF(BG$39=Post_Constr_Phase_End,1-SUM($F49:BF49),0)</f>
        <v>0</v>
      </c>
      <c r="BH49" s="36">
        <f>IF(BH$39=Post_Constr_Phase_End,1-SUM($F49:BG49),0)</f>
        <v>0</v>
      </c>
      <c r="BI49" s="36">
        <f>IF(BI$39=Post_Constr_Phase_End,1-SUM($F49:BH49),0)</f>
        <v>0</v>
      </c>
      <c r="BJ49" s="36">
        <f>IF(BJ$39=Post_Constr_Phase_End,1-SUM($F49:BI49),0)</f>
        <v>0</v>
      </c>
      <c r="BK49" s="36">
        <f>IF(BK$39=Post_Constr_Phase_End,1-SUM($F49:BJ49),0)</f>
        <v>0</v>
      </c>
      <c r="BL49" s="36">
        <f>IF(BL$39=Post_Constr_Phase_End,1-SUM($F49:BK49),0)</f>
        <v>0</v>
      </c>
      <c r="BM49" s="36">
        <f>IF(BM$39=Post_Constr_Phase_End,1-SUM($F49:BL49),0)</f>
        <v>0</v>
      </c>
      <c r="BN49" s="36">
        <f>IF(BN$39=Post_Constr_Phase_End,1-SUM($F49:BM49),0)</f>
        <v>0</v>
      </c>
      <c r="BO49" s="36">
        <f>IF(BO$39=Post_Constr_Phase_End,1-SUM($F49:BN49),0)</f>
        <v>0</v>
      </c>
      <c r="BP49" s="36">
        <f>IF(BP$39=Post_Constr_Phase_End,1-SUM($F49:BO49),0)</f>
        <v>0</v>
      </c>
      <c r="BQ49" s="36">
        <f>IF(BQ$39=Post_Constr_Phase_End,1-SUM($F49:BP49),0)</f>
        <v>0</v>
      </c>
      <c r="BR49" s="36">
        <f>IF(BR$39=Post_Constr_Phase_End,1-SUM($F49:BQ49),0)</f>
        <v>0</v>
      </c>
      <c r="BS49" s="36">
        <f>IF(BS$39=Post_Constr_Phase_End,1-SUM($F49:BR49),0)</f>
        <v>0</v>
      </c>
      <c r="BT49" s="36">
        <f>IF(BT$39=Post_Constr_Phase_End,1-SUM($F49:BS49),0)</f>
        <v>0</v>
      </c>
      <c r="BU49" s="36">
        <f>IF(BU$39=Post_Constr_Phase_End,1-SUM($F49:BT49),0)</f>
        <v>0</v>
      </c>
      <c r="BV49" s="36">
        <f>IF(BV$39=Post_Constr_Phase_End,1-SUM($F49:BU49),0)</f>
        <v>0</v>
      </c>
      <c r="BW49" s="36">
        <f>IF(BW$39=Post_Constr_Phase_End,1-SUM($F49:BV49),0)</f>
        <v>0</v>
      </c>
      <c r="BX49" s="36">
        <f>IF(BX$39=Post_Constr_Phase_End,1-SUM($F49:BW49),0)</f>
        <v>0</v>
      </c>
      <c r="BY49" s="36">
        <f>IF(BY$39=Post_Constr_Phase_End,1-SUM($F49:BX49),0)</f>
        <v>0</v>
      </c>
      <c r="BZ49" s="36">
        <f>IF(BZ$39=Post_Constr_Phase_End,1-SUM($F49:BY49),0)</f>
        <v>0</v>
      </c>
      <c r="CA49" s="36">
        <f>IF(CA$39=Post_Constr_Phase_End,1-SUM($F49:BZ49),0)</f>
        <v>0</v>
      </c>
      <c r="CB49" s="36">
        <f>IF(CB$39=Post_Constr_Phase_End,1-SUM($F49:CA49),0)</f>
        <v>0</v>
      </c>
      <c r="CC49" s="36">
        <f>IF(CC$39=Post_Constr_Phase_End,1-SUM($F49:CB49),0)</f>
        <v>0</v>
      </c>
      <c r="CD49" s="36">
        <f>IF(CD$39=Post_Constr_Phase_End,1-SUM($F49:CC49),0)</f>
        <v>0</v>
      </c>
      <c r="CE49" s="36">
        <f>IF(CE$39=Post_Constr_Phase_End,1-SUM($F49:CD49),0)</f>
        <v>0</v>
      </c>
      <c r="CF49" s="36">
        <f>IF(CF$39=Post_Constr_Phase_End,1-SUM($F49:CE49),0)</f>
        <v>0</v>
      </c>
      <c r="CG49" s="36">
        <f>IF(CG$39=Post_Constr_Phase_End,1-SUM($F49:CF49),0)</f>
        <v>0</v>
      </c>
      <c r="CH49" s="36">
        <f>IF(CH$39=Post_Constr_Phase_End,1-SUM($F49:CG49),0)</f>
        <v>0</v>
      </c>
      <c r="CI49" s="36">
        <f>IF(CI$39=Post_Constr_Phase_End,1-SUM($F49:CH49),0)</f>
        <v>0</v>
      </c>
      <c r="CJ49" s="36">
        <f>IF(CJ$39=Post_Constr_Phase_End,1-SUM($F49:CI49),0)</f>
        <v>0</v>
      </c>
      <c r="CK49" s="36">
        <f>IF(CK$39=Post_Constr_Phase_End,1-SUM($F49:CJ49),0)</f>
        <v>0</v>
      </c>
    </row>
    <row r="50" spans="3:89" outlineLevel="1" x14ac:dyDescent="0.25">
      <c r="E50" s="37"/>
      <c r="L50" s="58"/>
    </row>
    <row r="51" spans="3:89" outlineLevel="1" x14ac:dyDescent="0.25">
      <c r="C51" s="34" t="s">
        <v>36</v>
      </c>
      <c r="D51" s="63"/>
      <c r="E51" s="63"/>
      <c r="F51" s="63"/>
      <c r="G51" s="63"/>
      <c r="H51" s="63"/>
      <c r="I51" s="63"/>
      <c r="J51" s="63"/>
      <c r="K51" s="63"/>
      <c r="L51" s="96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</row>
    <row r="52" spans="3:89" outlineLevel="1" x14ac:dyDescent="0.25">
      <c r="C52" s="45" t="s">
        <v>43</v>
      </c>
      <c r="D52" s="13" t="s">
        <v>3</v>
      </c>
      <c r="F52" s="90">
        <f t="shared" ref="F52:AK52" si="219">IF(F$39&lt;Ph1_Start_Month,"",MIN(Unit_Sales_per_Month,Phase_1_Units-IF(ISNUMBER(E53),E53,0)))</f>
        <v>1</v>
      </c>
      <c r="G52" s="90">
        <f t="shared" si="219"/>
        <v>1</v>
      </c>
      <c r="H52" s="90">
        <f t="shared" si="219"/>
        <v>1</v>
      </c>
      <c r="I52" s="90">
        <f t="shared" si="219"/>
        <v>1</v>
      </c>
      <c r="J52" s="90">
        <f t="shared" si="219"/>
        <v>1</v>
      </c>
      <c r="K52" s="90">
        <f t="shared" si="219"/>
        <v>1</v>
      </c>
      <c r="L52" s="90">
        <f t="shared" si="219"/>
        <v>1</v>
      </c>
      <c r="M52" s="90">
        <f t="shared" si="219"/>
        <v>1</v>
      </c>
      <c r="N52" s="90">
        <f t="shared" si="219"/>
        <v>1</v>
      </c>
      <c r="O52" s="90">
        <f t="shared" si="219"/>
        <v>1</v>
      </c>
      <c r="P52" s="90">
        <f t="shared" si="219"/>
        <v>0</v>
      </c>
      <c r="Q52" s="90">
        <f t="shared" si="219"/>
        <v>0</v>
      </c>
      <c r="R52" s="90">
        <f t="shared" si="219"/>
        <v>0</v>
      </c>
      <c r="S52" s="90">
        <f t="shared" si="219"/>
        <v>0</v>
      </c>
      <c r="T52" s="90">
        <f t="shared" si="219"/>
        <v>0</v>
      </c>
      <c r="U52" s="90">
        <f t="shared" si="219"/>
        <v>0</v>
      </c>
      <c r="V52" s="90">
        <f t="shared" si="219"/>
        <v>0</v>
      </c>
      <c r="W52" s="90">
        <f t="shared" si="219"/>
        <v>0</v>
      </c>
      <c r="X52" s="90">
        <f t="shared" si="219"/>
        <v>0</v>
      </c>
      <c r="Y52" s="90">
        <f t="shared" si="219"/>
        <v>0</v>
      </c>
      <c r="Z52" s="90">
        <f t="shared" si="219"/>
        <v>0</v>
      </c>
      <c r="AA52" s="90">
        <f t="shared" si="219"/>
        <v>0</v>
      </c>
      <c r="AB52" s="90">
        <f t="shared" si="219"/>
        <v>0</v>
      </c>
      <c r="AC52" s="90">
        <f t="shared" si="219"/>
        <v>0</v>
      </c>
      <c r="AD52" s="90">
        <f t="shared" si="219"/>
        <v>0</v>
      </c>
      <c r="AE52" s="90">
        <f t="shared" si="219"/>
        <v>0</v>
      </c>
      <c r="AF52" s="90">
        <f t="shared" si="219"/>
        <v>0</v>
      </c>
      <c r="AG52" s="90">
        <f t="shared" si="219"/>
        <v>0</v>
      </c>
      <c r="AH52" s="90">
        <f t="shared" si="219"/>
        <v>0</v>
      </c>
      <c r="AI52" s="90">
        <f t="shared" si="219"/>
        <v>0</v>
      </c>
      <c r="AJ52" s="90">
        <f t="shared" si="219"/>
        <v>0</v>
      </c>
      <c r="AK52" s="90">
        <f t="shared" si="219"/>
        <v>0</v>
      </c>
      <c r="AL52" s="90">
        <f t="shared" ref="AL52:BQ52" si="220">IF(AL$39&lt;Ph1_Start_Month,"",MIN(Unit_Sales_per_Month,Phase_1_Units-IF(ISNUMBER(AK53),AK53,0)))</f>
        <v>0</v>
      </c>
      <c r="AM52" s="90">
        <f t="shared" si="220"/>
        <v>0</v>
      </c>
      <c r="AN52" s="90">
        <f t="shared" si="220"/>
        <v>0</v>
      </c>
      <c r="AO52" s="90">
        <f t="shared" si="220"/>
        <v>0</v>
      </c>
      <c r="AP52" s="90">
        <f t="shared" si="220"/>
        <v>0</v>
      </c>
      <c r="AQ52" s="90">
        <f t="shared" si="220"/>
        <v>0</v>
      </c>
      <c r="AR52" s="90">
        <f t="shared" si="220"/>
        <v>0</v>
      </c>
      <c r="AS52" s="90">
        <f t="shared" si="220"/>
        <v>0</v>
      </c>
      <c r="AT52" s="90">
        <f t="shared" si="220"/>
        <v>0</v>
      </c>
      <c r="AU52" s="90">
        <f t="shared" si="220"/>
        <v>0</v>
      </c>
      <c r="AV52" s="90">
        <f t="shared" si="220"/>
        <v>0</v>
      </c>
      <c r="AW52" s="90">
        <f t="shared" si="220"/>
        <v>0</v>
      </c>
      <c r="AX52" s="90">
        <f t="shared" si="220"/>
        <v>0</v>
      </c>
      <c r="AY52" s="90">
        <f t="shared" si="220"/>
        <v>0</v>
      </c>
      <c r="AZ52" s="90">
        <f t="shared" si="220"/>
        <v>0</v>
      </c>
      <c r="BA52" s="90">
        <f t="shared" si="220"/>
        <v>0</v>
      </c>
      <c r="BB52" s="90">
        <f t="shared" si="220"/>
        <v>0</v>
      </c>
      <c r="BC52" s="90">
        <f t="shared" si="220"/>
        <v>0</v>
      </c>
      <c r="BD52" s="90">
        <f t="shared" si="220"/>
        <v>0</v>
      </c>
      <c r="BE52" s="90">
        <f t="shared" si="220"/>
        <v>0</v>
      </c>
      <c r="BF52" s="90">
        <f t="shared" si="220"/>
        <v>0</v>
      </c>
      <c r="BG52" s="90">
        <f t="shared" si="220"/>
        <v>0</v>
      </c>
      <c r="BH52" s="90">
        <f t="shared" si="220"/>
        <v>0</v>
      </c>
      <c r="BI52" s="90">
        <f t="shared" si="220"/>
        <v>0</v>
      </c>
      <c r="BJ52" s="90">
        <f t="shared" si="220"/>
        <v>0</v>
      </c>
      <c r="BK52" s="90">
        <f t="shared" si="220"/>
        <v>0</v>
      </c>
      <c r="BL52" s="90">
        <f t="shared" si="220"/>
        <v>0</v>
      </c>
      <c r="BM52" s="90">
        <f t="shared" si="220"/>
        <v>0</v>
      </c>
      <c r="BN52" s="90">
        <f t="shared" si="220"/>
        <v>0</v>
      </c>
      <c r="BO52" s="90">
        <f t="shared" si="220"/>
        <v>0</v>
      </c>
      <c r="BP52" s="90">
        <f t="shared" si="220"/>
        <v>0</v>
      </c>
      <c r="BQ52" s="90">
        <f t="shared" si="220"/>
        <v>0</v>
      </c>
      <c r="BR52" s="90">
        <f t="shared" ref="BR52:CK52" si="221">IF(BR$39&lt;Ph1_Start_Month,"",MIN(Unit_Sales_per_Month,Phase_1_Units-IF(ISNUMBER(BQ53),BQ53,0)))</f>
        <v>0</v>
      </c>
      <c r="BS52" s="90">
        <f t="shared" si="221"/>
        <v>0</v>
      </c>
      <c r="BT52" s="90">
        <f t="shared" si="221"/>
        <v>0</v>
      </c>
      <c r="BU52" s="90">
        <f t="shared" si="221"/>
        <v>0</v>
      </c>
      <c r="BV52" s="90">
        <f t="shared" si="221"/>
        <v>0</v>
      </c>
      <c r="BW52" s="90">
        <f t="shared" si="221"/>
        <v>0</v>
      </c>
      <c r="BX52" s="90">
        <f t="shared" si="221"/>
        <v>0</v>
      </c>
      <c r="BY52" s="90">
        <f t="shared" si="221"/>
        <v>0</v>
      </c>
      <c r="BZ52" s="90">
        <f t="shared" si="221"/>
        <v>0</v>
      </c>
      <c r="CA52" s="90">
        <f t="shared" si="221"/>
        <v>0</v>
      </c>
      <c r="CB52" s="90">
        <f t="shared" si="221"/>
        <v>0</v>
      </c>
      <c r="CC52" s="90">
        <f t="shared" si="221"/>
        <v>0</v>
      </c>
      <c r="CD52" s="90">
        <f t="shared" si="221"/>
        <v>0</v>
      </c>
      <c r="CE52" s="90">
        <f t="shared" si="221"/>
        <v>0</v>
      </c>
      <c r="CF52" s="90">
        <f t="shared" si="221"/>
        <v>0</v>
      </c>
      <c r="CG52" s="90">
        <f t="shared" si="221"/>
        <v>0</v>
      </c>
      <c r="CH52" s="90">
        <f t="shared" si="221"/>
        <v>0</v>
      </c>
      <c r="CI52" s="90">
        <f t="shared" si="221"/>
        <v>0</v>
      </c>
      <c r="CJ52" s="90">
        <f t="shared" si="221"/>
        <v>0</v>
      </c>
      <c r="CK52" s="90">
        <f t="shared" si="221"/>
        <v>0</v>
      </c>
    </row>
    <row r="53" spans="3:89" outlineLevel="1" x14ac:dyDescent="0.25">
      <c r="C53" s="45" t="s">
        <v>44</v>
      </c>
      <c r="D53" s="13" t="s">
        <v>3</v>
      </c>
      <c r="F53" s="90">
        <f>IF(F52="","",IF(ISNUMBER(E53),E53,0)+IF(ISNUMBER(F52),F52,0))</f>
        <v>1</v>
      </c>
      <c r="G53" s="90">
        <f t="shared" ref="G53:BR53" si="222">IF(G52="","",IF(ISNUMBER(F53),F53,0)+IF(ISNUMBER(G52),G52,0))</f>
        <v>2</v>
      </c>
      <c r="H53" s="90">
        <f t="shared" si="222"/>
        <v>3</v>
      </c>
      <c r="I53" s="90">
        <f t="shared" si="222"/>
        <v>4</v>
      </c>
      <c r="J53" s="90">
        <f t="shared" si="222"/>
        <v>5</v>
      </c>
      <c r="K53" s="90">
        <f t="shared" si="222"/>
        <v>6</v>
      </c>
      <c r="L53" s="90">
        <f t="shared" si="222"/>
        <v>7</v>
      </c>
      <c r="M53" s="90">
        <f t="shared" si="222"/>
        <v>8</v>
      </c>
      <c r="N53" s="90">
        <f t="shared" si="222"/>
        <v>9</v>
      </c>
      <c r="O53" s="90">
        <f t="shared" si="222"/>
        <v>10</v>
      </c>
      <c r="P53" s="90">
        <f t="shared" si="222"/>
        <v>10</v>
      </c>
      <c r="Q53" s="90">
        <f t="shared" si="222"/>
        <v>10</v>
      </c>
      <c r="R53" s="90">
        <f t="shared" si="222"/>
        <v>10</v>
      </c>
      <c r="S53" s="90">
        <f t="shared" si="222"/>
        <v>10</v>
      </c>
      <c r="T53" s="90">
        <f t="shared" si="222"/>
        <v>10</v>
      </c>
      <c r="U53" s="90">
        <f t="shared" si="222"/>
        <v>10</v>
      </c>
      <c r="V53" s="90">
        <f t="shared" si="222"/>
        <v>10</v>
      </c>
      <c r="W53" s="90">
        <f t="shared" si="222"/>
        <v>10</v>
      </c>
      <c r="X53" s="90">
        <f t="shared" si="222"/>
        <v>10</v>
      </c>
      <c r="Y53" s="90">
        <f t="shared" si="222"/>
        <v>10</v>
      </c>
      <c r="Z53" s="90">
        <f t="shared" si="222"/>
        <v>10</v>
      </c>
      <c r="AA53" s="90">
        <f t="shared" si="222"/>
        <v>10</v>
      </c>
      <c r="AB53" s="90">
        <f t="shared" si="222"/>
        <v>10</v>
      </c>
      <c r="AC53" s="90">
        <f t="shared" si="222"/>
        <v>10</v>
      </c>
      <c r="AD53" s="90">
        <f t="shared" si="222"/>
        <v>10</v>
      </c>
      <c r="AE53" s="90">
        <f t="shared" si="222"/>
        <v>10</v>
      </c>
      <c r="AF53" s="90">
        <f t="shared" si="222"/>
        <v>10</v>
      </c>
      <c r="AG53" s="90">
        <f t="shared" si="222"/>
        <v>10</v>
      </c>
      <c r="AH53" s="90">
        <f t="shared" si="222"/>
        <v>10</v>
      </c>
      <c r="AI53" s="90">
        <f t="shared" si="222"/>
        <v>10</v>
      </c>
      <c r="AJ53" s="90">
        <f t="shared" si="222"/>
        <v>10</v>
      </c>
      <c r="AK53" s="90">
        <f t="shared" si="222"/>
        <v>10</v>
      </c>
      <c r="AL53" s="90">
        <f t="shared" si="222"/>
        <v>10</v>
      </c>
      <c r="AM53" s="90">
        <f t="shared" si="222"/>
        <v>10</v>
      </c>
      <c r="AN53" s="90">
        <f t="shared" si="222"/>
        <v>10</v>
      </c>
      <c r="AO53" s="90">
        <f t="shared" si="222"/>
        <v>10</v>
      </c>
      <c r="AP53" s="90">
        <f t="shared" si="222"/>
        <v>10</v>
      </c>
      <c r="AQ53" s="90">
        <f t="shared" si="222"/>
        <v>10</v>
      </c>
      <c r="AR53" s="90">
        <f t="shared" si="222"/>
        <v>10</v>
      </c>
      <c r="AS53" s="90">
        <f t="shared" si="222"/>
        <v>10</v>
      </c>
      <c r="AT53" s="90">
        <f t="shared" si="222"/>
        <v>10</v>
      </c>
      <c r="AU53" s="90">
        <f t="shared" si="222"/>
        <v>10</v>
      </c>
      <c r="AV53" s="90">
        <f t="shared" si="222"/>
        <v>10</v>
      </c>
      <c r="AW53" s="90">
        <f t="shared" si="222"/>
        <v>10</v>
      </c>
      <c r="AX53" s="90">
        <f t="shared" si="222"/>
        <v>10</v>
      </c>
      <c r="AY53" s="90">
        <f t="shared" si="222"/>
        <v>10</v>
      </c>
      <c r="AZ53" s="90">
        <f t="shared" si="222"/>
        <v>10</v>
      </c>
      <c r="BA53" s="90">
        <f t="shared" si="222"/>
        <v>10</v>
      </c>
      <c r="BB53" s="90">
        <f t="shared" si="222"/>
        <v>10</v>
      </c>
      <c r="BC53" s="90">
        <f t="shared" si="222"/>
        <v>10</v>
      </c>
      <c r="BD53" s="90">
        <f t="shared" si="222"/>
        <v>10</v>
      </c>
      <c r="BE53" s="90">
        <f t="shared" si="222"/>
        <v>10</v>
      </c>
      <c r="BF53" s="90">
        <f t="shared" si="222"/>
        <v>10</v>
      </c>
      <c r="BG53" s="90">
        <f t="shared" si="222"/>
        <v>10</v>
      </c>
      <c r="BH53" s="90">
        <f t="shared" si="222"/>
        <v>10</v>
      </c>
      <c r="BI53" s="90">
        <f t="shared" si="222"/>
        <v>10</v>
      </c>
      <c r="BJ53" s="90">
        <f t="shared" si="222"/>
        <v>10</v>
      </c>
      <c r="BK53" s="90">
        <f t="shared" si="222"/>
        <v>10</v>
      </c>
      <c r="BL53" s="90">
        <f t="shared" si="222"/>
        <v>10</v>
      </c>
      <c r="BM53" s="90">
        <f t="shared" si="222"/>
        <v>10</v>
      </c>
      <c r="BN53" s="90">
        <f t="shared" si="222"/>
        <v>10</v>
      </c>
      <c r="BO53" s="90">
        <f t="shared" si="222"/>
        <v>10</v>
      </c>
      <c r="BP53" s="90">
        <f t="shared" si="222"/>
        <v>10</v>
      </c>
      <c r="BQ53" s="90">
        <f t="shared" si="222"/>
        <v>10</v>
      </c>
      <c r="BR53" s="90">
        <f t="shared" si="222"/>
        <v>10</v>
      </c>
      <c r="BS53" s="90">
        <f t="shared" ref="BS53:CK53" si="223">IF(BS52="","",IF(ISNUMBER(BR53),BR53,0)+IF(ISNUMBER(BS52),BS52,0))</f>
        <v>10</v>
      </c>
      <c r="BT53" s="90">
        <f t="shared" si="223"/>
        <v>10</v>
      </c>
      <c r="BU53" s="90">
        <f t="shared" si="223"/>
        <v>10</v>
      </c>
      <c r="BV53" s="90">
        <f t="shared" si="223"/>
        <v>10</v>
      </c>
      <c r="BW53" s="90">
        <f t="shared" si="223"/>
        <v>10</v>
      </c>
      <c r="BX53" s="90">
        <f t="shared" si="223"/>
        <v>10</v>
      </c>
      <c r="BY53" s="90">
        <f t="shared" si="223"/>
        <v>10</v>
      </c>
      <c r="BZ53" s="90">
        <f t="shared" si="223"/>
        <v>10</v>
      </c>
      <c r="CA53" s="90">
        <f t="shared" si="223"/>
        <v>10</v>
      </c>
      <c r="CB53" s="90">
        <f t="shared" si="223"/>
        <v>10</v>
      </c>
      <c r="CC53" s="90">
        <f t="shared" si="223"/>
        <v>10</v>
      </c>
      <c r="CD53" s="90">
        <f t="shared" si="223"/>
        <v>10</v>
      </c>
      <c r="CE53" s="90">
        <f t="shared" si="223"/>
        <v>10</v>
      </c>
      <c r="CF53" s="90">
        <f t="shared" si="223"/>
        <v>10</v>
      </c>
      <c r="CG53" s="90">
        <f t="shared" si="223"/>
        <v>10</v>
      </c>
      <c r="CH53" s="90">
        <f t="shared" si="223"/>
        <v>10</v>
      </c>
      <c r="CI53" s="90">
        <f t="shared" si="223"/>
        <v>10</v>
      </c>
      <c r="CJ53" s="90">
        <f t="shared" si="223"/>
        <v>10</v>
      </c>
      <c r="CK53" s="90">
        <f t="shared" si="223"/>
        <v>10</v>
      </c>
    </row>
    <row r="54" spans="3:89" outlineLevel="1" x14ac:dyDescent="0.25">
      <c r="C54" s="45" t="s">
        <v>45</v>
      </c>
      <c r="D54" s="13" t="s">
        <v>5</v>
      </c>
      <c r="F54" s="65">
        <f t="shared" ref="F54:AK54" si="224">IF(F53="","",+F53/Phase_1_Units)</f>
        <v>0.1</v>
      </c>
      <c r="G54" s="65">
        <f t="shared" si="224"/>
        <v>0.2</v>
      </c>
      <c r="H54" s="65">
        <f t="shared" si="224"/>
        <v>0.3</v>
      </c>
      <c r="I54" s="65">
        <f t="shared" si="224"/>
        <v>0.4</v>
      </c>
      <c r="J54" s="65">
        <f t="shared" si="224"/>
        <v>0.5</v>
      </c>
      <c r="K54" s="65">
        <f t="shared" si="224"/>
        <v>0.6</v>
      </c>
      <c r="L54" s="65">
        <f t="shared" si="224"/>
        <v>0.7</v>
      </c>
      <c r="M54" s="65">
        <f t="shared" si="224"/>
        <v>0.8</v>
      </c>
      <c r="N54" s="65">
        <f t="shared" si="224"/>
        <v>0.9</v>
      </c>
      <c r="O54" s="65">
        <f t="shared" si="224"/>
        <v>1</v>
      </c>
      <c r="P54" s="65">
        <f t="shared" si="224"/>
        <v>1</v>
      </c>
      <c r="Q54" s="65">
        <f t="shared" si="224"/>
        <v>1</v>
      </c>
      <c r="R54" s="65">
        <f t="shared" si="224"/>
        <v>1</v>
      </c>
      <c r="S54" s="65">
        <f t="shared" si="224"/>
        <v>1</v>
      </c>
      <c r="T54" s="65">
        <f t="shared" si="224"/>
        <v>1</v>
      </c>
      <c r="U54" s="65">
        <f t="shared" si="224"/>
        <v>1</v>
      </c>
      <c r="V54" s="65">
        <f t="shared" si="224"/>
        <v>1</v>
      </c>
      <c r="W54" s="65">
        <f t="shared" si="224"/>
        <v>1</v>
      </c>
      <c r="X54" s="65">
        <f t="shared" si="224"/>
        <v>1</v>
      </c>
      <c r="Y54" s="65">
        <f t="shared" si="224"/>
        <v>1</v>
      </c>
      <c r="Z54" s="65">
        <f t="shared" si="224"/>
        <v>1</v>
      </c>
      <c r="AA54" s="65">
        <f t="shared" si="224"/>
        <v>1</v>
      </c>
      <c r="AB54" s="65">
        <f t="shared" si="224"/>
        <v>1</v>
      </c>
      <c r="AC54" s="65">
        <f t="shared" si="224"/>
        <v>1</v>
      </c>
      <c r="AD54" s="65">
        <f t="shared" si="224"/>
        <v>1</v>
      </c>
      <c r="AE54" s="65">
        <f t="shared" si="224"/>
        <v>1</v>
      </c>
      <c r="AF54" s="65">
        <f t="shared" si="224"/>
        <v>1</v>
      </c>
      <c r="AG54" s="65">
        <f t="shared" si="224"/>
        <v>1</v>
      </c>
      <c r="AH54" s="65">
        <f t="shared" si="224"/>
        <v>1</v>
      </c>
      <c r="AI54" s="65">
        <f t="shared" si="224"/>
        <v>1</v>
      </c>
      <c r="AJ54" s="65">
        <f t="shared" si="224"/>
        <v>1</v>
      </c>
      <c r="AK54" s="65">
        <f t="shared" si="224"/>
        <v>1</v>
      </c>
      <c r="AL54" s="65">
        <f t="shared" ref="AL54:BQ54" si="225">IF(AL53="","",+AL53/Phase_1_Units)</f>
        <v>1</v>
      </c>
      <c r="AM54" s="65">
        <f t="shared" si="225"/>
        <v>1</v>
      </c>
      <c r="AN54" s="65">
        <f t="shared" si="225"/>
        <v>1</v>
      </c>
      <c r="AO54" s="65">
        <f t="shared" si="225"/>
        <v>1</v>
      </c>
      <c r="AP54" s="65">
        <f t="shared" si="225"/>
        <v>1</v>
      </c>
      <c r="AQ54" s="65">
        <f t="shared" si="225"/>
        <v>1</v>
      </c>
      <c r="AR54" s="65">
        <f t="shared" si="225"/>
        <v>1</v>
      </c>
      <c r="AS54" s="65">
        <f t="shared" si="225"/>
        <v>1</v>
      </c>
      <c r="AT54" s="65">
        <f t="shared" si="225"/>
        <v>1</v>
      </c>
      <c r="AU54" s="65">
        <f t="shared" si="225"/>
        <v>1</v>
      </c>
      <c r="AV54" s="65">
        <f t="shared" si="225"/>
        <v>1</v>
      </c>
      <c r="AW54" s="65">
        <f t="shared" si="225"/>
        <v>1</v>
      </c>
      <c r="AX54" s="65">
        <f t="shared" si="225"/>
        <v>1</v>
      </c>
      <c r="AY54" s="65">
        <f t="shared" si="225"/>
        <v>1</v>
      </c>
      <c r="AZ54" s="65">
        <f t="shared" si="225"/>
        <v>1</v>
      </c>
      <c r="BA54" s="65">
        <f t="shared" si="225"/>
        <v>1</v>
      </c>
      <c r="BB54" s="65">
        <f t="shared" si="225"/>
        <v>1</v>
      </c>
      <c r="BC54" s="65">
        <f t="shared" si="225"/>
        <v>1</v>
      </c>
      <c r="BD54" s="65">
        <f t="shared" si="225"/>
        <v>1</v>
      </c>
      <c r="BE54" s="65">
        <f t="shared" si="225"/>
        <v>1</v>
      </c>
      <c r="BF54" s="65">
        <f t="shared" si="225"/>
        <v>1</v>
      </c>
      <c r="BG54" s="65">
        <f t="shared" si="225"/>
        <v>1</v>
      </c>
      <c r="BH54" s="65">
        <f t="shared" si="225"/>
        <v>1</v>
      </c>
      <c r="BI54" s="65">
        <f t="shared" si="225"/>
        <v>1</v>
      </c>
      <c r="BJ54" s="65">
        <f t="shared" si="225"/>
        <v>1</v>
      </c>
      <c r="BK54" s="65">
        <f t="shared" si="225"/>
        <v>1</v>
      </c>
      <c r="BL54" s="65">
        <f t="shared" si="225"/>
        <v>1</v>
      </c>
      <c r="BM54" s="65">
        <f t="shared" si="225"/>
        <v>1</v>
      </c>
      <c r="BN54" s="65">
        <f t="shared" si="225"/>
        <v>1</v>
      </c>
      <c r="BO54" s="65">
        <f t="shared" si="225"/>
        <v>1</v>
      </c>
      <c r="BP54" s="65">
        <f t="shared" si="225"/>
        <v>1</v>
      </c>
      <c r="BQ54" s="65">
        <f t="shared" si="225"/>
        <v>1</v>
      </c>
      <c r="BR54" s="65">
        <f t="shared" ref="BR54:CK54" si="226">IF(BR53="","",+BR53/Phase_1_Units)</f>
        <v>1</v>
      </c>
      <c r="BS54" s="65">
        <f t="shared" si="226"/>
        <v>1</v>
      </c>
      <c r="BT54" s="65">
        <f t="shared" si="226"/>
        <v>1</v>
      </c>
      <c r="BU54" s="65">
        <f t="shared" si="226"/>
        <v>1</v>
      </c>
      <c r="BV54" s="65">
        <f t="shared" si="226"/>
        <v>1</v>
      </c>
      <c r="BW54" s="65">
        <f t="shared" si="226"/>
        <v>1</v>
      </c>
      <c r="BX54" s="65">
        <f t="shared" si="226"/>
        <v>1</v>
      </c>
      <c r="BY54" s="65">
        <f t="shared" si="226"/>
        <v>1</v>
      </c>
      <c r="BZ54" s="65">
        <f t="shared" si="226"/>
        <v>1</v>
      </c>
      <c r="CA54" s="65">
        <f t="shared" si="226"/>
        <v>1</v>
      </c>
      <c r="CB54" s="65">
        <f t="shared" si="226"/>
        <v>1</v>
      </c>
      <c r="CC54" s="65">
        <f t="shared" si="226"/>
        <v>1</v>
      </c>
      <c r="CD54" s="65">
        <f t="shared" si="226"/>
        <v>1</v>
      </c>
      <c r="CE54" s="65">
        <f t="shared" si="226"/>
        <v>1</v>
      </c>
      <c r="CF54" s="65">
        <f t="shared" si="226"/>
        <v>1</v>
      </c>
      <c r="CG54" s="65">
        <f t="shared" si="226"/>
        <v>1</v>
      </c>
      <c r="CH54" s="65">
        <f t="shared" si="226"/>
        <v>1</v>
      </c>
      <c r="CI54" s="65">
        <f t="shared" si="226"/>
        <v>1</v>
      </c>
      <c r="CJ54" s="65">
        <f t="shared" si="226"/>
        <v>1</v>
      </c>
      <c r="CK54" s="65">
        <f t="shared" si="226"/>
        <v>1</v>
      </c>
    </row>
    <row r="55" spans="3:89" outlineLevel="1" x14ac:dyDescent="0.25">
      <c r="C55" s="113" t="s">
        <v>156</v>
      </c>
      <c r="D55" s="13" t="s">
        <v>24</v>
      </c>
      <c r="E55" s="44"/>
      <c r="F55" s="44">
        <f t="shared" ref="F55:AK55" si="227">IF(F52="","",+F52*Unit_Price_per_Sq_M*Phase_1_Avg_Size*F$44)</f>
        <v>15852586.609788911</v>
      </c>
      <c r="G55" s="44">
        <f t="shared" si="227"/>
        <v>15885240.342658577</v>
      </c>
      <c r="H55" s="44">
        <f t="shared" si="227"/>
        <v>15917961.336871555</v>
      </c>
      <c r="I55" s="44">
        <f t="shared" si="227"/>
        <v>15950749.730975198</v>
      </c>
      <c r="J55" s="44">
        <f t="shared" si="227"/>
        <v>15983605.663802246</v>
      </c>
      <c r="K55" s="44">
        <f t="shared" si="227"/>
        <v>16016529.274471408</v>
      </c>
      <c r="L55" s="44">
        <f t="shared" si="227"/>
        <v>16049520.702387961</v>
      </c>
      <c r="M55" s="44">
        <f t="shared" si="227"/>
        <v>16082580.087244334</v>
      </c>
      <c r="N55" s="44">
        <f t="shared" si="227"/>
        <v>16115707.56902069</v>
      </c>
      <c r="O55" s="44">
        <f t="shared" si="227"/>
        <v>16148903.287985539</v>
      </c>
      <c r="P55" s="44">
        <f t="shared" si="227"/>
        <v>0</v>
      </c>
      <c r="Q55" s="44">
        <f t="shared" si="227"/>
        <v>0</v>
      </c>
      <c r="R55" s="44">
        <f t="shared" si="227"/>
        <v>0</v>
      </c>
      <c r="S55" s="44">
        <f t="shared" si="227"/>
        <v>0</v>
      </c>
      <c r="T55" s="44">
        <f t="shared" si="227"/>
        <v>0</v>
      </c>
      <c r="U55" s="44">
        <f t="shared" si="227"/>
        <v>0</v>
      </c>
      <c r="V55" s="44">
        <f t="shared" si="227"/>
        <v>0</v>
      </c>
      <c r="W55" s="44">
        <f t="shared" si="227"/>
        <v>0</v>
      </c>
      <c r="X55" s="44">
        <f t="shared" si="227"/>
        <v>0</v>
      </c>
      <c r="Y55" s="44">
        <f t="shared" si="227"/>
        <v>0</v>
      </c>
      <c r="Z55" s="44">
        <f t="shared" si="227"/>
        <v>0</v>
      </c>
      <c r="AA55" s="44">
        <f t="shared" si="227"/>
        <v>0</v>
      </c>
      <c r="AB55" s="44">
        <f t="shared" si="227"/>
        <v>0</v>
      </c>
      <c r="AC55" s="44">
        <f t="shared" si="227"/>
        <v>0</v>
      </c>
      <c r="AD55" s="44">
        <f t="shared" si="227"/>
        <v>0</v>
      </c>
      <c r="AE55" s="44">
        <f t="shared" si="227"/>
        <v>0</v>
      </c>
      <c r="AF55" s="44">
        <f t="shared" si="227"/>
        <v>0</v>
      </c>
      <c r="AG55" s="44">
        <f t="shared" si="227"/>
        <v>0</v>
      </c>
      <c r="AH55" s="44">
        <f t="shared" si="227"/>
        <v>0</v>
      </c>
      <c r="AI55" s="44">
        <f t="shared" si="227"/>
        <v>0</v>
      </c>
      <c r="AJ55" s="44">
        <f t="shared" si="227"/>
        <v>0</v>
      </c>
      <c r="AK55" s="44">
        <f t="shared" si="227"/>
        <v>0</v>
      </c>
      <c r="AL55" s="44">
        <f t="shared" ref="AL55:BQ55" si="228">IF(AL52="","",+AL52*Unit_Price_per_Sq_M*Phase_1_Avg_Size*AL$44)</f>
        <v>0</v>
      </c>
      <c r="AM55" s="44">
        <f t="shared" si="228"/>
        <v>0</v>
      </c>
      <c r="AN55" s="44">
        <f t="shared" si="228"/>
        <v>0</v>
      </c>
      <c r="AO55" s="44">
        <f t="shared" si="228"/>
        <v>0</v>
      </c>
      <c r="AP55" s="44">
        <f t="shared" si="228"/>
        <v>0</v>
      </c>
      <c r="AQ55" s="44">
        <f t="shared" si="228"/>
        <v>0</v>
      </c>
      <c r="AR55" s="44">
        <f t="shared" si="228"/>
        <v>0</v>
      </c>
      <c r="AS55" s="44">
        <f t="shared" si="228"/>
        <v>0</v>
      </c>
      <c r="AT55" s="44">
        <f t="shared" si="228"/>
        <v>0</v>
      </c>
      <c r="AU55" s="44">
        <f t="shared" si="228"/>
        <v>0</v>
      </c>
      <c r="AV55" s="44">
        <f t="shared" si="228"/>
        <v>0</v>
      </c>
      <c r="AW55" s="44">
        <f t="shared" si="228"/>
        <v>0</v>
      </c>
      <c r="AX55" s="44">
        <f t="shared" si="228"/>
        <v>0</v>
      </c>
      <c r="AY55" s="44">
        <f t="shared" si="228"/>
        <v>0</v>
      </c>
      <c r="AZ55" s="44">
        <f t="shared" si="228"/>
        <v>0</v>
      </c>
      <c r="BA55" s="44">
        <f t="shared" si="228"/>
        <v>0</v>
      </c>
      <c r="BB55" s="44">
        <f t="shared" si="228"/>
        <v>0</v>
      </c>
      <c r="BC55" s="44">
        <f t="shared" si="228"/>
        <v>0</v>
      </c>
      <c r="BD55" s="44">
        <f t="shared" si="228"/>
        <v>0</v>
      </c>
      <c r="BE55" s="44">
        <f t="shared" si="228"/>
        <v>0</v>
      </c>
      <c r="BF55" s="44">
        <f t="shared" si="228"/>
        <v>0</v>
      </c>
      <c r="BG55" s="44">
        <f t="shared" si="228"/>
        <v>0</v>
      </c>
      <c r="BH55" s="44">
        <f t="shared" si="228"/>
        <v>0</v>
      </c>
      <c r="BI55" s="44">
        <f t="shared" si="228"/>
        <v>0</v>
      </c>
      <c r="BJ55" s="44">
        <f t="shared" si="228"/>
        <v>0</v>
      </c>
      <c r="BK55" s="44">
        <f t="shared" si="228"/>
        <v>0</v>
      </c>
      <c r="BL55" s="44">
        <f t="shared" si="228"/>
        <v>0</v>
      </c>
      <c r="BM55" s="44">
        <f t="shared" si="228"/>
        <v>0</v>
      </c>
      <c r="BN55" s="44">
        <f t="shared" si="228"/>
        <v>0</v>
      </c>
      <c r="BO55" s="44">
        <f t="shared" si="228"/>
        <v>0</v>
      </c>
      <c r="BP55" s="44">
        <f t="shared" si="228"/>
        <v>0</v>
      </c>
      <c r="BQ55" s="44">
        <f t="shared" si="228"/>
        <v>0</v>
      </c>
      <c r="BR55" s="44">
        <f t="shared" ref="BR55:CK55" si="229">IF(BR52="","",+BR52*Unit_Price_per_Sq_M*Phase_1_Avg_Size*BR$44)</f>
        <v>0</v>
      </c>
      <c r="BS55" s="44">
        <f t="shared" si="229"/>
        <v>0</v>
      </c>
      <c r="BT55" s="44">
        <f t="shared" si="229"/>
        <v>0</v>
      </c>
      <c r="BU55" s="44">
        <f t="shared" si="229"/>
        <v>0</v>
      </c>
      <c r="BV55" s="44">
        <f t="shared" si="229"/>
        <v>0</v>
      </c>
      <c r="BW55" s="44">
        <f t="shared" si="229"/>
        <v>0</v>
      </c>
      <c r="BX55" s="44">
        <f t="shared" si="229"/>
        <v>0</v>
      </c>
      <c r="BY55" s="44">
        <f t="shared" si="229"/>
        <v>0</v>
      </c>
      <c r="BZ55" s="44">
        <f t="shared" si="229"/>
        <v>0</v>
      </c>
      <c r="CA55" s="44">
        <f t="shared" si="229"/>
        <v>0</v>
      </c>
      <c r="CB55" s="44">
        <f t="shared" si="229"/>
        <v>0</v>
      </c>
      <c r="CC55" s="44">
        <f t="shared" si="229"/>
        <v>0</v>
      </c>
      <c r="CD55" s="44">
        <f t="shared" si="229"/>
        <v>0</v>
      </c>
      <c r="CE55" s="44">
        <f t="shared" si="229"/>
        <v>0</v>
      </c>
      <c r="CF55" s="44">
        <f t="shared" si="229"/>
        <v>0</v>
      </c>
      <c r="CG55" s="44">
        <f t="shared" si="229"/>
        <v>0</v>
      </c>
      <c r="CH55" s="44">
        <f t="shared" si="229"/>
        <v>0</v>
      </c>
      <c r="CI55" s="44">
        <f t="shared" si="229"/>
        <v>0</v>
      </c>
      <c r="CJ55" s="44">
        <f t="shared" si="229"/>
        <v>0</v>
      </c>
      <c r="CK55" s="44">
        <f t="shared" si="229"/>
        <v>0</v>
      </c>
    </row>
    <row r="56" spans="3:89" outlineLevel="1" x14ac:dyDescent="0.25">
      <c r="L56" s="58"/>
    </row>
    <row r="57" spans="3:89" outlineLevel="1" x14ac:dyDescent="0.25">
      <c r="C57" s="45" t="s">
        <v>42</v>
      </c>
      <c r="D57" s="97" t="s">
        <v>3</v>
      </c>
      <c r="F57" s="60">
        <f t="shared" ref="F57:AK57" si="230">IF(F52="","",IF(F$39&lt;Ph1_Constr_Start,Pre_Constr,IF(F$39&lt;=Ph1_Constr_End,Constr,Post_Constr)))</f>
        <v>1</v>
      </c>
      <c r="G57" s="60">
        <f t="shared" si="230"/>
        <v>1</v>
      </c>
      <c r="H57" s="60">
        <f t="shared" si="230"/>
        <v>1</v>
      </c>
      <c r="I57" s="60">
        <f t="shared" si="230"/>
        <v>2</v>
      </c>
      <c r="J57" s="60">
        <f t="shared" si="230"/>
        <v>2</v>
      </c>
      <c r="K57" s="60">
        <f t="shared" si="230"/>
        <v>2</v>
      </c>
      <c r="L57" s="60">
        <f t="shared" si="230"/>
        <v>2</v>
      </c>
      <c r="M57" s="60">
        <f t="shared" si="230"/>
        <v>2</v>
      </c>
      <c r="N57" s="60">
        <f t="shared" si="230"/>
        <v>2</v>
      </c>
      <c r="O57" s="60">
        <f t="shared" si="230"/>
        <v>2</v>
      </c>
      <c r="P57" s="60">
        <f t="shared" si="230"/>
        <v>2</v>
      </c>
      <c r="Q57" s="60">
        <f t="shared" si="230"/>
        <v>2</v>
      </c>
      <c r="R57" s="60">
        <f t="shared" si="230"/>
        <v>2</v>
      </c>
      <c r="S57" s="60">
        <f t="shared" si="230"/>
        <v>2</v>
      </c>
      <c r="T57" s="60">
        <f t="shared" si="230"/>
        <v>2</v>
      </c>
      <c r="U57" s="60">
        <f t="shared" si="230"/>
        <v>2</v>
      </c>
      <c r="V57" s="60">
        <f t="shared" si="230"/>
        <v>2</v>
      </c>
      <c r="W57" s="60">
        <f t="shared" si="230"/>
        <v>2</v>
      </c>
      <c r="X57" s="60">
        <f t="shared" si="230"/>
        <v>2</v>
      </c>
      <c r="Y57" s="60">
        <f t="shared" si="230"/>
        <v>2</v>
      </c>
      <c r="Z57" s="60">
        <f t="shared" si="230"/>
        <v>2</v>
      </c>
      <c r="AA57" s="60">
        <f t="shared" si="230"/>
        <v>2</v>
      </c>
      <c r="AB57" s="60">
        <f t="shared" si="230"/>
        <v>2</v>
      </c>
      <c r="AC57" s="60">
        <f t="shared" si="230"/>
        <v>2</v>
      </c>
      <c r="AD57" s="60">
        <f t="shared" si="230"/>
        <v>2</v>
      </c>
      <c r="AE57" s="60">
        <f t="shared" si="230"/>
        <v>2</v>
      </c>
      <c r="AF57" s="60">
        <f t="shared" si="230"/>
        <v>2</v>
      </c>
      <c r="AG57" s="60">
        <f t="shared" si="230"/>
        <v>3</v>
      </c>
      <c r="AH57" s="60">
        <f t="shared" si="230"/>
        <v>3</v>
      </c>
      <c r="AI57" s="60">
        <f t="shared" si="230"/>
        <v>3</v>
      </c>
      <c r="AJ57" s="60">
        <f t="shared" si="230"/>
        <v>3</v>
      </c>
      <c r="AK57" s="60">
        <f t="shared" si="230"/>
        <v>3</v>
      </c>
      <c r="AL57" s="60">
        <f t="shared" ref="AL57:BQ57" si="231">IF(AL52="","",IF(AL$39&lt;Ph1_Constr_Start,Pre_Constr,IF(AL$39&lt;=Ph1_Constr_End,Constr,Post_Constr)))</f>
        <v>3</v>
      </c>
      <c r="AM57" s="60">
        <f t="shared" si="231"/>
        <v>3</v>
      </c>
      <c r="AN57" s="60">
        <f t="shared" si="231"/>
        <v>3</v>
      </c>
      <c r="AO57" s="60">
        <f t="shared" si="231"/>
        <v>3</v>
      </c>
      <c r="AP57" s="60">
        <f t="shared" si="231"/>
        <v>3</v>
      </c>
      <c r="AQ57" s="60">
        <f t="shared" si="231"/>
        <v>3</v>
      </c>
      <c r="AR57" s="60">
        <f t="shared" si="231"/>
        <v>3</v>
      </c>
      <c r="AS57" s="60">
        <f t="shared" si="231"/>
        <v>3</v>
      </c>
      <c r="AT57" s="60">
        <f t="shared" si="231"/>
        <v>3</v>
      </c>
      <c r="AU57" s="60">
        <f t="shared" si="231"/>
        <v>3</v>
      </c>
      <c r="AV57" s="60">
        <f t="shared" si="231"/>
        <v>3</v>
      </c>
      <c r="AW57" s="60">
        <f t="shared" si="231"/>
        <v>3</v>
      </c>
      <c r="AX57" s="60">
        <f t="shared" si="231"/>
        <v>3</v>
      </c>
      <c r="AY57" s="60">
        <f t="shared" si="231"/>
        <v>3</v>
      </c>
      <c r="AZ57" s="60">
        <f t="shared" si="231"/>
        <v>3</v>
      </c>
      <c r="BA57" s="60">
        <f t="shared" si="231"/>
        <v>3</v>
      </c>
      <c r="BB57" s="60">
        <f t="shared" si="231"/>
        <v>3</v>
      </c>
      <c r="BC57" s="60">
        <f t="shared" si="231"/>
        <v>3</v>
      </c>
      <c r="BD57" s="60">
        <f t="shared" si="231"/>
        <v>3</v>
      </c>
      <c r="BE57" s="60">
        <f t="shared" si="231"/>
        <v>3</v>
      </c>
      <c r="BF57" s="60">
        <f t="shared" si="231"/>
        <v>3</v>
      </c>
      <c r="BG57" s="60">
        <f t="shared" si="231"/>
        <v>3</v>
      </c>
      <c r="BH57" s="60">
        <f t="shared" si="231"/>
        <v>3</v>
      </c>
      <c r="BI57" s="60">
        <f t="shared" si="231"/>
        <v>3</v>
      </c>
      <c r="BJ57" s="60">
        <f t="shared" si="231"/>
        <v>3</v>
      </c>
      <c r="BK57" s="60">
        <f t="shared" si="231"/>
        <v>3</v>
      </c>
      <c r="BL57" s="60">
        <f t="shared" si="231"/>
        <v>3</v>
      </c>
      <c r="BM57" s="60">
        <f t="shared" si="231"/>
        <v>3</v>
      </c>
      <c r="BN57" s="60">
        <f t="shared" si="231"/>
        <v>3</v>
      </c>
      <c r="BO57" s="60">
        <f t="shared" si="231"/>
        <v>3</v>
      </c>
      <c r="BP57" s="60">
        <f t="shared" si="231"/>
        <v>3</v>
      </c>
      <c r="BQ57" s="60">
        <f t="shared" si="231"/>
        <v>3</v>
      </c>
      <c r="BR57" s="60">
        <f t="shared" ref="BR57:CK57" si="232">IF(BR52="","",IF(BR$39&lt;Ph1_Constr_Start,Pre_Constr,IF(BR$39&lt;=Ph1_Constr_End,Constr,Post_Constr)))</f>
        <v>3</v>
      </c>
      <c r="BS57" s="60">
        <f t="shared" si="232"/>
        <v>3</v>
      </c>
      <c r="BT57" s="60">
        <f t="shared" si="232"/>
        <v>3</v>
      </c>
      <c r="BU57" s="60">
        <f t="shared" si="232"/>
        <v>3</v>
      </c>
      <c r="BV57" s="60">
        <f t="shared" si="232"/>
        <v>3</v>
      </c>
      <c r="BW57" s="60">
        <f t="shared" si="232"/>
        <v>3</v>
      </c>
      <c r="BX57" s="60">
        <f t="shared" si="232"/>
        <v>3</v>
      </c>
      <c r="BY57" s="60">
        <f t="shared" si="232"/>
        <v>3</v>
      </c>
      <c r="BZ57" s="60">
        <f t="shared" si="232"/>
        <v>3</v>
      </c>
      <c r="CA57" s="60">
        <f t="shared" si="232"/>
        <v>3</v>
      </c>
      <c r="CB57" s="60">
        <f t="shared" si="232"/>
        <v>3</v>
      </c>
      <c r="CC57" s="60">
        <f t="shared" si="232"/>
        <v>3</v>
      </c>
      <c r="CD57" s="60">
        <f t="shared" si="232"/>
        <v>3</v>
      </c>
      <c r="CE57" s="60">
        <f t="shared" si="232"/>
        <v>3</v>
      </c>
      <c r="CF57" s="60">
        <f t="shared" si="232"/>
        <v>3</v>
      </c>
      <c r="CG57" s="60">
        <f t="shared" si="232"/>
        <v>3</v>
      </c>
      <c r="CH57" s="60">
        <f t="shared" si="232"/>
        <v>3</v>
      </c>
      <c r="CI57" s="60">
        <f t="shared" si="232"/>
        <v>3</v>
      </c>
      <c r="CJ57" s="60">
        <f t="shared" si="232"/>
        <v>3</v>
      </c>
      <c r="CK57" s="60">
        <f t="shared" si="232"/>
        <v>3</v>
      </c>
    </row>
    <row r="58" spans="3:89" outlineLevel="1" x14ac:dyDescent="0.25">
      <c r="K58" s="58"/>
    </row>
    <row r="59" spans="3:89" outlineLevel="1" x14ac:dyDescent="0.25">
      <c r="C59" s="34" t="s">
        <v>51</v>
      </c>
      <c r="D59" s="63"/>
      <c r="E59" s="63"/>
      <c r="F59" s="63"/>
      <c r="G59" s="63"/>
      <c r="H59" s="63"/>
      <c r="I59" s="63"/>
      <c r="J59" s="63"/>
      <c r="K59" s="63"/>
      <c r="L59" s="96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</row>
    <row r="60" spans="3:89" outlineLevel="1" x14ac:dyDescent="0.25">
      <c r="C60" s="45" t="s">
        <v>43</v>
      </c>
      <c r="D60" s="13" t="s">
        <v>3</v>
      </c>
      <c r="F60" s="90" t="str">
        <f t="shared" ref="F60:AK60" si="233">IF(F$39&lt;Ph2_Start_Month,"",MIN(Unit_Sales_per_Month,Phase_2_Units-IF(ISNUMBER(E61),E61,0)))</f>
        <v/>
      </c>
      <c r="G60" s="90" t="str">
        <f t="shared" si="233"/>
        <v/>
      </c>
      <c r="H60" s="90" t="str">
        <f t="shared" si="233"/>
        <v/>
      </c>
      <c r="I60" s="90" t="str">
        <f t="shared" si="233"/>
        <v/>
      </c>
      <c r="J60" s="90" t="str">
        <f t="shared" si="233"/>
        <v/>
      </c>
      <c r="K60" s="90" t="str">
        <f t="shared" si="233"/>
        <v/>
      </c>
      <c r="L60" s="90" t="str">
        <f t="shared" si="233"/>
        <v/>
      </c>
      <c r="M60" s="90">
        <f t="shared" si="233"/>
        <v>1</v>
      </c>
      <c r="N60" s="90">
        <f t="shared" si="233"/>
        <v>1</v>
      </c>
      <c r="O60" s="90">
        <f t="shared" si="233"/>
        <v>1</v>
      </c>
      <c r="P60" s="90">
        <f t="shared" si="233"/>
        <v>1</v>
      </c>
      <c r="Q60" s="90">
        <f t="shared" si="233"/>
        <v>1</v>
      </c>
      <c r="R60" s="90">
        <f t="shared" si="233"/>
        <v>1</v>
      </c>
      <c r="S60" s="90">
        <f t="shared" si="233"/>
        <v>1</v>
      </c>
      <c r="T60" s="90">
        <f t="shared" si="233"/>
        <v>1</v>
      </c>
      <c r="U60" s="90">
        <f t="shared" si="233"/>
        <v>1</v>
      </c>
      <c r="V60" s="90">
        <f t="shared" si="233"/>
        <v>1</v>
      </c>
      <c r="W60" s="90">
        <f t="shared" si="233"/>
        <v>1</v>
      </c>
      <c r="X60" s="90">
        <f t="shared" si="233"/>
        <v>0</v>
      </c>
      <c r="Y60" s="90">
        <f t="shared" si="233"/>
        <v>0</v>
      </c>
      <c r="Z60" s="90">
        <f t="shared" si="233"/>
        <v>0</v>
      </c>
      <c r="AA60" s="90">
        <f t="shared" si="233"/>
        <v>0</v>
      </c>
      <c r="AB60" s="90">
        <f t="shared" si="233"/>
        <v>0</v>
      </c>
      <c r="AC60" s="90">
        <f t="shared" si="233"/>
        <v>0</v>
      </c>
      <c r="AD60" s="90">
        <f t="shared" si="233"/>
        <v>0</v>
      </c>
      <c r="AE60" s="90">
        <f t="shared" si="233"/>
        <v>0</v>
      </c>
      <c r="AF60" s="90">
        <f t="shared" si="233"/>
        <v>0</v>
      </c>
      <c r="AG60" s="90">
        <f t="shared" si="233"/>
        <v>0</v>
      </c>
      <c r="AH60" s="90">
        <f t="shared" si="233"/>
        <v>0</v>
      </c>
      <c r="AI60" s="90">
        <f t="shared" si="233"/>
        <v>0</v>
      </c>
      <c r="AJ60" s="90">
        <f t="shared" si="233"/>
        <v>0</v>
      </c>
      <c r="AK60" s="90">
        <f t="shared" si="233"/>
        <v>0</v>
      </c>
      <c r="AL60" s="90">
        <f t="shared" ref="AL60:BQ60" si="234">IF(AL$39&lt;Ph2_Start_Month,"",MIN(Unit_Sales_per_Month,Phase_2_Units-IF(ISNUMBER(AK61),AK61,0)))</f>
        <v>0</v>
      </c>
      <c r="AM60" s="90">
        <f t="shared" si="234"/>
        <v>0</v>
      </c>
      <c r="AN60" s="90">
        <f t="shared" si="234"/>
        <v>0</v>
      </c>
      <c r="AO60" s="90">
        <f t="shared" si="234"/>
        <v>0</v>
      </c>
      <c r="AP60" s="90">
        <f t="shared" si="234"/>
        <v>0</v>
      </c>
      <c r="AQ60" s="90">
        <f t="shared" si="234"/>
        <v>0</v>
      </c>
      <c r="AR60" s="90">
        <f t="shared" si="234"/>
        <v>0</v>
      </c>
      <c r="AS60" s="90">
        <f t="shared" si="234"/>
        <v>0</v>
      </c>
      <c r="AT60" s="90">
        <f t="shared" si="234"/>
        <v>0</v>
      </c>
      <c r="AU60" s="90">
        <f t="shared" si="234"/>
        <v>0</v>
      </c>
      <c r="AV60" s="90">
        <f t="shared" si="234"/>
        <v>0</v>
      </c>
      <c r="AW60" s="90">
        <f t="shared" si="234"/>
        <v>0</v>
      </c>
      <c r="AX60" s="90">
        <f t="shared" si="234"/>
        <v>0</v>
      </c>
      <c r="AY60" s="90">
        <f t="shared" si="234"/>
        <v>0</v>
      </c>
      <c r="AZ60" s="90">
        <f t="shared" si="234"/>
        <v>0</v>
      </c>
      <c r="BA60" s="90">
        <f t="shared" si="234"/>
        <v>0</v>
      </c>
      <c r="BB60" s="90">
        <f t="shared" si="234"/>
        <v>0</v>
      </c>
      <c r="BC60" s="90">
        <f t="shared" si="234"/>
        <v>0</v>
      </c>
      <c r="BD60" s="90">
        <f t="shared" si="234"/>
        <v>0</v>
      </c>
      <c r="BE60" s="90">
        <f t="shared" si="234"/>
        <v>0</v>
      </c>
      <c r="BF60" s="90">
        <f t="shared" si="234"/>
        <v>0</v>
      </c>
      <c r="BG60" s="90">
        <f t="shared" si="234"/>
        <v>0</v>
      </c>
      <c r="BH60" s="90">
        <f t="shared" si="234"/>
        <v>0</v>
      </c>
      <c r="BI60" s="90">
        <f t="shared" si="234"/>
        <v>0</v>
      </c>
      <c r="BJ60" s="90">
        <f t="shared" si="234"/>
        <v>0</v>
      </c>
      <c r="BK60" s="90">
        <f t="shared" si="234"/>
        <v>0</v>
      </c>
      <c r="BL60" s="90">
        <f t="shared" si="234"/>
        <v>0</v>
      </c>
      <c r="BM60" s="90">
        <f t="shared" si="234"/>
        <v>0</v>
      </c>
      <c r="BN60" s="90">
        <f t="shared" si="234"/>
        <v>0</v>
      </c>
      <c r="BO60" s="90">
        <f t="shared" si="234"/>
        <v>0</v>
      </c>
      <c r="BP60" s="90">
        <f t="shared" si="234"/>
        <v>0</v>
      </c>
      <c r="BQ60" s="90">
        <f t="shared" si="234"/>
        <v>0</v>
      </c>
      <c r="BR60" s="90">
        <f t="shared" ref="BR60:CK60" si="235">IF(BR$39&lt;Ph2_Start_Month,"",MIN(Unit_Sales_per_Month,Phase_2_Units-IF(ISNUMBER(BQ61),BQ61,0)))</f>
        <v>0</v>
      </c>
      <c r="BS60" s="90">
        <f t="shared" si="235"/>
        <v>0</v>
      </c>
      <c r="BT60" s="90">
        <f t="shared" si="235"/>
        <v>0</v>
      </c>
      <c r="BU60" s="90">
        <f t="shared" si="235"/>
        <v>0</v>
      </c>
      <c r="BV60" s="90">
        <f t="shared" si="235"/>
        <v>0</v>
      </c>
      <c r="BW60" s="90">
        <f t="shared" si="235"/>
        <v>0</v>
      </c>
      <c r="BX60" s="90">
        <f t="shared" si="235"/>
        <v>0</v>
      </c>
      <c r="BY60" s="90">
        <f t="shared" si="235"/>
        <v>0</v>
      </c>
      <c r="BZ60" s="90">
        <f t="shared" si="235"/>
        <v>0</v>
      </c>
      <c r="CA60" s="90">
        <f t="shared" si="235"/>
        <v>0</v>
      </c>
      <c r="CB60" s="90">
        <f t="shared" si="235"/>
        <v>0</v>
      </c>
      <c r="CC60" s="90">
        <f t="shared" si="235"/>
        <v>0</v>
      </c>
      <c r="CD60" s="90">
        <f t="shared" si="235"/>
        <v>0</v>
      </c>
      <c r="CE60" s="90">
        <f t="shared" si="235"/>
        <v>0</v>
      </c>
      <c r="CF60" s="90">
        <f t="shared" si="235"/>
        <v>0</v>
      </c>
      <c r="CG60" s="90">
        <f t="shared" si="235"/>
        <v>0</v>
      </c>
      <c r="CH60" s="90">
        <f t="shared" si="235"/>
        <v>0</v>
      </c>
      <c r="CI60" s="90">
        <f t="shared" si="235"/>
        <v>0</v>
      </c>
      <c r="CJ60" s="90">
        <f t="shared" si="235"/>
        <v>0</v>
      </c>
      <c r="CK60" s="90">
        <f t="shared" si="235"/>
        <v>0</v>
      </c>
    </row>
    <row r="61" spans="3:89" outlineLevel="1" x14ac:dyDescent="0.25">
      <c r="C61" s="45" t="s">
        <v>44</v>
      </c>
      <c r="D61" s="13" t="s">
        <v>3</v>
      </c>
      <c r="F61" s="90" t="str">
        <f>IF(F60="","",IF(ISNUMBER(E61),E61,0)+IF(ISNUMBER(F60),F60,0))</f>
        <v/>
      </c>
      <c r="G61" s="90" t="str">
        <f t="shared" ref="G61:BR61" si="236">IF(G60="","",IF(ISNUMBER(F61),F61,0)+IF(ISNUMBER(G60),G60,0))</f>
        <v/>
      </c>
      <c r="H61" s="90" t="str">
        <f t="shared" si="236"/>
        <v/>
      </c>
      <c r="I61" s="90" t="str">
        <f t="shared" si="236"/>
        <v/>
      </c>
      <c r="J61" s="90" t="str">
        <f t="shared" si="236"/>
        <v/>
      </c>
      <c r="K61" s="90" t="str">
        <f t="shared" si="236"/>
        <v/>
      </c>
      <c r="L61" s="90" t="str">
        <f t="shared" si="236"/>
        <v/>
      </c>
      <c r="M61" s="90">
        <f t="shared" si="236"/>
        <v>1</v>
      </c>
      <c r="N61" s="90">
        <f t="shared" si="236"/>
        <v>2</v>
      </c>
      <c r="O61" s="90">
        <f t="shared" si="236"/>
        <v>3</v>
      </c>
      <c r="P61" s="90">
        <f t="shared" si="236"/>
        <v>4</v>
      </c>
      <c r="Q61" s="90">
        <f t="shared" si="236"/>
        <v>5</v>
      </c>
      <c r="R61" s="90">
        <f t="shared" si="236"/>
        <v>6</v>
      </c>
      <c r="S61" s="90">
        <f t="shared" si="236"/>
        <v>7</v>
      </c>
      <c r="T61" s="90">
        <f t="shared" si="236"/>
        <v>8</v>
      </c>
      <c r="U61" s="90">
        <f t="shared" si="236"/>
        <v>9</v>
      </c>
      <c r="V61" s="90">
        <f t="shared" si="236"/>
        <v>10</v>
      </c>
      <c r="W61" s="90">
        <f t="shared" si="236"/>
        <v>11</v>
      </c>
      <c r="X61" s="90">
        <f t="shared" si="236"/>
        <v>11</v>
      </c>
      <c r="Y61" s="90">
        <f t="shared" si="236"/>
        <v>11</v>
      </c>
      <c r="Z61" s="90">
        <f t="shared" si="236"/>
        <v>11</v>
      </c>
      <c r="AA61" s="90">
        <f t="shared" si="236"/>
        <v>11</v>
      </c>
      <c r="AB61" s="90">
        <f t="shared" si="236"/>
        <v>11</v>
      </c>
      <c r="AC61" s="90">
        <f t="shared" si="236"/>
        <v>11</v>
      </c>
      <c r="AD61" s="90">
        <f t="shared" si="236"/>
        <v>11</v>
      </c>
      <c r="AE61" s="90">
        <f t="shared" si="236"/>
        <v>11</v>
      </c>
      <c r="AF61" s="90">
        <f t="shared" si="236"/>
        <v>11</v>
      </c>
      <c r="AG61" s="90">
        <f t="shared" si="236"/>
        <v>11</v>
      </c>
      <c r="AH61" s="90">
        <f t="shared" si="236"/>
        <v>11</v>
      </c>
      <c r="AI61" s="90">
        <f t="shared" si="236"/>
        <v>11</v>
      </c>
      <c r="AJ61" s="90">
        <f t="shared" si="236"/>
        <v>11</v>
      </c>
      <c r="AK61" s="90">
        <f t="shared" si="236"/>
        <v>11</v>
      </c>
      <c r="AL61" s="90">
        <f t="shared" si="236"/>
        <v>11</v>
      </c>
      <c r="AM61" s="90">
        <f t="shared" si="236"/>
        <v>11</v>
      </c>
      <c r="AN61" s="90">
        <f t="shared" si="236"/>
        <v>11</v>
      </c>
      <c r="AO61" s="90">
        <f t="shared" si="236"/>
        <v>11</v>
      </c>
      <c r="AP61" s="90">
        <f t="shared" si="236"/>
        <v>11</v>
      </c>
      <c r="AQ61" s="90">
        <f t="shared" si="236"/>
        <v>11</v>
      </c>
      <c r="AR61" s="90">
        <f t="shared" si="236"/>
        <v>11</v>
      </c>
      <c r="AS61" s="90">
        <f t="shared" si="236"/>
        <v>11</v>
      </c>
      <c r="AT61" s="90">
        <f t="shared" si="236"/>
        <v>11</v>
      </c>
      <c r="AU61" s="90">
        <f t="shared" si="236"/>
        <v>11</v>
      </c>
      <c r="AV61" s="90">
        <f t="shared" si="236"/>
        <v>11</v>
      </c>
      <c r="AW61" s="90">
        <f t="shared" si="236"/>
        <v>11</v>
      </c>
      <c r="AX61" s="90">
        <f t="shared" si="236"/>
        <v>11</v>
      </c>
      <c r="AY61" s="90">
        <f t="shared" si="236"/>
        <v>11</v>
      </c>
      <c r="AZ61" s="90">
        <f t="shared" si="236"/>
        <v>11</v>
      </c>
      <c r="BA61" s="90">
        <f t="shared" si="236"/>
        <v>11</v>
      </c>
      <c r="BB61" s="90">
        <f t="shared" si="236"/>
        <v>11</v>
      </c>
      <c r="BC61" s="90">
        <f t="shared" si="236"/>
        <v>11</v>
      </c>
      <c r="BD61" s="90">
        <f t="shared" si="236"/>
        <v>11</v>
      </c>
      <c r="BE61" s="90">
        <f t="shared" si="236"/>
        <v>11</v>
      </c>
      <c r="BF61" s="90">
        <f t="shared" si="236"/>
        <v>11</v>
      </c>
      <c r="BG61" s="90">
        <f t="shared" si="236"/>
        <v>11</v>
      </c>
      <c r="BH61" s="90">
        <f t="shared" si="236"/>
        <v>11</v>
      </c>
      <c r="BI61" s="90">
        <f t="shared" si="236"/>
        <v>11</v>
      </c>
      <c r="BJ61" s="90">
        <f t="shared" si="236"/>
        <v>11</v>
      </c>
      <c r="BK61" s="90">
        <f t="shared" si="236"/>
        <v>11</v>
      </c>
      <c r="BL61" s="90">
        <f t="shared" si="236"/>
        <v>11</v>
      </c>
      <c r="BM61" s="90">
        <f t="shared" si="236"/>
        <v>11</v>
      </c>
      <c r="BN61" s="90">
        <f t="shared" si="236"/>
        <v>11</v>
      </c>
      <c r="BO61" s="90">
        <f t="shared" si="236"/>
        <v>11</v>
      </c>
      <c r="BP61" s="90">
        <f t="shared" si="236"/>
        <v>11</v>
      </c>
      <c r="BQ61" s="90">
        <f t="shared" si="236"/>
        <v>11</v>
      </c>
      <c r="BR61" s="90">
        <f t="shared" si="236"/>
        <v>11</v>
      </c>
      <c r="BS61" s="90">
        <f t="shared" ref="BS61:CK61" si="237">IF(BS60="","",IF(ISNUMBER(BR61),BR61,0)+IF(ISNUMBER(BS60),BS60,0))</f>
        <v>11</v>
      </c>
      <c r="BT61" s="90">
        <f t="shared" si="237"/>
        <v>11</v>
      </c>
      <c r="BU61" s="90">
        <f t="shared" si="237"/>
        <v>11</v>
      </c>
      <c r="BV61" s="90">
        <f t="shared" si="237"/>
        <v>11</v>
      </c>
      <c r="BW61" s="90">
        <f t="shared" si="237"/>
        <v>11</v>
      </c>
      <c r="BX61" s="90">
        <f t="shared" si="237"/>
        <v>11</v>
      </c>
      <c r="BY61" s="90">
        <f t="shared" si="237"/>
        <v>11</v>
      </c>
      <c r="BZ61" s="90">
        <f t="shared" si="237"/>
        <v>11</v>
      </c>
      <c r="CA61" s="90">
        <f t="shared" si="237"/>
        <v>11</v>
      </c>
      <c r="CB61" s="90">
        <f t="shared" si="237"/>
        <v>11</v>
      </c>
      <c r="CC61" s="90">
        <f t="shared" si="237"/>
        <v>11</v>
      </c>
      <c r="CD61" s="90">
        <f t="shared" si="237"/>
        <v>11</v>
      </c>
      <c r="CE61" s="90">
        <f t="shared" si="237"/>
        <v>11</v>
      </c>
      <c r="CF61" s="90">
        <f t="shared" si="237"/>
        <v>11</v>
      </c>
      <c r="CG61" s="90">
        <f t="shared" si="237"/>
        <v>11</v>
      </c>
      <c r="CH61" s="90">
        <f t="shared" si="237"/>
        <v>11</v>
      </c>
      <c r="CI61" s="90">
        <f t="shared" si="237"/>
        <v>11</v>
      </c>
      <c r="CJ61" s="90">
        <f t="shared" si="237"/>
        <v>11</v>
      </c>
      <c r="CK61" s="90">
        <f t="shared" si="237"/>
        <v>11</v>
      </c>
    </row>
    <row r="62" spans="3:89" outlineLevel="1" x14ac:dyDescent="0.25">
      <c r="C62" s="45" t="s">
        <v>45</v>
      </c>
      <c r="D62" s="13" t="s">
        <v>5</v>
      </c>
      <c r="F62" s="65" t="str">
        <f t="shared" ref="F62:AK62" si="238">IF(F61="","",+F61/Phase_2_Units)</f>
        <v/>
      </c>
      <c r="G62" s="65" t="str">
        <f t="shared" si="238"/>
        <v/>
      </c>
      <c r="H62" s="65" t="str">
        <f t="shared" si="238"/>
        <v/>
      </c>
      <c r="I62" s="65" t="str">
        <f t="shared" si="238"/>
        <v/>
      </c>
      <c r="J62" s="65" t="str">
        <f t="shared" si="238"/>
        <v/>
      </c>
      <c r="K62" s="65" t="str">
        <f t="shared" si="238"/>
        <v/>
      </c>
      <c r="L62" s="65" t="str">
        <f t="shared" si="238"/>
        <v/>
      </c>
      <c r="M62" s="65">
        <f t="shared" si="238"/>
        <v>9.0909090909090912E-2</v>
      </c>
      <c r="N62" s="65">
        <f t="shared" si="238"/>
        <v>0.18181818181818182</v>
      </c>
      <c r="O62" s="65">
        <f t="shared" si="238"/>
        <v>0.27272727272727271</v>
      </c>
      <c r="P62" s="65">
        <f t="shared" si="238"/>
        <v>0.36363636363636365</v>
      </c>
      <c r="Q62" s="65">
        <f t="shared" si="238"/>
        <v>0.45454545454545453</v>
      </c>
      <c r="R62" s="65">
        <f t="shared" si="238"/>
        <v>0.54545454545454541</v>
      </c>
      <c r="S62" s="65">
        <f t="shared" si="238"/>
        <v>0.63636363636363635</v>
      </c>
      <c r="T62" s="65">
        <f t="shared" si="238"/>
        <v>0.72727272727272729</v>
      </c>
      <c r="U62" s="65">
        <f t="shared" si="238"/>
        <v>0.81818181818181823</v>
      </c>
      <c r="V62" s="65">
        <f t="shared" si="238"/>
        <v>0.90909090909090906</v>
      </c>
      <c r="W62" s="65">
        <f t="shared" si="238"/>
        <v>1</v>
      </c>
      <c r="X62" s="65">
        <f t="shared" si="238"/>
        <v>1</v>
      </c>
      <c r="Y62" s="65">
        <f t="shared" si="238"/>
        <v>1</v>
      </c>
      <c r="Z62" s="65">
        <f t="shared" si="238"/>
        <v>1</v>
      </c>
      <c r="AA62" s="65">
        <f t="shared" si="238"/>
        <v>1</v>
      </c>
      <c r="AB62" s="65">
        <f t="shared" si="238"/>
        <v>1</v>
      </c>
      <c r="AC62" s="65">
        <f t="shared" si="238"/>
        <v>1</v>
      </c>
      <c r="AD62" s="65">
        <f t="shared" si="238"/>
        <v>1</v>
      </c>
      <c r="AE62" s="65">
        <f t="shared" si="238"/>
        <v>1</v>
      </c>
      <c r="AF62" s="65">
        <f t="shared" si="238"/>
        <v>1</v>
      </c>
      <c r="AG62" s="65">
        <f t="shared" si="238"/>
        <v>1</v>
      </c>
      <c r="AH62" s="65">
        <f t="shared" si="238"/>
        <v>1</v>
      </c>
      <c r="AI62" s="65">
        <f t="shared" si="238"/>
        <v>1</v>
      </c>
      <c r="AJ62" s="65">
        <f t="shared" si="238"/>
        <v>1</v>
      </c>
      <c r="AK62" s="65">
        <f t="shared" si="238"/>
        <v>1</v>
      </c>
      <c r="AL62" s="65">
        <f t="shared" ref="AL62:BQ62" si="239">IF(AL61="","",+AL61/Phase_2_Units)</f>
        <v>1</v>
      </c>
      <c r="AM62" s="65">
        <f t="shared" si="239"/>
        <v>1</v>
      </c>
      <c r="AN62" s="65">
        <f t="shared" si="239"/>
        <v>1</v>
      </c>
      <c r="AO62" s="65">
        <f t="shared" si="239"/>
        <v>1</v>
      </c>
      <c r="AP62" s="65">
        <f t="shared" si="239"/>
        <v>1</v>
      </c>
      <c r="AQ62" s="65">
        <f t="shared" si="239"/>
        <v>1</v>
      </c>
      <c r="AR62" s="65">
        <f t="shared" si="239"/>
        <v>1</v>
      </c>
      <c r="AS62" s="65">
        <f t="shared" si="239"/>
        <v>1</v>
      </c>
      <c r="AT62" s="65">
        <f t="shared" si="239"/>
        <v>1</v>
      </c>
      <c r="AU62" s="65">
        <f t="shared" si="239"/>
        <v>1</v>
      </c>
      <c r="AV62" s="65">
        <f t="shared" si="239"/>
        <v>1</v>
      </c>
      <c r="AW62" s="65">
        <f t="shared" si="239"/>
        <v>1</v>
      </c>
      <c r="AX62" s="65">
        <f t="shared" si="239"/>
        <v>1</v>
      </c>
      <c r="AY62" s="65">
        <f t="shared" si="239"/>
        <v>1</v>
      </c>
      <c r="AZ62" s="65">
        <f t="shared" si="239"/>
        <v>1</v>
      </c>
      <c r="BA62" s="65">
        <f t="shared" si="239"/>
        <v>1</v>
      </c>
      <c r="BB62" s="65">
        <f t="shared" si="239"/>
        <v>1</v>
      </c>
      <c r="BC62" s="65">
        <f t="shared" si="239"/>
        <v>1</v>
      </c>
      <c r="BD62" s="65">
        <f t="shared" si="239"/>
        <v>1</v>
      </c>
      <c r="BE62" s="65">
        <f t="shared" si="239"/>
        <v>1</v>
      </c>
      <c r="BF62" s="65">
        <f t="shared" si="239"/>
        <v>1</v>
      </c>
      <c r="BG62" s="65">
        <f t="shared" si="239"/>
        <v>1</v>
      </c>
      <c r="BH62" s="65">
        <f t="shared" si="239"/>
        <v>1</v>
      </c>
      <c r="BI62" s="65">
        <f t="shared" si="239"/>
        <v>1</v>
      </c>
      <c r="BJ62" s="65">
        <f t="shared" si="239"/>
        <v>1</v>
      </c>
      <c r="BK62" s="65">
        <f t="shared" si="239"/>
        <v>1</v>
      </c>
      <c r="BL62" s="65">
        <f t="shared" si="239"/>
        <v>1</v>
      </c>
      <c r="BM62" s="65">
        <f t="shared" si="239"/>
        <v>1</v>
      </c>
      <c r="BN62" s="65">
        <f t="shared" si="239"/>
        <v>1</v>
      </c>
      <c r="BO62" s="65">
        <f t="shared" si="239"/>
        <v>1</v>
      </c>
      <c r="BP62" s="65">
        <f t="shared" si="239"/>
        <v>1</v>
      </c>
      <c r="BQ62" s="65">
        <f t="shared" si="239"/>
        <v>1</v>
      </c>
      <c r="BR62" s="65">
        <f t="shared" ref="BR62:CK62" si="240">IF(BR61="","",+BR61/Phase_2_Units)</f>
        <v>1</v>
      </c>
      <c r="BS62" s="65">
        <f t="shared" si="240"/>
        <v>1</v>
      </c>
      <c r="BT62" s="65">
        <f t="shared" si="240"/>
        <v>1</v>
      </c>
      <c r="BU62" s="65">
        <f t="shared" si="240"/>
        <v>1</v>
      </c>
      <c r="BV62" s="65">
        <f t="shared" si="240"/>
        <v>1</v>
      </c>
      <c r="BW62" s="65">
        <f t="shared" si="240"/>
        <v>1</v>
      </c>
      <c r="BX62" s="65">
        <f t="shared" si="240"/>
        <v>1</v>
      </c>
      <c r="BY62" s="65">
        <f t="shared" si="240"/>
        <v>1</v>
      </c>
      <c r="BZ62" s="65">
        <f t="shared" si="240"/>
        <v>1</v>
      </c>
      <c r="CA62" s="65">
        <f t="shared" si="240"/>
        <v>1</v>
      </c>
      <c r="CB62" s="65">
        <f t="shared" si="240"/>
        <v>1</v>
      </c>
      <c r="CC62" s="65">
        <f t="shared" si="240"/>
        <v>1</v>
      </c>
      <c r="CD62" s="65">
        <f t="shared" si="240"/>
        <v>1</v>
      </c>
      <c r="CE62" s="65">
        <f t="shared" si="240"/>
        <v>1</v>
      </c>
      <c r="CF62" s="65">
        <f t="shared" si="240"/>
        <v>1</v>
      </c>
      <c r="CG62" s="65">
        <f t="shared" si="240"/>
        <v>1</v>
      </c>
      <c r="CH62" s="65">
        <f t="shared" si="240"/>
        <v>1</v>
      </c>
      <c r="CI62" s="65">
        <f t="shared" si="240"/>
        <v>1</v>
      </c>
      <c r="CJ62" s="65">
        <f t="shared" si="240"/>
        <v>1</v>
      </c>
      <c r="CK62" s="65">
        <f t="shared" si="240"/>
        <v>1</v>
      </c>
    </row>
    <row r="63" spans="3:89" outlineLevel="1" x14ac:dyDescent="0.25">
      <c r="C63" s="113" t="s">
        <v>156</v>
      </c>
      <c r="D63" s="13" t="s">
        <v>24</v>
      </c>
      <c r="F63" s="44" t="str">
        <f t="shared" ref="F63:AK63" si="241">IF(F60="","",+F60*Unit_Price_per_Sq_M*Phase_2_Avg_Size*F$44)</f>
        <v/>
      </c>
      <c r="G63" s="44" t="str">
        <f t="shared" si="241"/>
        <v/>
      </c>
      <c r="H63" s="44" t="str">
        <f t="shared" si="241"/>
        <v/>
      </c>
      <c r="I63" s="44" t="str">
        <f t="shared" si="241"/>
        <v/>
      </c>
      <c r="J63" s="44" t="str">
        <f t="shared" si="241"/>
        <v/>
      </c>
      <c r="K63" s="44" t="str">
        <f t="shared" si="241"/>
        <v/>
      </c>
      <c r="L63" s="44" t="str">
        <f t="shared" si="241"/>
        <v/>
      </c>
      <c r="M63" s="44">
        <f t="shared" si="241"/>
        <v>16424157.009451292</v>
      </c>
      <c r="N63" s="44">
        <f t="shared" si="241"/>
        <v>16457988.083760954</v>
      </c>
      <c r="O63" s="44">
        <f t="shared" si="241"/>
        <v>16491888.844544524</v>
      </c>
      <c r="P63" s="44">
        <f t="shared" si="241"/>
        <v>16525859.435344731</v>
      </c>
      <c r="Q63" s="44">
        <f t="shared" si="241"/>
        <v>16559899.999999978</v>
      </c>
      <c r="R63" s="44">
        <f t="shared" si="241"/>
        <v>16594010.682644947</v>
      </c>
      <c r="S63" s="44">
        <f t="shared" si="241"/>
        <v>16628191.627711218</v>
      </c>
      <c r="T63" s="44">
        <f t="shared" si="241"/>
        <v>16662442.979927875</v>
      </c>
      <c r="U63" s="44">
        <f t="shared" si="241"/>
        <v>16696764.884322116</v>
      </c>
      <c r="V63" s="44">
        <f t="shared" si="241"/>
        <v>16731157.486219879</v>
      </c>
      <c r="W63" s="44">
        <f t="shared" si="241"/>
        <v>16765620.931246446</v>
      </c>
      <c r="X63" s="44">
        <f t="shared" si="241"/>
        <v>0</v>
      </c>
      <c r="Y63" s="44">
        <f t="shared" si="241"/>
        <v>0</v>
      </c>
      <c r="Z63" s="44">
        <f t="shared" si="241"/>
        <v>0</v>
      </c>
      <c r="AA63" s="44">
        <f t="shared" si="241"/>
        <v>0</v>
      </c>
      <c r="AB63" s="44">
        <f t="shared" si="241"/>
        <v>0</v>
      </c>
      <c r="AC63" s="44">
        <f t="shared" si="241"/>
        <v>0</v>
      </c>
      <c r="AD63" s="44">
        <f t="shared" si="241"/>
        <v>0</v>
      </c>
      <c r="AE63" s="44">
        <f t="shared" si="241"/>
        <v>0</v>
      </c>
      <c r="AF63" s="44">
        <f t="shared" si="241"/>
        <v>0</v>
      </c>
      <c r="AG63" s="44">
        <f t="shared" si="241"/>
        <v>0</v>
      </c>
      <c r="AH63" s="44">
        <f t="shared" si="241"/>
        <v>0</v>
      </c>
      <c r="AI63" s="44">
        <f t="shared" si="241"/>
        <v>0</v>
      </c>
      <c r="AJ63" s="44">
        <f t="shared" si="241"/>
        <v>0</v>
      </c>
      <c r="AK63" s="44">
        <f t="shared" si="241"/>
        <v>0</v>
      </c>
      <c r="AL63" s="44">
        <f t="shared" ref="AL63:BQ63" si="242">IF(AL60="","",+AL60*Unit_Price_per_Sq_M*Phase_2_Avg_Size*AL$44)</f>
        <v>0</v>
      </c>
      <c r="AM63" s="44">
        <f t="shared" si="242"/>
        <v>0</v>
      </c>
      <c r="AN63" s="44">
        <f t="shared" si="242"/>
        <v>0</v>
      </c>
      <c r="AO63" s="44">
        <f t="shared" si="242"/>
        <v>0</v>
      </c>
      <c r="AP63" s="44">
        <f t="shared" si="242"/>
        <v>0</v>
      </c>
      <c r="AQ63" s="44">
        <f t="shared" si="242"/>
        <v>0</v>
      </c>
      <c r="AR63" s="44">
        <f t="shared" si="242"/>
        <v>0</v>
      </c>
      <c r="AS63" s="44">
        <f t="shared" si="242"/>
        <v>0</v>
      </c>
      <c r="AT63" s="44">
        <f t="shared" si="242"/>
        <v>0</v>
      </c>
      <c r="AU63" s="44">
        <f t="shared" si="242"/>
        <v>0</v>
      </c>
      <c r="AV63" s="44">
        <f t="shared" si="242"/>
        <v>0</v>
      </c>
      <c r="AW63" s="44">
        <f t="shared" si="242"/>
        <v>0</v>
      </c>
      <c r="AX63" s="44">
        <f t="shared" si="242"/>
        <v>0</v>
      </c>
      <c r="AY63" s="44">
        <f t="shared" si="242"/>
        <v>0</v>
      </c>
      <c r="AZ63" s="44">
        <f t="shared" si="242"/>
        <v>0</v>
      </c>
      <c r="BA63" s="44">
        <f t="shared" si="242"/>
        <v>0</v>
      </c>
      <c r="BB63" s="44">
        <f t="shared" si="242"/>
        <v>0</v>
      </c>
      <c r="BC63" s="44">
        <f t="shared" si="242"/>
        <v>0</v>
      </c>
      <c r="BD63" s="44">
        <f t="shared" si="242"/>
        <v>0</v>
      </c>
      <c r="BE63" s="44">
        <f t="shared" si="242"/>
        <v>0</v>
      </c>
      <c r="BF63" s="44">
        <f t="shared" si="242"/>
        <v>0</v>
      </c>
      <c r="BG63" s="44">
        <f t="shared" si="242"/>
        <v>0</v>
      </c>
      <c r="BH63" s="44">
        <f t="shared" si="242"/>
        <v>0</v>
      </c>
      <c r="BI63" s="44">
        <f t="shared" si="242"/>
        <v>0</v>
      </c>
      <c r="BJ63" s="44">
        <f t="shared" si="242"/>
        <v>0</v>
      </c>
      <c r="BK63" s="44">
        <f t="shared" si="242"/>
        <v>0</v>
      </c>
      <c r="BL63" s="44">
        <f t="shared" si="242"/>
        <v>0</v>
      </c>
      <c r="BM63" s="44">
        <f t="shared" si="242"/>
        <v>0</v>
      </c>
      <c r="BN63" s="44">
        <f t="shared" si="242"/>
        <v>0</v>
      </c>
      <c r="BO63" s="44">
        <f t="shared" si="242"/>
        <v>0</v>
      </c>
      <c r="BP63" s="44">
        <f t="shared" si="242"/>
        <v>0</v>
      </c>
      <c r="BQ63" s="44">
        <f t="shared" si="242"/>
        <v>0</v>
      </c>
      <c r="BR63" s="44">
        <f t="shared" ref="BR63:CK63" si="243">IF(BR60="","",+BR60*Unit_Price_per_Sq_M*Phase_2_Avg_Size*BR$44)</f>
        <v>0</v>
      </c>
      <c r="BS63" s="44">
        <f t="shared" si="243"/>
        <v>0</v>
      </c>
      <c r="BT63" s="44">
        <f t="shared" si="243"/>
        <v>0</v>
      </c>
      <c r="BU63" s="44">
        <f t="shared" si="243"/>
        <v>0</v>
      </c>
      <c r="BV63" s="44">
        <f t="shared" si="243"/>
        <v>0</v>
      </c>
      <c r="BW63" s="44">
        <f t="shared" si="243"/>
        <v>0</v>
      </c>
      <c r="BX63" s="44">
        <f t="shared" si="243"/>
        <v>0</v>
      </c>
      <c r="BY63" s="44">
        <f t="shared" si="243"/>
        <v>0</v>
      </c>
      <c r="BZ63" s="44">
        <f t="shared" si="243"/>
        <v>0</v>
      </c>
      <c r="CA63" s="44">
        <f t="shared" si="243"/>
        <v>0</v>
      </c>
      <c r="CB63" s="44">
        <f t="shared" si="243"/>
        <v>0</v>
      </c>
      <c r="CC63" s="44">
        <f t="shared" si="243"/>
        <v>0</v>
      </c>
      <c r="CD63" s="44">
        <f t="shared" si="243"/>
        <v>0</v>
      </c>
      <c r="CE63" s="44">
        <f t="shared" si="243"/>
        <v>0</v>
      </c>
      <c r="CF63" s="44">
        <f t="shared" si="243"/>
        <v>0</v>
      </c>
      <c r="CG63" s="44">
        <f t="shared" si="243"/>
        <v>0</v>
      </c>
      <c r="CH63" s="44">
        <f t="shared" si="243"/>
        <v>0</v>
      </c>
      <c r="CI63" s="44">
        <f t="shared" si="243"/>
        <v>0</v>
      </c>
      <c r="CJ63" s="44">
        <f t="shared" si="243"/>
        <v>0</v>
      </c>
      <c r="CK63" s="44">
        <f t="shared" si="243"/>
        <v>0</v>
      </c>
    </row>
    <row r="64" spans="3:89" outlineLevel="1" x14ac:dyDescent="0.25">
      <c r="L64" s="58"/>
    </row>
    <row r="65" spans="2:89" outlineLevel="1" x14ac:dyDescent="0.25">
      <c r="C65" s="45" t="s">
        <v>42</v>
      </c>
      <c r="D65" s="97" t="s">
        <v>3</v>
      </c>
      <c r="F65" s="60" t="str">
        <f t="shared" ref="F65:AK65" si="244">IF(F60="","",IF(F$39&lt;Ph2_Constr_Start,Pre_Constr,IF(F$39&lt;=Ph2_Constr_End,Constr,Post_Constr)))</f>
        <v/>
      </c>
      <c r="G65" s="60" t="str">
        <f t="shared" si="244"/>
        <v/>
      </c>
      <c r="H65" s="60" t="str">
        <f t="shared" si="244"/>
        <v/>
      </c>
      <c r="I65" s="60" t="str">
        <f t="shared" si="244"/>
        <v/>
      </c>
      <c r="J65" s="60" t="str">
        <f t="shared" si="244"/>
        <v/>
      </c>
      <c r="K65" s="60" t="str">
        <f t="shared" si="244"/>
        <v/>
      </c>
      <c r="L65" s="60" t="str">
        <f t="shared" si="244"/>
        <v/>
      </c>
      <c r="M65" s="60">
        <f t="shared" si="244"/>
        <v>1</v>
      </c>
      <c r="N65" s="60">
        <f t="shared" si="244"/>
        <v>1</v>
      </c>
      <c r="O65" s="60">
        <f t="shared" si="244"/>
        <v>1</v>
      </c>
      <c r="P65" s="60">
        <f t="shared" si="244"/>
        <v>2</v>
      </c>
      <c r="Q65" s="60">
        <f t="shared" si="244"/>
        <v>2</v>
      </c>
      <c r="R65" s="60">
        <f t="shared" si="244"/>
        <v>2</v>
      </c>
      <c r="S65" s="60">
        <f t="shared" si="244"/>
        <v>2</v>
      </c>
      <c r="T65" s="60">
        <f t="shared" si="244"/>
        <v>2</v>
      </c>
      <c r="U65" s="60">
        <f t="shared" si="244"/>
        <v>2</v>
      </c>
      <c r="V65" s="60">
        <f t="shared" si="244"/>
        <v>2</v>
      </c>
      <c r="W65" s="60">
        <f t="shared" si="244"/>
        <v>2</v>
      </c>
      <c r="X65" s="60">
        <f t="shared" si="244"/>
        <v>2</v>
      </c>
      <c r="Y65" s="60">
        <f t="shared" si="244"/>
        <v>2</v>
      </c>
      <c r="Z65" s="60">
        <f t="shared" si="244"/>
        <v>2</v>
      </c>
      <c r="AA65" s="60">
        <f t="shared" si="244"/>
        <v>2</v>
      </c>
      <c r="AB65" s="60">
        <f t="shared" si="244"/>
        <v>2</v>
      </c>
      <c r="AC65" s="60">
        <f t="shared" si="244"/>
        <v>2</v>
      </c>
      <c r="AD65" s="60">
        <f t="shared" si="244"/>
        <v>2</v>
      </c>
      <c r="AE65" s="60">
        <f t="shared" si="244"/>
        <v>2</v>
      </c>
      <c r="AF65" s="60">
        <f t="shared" si="244"/>
        <v>2</v>
      </c>
      <c r="AG65" s="60">
        <f t="shared" si="244"/>
        <v>2</v>
      </c>
      <c r="AH65" s="60">
        <f t="shared" si="244"/>
        <v>2</v>
      </c>
      <c r="AI65" s="60">
        <f t="shared" si="244"/>
        <v>2</v>
      </c>
      <c r="AJ65" s="60">
        <f t="shared" si="244"/>
        <v>2</v>
      </c>
      <c r="AK65" s="60">
        <f t="shared" si="244"/>
        <v>2</v>
      </c>
      <c r="AL65" s="60">
        <f t="shared" ref="AL65:BQ65" si="245">IF(AL60="","",IF(AL$39&lt;Ph2_Constr_Start,Pre_Constr,IF(AL$39&lt;=Ph2_Constr_End,Constr,Post_Constr)))</f>
        <v>2</v>
      </c>
      <c r="AM65" s="60">
        <f t="shared" si="245"/>
        <v>2</v>
      </c>
      <c r="AN65" s="60">
        <f t="shared" si="245"/>
        <v>3</v>
      </c>
      <c r="AO65" s="60">
        <f t="shared" si="245"/>
        <v>3</v>
      </c>
      <c r="AP65" s="60">
        <f t="shared" si="245"/>
        <v>3</v>
      </c>
      <c r="AQ65" s="60">
        <f t="shared" si="245"/>
        <v>3</v>
      </c>
      <c r="AR65" s="60">
        <f t="shared" si="245"/>
        <v>3</v>
      </c>
      <c r="AS65" s="60">
        <f t="shared" si="245"/>
        <v>3</v>
      </c>
      <c r="AT65" s="60">
        <f t="shared" si="245"/>
        <v>3</v>
      </c>
      <c r="AU65" s="60">
        <f t="shared" si="245"/>
        <v>3</v>
      </c>
      <c r="AV65" s="60">
        <f t="shared" si="245"/>
        <v>3</v>
      </c>
      <c r="AW65" s="60">
        <f t="shared" si="245"/>
        <v>3</v>
      </c>
      <c r="AX65" s="60">
        <f t="shared" si="245"/>
        <v>3</v>
      </c>
      <c r="AY65" s="60">
        <f t="shared" si="245"/>
        <v>3</v>
      </c>
      <c r="AZ65" s="60">
        <f t="shared" si="245"/>
        <v>3</v>
      </c>
      <c r="BA65" s="60">
        <f t="shared" si="245"/>
        <v>3</v>
      </c>
      <c r="BB65" s="60">
        <f t="shared" si="245"/>
        <v>3</v>
      </c>
      <c r="BC65" s="60">
        <f t="shared" si="245"/>
        <v>3</v>
      </c>
      <c r="BD65" s="60">
        <f t="shared" si="245"/>
        <v>3</v>
      </c>
      <c r="BE65" s="60">
        <f t="shared" si="245"/>
        <v>3</v>
      </c>
      <c r="BF65" s="60">
        <f t="shared" si="245"/>
        <v>3</v>
      </c>
      <c r="BG65" s="60">
        <f t="shared" si="245"/>
        <v>3</v>
      </c>
      <c r="BH65" s="60">
        <f t="shared" si="245"/>
        <v>3</v>
      </c>
      <c r="BI65" s="60">
        <f t="shared" si="245"/>
        <v>3</v>
      </c>
      <c r="BJ65" s="60">
        <f t="shared" si="245"/>
        <v>3</v>
      </c>
      <c r="BK65" s="60">
        <f t="shared" si="245"/>
        <v>3</v>
      </c>
      <c r="BL65" s="60">
        <f t="shared" si="245"/>
        <v>3</v>
      </c>
      <c r="BM65" s="60">
        <f t="shared" si="245"/>
        <v>3</v>
      </c>
      <c r="BN65" s="60">
        <f t="shared" si="245"/>
        <v>3</v>
      </c>
      <c r="BO65" s="60">
        <f t="shared" si="245"/>
        <v>3</v>
      </c>
      <c r="BP65" s="60">
        <f t="shared" si="245"/>
        <v>3</v>
      </c>
      <c r="BQ65" s="60">
        <f t="shared" si="245"/>
        <v>3</v>
      </c>
      <c r="BR65" s="60">
        <f t="shared" ref="BR65:CK65" si="246">IF(BR60="","",IF(BR$39&lt;Ph2_Constr_Start,Pre_Constr,IF(BR$39&lt;=Ph2_Constr_End,Constr,Post_Constr)))</f>
        <v>3</v>
      </c>
      <c r="BS65" s="60">
        <f t="shared" si="246"/>
        <v>3</v>
      </c>
      <c r="BT65" s="60">
        <f t="shared" si="246"/>
        <v>3</v>
      </c>
      <c r="BU65" s="60">
        <f t="shared" si="246"/>
        <v>3</v>
      </c>
      <c r="BV65" s="60">
        <f t="shared" si="246"/>
        <v>3</v>
      </c>
      <c r="BW65" s="60">
        <f t="shared" si="246"/>
        <v>3</v>
      </c>
      <c r="BX65" s="60">
        <f t="shared" si="246"/>
        <v>3</v>
      </c>
      <c r="BY65" s="60">
        <f t="shared" si="246"/>
        <v>3</v>
      </c>
      <c r="BZ65" s="60">
        <f t="shared" si="246"/>
        <v>3</v>
      </c>
      <c r="CA65" s="60">
        <f t="shared" si="246"/>
        <v>3</v>
      </c>
      <c r="CB65" s="60">
        <f t="shared" si="246"/>
        <v>3</v>
      </c>
      <c r="CC65" s="60">
        <f t="shared" si="246"/>
        <v>3</v>
      </c>
      <c r="CD65" s="60">
        <f t="shared" si="246"/>
        <v>3</v>
      </c>
      <c r="CE65" s="60">
        <f t="shared" si="246"/>
        <v>3</v>
      </c>
      <c r="CF65" s="60">
        <f t="shared" si="246"/>
        <v>3</v>
      </c>
      <c r="CG65" s="60">
        <f t="shared" si="246"/>
        <v>3</v>
      </c>
      <c r="CH65" s="60">
        <f t="shared" si="246"/>
        <v>3</v>
      </c>
      <c r="CI65" s="60">
        <f t="shared" si="246"/>
        <v>3</v>
      </c>
      <c r="CJ65" s="60">
        <f t="shared" si="246"/>
        <v>3</v>
      </c>
      <c r="CK65" s="60">
        <f t="shared" si="246"/>
        <v>3</v>
      </c>
    </row>
    <row r="66" spans="2:89" outlineLevel="1" x14ac:dyDescent="0.25">
      <c r="I66" s="38"/>
      <c r="K66" s="58"/>
    </row>
    <row r="67" spans="2:89" outlineLevel="1" x14ac:dyDescent="0.25">
      <c r="C67" s="34" t="s">
        <v>58</v>
      </c>
      <c r="D67" s="63"/>
      <c r="E67" s="63"/>
      <c r="F67" s="63"/>
      <c r="G67" s="63"/>
      <c r="H67" s="63"/>
      <c r="I67" s="63"/>
      <c r="J67" s="63"/>
      <c r="K67" s="63"/>
      <c r="L67" s="96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</row>
    <row r="68" spans="2:89" outlineLevel="1" x14ac:dyDescent="0.25">
      <c r="C68" s="45" t="s">
        <v>43</v>
      </c>
      <c r="D68" s="13" t="s">
        <v>3</v>
      </c>
      <c r="F68" s="90" t="str">
        <f t="shared" ref="F68:AK68" si="247">IF(F$39&lt;Ph3_Start_Month,"",MIN(Unit_Sales_per_Month,Phase_3_Units-IF(ISNUMBER(E69),E69,0)))</f>
        <v/>
      </c>
      <c r="G68" s="90" t="str">
        <f t="shared" si="247"/>
        <v/>
      </c>
      <c r="H68" s="90" t="str">
        <f t="shared" si="247"/>
        <v/>
      </c>
      <c r="I68" s="90" t="str">
        <f t="shared" si="247"/>
        <v/>
      </c>
      <c r="J68" s="90" t="str">
        <f t="shared" si="247"/>
        <v/>
      </c>
      <c r="K68" s="90" t="str">
        <f t="shared" si="247"/>
        <v/>
      </c>
      <c r="L68" s="90" t="str">
        <f t="shared" si="247"/>
        <v/>
      </c>
      <c r="M68" s="90" t="str">
        <f t="shared" si="247"/>
        <v/>
      </c>
      <c r="N68" s="90" t="str">
        <f t="shared" si="247"/>
        <v/>
      </c>
      <c r="O68" s="90" t="str">
        <f t="shared" si="247"/>
        <v/>
      </c>
      <c r="P68" s="90" t="str">
        <f t="shared" si="247"/>
        <v/>
      </c>
      <c r="Q68" s="90" t="str">
        <f t="shared" si="247"/>
        <v/>
      </c>
      <c r="R68" s="90" t="str">
        <f t="shared" si="247"/>
        <v/>
      </c>
      <c r="S68" s="90" t="str">
        <f t="shared" si="247"/>
        <v/>
      </c>
      <c r="T68" s="90">
        <f t="shared" si="247"/>
        <v>1</v>
      </c>
      <c r="U68" s="90">
        <f t="shared" si="247"/>
        <v>1</v>
      </c>
      <c r="V68" s="90">
        <f t="shared" si="247"/>
        <v>1</v>
      </c>
      <c r="W68" s="90">
        <f t="shared" si="247"/>
        <v>1</v>
      </c>
      <c r="X68" s="90">
        <f t="shared" si="247"/>
        <v>1</v>
      </c>
      <c r="Y68" s="90">
        <f t="shared" si="247"/>
        <v>1</v>
      </c>
      <c r="Z68" s="90">
        <f t="shared" si="247"/>
        <v>1</v>
      </c>
      <c r="AA68" s="90">
        <f t="shared" si="247"/>
        <v>1</v>
      </c>
      <c r="AB68" s="90">
        <f t="shared" si="247"/>
        <v>1</v>
      </c>
      <c r="AC68" s="90">
        <f t="shared" si="247"/>
        <v>1</v>
      </c>
      <c r="AD68" s="90">
        <f t="shared" si="247"/>
        <v>1</v>
      </c>
      <c r="AE68" s="90">
        <f t="shared" si="247"/>
        <v>1</v>
      </c>
      <c r="AF68" s="90">
        <f t="shared" si="247"/>
        <v>0</v>
      </c>
      <c r="AG68" s="90">
        <f t="shared" si="247"/>
        <v>0</v>
      </c>
      <c r="AH68" s="90">
        <f t="shared" si="247"/>
        <v>0</v>
      </c>
      <c r="AI68" s="90">
        <f t="shared" si="247"/>
        <v>0</v>
      </c>
      <c r="AJ68" s="90">
        <f t="shared" si="247"/>
        <v>0</v>
      </c>
      <c r="AK68" s="90">
        <f t="shared" si="247"/>
        <v>0</v>
      </c>
      <c r="AL68" s="90">
        <f t="shared" ref="AL68:BQ68" si="248">IF(AL$39&lt;Ph3_Start_Month,"",MIN(Unit_Sales_per_Month,Phase_3_Units-IF(ISNUMBER(AK69),AK69,0)))</f>
        <v>0</v>
      </c>
      <c r="AM68" s="90">
        <f t="shared" si="248"/>
        <v>0</v>
      </c>
      <c r="AN68" s="90">
        <f t="shared" si="248"/>
        <v>0</v>
      </c>
      <c r="AO68" s="90">
        <f t="shared" si="248"/>
        <v>0</v>
      </c>
      <c r="AP68" s="90">
        <f t="shared" si="248"/>
        <v>0</v>
      </c>
      <c r="AQ68" s="90">
        <f t="shared" si="248"/>
        <v>0</v>
      </c>
      <c r="AR68" s="90">
        <f t="shared" si="248"/>
        <v>0</v>
      </c>
      <c r="AS68" s="90">
        <f t="shared" si="248"/>
        <v>0</v>
      </c>
      <c r="AT68" s="90">
        <f t="shared" si="248"/>
        <v>0</v>
      </c>
      <c r="AU68" s="90">
        <f t="shared" si="248"/>
        <v>0</v>
      </c>
      <c r="AV68" s="90">
        <f t="shared" si="248"/>
        <v>0</v>
      </c>
      <c r="AW68" s="90">
        <f t="shared" si="248"/>
        <v>0</v>
      </c>
      <c r="AX68" s="90">
        <f t="shared" si="248"/>
        <v>0</v>
      </c>
      <c r="AY68" s="90">
        <f t="shared" si="248"/>
        <v>0</v>
      </c>
      <c r="AZ68" s="90">
        <f t="shared" si="248"/>
        <v>0</v>
      </c>
      <c r="BA68" s="90">
        <f t="shared" si="248"/>
        <v>0</v>
      </c>
      <c r="BB68" s="90">
        <f t="shared" si="248"/>
        <v>0</v>
      </c>
      <c r="BC68" s="90">
        <f t="shared" si="248"/>
        <v>0</v>
      </c>
      <c r="BD68" s="90">
        <f t="shared" si="248"/>
        <v>0</v>
      </c>
      <c r="BE68" s="90">
        <f t="shared" si="248"/>
        <v>0</v>
      </c>
      <c r="BF68" s="90">
        <f t="shared" si="248"/>
        <v>0</v>
      </c>
      <c r="BG68" s="90">
        <f t="shared" si="248"/>
        <v>0</v>
      </c>
      <c r="BH68" s="90">
        <f t="shared" si="248"/>
        <v>0</v>
      </c>
      <c r="BI68" s="90">
        <f t="shared" si="248"/>
        <v>0</v>
      </c>
      <c r="BJ68" s="90">
        <f t="shared" si="248"/>
        <v>0</v>
      </c>
      <c r="BK68" s="90">
        <f t="shared" si="248"/>
        <v>0</v>
      </c>
      <c r="BL68" s="90">
        <f t="shared" si="248"/>
        <v>0</v>
      </c>
      <c r="BM68" s="90">
        <f t="shared" si="248"/>
        <v>0</v>
      </c>
      <c r="BN68" s="90">
        <f t="shared" si="248"/>
        <v>0</v>
      </c>
      <c r="BO68" s="90">
        <f t="shared" si="248"/>
        <v>0</v>
      </c>
      <c r="BP68" s="90">
        <f t="shared" si="248"/>
        <v>0</v>
      </c>
      <c r="BQ68" s="90">
        <f t="shared" si="248"/>
        <v>0</v>
      </c>
      <c r="BR68" s="90">
        <f t="shared" ref="BR68:CK68" si="249">IF(BR$39&lt;Ph3_Start_Month,"",MIN(Unit_Sales_per_Month,Phase_3_Units-IF(ISNUMBER(BQ69),BQ69,0)))</f>
        <v>0</v>
      </c>
      <c r="BS68" s="90">
        <f t="shared" si="249"/>
        <v>0</v>
      </c>
      <c r="BT68" s="90">
        <f t="shared" si="249"/>
        <v>0</v>
      </c>
      <c r="BU68" s="90">
        <f t="shared" si="249"/>
        <v>0</v>
      </c>
      <c r="BV68" s="90">
        <f t="shared" si="249"/>
        <v>0</v>
      </c>
      <c r="BW68" s="90">
        <f t="shared" si="249"/>
        <v>0</v>
      </c>
      <c r="BX68" s="90">
        <f t="shared" si="249"/>
        <v>0</v>
      </c>
      <c r="BY68" s="90">
        <f t="shared" si="249"/>
        <v>0</v>
      </c>
      <c r="BZ68" s="90">
        <f t="shared" si="249"/>
        <v>0</v>
      </c>
      <c r="CA68" s="90">
        <f t="shared" si="249"/>
        <v>0</v>
      </c>
      <c r="CB68" s="90">
        <f t="shared" si="249"/>
        <v>0</v>
      </c>
      <c r="CC68" s="90">
        <f t="shared" si="249"/>
        <v>0</v>
      </c>
      <c r="CD68" s="90">
        <f t="shared" si="249"/>
        <v>0</v>
      </c>
      <c r="CE68" s="90">
        <f t="shared" si="249"/>
        <v>0</v>
      </c>
      <c r="CF68" s="90">
        <f t="shared" si="249"/>
        <v>0</v>
      </c>
      <c r="CG68" s="90">
        <f t="shared" si="249"/>
        <v>0</v>
      </c>
      <c r="CH68" s="90">
        <f t="shared" si="249"/>
        <v>0</v>
      </c>
      <c r="CI68" s="90">
        <f t="shared" si="249"/>
        <v>0</v>
      </c>
      <c r="CJ68" s="90">
        <f t="shared" si="249"/>
        <v>0</v>
      </c>
      <c r="CK68" s="90">
        <f t="shared" si="249"/>
        <v>0</v>
      </c>
    </row>
    <row r="69" spans="2:89" outlineLevel="1" x14ac:dyDescent="0.25">
      <c r="C69" s="45" t="s">
        <v>44</v>
      </c>
      <c r="D69" s="13" t="s">
        <v>3</v>
      </c>
      <c r="F69" s="90" t="str">
        <f>IF(F68="","",IF(ISNUMBER(E69),E69,0)+IF(ISNUMBER(F68),F68,0))</f>
        <v/>
      </c>
      <c r="G69" s="90" t="str">
        <f t="shared" ref="G69:BR69" si="250">IF(G68="","",IF(ISNUMBER(F69),F69,0)+IF(ISNUMBER(G68),G68,0))</f>
        <v/>
      </c>
      <c r="H69" s="90" t="str">
        <f t="shared" si="250"/>
        <v/>
      </c>
      <c r="I69" s="90" t="str">
        <f t="shared" si="250"/>
        <v/>
      </c>
      <c r="J69" s="90" t="str">
        <f t="shared" si="250"/>
        <v/>
      </c>
      <c r="K69" s="90" t="str">
        <f t="shared" si="250"/>
        <v/>
      </c>
      <c r="L69" s="90" t="str">
        <f t="shared" si="250"/>
        <v/>
      </c>
      <c r="M69" s="90" t="str">
        <f t="shared" si="250"/>
        <v/>
      </c>
      <c r="N69" s="90" t="str">
        <f t="shared" si="250"/>
        <v/>
      </c>
      <c r="O69" s="90" t="str">
        <f t="shared" si="250"/>
        <v/>
      </c>
      <c r="P69" s="90" t="str">
        <f t="shared" si="250"/>
        <v/>
      </c>
      <c r="Q69" s="90" t="str">
        <f t="shared" si="250"/>
        <v/>
      </c>
      <c r="R69" s="90" t="str">
        <f t="shared" si="250"/>
        <v/>
      </c>
      <c r="S69" s="90" t="str">
        <f t="shared" si="250"/>
        <v/>
      </c>
      <c r="T69" s="90">
        <f t="shared" si="250"/>
        <v>1</v>
      </c>
      <c r="U69" s="90">
        <f t="shared" si="250"/>
        <v>2</v>
      </c>
      <c r="V69" s="90">
        <f t="shared" si="250"/>
        <v>3</v>
      </c>
      <c r="W69" s="90">
        <f t="shared" si="250"/>
        <v>4</v>
      </c>
      <c r="X69" s="90">
        <f t="shared" si="250"/>
        <v>5</v>
      </c>
      <c r="Y69" s="90">
        <f t="shared" si="250"/>
        <v>6</v>
      </c>
      <c r="Z69" s="90">
        <f t="shared" si="250"/>
        <v>7</v>
      </c>
      <c r="AA69" s="90">
        <f t="shared" si="250"/>
        <v>8</v>
      </c>
      <c r="AB69" s="90">
        <f t="shared" si="250"/>
        <v>9</v>
      </c>
      <c r="AC69" s="90">
        <f t="shared" si="250"/>
        <v>10</v>
      </c>
      <c r="AD69" s="90">
        <f t="shared" si="250"/>
        <v>11</v>
      </c>
      <c r="AE69" s="90">
        <f t="shared" si="250"/>
        <v>12</v>
      </c>
      <c r="AF69" s="90">
        <f t="shared" si="250"/>
        <v>12</v>
      </c>
      <c r="AG69" s="90">
        <f t="shared" si="250"/>
        <v>12</v>
      </c>
      <c r="AH69" s="90">
        <f t="shared" si="250"/>
        <v>12</v>
      </c>
      <c r="AI69" s="90">
        <f t="shared" si="250"/>
        <v>12</v>
      </c>
      <c r="AJ69" s="90">
        <f t="shared" si="250"/>
        <v>12</v>
      </c>
      <c r="AK69" s="90">
        <f t="shared" si="250"/>
        <v>12</v>
      </c>
      <c r="AL69" s="90">
        <f t="shared" si="250"/>
        <v>12</v>
      </c>
      <c r="AM69" s="90">
        <f t="shared" si="250"/>
        <v>12</v>
      </c>
      <c r="AN69" s="90">
        <f t="shared" si="250"/>
        <v>12</v>
      </c>
      <c r="AO69" s="90">
        <f t="shared" si="250"/>
        <v>12</v>
      </c>
      <c r="AP69" s="90">
        <f t="shared" si="250"/>
        <v>12</v>
      </c>
      <c r="AQ69" s="90">
        <f t="shared" si="250"/>
        <v>12</v>
      </c>
      <c r="AR69" s="90">
        <f t="shared" si="250"/>
        <v>12</v>
      </c>
      <c r="AS69" s="90">
        <f t="shared" si="250"/>
        <v>12</v>
      </c>
      <c r="AT69" s="90">
        <f t="shared" si="250"/>
        <v>12</v>
      </c>
      <c r="AU69" s="90">
        <f t="shared" si="250"/>
        <v>12</v>
      </c>
      <c r="AV69" s="90">
        <f t="shared" si="250"/>
        <v>12</v>
      </c>
      <c r="AW69" s="90">
        <f t="shared" si="250"/>
        <v>12</v>
      </c>
      <c r="AX69" s="90">
        <f t="shared" si="250"/>
        <v>12</v>
      </c>
      <c r="AY69" s="90">
        <f t="shared" si="250"/>
        <v>12</v>
      </c>
      <c r="AZ69" s="90">
        <f t="shared" si="250"/>
        <v>12</v>
      </c>
      <c r="BA69" s="90">
        <f t="shared" si="250"/>
        <v>12</v>
      </c>
      <c r="BB69" s="90">
        <f t="shared" si="250"/>
        <v>12</v>
      </c>
      <c r="BC69" s="90">
        <f t="shared" si="250"/>
        <v>12</v>
      </c>
      <c r="BD69" s="90">
        <f t="shared" si="250"/>
        <v>12</v>
      </c>
      <c r="BE69" s="90">
        <f t="shared" si="250"/>
        <v>12</v>
      </c>
      <c r="BF69" s="90">
        <f t="shared" si="250"/>
        <v>12</v>
      </c>
      <c r="BG69" s="90">
        <f t="shared" si="250"/>
        <v>12</v>
      </c>
      <c r="BH69" s="90">
        <f t="shared" si="250"/>
        <v>12</v>
      </c>
      <c r="BI69" s="90">
        <f t="shared" si="250"/>
        <v>12</v>
      </c>
      <c r="BJ69" s="90">
        <f t="shared" si="250"/>
        <v>12</v>
      </c>
      <c r="BK69" s="90">
        <f t="shared" si="250"/>
        <v>12</v>
      </c>
      <c r="BL69" s="90">
        <f t="shared" si="250"/>
        <v>12</v>
      </c>
      <c r="BM69" s="90">
        <f t="shared" si="250"/>
        <v>12</v>
      </c>
      <c r="BN69" s="90">
        <f t="shared" si="250"/>
        <v>12</v>
      </c>
      <c r="BO69" s="90">
        <f t="shared" si="250"/>
        <v>12</v>
      </c>
      <c r="BP69" s="90">
        <f t="shared" si="250"/>
        <v>12</v>
      </c>
      <c r="BQ69" s="90">
        <f t="shared" si="250"/>
        <v>12</v>
      </c>
      <c r="BR69" s="90">
        <f t="shared" si="250"/>
        <v>12</v>
      </c>
      <c r="BS69" s="90">
        <f t="shared" ref="BS69:CK69" si="251">IF(BS68="","",IF(ISNUMBER(BR69),BR69,0)+IF(ISNUMBER(BS68),BS68,0))</f>
        <v>12</v>
      </c>
      <c r="BT69" s="90">
        <f t="shared" si="251"/>
        <v>12</v>
      </c>
      <c r="BU69" s="90">
        <f t="shared" si="251"/>
        <v>12</v>
      </c>
      <c r="BV69" s="90">
        <f t="shared" si="251"/>
        <v>12</v>
      </c>
      <c r="BW69" s="90">
        <f t="shared" si="251"/>
        <v>12</v>
      </c>
      <c r="BX69" s="90">
        <f t="shared" si="251"/>
        <v>12</v>
      </c>
      <c r="BY69" s="90">
        <f t="shared" si="251"/>
        <v>12</v>
      </c>
      <c r="BZ69" s="90">
        <f t="shared" si="251"/>
        <v>12</v>
      </c>
      <c r="CA69" s="90">
        <f t="shared" si="251"/>
        <v>12</v>
      </c>
      <c r="CB69" s="90">
        <f t="shared" si="251"/>
        <v>12</v>
      </c>
      <c r="CC69" s="90">
        <f t="shared" si="251"/>
        <v>12</v>
      </c>
      <c r="CD69" s="90">
        <f t="shared" si="251"/>
        <v>12</v>
      </c>
      <c r="CE69" s="90">
        <f t="shared" si="251"/>
        <v>12</v>
      </c>
      <c r="CF69" s="90">
        <f t="shared" si="251"/>
        <v>12</v>
      </c>
      <c r="CG69" s="90">
        <f t="shared" si="251"/>
        <v>12</v>
      </c>
      <c r="CH69" s="90">
        <f t="shared" si="251"/>
        <v>12</v>
      </c>
      <c r="CI69" s="90">
        <f t="shared" si="251"/>
        <v>12</v>
      </c>
      <c r="CJ69" s="90">
        <f t="shared" si="251"/>
        <v>12</v>
      </c>
      <c r="CK69" s="90">
        <f t="shared" si="251"/>
        <v>12</v>
      </c>
    </row>
    <row r="70" spans="2:89" outlineLevel="1" x14ac:dyDescent="0.25">
      <c r="C70" s="45" t="s">
        <v>45</v>
      </c>
      <c r="D70" s="13" t="s">
        <v>5</v>
      </c>
      <c r="F70" s="65" t="str">
        <f t="shared" ref="F70:AK70" si="252">IF(F69="","",+F69/Phase_3_Units)</f>
        <v/>
      </c>
      <c r="G70" s="65" t="str">
        <f t="shared" si="252"/>
        <v/>
      </c>
      <c r="H70" s="65" t="str">
        <f t="shared" si="252"/>
        <v/>
      </c>
      <c r="I70" s="65" t="str">
        <f t="shared" si="252"/>
        <v/>
      </c>
      <c r="J70" s="65" t="str">
        <f t="shared" si="252"/>
        <v/>
      </c>
      <c r="K70" s="65" t="str">
        <f t="shared" si="252"/>
        <v/>
      </c>
      <c r="L70" s="65" t="str">
        <f t="shared" si="252"/>
        <v/>
      </c>
      <c r="M70" s="65" t="str">
        <f t="shared" si="252"/>
        <v/>
      </c>
      <c r="N70" s="65" t="str">
        <f t="shared" si="252"/>
        <v/>
      </c>
      <c r="O70" s="65" t="str">
        <f t="shared" si="252"/>
        <v/>
      </c>
      <c r="P70" s="65" t="str">
        <f t="shared" si="252"/>
        <v/>
      </c>
      <c r="Q70" s="65" t="str">
        <f t="shared" si="252"/>
        <v/>
      </c>
      <c r="R70" s="65" t="str">
        <f t="shared" si="252"/>
        <v/>
      </c>
      <c r="S70" s="65" t="str">
        <f t="shared" si="252"/>
        <v/>
      </c>
      <c r="T70" s="65">
        <f t="shared" si="252"/>
        <v>8.3333333333333329E-2</v>
      </c>
      <c r="U70" s="65">
        <f t="shared" si="252"/>
        <v>0.16666666666666666</v>
      </c>
      <c r="V70" s="65">
        <f t="shared" si="252"/>
        <v>0.25</v>
      </c>
      <c r="W70" s="65">
        <f t="shared" si="252"/>
        <v>0.33333333333333331</v>
      </c>
      <c r="X70" s="65">
        <f t="shared" si="252"/>
        <v>0.41666666666666669</v>
      </c>
      <c r="Y70" s="65">
        <f t="shared" si="252"/>
        <v>0.5</v>
      </c>
      <c r="Z70" s="65">
        <f t="shared" si="252"/>
        <v>0.58333333333333337</v>
      </c>
      <c r="AA70" s="65">
        <f t="shared" si="252"/>
        <v>0.66666666666666663</v>
      </c>
      <c r="AB70" s="65">
        <f t="shared" si="252"/>
        <v>0.75</v>
      </c>
      <c r="AC70" s="65">
        <f t="shared" si="252"/>
        <v>0.83333333333333337</v>
      </c>
      <c r="AD70" s="65">
        <f t="shared" si="252"/>
        <v>0.91666666666666663</v>
      </c>
      <c r="AE70" s="65">
        <f t="shared" si="252"/>
        <v>1</v>
      </c>
      <c r="AF70" s="65">
        <f t="shared" si="252"/>
        <v>1</v>
      </c>
      <c r="AG70" s="65">
        <f t="shared" si="252"/>
        <v>1</v>
      </c>
      <c r="AH70" s="65">
        <f t="shared" si="252"/>
        <v>1</v>
      </c>
      <c r="AI70" s="65">
        <f t="shared" si="252"/>
        <v>1</v>
      </c>
      <c r="AJ70" s="65">
        <f t="shared" si="252"/>
        <v>1</v>
      </c>
      <c r="AK70" s="65">
        <f t="shared" si="252"/>
        <v>1</v>
      </c>
      <c r="AL70" s="65">
        <f t="shared" ref="AL70:BQ70" si="253">IF(AL69="","",+AL69/Phase_3_Units)</f>
        <v>1</v>
      </c>
      <c r="AM70" s="65">
        <f t="shared" si="253"/>
        <v>1</v>
      </c>
      <c r="AN70" s="65">
        <f t="shared" si="253"/>
        <v>1</v>
      </c>
      <c r="AO70" s="65">
        <f t="shared" si="253"/>
        <v>1</v>
      </c>
      <c r="AP70" s="65">
        <f t="shared" si="253"/>
        <v>1</v>
      </c>
      <c r="AQ70" s="65">
        <f t="shared" si="253"/>
        <v>1</v>
      </c>
      <c r="AR70" s="65">
        <f t="shared" si="253"/>
        <v>1</v>
      </c>
      <c r="AS70" s="65">
        <f t="shared" si="253"/>
        <v>1</v>
      </c>
      <c r="AT70" s="65">
        <f t="shared" si="253"/>
        <v>1</v>
      </c>
      <c r="AU70" s="65">
        <f t="shared" si="253"/>
        <v>1</v>
      </c>
      <c r="AV70" s="65">
        <f t="shared" si="253"/>
        <v>1</v>
      </c>
      <c r="AW70" s="65">
        <f t="shared" si="253"/>
        <v>1</v>
      </c>
      <c r="AX70" s="65">
        <f t="shared" si="253"/>
        <v>1</v>
      </c>
      <c r="AY70" s="65">
        <f t="shared" si="253"/>
        <v>1</v>
      </c>
      <c r="AZ70" s="65">
        <f t="shared" si="253"/>
        <v>1</v>
      </c>
      <c r="BA70" s="65">
        <f t="shared" si="253"/>
        <v>1</v>
      </c>
      <c r="BB70" s="65">
        <f t="shared" si="253"/>
        <v>1</v>
      </c>
      <c r="BC70" s="65">
        <f t="shared" si="253"/>
        <v>1</v>
      </c>
      <c r="BD70" s="65">
        <f t="shared" si="253"/>
        <v>1</v>
      </c>
      <c r="BE70" s="65">
        <f t="shared" si="253"/>
        <v>1</v>
      </c>
      <c r="BF70" s="65">
        <f t="shared" si="253"/>
        <v>1</v>
      </c>
      <c r="BG70" s="65">
        <f t="shared" si="253"/>
        <v>1</v>
      </c>
      <c r="BH70" s="65">
        <f t="shared" si="253"/>
        <v>1</v>
      </c>
      <c r="BI70" s="65">
        <f t="shared" si="253"/>
        <v>1</v>
      </c>
      <c r="BJ70" s="65">
        <f t="shared" si="253"/>
        <v>1</v>
      </c>
      <c r="BK70" s="65">
        <f t="shared" si="253"/>
        <v>1</v>
      </c>
      <c r="BL70" s="65">
        <f t="shared" si="253"/>
        <v>1</v>
      </c>
      <c r="BM70" s="65">
        <f t="shared" si="253"/>
        <v>1</v>
      </c>
      <c r="BN70" s="65">
        <f t="shared" si="253"/>
        <v>1</v>
      </c>
      <c r="BO70" s="65">
        <f t="shared" si="253"/>
        <v>1</v>
      </c>
      <c r="BP70" s="65">
        <f t="shared" si="253"/>
        <v>1</v>
      </c>
      <c r="BQ70" s="65">
        <f t="shared" si="253"/>
        <v>1</v>
      </c>
      <c r="BR70" s="65">
        <f t="shared" ref="BR70:CK70" si="254">IF(BR69="","",+BR69/Phase_3_Units)</f>
        <v>1</v>
      </c>
      <c r="BS70" s="65">
        <f t="shared" si="254"/>
        <v>1</v>
      </c>
      <c r="BT70" s="65">
        <f t="shared" si="254"/>
        <v>1</v>
      </c>
      <c r="BU70" s="65">
        <f t="shared" si="254"/>
        <v>1</v>
      </c>
      <c r="BV70" s="65">
        <f t="shared" si="254"/>
        <v>1</v>
      </c>
      <c r="BW70" s="65">
        <f t="shared" si="254"/>
        <v>1</v>
      </c>
      <c r="BX70" s="65">
        <f t="shared" si="254"/>
        <v>1</v>
      </c>
      <c r="BY70" s="65">
        <f t="shared" si="254"/>
        <v>1</v>
      </c>
      <c r="BZ70" s="65">
        <f t="shared" si="254"/>
        <v>1</v>
      </c>
      <c r="CA70" s="65">
        <f t="shared" si="254"/>
        <v>1</v>
      </c>
      <c r="CB70" s="65">
        <f t="shared" si="254"/>
        <v>1</v>
      </c>
      <c r="CC70" s="65">
        <f t="shared" si="254"/>
        <v>1</v>
      </c>
      <c r="CD70" s="65">
        <f t="shared" si="254"/>
        <v>1</v>
      </c>
      <c r="CE70" s="65">
        <f t="shared" si="254"/>
        <v>1</v>
      </c>
      <c r="CF70" s="65">
        <f t="shared" si="254"/>
        <v>1</v>
      </c>
      <c r="CG70" s="65">
        <f t="shared" si="254"/>
        <v>1</v>
      </c>
      <c r="CH70" s="65">
        <f t="shared" si="254"/>
        <v>1</v>
      </c>
      <c r="CI70" s="65">
        <f t="shared" si="254"/>
        <v>1</v>
      </c>
      <c r="CJ70" s="65">
        <f t="shared" si="254"/>
        <v>1</v>
      </c>
      <c r="CK70" s="65">
        <f t="shared" si="254"/>
        <v>1</v>
      </c>
    </row>
    <row r="71" spans="2:89" outlineLevel="1" x14ac:dyDescent="0.25">
      <c r="C71" s="113" t="s">
        <v>156</v>
      </c>
      <c r="D71" s="13" t="s">
        <v>24</v>
      </c>
      <c r="F71" s="44" t="str">
        <f t="shared" ref="F71:AK71" si="255">IF(F68="","",+F68*Unit_Price_per_Sq_M*Phase_3_Avg_Size*F$44)</f>
        <v/>
      </c>
      <c r="G71" s="44" t="str">
        <f t="shared" si="255"/>
        <v/>
      </c>
      <c r="H71" s="44" t="str">
        <f t="shared" si="255"/>
        <v/>
      </c>
      <c r="I71" s="44" t="str">
        <f t="shared" si="255"/>
        <v/>
      </c>
      <c r="J71" s="44" t="str">
        <f t="shared" si="255"/>
        <v/>
      </c>
      <c r="K71" s="44" t="str">
        <f t="shared" si="255"/>
        <v/>
      </c>
      <c r="L71" s="44" t="str">
        <f t="shared" si="255"/>
        <v/>
      </c>
      <c r="M71" s="44" t="str">
        <f t="shared" si="255"/>
        <v/>
      </c>
      <c r="N71" s="44" t="str">
        <f t="shared" si="255"/>
        <v/>
      </c>
      <c r="O71" s="44" t="str">
        <f t="shared" si="255"/>
        <v/>
      </c>
      <c r="P71" s="44" t="str">
        <f t="shared" si="255"/>
        <v/>
      </c>
      <c r="Q71" s="44" t="str">
        <f t="shared" si="255"/>
        <v/>
      </c>
      <c r="R71" s="44" t="str">
        <f t="shared" si="255"/>
        <v/>
      </c>
      <c r="S71" s="44" t="str">
        <f t="shared" si="255"/>
        <v/>
      </c>
      <c r="T71" s="44">
        <f t="shared" si="255"/>
        <v>17355508.199196972</v>
      </c>
      <c r="U71" s="44">
        <f t="shared" si="255"/>
        <v>17391257.70446723</v>
      </c>
      <c r="V71" s="44">
        <f t="shared" si="255"/>
        <v>17427080.847865075</v>
      </c>
      <c r="W71" s="44">
        <f t="shared" si="255"/>
        <v>17462977.781072989</v>
      </c>
      <c r="X71" s="44">
        <f t="shared" si="255"/>
        <v>17498948.656085897</v>
      </c>
      <c r="Y71" s="44">
        <f t="shared" si="255"/>
        <v>17534993.62521182</v>
      </c>
      <c r="Z71" s="44">
        <f t="shared" si="255"/>
        <v>17571112.841072492</v>
      </c>
      <c r="AA71" s="44">
        <f t="shared" si="255"/>
        <v>17607306.456604034</v>
      </c>
      <c r="AB71" s="44">
        <f t="shared" si="255"/>
        <v>17643574.625057586</v>
      </c>
      <c r="AC71" s="44">
        <f t="shared" si="255"/>
        <v>17679917.499999955</v>
      </c>
      <c r="AD71" s="44">
        <f t="shared" si="255"/>
        <v>17716335.23531428</v>
      </c>
      <c r="AE71" s="44">
        <f t="shared" si="255"/>
        <v>17752827.985200673</v>
      </c>
      <c r="AF71" s="44">
        <f t="shared" si="255"/>
        <v>0</v>
      </c>
      <c r="AG71" s="44">
        <f t="shared" si="255"/>
        <v>0</v>
      </c>
      <c r="AH71" s="44">
        <f t="shared" si="255"/>
        <v>0</v>
      </c>
      <c r="AI71" s="44">
        <f t="shared" si="255"/>
        <v>0</v>
      </c>
      <c r="AJ71" s="44">
        <f t="shared" si="255"/>
        <v>0</v>
      </c>
      <c r="AK71" s="44">
        <f t="shared" si="255"/>
        <v>0</v>
      </c>
      <c r="AL71" s="44">
        <f t="shared" ref="AL71:BQ71" si="256">IF(AL68="","",+AL68*Unit_Price_per_Sq_M*Phase_3_Avg_Size*AL$44)</f>
        <v>0</v>
      </c>
      <c r="AM71" s="44">
        <f t="shared" si="256"/>
        <v>0</v>
      </c>
      <c r="AN71" s="44">
        <f t="shared" si="256"/>
        <v>0</v>
      </c>
      <c r="AO71" s="44">
        <f t="shared" si="256"/>
        <v>0</v>
      </c>
      <c r="AP71" s="44">
        <f t="shared" si="256"/>
        <v>0</v>
      </c>
      <c r="AQ71" s="44">
        <f t="shared" si="256"/>
        <v>0</v>
      </c>
      <c r="AR71" s="44">
        <f t="shared" si="256"/>
        <v>0</v>
      </c>
      <c r="AS71" s="44">
        <f t="shared" si="256"/>
        <v>0</v>
      </c>
      <c r="AT71" s="44">
        <f t="shared" si="256"/>
        <v>0</v>
      </c>
      <c r="AU71" s="44">
        <f t="shared" si="256"/>
        <v>0</v>
      </c>
      <c r="AV71" s="44">
        <f t="shared" si="256"/>
        <v>0</v>
      </c>
      <c r="AW71" s="44">
        <f t="shared" si="256"/>
        <v>0</v>
      </c>
      <c r="AX71" s="44">
        <f t="shared" si="256"/>
        <v>0</v>
      </c>
      <c r="AY71" s="44">
        <f t="shared" si="256"/>
        <v>0</v>
      </c>
      <c r="AZ71" s="44">
        <f t="shared" si="256"/>
        <v>0</v>
      </c>
      <c r="BA71" s="44">
        <f t="shared" si="256"/>
        <v>0</v>
      </c>
      <c r="BB71" s="44">
        <f t="shared" si="256"/>
        <v>0</v>
      </c>
      <c r="BC71" s="44">
        <f t="shared" si="256"/>
        <v>0</v>
      </c>
      <c r="BD71" s="44">
        <f t="shared" si="256"/>
        <v>0</v>
      </c>
      <c r="BE71" s="44">
        <f t="shared" si="256"/>
        <v>0</v>
      </c>
      <c r="BF71" s="44">
        <f t="shared" si="256"/>
        <v>0</v>
      </c>
      <c r="BG71" s="44">
        <f t="shared" si="256"/>
        <v>0</v>
      </c>
      <c r="BH71" s="44">
        <f t="shared" si="256"/>
        <v>0</v>
      </c>
      <c r="BI71" s="44">
        <f t="shared" si="256"/>
        <v>0</v>
      </c>
      <c r="BJ71" s="44">
        <f t="shared" si="256"/>
        <v>0</v>
      </c>
      <c r="BK71" s="44">
        <f t="shared" si="256"/>
        <v>0</v>
      </c>
      <c r="BL71" s="44">
        <f t="shared" si="256"/>
        <v>0</v>
      </c>
      <c r="BM71" s="44">
        <f t="shared" si="256"/>
        <v>0</v>
      </c>
      <c r="BN71" s="44">
        <f t="shared" si="256"/>
        <v>0</v>
      </c>
      <c r="BO71" s="44">
        <f t="shared" si="256"/>
        <v>0</v>
      </c>
      <c r="BP71" s="44">
        <f t="shared" si="256"/>
        <v>0</v>
      </c>
      <c r="BQ71" s="44">
        <f t="shared" si="256"/>
        <v>0</v>
      </c>
      <c r="BR71" s="44">
        <f t="shared" ref="BR71:CK71" si="257">IF(BR68="","",+BR68*Unit_Price_per_Sq_M*Phase_3_Avg_Size*BR$44)</f>
        <v>0</v>
      </c>
      <c r="BS71" s="44">
        <f t="shared" si="257"/>
        <v>0</v>
      </c>
      <c r="BT71" s="44">
        <f t="shared" si="257"/>
        <v>0</v>
      </c>
      <c r="BU71" s="44">
        <f t="shared" si="257"/>
        <v>0</v>
      </c>
      <c r="BV71" s="44">
        <f t="shared" si="257"/>
        <v>0</v>
      </c>
      <c r="BW71" s="44">
        <f t="shared" si="257"/>
        <v>0</v>
      </c>
      <c r="BX71" s="44">
        <f t="shared" si="257"/>
        <v>0</v>
      </c>
      <c r="BY71" s="44">
        <f t="shared" si="257"/>
        <v>0</v>
      </c>
      <c r="BZ71" s="44">
        <f t="shared" si="257"/>
        <v>0</v>
      </c>
      <c r="CA71" s="44">
        <f t="shared" si="257"/>
        <v>0</v>
      </c>
      <c r="CB71" s="44">
        <f t="shared" si="257"/>
        <v>0</v>
      </c>
      <c r="CC71" s="44">
        <f t="shared" si="257"/>
        <v>0</v>
      </c>
      <c r="CD71" s="44">
        <f t="shared" si="257"/>
        <v>0</v>
      </c>
      <c r="CE71" s="44">
        <f t="shared" si="257"/>
        <v>0</v>
      </c>
      <c r="CF71" s="44">
        <f t="shared" si="257"/>
        <v>0</v>
      </c>
      <c r="CG71" s="44">
        <f t="shared" si="257"/>
        <v>0</v>
      </c>
      <c r="CH71" s="44">
        <f t="shared" si="257"/>
        <v>0</v>
      </c>
      <c r="CI71" s="44">
        <f t="shared" si="257"/>
        <v>0</v>
      </c>
      <c r="CJ71" s="44">
        <f t="shared" si="257"/>
        <v>0</v>
      </c>
      <c r="CK71" s="44">
        <f t="shared" si="257"/>
        <v>0</v>
      </c>
    </row>
    <row r="72" spans="2:89" outlineLevel="1" x14ac:dyDescent="0.25">
      <c r="C72" s="37"/>
      <c r="L72" s="58"/>
    </row>
    <row r="73" spans="2:89" outlineLevel="1" x14ac:dyDescent="0.25">
      <c r="C73" s="45" t="s">
        <v>42</v>
      </c>
      <c r="D73" s="97" t="s">
        <v>3</v>
      </c>
      <c r="F73" s="60" t="str">
        <f t="shared" ref="F73:AK73" si="258">IF(F68="","",IF(F$39&lt;Ph3_Constr_Start,Pre_Constr,IF(F$39&lt;=Ph3_Constr_End,Constr,Post_Constr)))</f>
        <v/>
      </c>
      <c r="G73" s="60" t="str">
        <f t="shared" si="258"/>
        <v/>
      </c>
      <c r="H73" s="60" t="str">
        <f t="shared" si="258"/>
        <v/>
      </c>
      <c r="I73" s="60" t="str">
        <f t="shared" si="258"/>
        <v/>
      </c>
      <c r="J73" s="60" t="str">
        <f t="shared" si="258"/>
        <v/>
      </c>
      <c r="K73" s="60" t="str">
        <f t="shared" si="258"/>
        <v/>
      </c>
      <c r="L73" s="60" t="str">
        <f t="shared" si="258"/>
        <v/>
      </c>
      <c r="M73" s="60" t="str">
        <f t="shared" si="258"/>
        <v/>
      </c>
      <c r="N73" s="60" t="str">
        <f t="shared" si="258"/>
        <v/>
      </c>
      <c r="O73" s="60" t="str">
        <f t="shared" si="258"/>
        <v/>
      </c>
      <c r="P73" s="60" t="str">
        <f t="shared" si="258"/>
        <v/>
      </c>
      <c r="Q73" s="60" t="str">
        <f t="shared" si="258"/>
        <v/>
      </c>
      <c r="R73" s="60" t="str">
        <f t="shared" si="258"/>
        <v/>
      </c>
      <c r="S73" s="60" t="str">
        <f t="shared" si="258"/>
        <v/>
      </c>
      <c r="T73" s="60">
        <f t="shared" si="258"/>
        <v>1</v>
      </c>
      <c r="U73" s="60">
        <f t="shared" si="258"/>
        <v>1</v>
      </c>
      <c r="V73" s="60">
        <f t="shared" si="258"/>
        <v>1</v>
      </c>
      <c r="W73" s="60">
        <f t="shared" si="258"/>
        <v>2</v>
      </c>
      <c r="X73" s="60">
        <f t="shared" si="258"/>
        <v>2</v>
      </c>
      <c r="Y73" s="60">
        <f t="shared" si="258"/>
        <v>2</v>
      </c>
      <c r="Z73" s="60">
        <f t="shared" si="258"/>
        <v>2</v>
      </c>
      <c r="AA73" s="60">
        <f t="shared" si="258"/>
        <v>2</v>
      </c>
      <c r="AB73" s="60">
        <f t="shared" si="258"/>
        <v>2</v>
      </c>
      <c r="AC73" s="60">
        <f t="shared" si="258"/>
        <v>2</v>
      </c>
      <c r="AD73" s="60">
        <f t="shared" si="258"/>
        <v>2</v>
      </c>
      <c r="AE73" s="60">
        <f t="shared" si="258"/>
        <v>2</v>
      </c>
      <c r="AF73" s="60">
        <f t="shared" si="258"/>
        <v>2</v>
      </c>
      <c r="AG73" s="60">
        <f t="shared" si="258"/>
        <v>2</v>
      </c>
      <c r="AH73" s="60">
        <f t="shared" si="258"/>
        <v>2</v>
      </c>
      <c r="AI73" s="60">
        <f t="shared" si="258"/>
        <v>2</v>
      </c>
      <c r="AJ73" s="60">
        <f t="shared" si="258"/>
        <v>2</v>
      </c>
      <c r="AK73" s="60">
        <f t="shared" si="258"/>
        <v>2</v>
      </c>
      <c r="AL73" s="60">
        <f t="shared" ref="AL73:BQ73" si="259">IF(AL68="","",IF(AL$39&lt;Ph3_Constr_Start,Pre_Constr,IF(AL$39&lt;=Ph3_Constr_End,Constr,Post_Constr)))</f>
        <v>2</v>
      </c>
      <c r="AM73" s="60">
        <f t="shared" si="259"/>
        <v>2</v>
      </c>
      <c r="AN73" s="60">
        <f t="shared" si="259"/>
        <v>2</v>
      </c>
      <c r="AO73" s="60">
        <f t="shared" si="259"/>
        <v>2</v>
      </c>
      <c r="AP73" s="60">
        <f t="shared" si="259"/>
        <v>2</v>
      </c>
      <c r="AQ73" s="60">
        <f t="shared" si="259"/>
        <v>2</v>
      </c>
      <c r="AR73" s="60">
        <f t="shared" si="259"/>
        <v>2</v>
      </c>
      <c r="AS73" s="60">
        <f t="shared" si="259"/>
        <v>2</v>
      </c>
      <c r="AT73" s="60">
        <f t="shared" si="259"/>
        <v>2</v>
      </c>
      <c r="AU73" s="60">
        <f t="shared" si="259"/>
        <v>3</v>
      </c>
      <c r="AV73" s="60">
        <f t="shared" si="259"/>
        <v>3</v>
      </c>
      <c r="AW73" s="60">
        <f t="shared" si="259"/>
        <v>3</v>
      </c>
      <c r="AX73" s="60">
        <f t="shared" si="259"/>
        <v>3</v>
      </c>
      <c r="AY73" s="60">
        <f t="shared" si="259"/>
        <v>3</v>
      </c>
      <c r="AZ73" s="60">
        <f t="shared" si="259"/>
        <v>3</v>
      </c>
      <c r="BA73" s="60">
        <f t="shared" si="259"/>
        <v>3</v>
      </c>
      <c r="BB73" s="60">
        <f t="shared" si="259"/>
        <v>3</v>
      </c>
      <c r="BC73" s="60">
        <f t="shared" si="259"/>
        <v>3</v>
      </c>
      <c r="BD73" s="60">
        <f t="shared" si="259"/>
        <v>3</v>
      </c>
      <c r="BE73" s="60">
        <f t="shared" si="259"/>
        <v>3</v>
      </c>
      <c r="BF73" s="60">
        <f t="shared" si="259"/>
        <v>3</v>
      </c>
      <c r="BG73" s="60">
        <f t="shared" si="259"/>
        <v>3</v>
      </c>
      <c r="BH73" s="60">
        <f t="shared" si="259"/>
        <v>3</v>
      </c>
      <c r="BI73" s="60">
        <f t="shared" si="259"/>
        <v>3</v>
      </c>
      <c r="BJ73" s="60">
        <f t="shared" si="259"/>
        <v>3</v>
      </c>
      <c r="BK73" s="60">
        <f t="shared" si="259"/>
        <v>3</v>
      </c>
      <c r="BL73" s="60">
        <f t="shared" si="259"/>
        <v>3</v>
      </c>
      <c r="BM73" s="60">
        <f t="shared" si="259"/>
        <v>3</v>
      </c>
      <c r="BN73" s="60">
        <f t="shared" si="259"/>
        <v>3</v>
      </c>
      <c r="BO73" s="60">
        <f t="shared" si="259"/>
        <v>3</v>
      </c>
      <c r="BP73" s="60">
        <f t="shared" si="259"/>
        <v>3</v>
      </c>
      <c r="BQ73" s="60">
        <f t="shared" si="259"/>
        <v>3</v>
      </c>
      <c r="BR73" s="60">
        <f t="shared" ref="BR73:CK73" si="260">IF(BR68="","",IF(BR$39&lt;Ph3_Constr_Start,Pre_Constr,IF(BR$39&lt;=Ph3_Constr_End,Constr,Post_Constr)))</f>
        <v>3</v>
      </c>
      <c r="BS73" s="60">
        <f t="shared" si="260"/>
        <v>3</v>
      </c>
      <c r="BT73" s="60">
        <f t="shared" si="260"/>
        <v>3</v>
      </c>
      <c r="BU73" s="60">
        <f t="shared" si="260"/>
        <v>3</v>
      </c>
      <c r="BV73" s="60">
        <f t="shared" si="260"/>
        <v>3</v>
      </c>
      <c r="BW73" s="60">
        <f t="shared" si="260"/>
        <v>3</v>
      </c>
      <c r="BX73" s="60">
        <f t="shared" si="260"/>
        <v>3</v>
      </c>
      <c r="BY73" s="60">
        <f t="shared" si="260"/>
        <v>3</v>
      </c>
      <c r="BZ73" s="60">
        <f t="shared" si="260"/>
        <v>3</v>
      </c>
      <c r="CA73" s="60">
        <f t="shared" si="260"/>
        <v>3</v>
      </c>
      <c r="CB73" s="60">
        <f t="shared" si="260"/>
        <v>3</v>
      </c>
      <c r="CC73" s="60">
        <f t="shared" si="260"/>
        <v>3</v>
      </c>
      <c r="CD73" s="60">
        <f t="shared" si="260"/>
        <v>3</v>
      </c>
      <c r="CE73" s="60">
        <f t="shared" si="260"/>
        <v>3</v>
      </c>
      <c r="CF73" s="60">
        <f t="shared" si="260"/>
        <v>3</v>
      </c>
      <c r="CG73" s="60">
        <f t="shared" si="260"/>
        <v>3</v>
      </c>
      <c r="CH73" s="60">
        <f t="shared" si="260"/>
        <v>3</v>
      </c>
      <c r="CI73" s="60">
        <f t="shared" si="260"/>
        <v>3</v>
      </c>
      <c r="CJ73" s="60">
        <f t="shared" si="260"/>
        <v>3</v>
      </c>
      <c r="CK73" s="60">
        <f t="shared" si="260"/>
        <v>3</v>
      </c>
    </row>
    <row r="74" spans="2:89" x14ac:dyDescent="0.25">
      <c r="I74" s="38"/>
      <c r="K74" s="58"/>
    </row>
    <row r="75" spans="2:89" x14ac:dyDescent="0.25">
      <c r="B75" s="4" t="s">
        <v>117</v>
      </c>
      <c r="C75" s="4"/>
      <c r="D75" s="5" t="str">
        <f>+Assumptions!$D$5</f>
        <v>Units:</v>
      </c>
      <c r="E75" s="4"/>
      <c r="F75" s="108">
        <f>$F$36</f>
        <v>43131</v>
      </c>
      <c r="G75" s="108">
        <f>$G$36</f>
        <v>43159</v>
      </c>
      <c r="H75" s="108">
        <f>$H$36</f>
        <v>43190</v>
      </c>
      <c r="I75" s="108">
        <f>$I$36</f>
        <v>43220</v>
      </c>
      <c r="J75" s="108">
        <f>$J$36</f>
        <v>43251</v>
      </c>
      <c r="K75" s="108">
        <f>$K$36</f>
        <v>43281</v>
      </c>
      <c r="L75" s="108">
        <f>$L$36</f>
        <v>43312</v>
      </c>
      <c r="M75" s="108">
        <f>$M$36</f>
        <v>43343</v>
      </c>
      <c r="N75" s="108">
        <f>$N$36</f>
        <v>43373</v>
      </c>
      <c r="O75" s="108">
        <f>$O$36</f>
        <v>43404</v>
      </c>
      <c r="P75" s="108">
        <f>$P$36</f>
        <v>43434</v>
      </c>
      <c r="Q75" s="108">
        <f>$Q$36</f>
        <v>43465</v>
      </c>
      <c r="R75" s="108">
        <f>$R$36</f>
        <v>43496</v>
      </c>
      <c r="S75" s="108">
        <f>$S$36</f>
        <v>43524</v>
      </c>
      <c r="T75" s="108">
        <f>$T$36</f>
        <v>43555</v>
      </c>
      <c r="U75" s="108">
        <f>$U$36</f>
        <v>43585</v>
      </c>
      <c r="V75" s="108">
        <f>$V$36</f>
        <v>43616</v>
      </c>
      <c r="W75" s="108">
        <f>$W$36</f>
        <v>43646</v>
      </c>
      <c r="X75" s="108">
        <f>$X$36</f>
        <v>43677</v>
      </c>
      <c r="Y75" s="108">
        <f>$Y$36</f>
        <v>43708</v>
      </c>
      <c r="Z75" s="108">
        <f>$Z$36</f>
        <v>43738</v>
      </c>
      <c r="AA75" s="108">
        <f>$AA$36</f>
        <v>43769</v>
      </c>
      <c r="AB75" s="108">
        <f>$AB$36</f>
        <v>43799</v>
      </c>
      <c r="AC75" s="108">
        <f>$AC$36</f>
        <v>43830</v>
      </c>
      <c r="AD75" s="108">
        <f>$AD$36</f>
        <v>43861</v>
      </c>
      <c r="AE75" s="108">
        <f>$AE$36</f>
        <v>43890</v>
      </c>
      <c r="AF75" s="108">
        <f>$AF$36</f>
        <v>43921</v>
      </c>
      <c r="AG75" s="108">
        <f>$AG$36</f>
        <v>43951</v>
      </c>
      <c r="AH75" s="108">
        <f>$AH$36</f>
        <v>43982</v>
      </c>
      <c r="AI75" s="108">
        <f>$AI$36</f>
        <v>44012</v>
      </c>
      <c r="AJ75" s="108">
        <f>$AJ$36</f>
        <v>44043</v>
      </c>
      <c r="AK75" s="108">
        <f>$AK$36</f>
        <v>44074</v>
      </c>
      <c r="AL75" s="108">
        <f>$AL$36</f>
        <v>44104</v>
      </c>
      <c r="AM75" s="108">
        <f>$AM$36</f>
        <v>44135</v>
      </c>
      <c r="AN75" s="108">
        <f>$AN$36</f>
        <v>44165</v>
      </c>
      <c r="AO75" s="108">
        <f>$AO$36</f>
        <v>44196</v>
      </c>
      <c r="AP75" s="108">
        <f>$AP$36</f>
        <v>44227</v>
      </c>
      <c r="AQ75" s="108">
        <f>$AQ$36</f>
        <v>44255</v>
      </c>
      <c r="AR75" s="108">
        <f>$AR$36</f>
        <v>44286</v>
      </c>
      <c r="AS75" s="108">
        <f>$AS$36</f>
        <v>44316</v>
      </c>
      <c r="AT75" s="108">
        <f>$AT$36</f>
        <v>44347</v>
      </c>
      <c r="AU75" s="108">
        <f>$AU$36</f>
        <v>44377</v>
      </c>
      <c r="AV75" s="108">
        <f>$AV$36</f>
        <v>44408</v>
      </c>
      <c r="AW75" s="108">
        <f>$AW$36</f>
        <v>44439</v>
      </c>
      <c r="AX75" s="108">
        <f>$AX$36</f>
        <v>44469</v>
      </c>
      <c r="AY75" s="108">
        <f>$AY$36</f>
        <v>44500</v>
      </c>
      <c r="AZ75" s="108">
        <f>$AZ$36</f>
        <v>44530</v>
      </c>
      <c r="BA75" s="108">
        <f>$BA$36</f>
        <v>44561</v>
      </c>
      <c r="BB75" s="108">
        <f>$BB$36</f>
        <v>44592</v>
      </c>
      <c r="BC75" s="108">
        <f>$BC$36</f>
        <v>44620</v>
      </c>
      <c r="BD75" s="108">
        <f>$BD$36</f>
        <v>44651</v>
      </c>
      <c r="BE75" s="108">
        <f>$BE$36</f>
        <v>44681</v>
      </c>
      <c r="BF75" s="108">
        <f>$BF$36</f>
        <v>44712</v>
      </c>
      <c r="BG75" s="108">
        <f>$BG$36</f>
        <v>44742</v>
      </c>
      <c r="BH75" s="108">
        <f>$BH$36</f>
        <v>44773</v>
      </c>
      <c r="BI75" s="108">
        <f>$BI$36</f>
        <v>44804</v>
      </c>
      <c r="BJ75" s="108">
        <f>$BJ$36</f>
        <v>44834</v>
      </c>
      <c r="BK75" s="108">
        <f>$BK$36</f>
        <v>44865</v>
      </c>
      <c r="BL75" s="108">
        <f>$BL$36</f>
        <v>44895</v>
      </c>
      <c r="BM75" s="108">
        <f>$BM$36</f>
        <v>44926</v>
      </c>
      <c r="BN75" s="108">
        <f>$BN$36</f>
        <v>44957</v>
      </c>
      <c r="BO75" s="108">
        <f>$BO$36</f>
        <v>44985</v>
      </c>
      <c r="BP75" s="108">
        <f>$BP$36</f>
        <v>45016</v>
      </c>
      <c r="BQ75" s="108">
        <f>$BQ$36</f>
        <v>45046</v>
      </c>
      <c r="BR75" s="108">
        <f>$BR$36</f>
        <v>45077</v>
      </c>
      <c r="BS75" s="108">
        <f>$BS$36</f>
        <v>45107</v>
      </c>
      <c r="BT75" s="108">
        <f>$BT$36</f>
        <v>45138</v>
      </c>
      <c r="BU75" s="108">
        <f>$BU$36</f>
        <v>45169</v>
      </c>
      <c r="BV75" s="108">
        <f>$BV$36</f>
        <v>45199</v>
      </c>
      <c r="BW75" s="108">
        <f>$BW$36</f>
        <v>45230</v>
      </c>
      <c r="BX75" s="108">
        <f>$BX$36</f>
        <v>45260</v>
      </c>
      <c r="BY75" s="108">
        <f>$BY$36</f>
        <v>45291</v>
      </c>
      <c r="BZ75" s="108">
        <f>$BZ$36</f>
        <v>45322</v>
      </c>
      <c r="CA75" s="108">
        <f>$CA$36</f>
        <v>45351</v>
      </c>
      <c r="CB75" s="108">
        <f>$CB$36</f>
        <v>45382</v>
      </c>
      <c r="CC75" s="108">
        <f>$CC$36</f>
        <v>45412</v>
      </c>
      <c r="CD75" s="108">
        <f>$CD$36</f>
        <v>45443</v>
      </c>
      <c r="CE75" s="108">
        <f>$CE$36</f>
        <v>45473</v>
      </c>
      <c r="CF75" s="108">
        <f>$CF$36</f>
        <v>45504</v>
      </c>
      <c r="CG75" s="108">
        <f>$CG$36</f>
        <v>45535</v>
      </c>
      <c r="CH75" s="108">
        <f>$CH$36</f>
        <v>45565</v>
      </c>
      <c r="CI75" s="108">
        <f>$CI$36</f>
        <v>45596</v>
      </c>
      <c r="CJ75" s="108">
        <f>$CJ$36</f>
        <v>45626</v>
      </c>
      <c r="CK75" s="108">
        <f>$CK$36</f>
        <v>45657</v>
      </c>
    </row>
    <row r="76" spans="2:89" outlineLevel="1" x14ac:dyDescent="0.25">
      <c r="L76" s="58"/>
    </row>
    <row r="77" spans="2:89" outlineLevel="1" x14ac:dyDescent="0.25">
      <c r="C77" s="66" t="s">
        <v>50</v>
      </c>
      <c r="L77" s="58"/>
    </row>
    <row r="78" spans="2:89" outlineLevel="1" x14ac:dyDescent="0.25">
      <c r="C78" s="118" t="s">
        <v>157</v>
      </c>
      <c r="D78" s="13" t="s">
        <v>24</v>
      </c>
      <c r="E78" s="47"/>
      <c r="F78" s="44">
        <f t="shared" ref="F78:AK78" si="261">IF(F$39&gt;=Ph1_Start_Month,F55*Upfront_Payment_Pct,0)</f>
        <v>4755775.9829366729</v>
      </c>
      <c r="G78" s="44">
        <f t="shared" si="261"/>
        <v>4765572.1027975734</v>
      </c>
      <c r="H78" s="44">
        <f t="shared" si="261"/>
        <v>4775388.401061466</v>
      </c>
      <c r="I78" s="44">
        <f t="shared" si="261"/>
        <v>4785224.9192925589</v>
      </c>
      <c r="J78" s="44">
        <f t="shared" si="261"/>
        <v>4795081.6991406735</v>
      </c>
      <c r="K78" s="44">
        <f t="shared" si="261"/>
        <v>4804958.7823414225</v>
      </c>
      <c r="L78" s="44">
        <f t="shared" si="261"/>
        <v>4814856.2107163882</v>
      </c>
      <c r="M78" s="44">
        <f t="shared" si="261"/>
        <v>4824774.0261733001</v>
      </c>
      <c r="N78" s="44">
        <f t="shared" si="261"/>
        <v>4834712.2707062066</v>
      </c>
      <c r="O78" s="44">
        <f t="shared" si="261"/>
        <v>4844670.9863956617</v>
      </c>
      <c r="P78" s="44">
        <f t="shared" si="261"/>
        <v>0</v>
      </c>
      <c r="Q78" s="44">
        <f t="shared" si="261"/>
        <v>0</v>
      </c>
      <c r="R78" s="44">
        <f t="shared" si="261"/>
        <v>0</v>
      </c>
      <c r="S78" s="44">
        <f t="shared" si="261"/>
        <v>0</v>
      </c>
      <c r="T78" s="44">
        <f t="shared" si="261"/>
        <v>0</v>
      </c>
      <c r="U78" s="44">
        <f t="shared" si="261"/>
        <v>0</v>
      </c>
      <c r="V78" s="44">
        <f t="shared" si="261"/>
        <v>0</v>
      </c>
      <c r="W78" s="44">
        <f t="shared" si="261"/>
        <v>0</v>
      </c>
      <c r="X78" s="44">
        <f t="shared" si="261"/>
        <v>0</v>
      </c>
      <c r="Y78" s="44">
        <f t="shared" si="261"/>
        <v>0</v>
      </c>
      <c r="Z78" s="44">
        <f t="shared" si="261"/>
        <v>0</v>
      </c>
      <c r="AA78" s="44">
        <f t="shared" si="261"/>
        <v>0</v>
      </c>
      <c r="AB78" s="44">
        <f t="shared" si="261"/>
        <v>0</v>
      </c>
      <c r="AC78" s="44">
        <f t="shared" si="261"/>
        <v>0</v>
      </c>
      <c r="AD78" s="44">
        <f t="shared" si="261"/>
        <v>0</v>
      </c>
      <c r="AE78" s="44">
        <f t="shared" si="261"/>
        <v>0</v>
      </c>
      <c r="AF78" s="44">
        <f t="shared" si="261"/>
        <v>0</v>
      </c>
      <c r="AG78" s="44">
        <f t="shared" si="261"/>
        <v>0</v>
      </c>
      <c r="AH78" s="44">
        <f t="shared" si="261"/>
        <v>0</v>
      </c>
      <c r="AI78" s="44">
        <f t="shared" si="261"/>
        <v>0</v>
      </c>
      <c r="AJ78" s="44">
        <f t="shared" si="261"/>
        <v>0</v>
      </c>
      <c r="AK78" s="44">
        <f t="shared" si="261"/>
        <v>0</v>
      </c>
      <c r="AL78" s="44">
        <f t="shared" ref="AL78:BQ78" si="262">IF(AL$39&gt;=Ph1_Start_Month,AL55*Upfront_Payment_Pct,0)</f>
        <v>0</v>
      </c>
      <c r="AM78" s="44">
        <f t="shared" si="262"/>
        <v>0</v>
      </c>
      <c r="AN78" s="44">
        <f t="shared" si="262"/>
        <v>0</v>
      </c>
      <c r="AO78" s="44">
        <f t="shared" si="262"/>
        <v>0</v>
      </c>
      <c r="AP78" s="44">
        <f t="shared" si="262"/>
        <v>0</v>
      </c>
      <c r="AQ78" s="44">
        <f t="shared" si="262"/>
        <v>0</v>
      </c>
      <c r="AR78" s="44">
        <f t="shared" si="262"/>
        <v>0</v>
      </c>
      <c r="AS78" s="44">
        <f t="shared" si="262"/>
        <v>0</v>
      </c>
      <c r="AT78" s="44">
        <f t="shared" si="262"/>
        <v>0</v>
      </c>
      <c r="AU78" s="44">
        <f t="shared" si="262"/>
        <v>0</v>
      </c>
      <c r="AV78" s="44">
        <f t="shared" si="262"/>
        <v>0</v>
      </c>
      <c r="AW78" s="44">
        <f t="shared" si="262"/>
        <v>0</v>
      </c>
      <c r="AX78" s="44">
        <f t="shared" si="262"/>
        <v>0</v>
      </c>
      <c r="AY78" s="44">
        <f t="shared" si="262"/>
        <v>0</v>
      </c>
      <c r="AZ78" s="44">
        <f t="shared" si="262"/>
        <v>0</v>
      </c>
      <c r="BA78" s="44">
        <f t="shared" si="262"/>
        <v>0</v>
      </c>
      <c r="BB78" s="44">
        <f t="shared" si="262"/>
        <v>0</v>
      </c>
      <c r="BC78" s="44">
        <f t="shared" si="262"/>
        <v>0</v>
      </c>
      <c r="BD78" s="44">
        <f t="shared" si="262"/>
        <v>0</v>
      </c>
      <c r="BE78" s="44">
        <f t="shared" si="262"/>
        <v>0</v>
      </c>
      <c r="BF78" s="44">
        <f t="shared" si="262"/>
        <v>0</v>
      </c>
      <c r="BG78" s="44">
        <f t="shared" si="262"/>
        <v>0</v>
      </c>
      <c r="BH78" s="44">
        <f t="shared" si="262"/>
        <v>0</v>
      </c>
      <c r="BI78" s="44">
        <f t="shared" si="262"/>
        <v>0</v>
      </c>
      <c r="BJ78" s="44">
        <f t="shared" si="262"/>
        <v>0</v>
      </c>
      <c r="BK78" s="44">
        <f t="shared" si="262"/>
        <v>0</v>
      </c>
      <c r="BL78" s="44">
        <f t="shared" si="262"/>
        <v>0</v>
      </c>
      <c r="BM78" s="44">
        <f t="shared" si="262"/>
        <v>0</v>
      </c>
      <c r="BN78" s="44">
        <f t="shared" si="262"/>
        <v>0</v>
      </c>
      <c r="BO78" s="44">
        <f t="shared" si="262"/>
        <v>0</v>
      </c>
      <c r="BP78" s="44">
        <f t="shared" si="262"/>
        <v>0</v>
      </c>
      <c r="BQ78" s="44">
        <f t="shared" si="262"/>
        <v>0</v>
      </c>
      <c r="BR78" s="44">
        <f t="shared" ref="BR78:CK78" si="263">IF(BR$39&gt;=Ph1_Start_Month,BR55*Upfront_Payment_Pct,0)</f>
        <v>0</v>
      </c>
      <c r="BS78" s="44">
        <f t="shared" si="263"/>
        <v>0</v>
      </c>
      <c r="BT78" s="44">
        <f t="shared" si="263"/>
        <v>0</v>
      </c>
      <c r="BU78" s="44">
        <f t="shared" si="263"/>
        <v>0</v>
      </c>
      <c r="BV78" s="44">
        <f t="shared" si="263"/>
        <v>0</v>
      </c>
      <c r="BW78" s="44">
        <f t="shared" si="263"/>
        <v>0</v>
      </c>
      <c r="BX78" s="44">
        <f t="shared" si="263"/>
        <v>0</v>
      </c>
      <c r="BY78" s="44">
        <f t="shared" si="263"/>
        <v>0</v>
      </c>
      <c r="BZ78" s="44">
        <f t="shared" si="263"/>
        <v>0</v>
      </c>
      <c r="CA78" s="44">
        <f t="shared" si="263"/>
        <v>0</v>
      </c>
      <c r="CB78" s="44">
        <f t="shared" si="263"/>
        <v>0</v>
      </c>
      <c r="CC78" s="44">
        <f t="shared" si="263"/>
        <v>0</v>
      </c>
      <c r="CD78" s="44">
        <f t="shared" si="263"/>
        <v>0</v>
      </c>
      <c r="CE78" s="44">
        <f t="shared" si="263"/>
        <v>0</v>
      </c>
      <c r="CF78" s="44">
        <f t="shared" si="263"/>
        <v>0</v>
      </c>
      <c r="CG78" s="44">
        <f t="shared" si="263"/>
        <v>0</v>
      </c>
      <c r="CH78" s="44">
        <f t="shared" si="263"/>
        <v>0</v>
      </c>
      <c r="CI78" s="44">
        <f t="shared" si="263"/>
        <v>0</v>
      </c>
      <c r="CJ78" s="44">
        <f t="shared" si="263"/>
        <v>0</v>
      </c>
      <c r="CK78" s="44">
        <f t="shared" si="263"/>
        <v>0</v>
      </c>
    </row>
    <row r="79" spans="2:89" outlineLevel="1" x14ac:dyDescent="0.25">
      <c r="C79" s="118" t="s">
        <v>158</v>
      </c>
      <c r="D79" s="13" t="s">
        <v>24</v>
      </c>
      <c r="E79" s="47"/>
      <c r="F79" s="68">
        <f>IF(F$39=Ph1_Constr_End,SUM($F55:F55)*Constr_End_Payment_Pct,0)</f>
        <v>0</v>
      </c>
      <c r="G79" s="68">
        <f>IF(G$39=Ph1_Constr_End,SUM($F55:G55)*Constr_End_Payment_Pct,0)</f>
        <v>0</v>
      </c>
      <c r="H79" s="68">
        <f>IF(H$39=Ph1_Constr_End,SUM($F55:H55)*Constr_End_Payment_Pct,0)</f>
        <v>0</v>
      </c>
      <c r="I79" s="68">
        <f>IF(I$39=Ph1_Constr_End,SUM($F55:I55)*Constr_End_Payment_Pct,0)</f>
        <v>0</v>
      </c>
      <c r="J79" s="68">
        <f>IF(J$39=Ph1_Constr_End,SUM($F55:J55)*Constr_End_Payment_Pct,0)</f>
        <v>0</v>
      </c>
      <c r="K79" s="68">
        <f>IF(K$39=Ph1_Constr_End,SUM($F55:K55)*Constr_End_Payment_Pct,0)</f>
        <v>0</v>
      </c>
      <c r="L79" s="68">
        <f>IF(L$39=Ph1_Constr_End,SUM($F55:L55)*Constr_End_Payment_Pct,0)</f>
        <v>0</v>
      </c>
      <c r="M79" s="68">
        <f>IF(M$39=Ph1_Constr_End,SUM($F55:M55)*Constr_End_Payment_Pct,0)</f>
        <v>0</v>
      </c>
      <c r="N79" s="68">
        <f>IF(N$39=Ph1_Constr_End,SUM($F55:N55)*Constr_End_Payment_Pct,0)</f>
        <v>0</v>
      </c>
      <c r="O79" s="68">
        <f>IF(O$39=Ph1_Constr_End,SUM($F55:O55)*Constr_End_Payment_Pct,0)</f>
        <v>0</v>
      </c>
      <c r="P79" s="68">
        <f>IF(P$39=Ph1_Constr_End,SUM($F55:P55)*Constr_End_Payment_Pct,0)</f>
        <v>0</v>
      </c>
      <c r="Q79" s="68">
        <f>IF(Q$39=Ph1_Constr_End,SUM($F55:Q55)*Constr_End_Payment_Pct,0)</f>
        <v>0</v>
      </c>
      <c r="R79" s="68">
        <f>IF(R$39=Ph1_Constr_End,SUM($F55:R55)*Constr_End_Payment_Pct,0)</f>
        <v>0</v>
      </c>
      <c r="S79" s="68">
        <f>IF(S$39=Ph1_Constr_End,SUM($F55:S55)*Constr_End_Payment_Pct,0)</f>
        <v>0</v>
      </c>
      <c r="T79" s="68">
        <f>IF(T$39=Ph1_Constr_End,SUM($F55:T55)*Constr_End_Payment_Pct,0)</f>
        <v>0</v>
      </c>
      <c r="U79" s="68">
        <f>IF(U$39=Ph1_Constr_End,SUM($F55:U55)*Constr_End_Payment_Pct,0)</f>
        <v>0</v>
      </c>
      <c r="V79" s="68">
        <f>IF(V$39=Ph1_Constr_End,SUM($F55:V55)*Constr_End_Payment_Pct,0)</f>
        <v>0</v>
      </c>
      <c r="W79" s="68">
        <f>IF(W$39=Ph1_Constr_End,SUM($F55:W55)*Constr_End_Payment_Pct,0)</f>
        <v>0</v>
      </c>
      <c r="X79" s="68">
        <f>IF(X$39=Ph1_Constr_End,SUM($F55:X55)*Constr_End_Payment_Pct,0)</f>
        <v>0</v>
      </c>
      <c r="Y79" s="68">
        <f>IF(Y$39=Ph1_Constr_End,SUM($F55:Y55)*Constr_End_Payment_Pct,0)</f>
        <v>0</v>
      </c>
      <c r="Z79" s="68">
        <f>IF(Z$39=Ph1_Constr_End,SUM($F55:Z55)*Constr_End_Payment_Pct,0)</f>
        <v>0</v>
      </c>
      <c r="AA79" s="68">
        <f>IF(AA$39=Ph1_Constr_End,SUM($F55:AA55)*Constr_End_Payment_Pct,0)</f>
        <v>0</v>
      </c>
      <c r="AB79" s="68">
        <f>IF(AB$39=Ph1_Constr_End,SUM($F55:AB55)*Constr_End_Payment_Pct,0)</f>
        <v>0</v>
      </c>
      <c r="AC79" s="68">
        <f>IF(AC$39=Ph1_Constr_End,SUM($F55:AC55)*Constr_End_Payment_Pct,0)</f>
        <v>0</v>
      </c>
      <c r="AD79" s="68">
        <f>IF(AD$39=Ph1_Constr_End,SUM($F55:AD55)*Constr_End_Payment_Pct,0)</f>
        <v>0</v>
      </c>
      <c r="AE79" s="68">
        <f>IF(AE$39=Ph1_Constr_End,SUM($F55:AE55)*Constr_End_Payment_Pct,0)</f>
        <v>0</v>
      </c>
      <c r="AF79" s="68">
        <f>IF(AF$39=Ph1_Constr_End,SUM($F55:AF55)*Constr_End_Payment_Pct,0)</f>
        <v>48001015.38156192</v>
      </c>
      <c r="AG79" s="68">
        <f>IF(AG$39=Ph1_Constr_End,SUM($F55:AG55)*Constr_End_Payment_Pct,0)</f>
        <v>0</v>
      </c>
      <c r="AH79" s="68">
        <f>IF(AH$39=Ph1_Constr_End,SUM($F55:AH55)*Constr_End_Payment_Pct,0)</f>
        <v>0</v>
      </c>
      <c r="AI79" s="68">
        <f>IF(AI$39=Ph1_Constr_End,SUM($F55:AI55)*Constr_End_Payment_Pct,0)</f>
        <v>0</v>
      </c>
      <c r="AJ79" s="68">
        <f>IF(AJ$39=Ph1_Constr_End,SUM($F55:AJ55)*Constr_End_Payment_Pct,0)</f>
        <v>0</v>
      </c>
      <c r="AK79" s="68">
        <f>IF(AK$39=Ph1_Constr_End,SUM($F55:AK55)*Constr_End_Payment_Pct,0)</f>
        <v>0</v>
      </c>
      <c r="AL79" s="68">
        <f>IF(AL$39=Ph1_Constr_End,SUM($F55:AL55)*Constr_End_Payment_Pct,0)</f>
        <v>0</v>
      </c>
      <c r="AM79" s="68">
        <f>IF(AM$39=Ph1_Constr_End,SUM($F55:AM55)*Constr_End_Payment_Pct,0)</f>
        <v>0</v>
      </c>
      <c r="AN79" s="68">
        <f>IF(AN$39=Ph1_Constr_End,SUM($F55:AN55)*Constr_End_Payment_Pct,0)</f>
        <v>0</v>
      </c>
      <c r="AO79" s="68">
        <f>IF(AO$39=Ph1_Constr_End,SUM($F55:AO55)*Constr_End_Payment_Pct,0)</f>
        <v>0</v>
      </c>
      <c r="AP79" s="68">
        <f>IF(AP$39=Ph1_Constr_End,SUM($F55:AP55)*Constr_End_Payment_Pct,0)</f>
        <v>0</v>
      </c>
      <c r="AQ79" s="68">
        <f>IF(AQ$39=Ph1_Constr_End,SUM($F55:AQ55)*Constr_End_Payment_Pct,0)</f>
        <v>0</v>
      </c>
      <c r="AR79" s="68">
        <f>IF(AR$39=Ph1_Constr_End,SUM($F55:AR55)*Constr_End_Payment_Pct,0)</f>
        <v>0</v>
      </c>
      <c r="AS79" s="68">
        <f>IF(AS$39=Ph1_Constr_End,SUM($F55:AS55)*Constr_End_Payment_Pct,0)</f>
        <v>0</v>
      </c>
      <c r="AT79" s="68">
        <f>IF(AT$39=Ph1_Constr_End,SUM($F55:AT55)*Constr_End_Payment_Pct,0)</f>
        <v>0</v>
      </c>
      <c r="AU79" s="68">
        <f>IF(AU$39=Ph1_Constr_End,SUM($F55:AU55)*Constr_End_Payment_Pct,0)</f>
        <v>0</v>
      </c>
      <c r="AV79" s="68">
        <f>IF(AV$39=Ph1_Constr_End,SUM($F55:AV55)*Constr_End_Payment_Pct,0)</f>
        <v>0</v>
      </c>
      <c r="AW79" s="68">
        <f>IF(AW$39=Ph1_Constr_End,SUM($F55:AW55)*Constr_End_Payment_Pct,0)</f>
        <v>0</v>
      </c>
      <c r="AX79" s="68">
        <f>IF(AX$39=Ph1_Constr_End,SUM($F55:AX55)*Constr_End_Payment_Pct,0)</f>
        <v>0</v>
      </c>
      <c r="AY79" s="68">
        <f>IF(AY$39=Ph1_Constr_End,SUM($F55:AY55)*Constr_End_Payment_Pct,0)</f>
        <v>0</v>
      </c>
      <c r="AZ79" s="68">
        <f>IF(AZ$39=Ph1_Constr_End,SUM($F55:AZ55)*Constr_End_Payment_Pct,0)</f>
        <v>0</v>
      </c>
      <c r="BA79" s="68">
        <f>IF(BA$39=Ph1_Constr_End,SUM($F55:BA55)*Constr_End_Payment_Pct,0)</f>
        <v>0</v>
      </c>
      <c r="BB79" s="68">
        <f>IF(BB$39=Ph1_Constr_End,SUM($F55:BB55)*Constr_End_Payment_Pct,0)</f>
        <v>0</v>
      </c>
      <c r="BC79" s="68">
        <f>IF(BC$39=Ph1_Constr_End,SUM($F55:BC55)*Constr_End_Payment_Pct,0)</f>
        <v>0</v>
      </c>
      <c r="BD79" s="68">
        <f>IF(BD$39=Ph1_Constr_End,SUM($F55:BD55)*Constr_End_Payment_Pct,0)</f>
        <v>0</v>
      </c>
      <c r="BE79" s="68">
        <f>IF(BE$39=Ph1_Constr_End,SUM($F55:BE55)*Constr_End_Payment_Pct,0)</f>
        <v>0</v>
      </c>
      <c r="BF79" s="68">
        <f>IF(BF$39=Ph1_Constr_End,SUM($F55:BF55)*Constr_End_Payment_Pct,0)</f>
        <v>0</v>
      </c>
      <c r="BG79" s="68">
        <f>IF(BG$39=Ph1_Constr_End,SUM($F55:BG55)*Constr_End_Payment_Pct,0)</f>
        <v>0</v>
      </c>
      <c r="BH79" s="68">
        <f>IF(BH$39=Ph1_Constr_End,SUM($F55:BH55)*Constr_End_Payment_Pct,0)</f>
        <v>0</v>
      </c>
      <c r="BI79" s="68">
        <f>IF(BI$39=Ph1_Constr_End,SUM($F55:BI55)*Constr_End_Payment_Pct,0)</f>
        <v>0</v>
      </c>
      <c r="BJ79" s="68">
        <f>IF(BJ$39=Ph1_Constr_End,SUM($F55:BJ55)*Constr_End_Payment_Pct,0)</f>
        <v>0</v>
      </c>
      <c r="BK79" s="68">
        <f>IF(BK$39=Ph1_Constr_End,SUM($F55:BK55)*Constr_End_Payment_Pct,0)</f>
        <v>0</v>
      </c>
      <c r="BL79" s="68">
        <f>IF(BL$39=Ph1_Constr_End,SUM($F55:BL55)*Constr_End_Payment_Pct,0)</f>
        <v>0</v>
      </c>
      <c r="BM79" s="68">
        <f>IF(BM$39=Ph1_Constr_End,SUM($F55:BM55)*Constr_End_Payment_Pct,0)</f>
        <v>0</v>
      </c>
      <c r="BN79" s="68">
        <f>IF(BN$39=Ph1_Constr_End,SUM($F55:BN55)*Constr_End_Payment_Pct,0)</f>
        <v>0</v>
      </c>
      <c r="BO79" s="68">
        <f>IF(BO$39=Ph1_Constr_End,SUM($F55:BO55)*Constr_End_Payment_Pct,0)</f>
        <v>0</v>
      </c>
      <c r="BP79" s="68">
        <f>IF(BP$39=Ph1_Constr_End,SUM($F55:BP55)*Constr_End_Payment_Pct,0)</f>
        <v>0</v>
      </c>
      <c r="BQ79" s="68">
        <f>IF(BQ$39=Ph1_Constr_End,SUM($F55:BQ55)*Constr_End_Payment_Pct,0)</f>
        <v>0</v>
      </c>
      <c r="BR79" s="68">
        <f>IF(BR$39=Ph1_Constr_End,SUM($F55:BR55)*Constr_End_Payment_Pct,0)</f>
        <v>0</v>
      </c>
      <c r="BS79" s="68">
        <f>IF(BS$39=Ph1_Constr_End,SUM($F55:BS55)*Constr_End_Payment_Pct,0)</f>
        <v>0</v>
      </c>
      <c r="BT79" s="68">
        <f>IF(BT$39=Ph1_Constr_End,SUM($F55:BT55)*Constr_End_Payment_Pct,0)</f>
        <v>0</v>
      </c>
      <c r="BU79" s="68">
        <f>IF(BU$39=Ph1_Constr_End,SUM($F55:BU55)*Constr_End_Payment_Pct,0)</f>
        <v>0</v>
      </c>
      <c r="BV79" s="68">
        <f>IF(BV$39=Ph1_Constr_End,SUM($F55:BV55)*Constr_End_Payment_Pct,0)</f>
        <v>0</v>
      </c>
      <c r="BW79" s="68">
        <f>IF(BW$39=Ph1_Constr_End,SUM($F55:BW55)*Constr_End_Payment_Pct,0)</f>
        <v>0</v>
      </c>
      <c r="BX79" s="68">
        <f>IF(BX$39=Ph1_Constr_End,SUM($F55:BX55)*Constr_End_Payment_Pct,0)</f>
        <v>0</v>
      </c>
      <c r="BY79" s="68">
        <f>IF(BY$39=Ph1_Constr_End,SUM($F55:BY55)*Constr_End_Payment_Pct,0)</f>
        <v>0</v>
      </c>
      <c r="BZ79" s="68">
        <f>IF(BZ$39=Ph1_Constr_End,SUM($F55:BZ55)*Constr_End_Payment_Pct,0)</f>
        <v>0</v>
      </c>
      <c r="CA79" s="68">
        <f>IF(CA$39=Ph1_Constr_End,SUM($F55:CA55)*Constr_End_Payment_Pct,0)</f>
        <v>0</v>
      </c>
      <c r="CB79" s="68">
        <f>IF(CB$39=Ph1_Constr_End,SUM($F55:CB55)*Constr_End_Payment_Pct,0)</f>
        <v>0</v>
      </c>
      <c r="CC79" s="68">
        <f>IF(CC$39=Ph1_Constr_End,SUM($F55:CC55)*Constr_End_Payment_Pct,0)</f>
        <v>0</v>
      </c>
      <c r="CD79" s="68">
        <f>IF(CD$39=Ph1_Constr_End,SUM($F55:CD55)*Constr_End_Payment_Pct,0)</f>
        <v>0</v>
      </c>
      <c r="CE79" s="68">
        <f>IF(CE$39=Ph1_Constr_End,SUM($F55:CE55)*Constr_End_Payment_Pct,0)</f>
        <v>0</v>
      </c>
      <c r="CF79" s="68">
        <f>IF(CF$39=Ph1_Constr_End,SUM($F55:CF55)*Constr_End_Payment_Pct,0)</f>
        <v>0</v>
      </c>
      <c r="CG79" s="68">
        <f>IF(CG$39=Ph1_Constr_End,SUM($F55:CG55)*Constr_End_Payment_Pct,0)</f>
        <v>0</v>
      </c>
      <c r="CH79" s="68">
        <f>IF(CH$39=Ph1_Constr_End,SUM($F55:CH55)*Constr_End_Payment_Pct,0)</f>
        <v>0</v>
      </c>
      <c r="CI79" s="68">
        <f>IF(CI$39=Ph1_Constr_End,SUM($F55:CI55)*Constr_End_Payment_Pct,0)</f>
        <v>0</v>
      </c>
      <c r="CJ79" s="68">
        <f>IF(CJ$39=Ph1_Constr_End,SUM($F55:CJ55)*Constr_End_Payment_Pct,0)</f>
        <v>0</v>
      </c>
      <c r="CK79" s="68">
        <f>IF(CK$39=Ph1_Constr_End,SUM($F55:CK55)*Constr_End_Payment_Pct,0)</f>
        <v>0</v>
      </c>
    </row>
    <row r="80" spans="2:89" outlineLevel="1" x14ac:dyDescent="0.25">
      <c r="C80" s="118" t="s">
        <v>159</v>
      </c>
      <c r="D80" s="50" t="s">
        <v>24</v>
      </c>
      <c r="E80" s="52"/>
      <c r="F80" s="68">
        <f>IF(F$39=Post_Constr_Phase_End,SUM($F$55:$CK$55)-SUM($F78:F79),0)</f>
        <v>0</v>
      </c>
      <c r="G80" s="68">
        <f>IF(G$39=Post_Constr_Phase_End,SUM($F$55:$CK$55)-SUM($F78:G79),0)</f>
        <v>0</v>
      </c>
      <c r="H80" s="68">
        <f>IF(H$39=Post_Constr_Phase_End,SUM($F$55:$CK$55)-SUM($F78:H79),0)</f>
        <v>0</v>
      </c>
      <c r="I80" s="68">
        <f>IF(I$39=Post_Constr_Phase_End,SUM($F$55:$CK$55)-SUM($F78:I79),0)</f>
        <v>0</v>
      </c>
      <c r="J80" s="68">
        <f>IF(J$39=Post_Constr_Phase_End,SUM($F$55:$CK$55)-SUM($F78:J79),0)</f>
        <v>0</v>
      </c>
      <c r="K80" s="68">
        <f>IF(K$39=Post_Constr_Phase_End,SUM($F$55:$CK$55)-SUM($F78:K79),0)</f>
        <v>0</v>
      </c>
      <c r="L80" s="68">
        <f>IF(L$39=Post_Constr_Phase_End,SUM($F$55:$CK$55)-SUM($F78:L79),0)</f>
        <v>0</v>
      </c>
      <c r="M80" s="68">
        <f>IF(M$39=Post_Constr_Phase_End,SUM($F$55:$CK$55)-SUM($F78:M79),0)</f>
        <v>0</v>
      </c>
      <c r="N80" s="68">
        <f>IF(N$39=Post_Constr_Phase_End,SUM($F$55:$CK$55)-SUM($F78:N79),0)</f>
        <v>0</v>
      </c>
      <c r="O80" s="68">
        <f>IF(O$39=Post_Constr_Phase_End,SUM($F$55:$CK$55)-SUM($F78:O79),0)</f>
        <v>0</v>
      </c>
      <c r="P80" s="68">
        <f>IF(P$39=Post_Constr_Phase_End,SUM($F$55:$CK$55)-SUM($F78:P79),0)</f>
        <v>0</v>
      </c>
      <c r="Q80" s="68">
        <f>IF(Q$39=Post_Constr_Phase_End,SUM($F$55:$CK$55)-SUM($F78:Q79),0)</f>
        <v>0</v>
      </c>
      <c r="R80" s="68">
        <f>IF(R$39=Post_Constr_Phase_End,SUM($F$55:$CK$55)-SUM($F78:R79),0)</f>
        <v>0</v>
      </c>
      <c r="S80" s="68">
        <f>IF(S$39=Post_Constr_Phase_End,SUM($F$55:$CK$55)-SUM($F78:S79),0)</f>
        <v>0</v>
      </c>
      <c r="T80" s="68">
        <f>IF(T$39=Post_Constr_Phase_End,SUM($F$55:$CK$55)-SUM($F78:T79),0)</f>
        <v>0</v>
      </c>
      <c r="U80" s="68">
        <f>IF(U$39=Post_Constr_Phase_End,SUM($F$55:$CK$55)-SUM($F78:U79),0)</f>
        <v>0</v>
      </c>
      <c r="V80" s="68">
        <f>IF(V$39=Post_Constr_Phase_End,SUM($F$55:$CK$55)-SUM($F78:V79),0)</f>
        <v>0</v>
      </c>
      <c r="W80" s="68">
        <f>IF(W$39=Post_Constr_Phase_End,SUM($F$55:$CK$55)-SUM($F78:W79),0)</f>
        <v>0</v>
      </c>
      <c r="X80" s="68">
        <f>IF(X$39=Post_Constr_Phase_End,SUM($F$55:$CK$55)-SUM($F78:X79),0)</f>
        <v>0</v>
      </c>
      <c r="Y80" s="68">
        <f>IF(Y$39=Post_Constr_Phase_End,SUM($F$55:$CK$55)-SUM($F78:Y79),0)</f>
        <v>0</v>
      </c>
      <c r="Z80" s="68">
        <f>IF(Z$39=Post_Constr_Phase_End,SUM($F$55:$CK$55)-SUM($F78:Z79),0)</f>
        <v>0</v>
      </c>
      <c r="AA80" s="68">
        <f>IF(AA$39=Post_Constr_Phase_End,SUM($F$55:$CK$55)-SUM($F78:AA79),0)</f>
        <v>0</v>
      </c>
      <c r="AB80" s="68">
        <f>IF(AB$39=Post_Constr_Phase_End,SUM($F$55:$CK$55)-SUM($F78:AB79),0)</f>
        <v>0</v>
      </c>
      <c r="AC80" s="68">
        <f>IF(AC$39=Post_Constr_Phase_End,SUM($F$55:$CK$55)-SUM($F78:AC79),0)</f>
        <v>0</v>
      </c>
      <c r="AD80" s="68">
        <f>IF(AD$39=Post_Constr_Phase_End,SUM($F$55:$CK$55)-SUM($F78:AD79),0)</f>
        <v>0</v>
      </c>
      <c r="AE80" s="68">
        <f>IF(AE$39=Post_Constr_Phase_End,SUM($F$55:$CK$55)-SUM($F78:AE79),0)</f>
        <v>0</v>
      </c>
      <c r="AF80" s="68">
        <f>IF(AF$39=Post_Constr_Phase_End,SUM($F$55:$CK$55)-SUM($F78:AF79),0)</f>
        <v>0</v>
      </c>
      <c r="AG80" s="68">
        <f>IF(AG$39=Post_Constr_Phase_End,SUM($F$55:$CK$55)-SUM($F78:AG79),0)</f>
        <v>0</v>
      </c>
      <c r="AH80" s="68">
        <f>IF(AH$39=Post_Constr_Phase_End,SUM($F$55:$CK$55)-SUM($F78:AH79),0)</f>
        <v>0</v>
      </c>
      <c r="AI80" s="68">
        <f>IF(AI$39=Post_Constr_Phase_End,SUM($F$55:$CK$55)-SUM($F78:AI79),0)</f>
        <v>0</v>
      </c>
      <c r="AJ80" s="68">
        <f>IF(AJ$39=Post_Constr_Phase_End,SUM($F$55:$CK$55)-SUM($F78:AJ79),0)</f>
        <v>0</v>
      </c>
      <c r="AK80" s="68">
        <f>IF(AK$39=Post_Constr_Phase_End,SUM($F$55:$CK$55)-SUM($F78:AK79),0)</f>
        <v>0</v>
      </c>
      <c r="AL80" s="68">
        <f>IF(AL$39=Post_Constr_Phase_End,SUM($F$55:$CK$55)-SUM($F78:AL79),0)</f>
        <v>0</v>
      </c>
      <c r="AM80" s="68">
        <f>IF(AM$39=Post_Constr_Phase_End,SUM($F$55:$CK$55)-SUM($F78:AM79),0)</f>
        <v>0</v>
      </c>
      <c r="AN80" s="68">
        <f>IF(AN$39=Post_Constr_Phase_End,SUM($F$55:$CK$55)-SUM($F78:AN79),0)</f>
        <v>0</v>
      </c>
      <c r="AO80" s="68">
        <f>IF(AO$39=Post_Constr_Phase_End,SUM($F$55:$CK$55)-SUM($F78:AO79),0)</f>
        <v>0</v>
      </c>
      <c r="AP80" s="68">
        <f>IF(AP$39=Post_Constr_Phase_End,SUM($F$55:$CK$55)-SUM($F78:AP79),0)</f>
        <v>0</v>
      </c>
      <c r="AQ80" s="68">
        <f>IF(AQ$39=Post_Constr_Phase_End,SUM($F$55:$CK$55)-SUM($F78:AQ79),0)</f>
        <v>0</v>
      </c>
      <c r="AR80" s="68">
        <f>IF(AR$39=Post_Constr_Phase_End,SUM($F$55:$CK$55)-SUM($F78:AR79),0)</f>
        <v>0</v>
      </c>
      <c r="AS80" s="68">
        <f>IF(AS$39=Post_Constr_Phase_End,SUM($F$55:$CK$55)-SUM($F78:AS79),0)</f>
        <v>0</v>
      </c>
      <c r="AT80" s="68">
        <f>IF(AT$39=Post_Constr_Phase_End,SUM($F$55:$CK$55)-SUM($F78:AT79),0)</f>
        <v>0</v>
      </c>
      <c r="AU80" s="68">
        <f>IF(AU$39=Post_Constr_Phase_End,SUM($F$55:$CK$55)-SUM($F78:AU79),0)</f>
        <v>0</v>
      </c>
      <c r="AV80" s="68">
        <f>IF(AV$39=Post_Constr_Phase_End,SUM($F$55:$CK$55)-SUM($F78:AV79),0)</f>
        <v>0</v>
      </c>
      <c r="AW80" s="68">
        <f>IF(AW$39=Post_Constr_Phase_End,SUM($F$55:$CK$55)-SUM($F78:AW79),0)</f>
        <v>0</v>
      </c>
      <c r="AX80" s="68">
        <f>IF(AX$39=Post_Constr_Phase_End,SUM($F$55:$CK$55)-SUM($F78:AX79),0)</f>
        <v>0</v>
      </c>
      <c r="AY80" s="68">
        <f>IF(AY$39=Post_Constr_Phase_End,SUM($F$55:$CK$55)-SUM($F78:AY79),0)</f>
        <v>0</v>
      </c>
      <c r="AZ80" s="68">
        <f>IF(AZ$39=Post_Constr_Phase_End,SUM($F$55:$CK$55)-SUM($F78:AZ79),0)</f>
        <v>64001353.84208256</v>
      </c>
      <c r="BA80" s="68">
        <f>IF(BA$39=Post_Constr_Phase_End,SUM($F$55:$CK$55)-SUM($F78:BA79),0)</f>
        <v>0</v>
      </c>
      <c r="BB80" s="68">
        <f>IF(BB$39=Post_Constr_Phase_End,SUM($F$55:$CK$55)-SUM($F78:BB79),0)</f>
        <v>0</v>
      </c>
      <c r="BC80" s="68">
        <f>IF(BC$39=Post_Constr_Phase_End,SUM($F$55:$CK$55)-SUM($F78:BC79),0)</f>
        <v>0</v>
      </c>
      <c r="BD80" s="68">
        <f>IF(BD$39=Post_Constr_Phase_End,SUM($F$55:$CK$55)-SUM($F78:BD79),0)</f>
        <v>0</v>
      </c>
      <c r="BE80" s="68">
        <f>IF(BE$39=Post_Constr_Phase_End,SUM($F$55:$CK$55)-SUM($F78:BE79),0)</f>
        <v>0</v>
      </c>
      <c r="BF80" s="68">
        <f>IF(BF$39=Post_Constr_Phase_End,SUM($F$55:$CK$55)-SUM($F78:BF79),0)</f>
        <v>0</v>
      </c>
      <c r="BG80" s="68">
        <f>IF(BG$39=Post_Constr_Phase_End,SUM($F$55:$CK$55)-SUM($F78:BG79),0)</f>
        <v>0</v>
      </c>
      <c r="BH80" s="68">
        <f>IF(BH$39=Post_Constr_Phase_End,SUM($F$55:$CK$55)-SUM($F78:BH79),0)</f>
        <v>0</v>
      </c>
      <c r="BI80" s="68">
        <f>IF(BI$39=Post_Constr_Phase_End,SUM($F$55:$CK$55)-SUM($F78:BI79),0)</f>
        <v>0</v>
      </c>
      <c r="BJ80" s="68">
        <f>IF(BJ$39=Post_Constr_Phase_End,SUM($F$55:$CK$55)-SUM($F78:BJ79),0)</f>
        <v>0</v>
      </c>
      <c r="BK80" s="68">
        <f>IF(BK$39=Post_Constr_Phase_End,SUM($F$55:$CK$55)-SUM($F78:BK79),0)</f>
        <v>0</v>
      </c>
      <c r="BL80" s="68">
        <f>IF(BL$39=Post_Constr_Phase_End,SUM($F$55:$CK$55)-SUM($F78:BL79),0)</f>
        <v>0</v>
      </c>
      <c r="BM80" s="68">
        <f>IF(BM$39=Post_Constr_Phase_End,SUM($F$55:$CK$55)-SUM($F78:BM79),0)</f>
        <v>0</v>
      </c>
      <c r="BN80" s="68">
        <f>IF(BN$39=Post_Constr_Phase_End,SUM($F$55:$CK$55)-SUM($F78:BN79),0)</f>
        <v>0</v>
      </c>
      <c r="BO80" s="68">
        <f>IF(BO$39=Post_Constr_Phase_End,SUM($F$55:$CK$55)-SUM($F78:BO79),0)</f>
        <v>0</v>
      </c>
      <c r="BP80" s="68">
        <f>IF(BP$39=Post_Constr_Phase_End,SUM($F$55:$CK$55)-SUM($F78:BP79),0)</f>
        <v>0</v>
      </c>
      <c r="BQ80" s="68">
        <f>IF(BQ$39=Post_Constr_Phase_End,SUM($F$55:$CK$55)-SUM($F78:BQ79),0)</f>
        <v>0</v>
      </c>
      <c r="BR80" s="68">
        <f>IF(BR$39=Post_Constr_Phase_End,SUM($F$55:$CK$55)-SUM($F78:BR79),0)</f>
        <v>0</v>
      </c>
      <c r="BS80" s="68">
        <f>IF(BS$39=Post_Constr_Phase_End,SUM($F$55:$CK$55)-SUM($F78:BS79),0)</f>
        <v>0</v>
      </c>
      <c r="BT80" s="68">
        <f>IF(BT$39=Post_Constr_Phase_End,SUM($F$55:$CK$55)-SUM($F78:BT79),0)</f>
        <v>0</v>
      </c>
      <c r="BU80" s="68">
        <f>IF(BU$39=Post_Constr_Phase_End,SUM($F$55:$CK$55)-SUM($F78:BU79),0)</f>
        <v>0</v>
      </c>
      <c r="BV80" s="68">
        <f>IF(BV$39=Post_Constr_Phase_End,SUM($F$55:$CK$55)-SUM($F78:BV79),0)</f>
        <v>0</v>
      </c>
      <c r="BW80" s="68">
        <f>IF(BW$39=Post_Constr_Phase_End,SUM($F$55:$CK$55)-SUM($F78:BW79),0)</f>
        <v>0</v>
      </c>
      <c r="BX80" s="68">
        <f>IF(BX$39=Post_Constr_Phase_End,SUM($F$55:$CK$55)-SUM($F78:BX79),0)</f>
        <v>0</v>
      </c>
      <c r="BY80" s="68">
        <f>IF(BY$39=Post_Constr_Phase_End,SUM($F$55:$CK$55)-SUM($F78:BY79),0)</f>
        <v>0</v>
      </c>
      <c r="BZ80" s="68">
        <f>IF(BZ$39=Post_Constr_Phase_End,SUM($F$55:$CK$55)-SUM($F78:BZ79),0)</f>
        <v>0</v>
      </c>
      <c r="CA80" s="68">
        <f>IF(CA$39=Post_Constr_Phase_End,SUM($F$55:$CK$55)-SUM($F78:CA79),0)</f>
        <v>0</v>
      </c>
      <c r="CB80" s="68">
        <f>IF(CB$39=Post_Constr_Phase_End,SUM($F$55:$CK$55)-SUM($F78:CB79),0)</f>
        <v>0</v>
      </c>
      <c r="CC80" s="68">
        <f>IF(CC$39=Post_Constr_Phase_End,SUM($F$55:$CK$55)-SUM($F78:CC79),0)</f>
        <v>0</v>
      </c>
      <c r="CD80" s="68">
        <f>IF(CD$39=Post_Constr_Phase_End,SUM($F$55:$CK$55)-SUM($F78:CD79),0)</f>
        <v>0</v>
      </c>
      <c r="CE80" s="68">
        <f>IF(CE$39=Post_Constr_Phase_End,SUM($F$55:$CK$55)-SUM($F78:CE79),0)</f>
        <v>0</v>
      </c>
      <c r="CF80" s="68">
        <f>IF(CF$39=Post_Constr_Phase_End,SUM($F$55:$CK$55)-SUM($F78:CF79),0)</f>
        <v>0</v>
      </c>
      <c r="CG80" s="68">
        <f>IF(CG$39=Post_Constr_Phase_End,SUM($F$55:$CK$55)-SUM($F78:CG79),0)</f>
        <v>0</v>
      </c>
      <c r="CH80" s="68">
        <f>IF(CH$39=Post_Constr_Phase_End,SUM($F$55:$CK$55)-SUM($F78:CH79),0)</f>
        <v>0</v>
      </c>
      <c r="CI80" s="68">
        <f>IF(CI$39=Post_Constr_Phase_End,SUM($F$55:$CK$55)-SUM($F78:CI79),0)</f>
        <v>0</v>
      </c>
      <c r="CJ80" s="68">
        <f>IF(CJ$39=Post_Constr_Phase_End,SUM($F$55:$CK$55)-SUM($F78:CJ79),0)</f>
        <v>0</v>
      </c>
      <c r="CK80" s="68">
        <f>IF(CK$39=Post_Constr_Phase_End,SUM($F$55:$CK$55)-SUM($F78:CK79),0)</f>
        <v>0</v>
      </c>
    </row>
    <row r="81" spans="3:89" outlineLevel="1" x14ac:dyDescent="0.25">
      <c r="C81" s="99" t="s">
        <v>55</v>
      </c>
      <c r="D81" s="13" t="s">
        <v>24</v>
      </c>
      <c r="E81" s="47"/>
      <c r="F81" s="100">
        <f>SUM(F78:F80)</f>
        <v>4755775.9829366729</v>
      </c>
      <c r="G81" s="100">
        <f t="shared" ref="G81:BR81" si="264">SUM(G78:G80)</f>
        <v>4765572.1027975734</v>
      </c>
      <c r="H81" s="100">
        <f t="shared" si="264"/>
        <v>4775388.401061466</v>
      </c>
      <c r="I81" s="100">
        <f t="shared" si="264"/>
        <v>4785224.9192925589</v>
      </c>
      <c r="J81" s="100">
        <f t="shared" si="264"/>
        <v>4795081.6991406735</v>
      </c>
      <c r="K81" s="100">
        <f t="shared" si="264"/>
        <v>4804958.7823414225</v>
      </c>
      <c r="L81" s="100">
        <f t="shared" si="264"/>
        <v>4814856.2107163882</v>
      </c>
      <c r="M81" s="100">
        <f t="shared" si="264"/>
        <v>4824774.0261733001</v>
      </c>
      <c r="N81" s="100">
        <f t="shared" si="264"/>
        <v>4834712.2707062066</v>
      </c>
      <c r="O81" s="100">
        <f t="shared" si="264"/>
        <v>4844670.9863956617</v>
      </c>
      <c r="P81" s="100">
        <f t="shared" si="264"/>
        <v>0</v>
      </c>
      <c r="Q81" s="100">
        <f t="shared" si="264"/>
        <v>0</v>
      </c>
      <c r="R81" s="100">
        <f t="shared" si="264"/>
        <v>0</v>
      </c>
      <c r="S81" s="100">
        <f t="shared" si="264"/>
        <v>0</v>
      </c>
      <c r="T81" s="100">
        <f t="shared" si="264"/>
        <v>0</v>
      </c>
      <c r="U81" s="100">
        <f t="shared" si="264"/>
        <v>0</v>
      </c>
      <c r="V81" s="100">
        <f t="shared" si="264"/>
        <v>0</v>
      </c>
      <c r="W81" s="100">
        <f t="shared" si="264"/>
        <v>0</v>
      </c>
      <c r="X81" s="100">
        <f t="shared" si="264"/>
        <v>0</v>
      </c>
      <c r="Y81" s="100">
        <f t="shared" si="264"/>
        <v>0</v>
      </c>
      <c r="Z81" s="100">
        <f t="shared" si="264"/>
        <v>0</v>
      </c>
      <c r="AA81" s="100">
        <f t="shared" si="264"/>
        <v>0</v>
      </c>
      <c r="AB81" s="100">
        <f t="shared" si="264"/>
        <v>0</v>
      </c>
      <c r="AC81" s="100">
        <f t="shared" si="264"/>
        <v>0</v>
      </c>
      <c r="AD81" s="100">
        <f t="shared" si="264"/>
        <v>0</v>
      </c>
      <c r="AE81" s="100">
        <f t="shared" si="264"/>
        <v>0</v>
      </c>
      <c r="AF81" s="100">
        <f t="shared" si="264"/>
        <v>48001015.38156192</v>
      </c>
      <c r="AG81" s="100">
        <f t="shared" si="264"/>
        <v>0</v>
      </c>
      <c r="AH81" s="100">
        <f t="shared" si="264"/>
        <v>0</v>
      </c>
      <c r="AI81" s="100">
        <f t="shared" si="264"/>
        <v>0</v>
      </c>
      <c r="AJ81" s="100">
        <f t="shared" si="264"/>
        <v>0</v>
      </c>
      <c r="AK81" s="100">
        <f t="shared" si="264"/>
        <v>0</v>
      </c>
      <c r="AL81" s="100">
        <f t="shared" si="264"/>
        <v>0</v>
      </c>
      <c r="AM81" s="100">
        <f t="shared" si="264"/>
        <v>0</v>
      </c>
      <c r="AN81" s="100">
        <f t="shared" si="264"/>
        <v>0</v>
      </c>
      <c r="AO81" s="100">
        <f t="shared" si="264"/>
        <v>0</v>
      </c>
      <c r="AP81" s="100">
        <f t="shared" si="264"/>
        <v>0</v>
      </c>
      <c r="AQ81" s="100">
        <f t="shared" si="264"/>
        <v>0</v>
      </c>
      <c r="AR81" s="100">
        <f t="shared" si="264"/>
        <v>0</v>
      </c>
      <c r="AS81" s="100">
        <f t="shared" si="264"/>
        <v>0</v>
      </c>
      <c r="AT81" s="100">
        <f t="shared" si="264"/>
        <v>0</v>
      </c>
      <c r="AU81" s="100">
        <f t="shared" si="264"/>
        <v>0</v>
      </c>
      <c r="AV81" s="100">
        <f t="shared" si="264"/>
        <v>0</v>
      </c>
      <c r="AW81" s="100">
        <f t="shared" si="264"/>
        <v>0</v>
      </c>
      <c r="AX81" s="100">
        <f t="shared" si="264"/>
        <v>0</v>
      </c>
      <c r="AY81" s="100">
        <f t="shared" si="264"/>
        <v>0</v>
      </c>
      <c r="AZ81" s="100">
        <f t="shared" si="264"/>
        <v>64001353.84208256</v>
      </c>
      <c r="BA81" s="100">
        <f t="shared" si="264"/>
        <v>0</v>
      </c>
      <c r="BB81" s="100">
        <f t="shared" si="264"/>
        <v>0</v>
      </c>
      <c r="BC81" s="100">
        <f t="shared" si="264"/>
        <v>0</v>
      </c>
      <c r="BD81" s="100">
        <f t="shared" si="264"/>
        <v>0</v>
      </c>
      <c r="BE81" s="100">
        <f t="shared" si="264"/>
        <v>0</v>
      </c>
      <c r="BF81" s="100">
        <f t="shared" si="264"/>
        <v>0</v>
      </c>
      <c r="BG81" s="100">
        <f t="shared" si="264"/>
        <v>0</v>
      </c>
      <c r="BH81" s="100">
        <f t="shared" si="264"/>
        <v>0</v>
      </c>
      <c r="BI81" s="100">
        <f t="shared" si="264"/>
        <v>0</v>
      </c>
      <c r="BJ81" s="100">
        <f t="shared" si="264"/>
        <v>0</v>
      </c>
      <c r="BK81" s="100">
        <f t="shared" si="264"/>
        <v>0</v>
      </c>
      <c r="BL81" s="100">
        <f t="shared" si="264"/>
        <v>0</v>
      </c>
      <c r="BM81" s="100">
        <f t="shared" si="264"/>
        <v>0</v>
      </c>
      <c r="BN81" s="100">
        <f t="shared" si="264"/>
        <v>0</v>
      </c>
      <c r="BO81" s="100">
        <f t="shared" si="264"/>
        <v>0</v>
      </c>
      <c r="BP81" s="100">
        <f t="shared" si="264"/>
        <v>0</v>
      </c>
      <c r="BQ81" s="100">
        <f t="shared" si="264"/>
        <v>0</v>
      </c>
      <c r="BR81" s="100">
        <f t="shared" si="264"/>
        <v>0</v>
      </c>
      <c r="BS81" s="100">
        <f t="shared" ref="BS81:CK81" si="265">SUM(BS78:BS80)</f>
        <v>0</v>
      </c>
      <c r="BT81" s="100">
        <f t="shared" si="265"/>
        <v>0</v>
      </c>
      <c r="BU81" s="100">
        <f t="shared" si="265"/>
        <v>0</v>
      </c>
      <c r="BV81" s="100">
        <f t="shared" si="265"/>
        <v>0</v>
      </c>
      <c r="BW81" s="100">
        <f t="shared" si="265"/>
        <v>0</v>
      </c>
      <c r="BX81" s="100">
        <f t="shared" si="265"/>
        <v>0</v>
      </c>
      <c r="BY81" s="100">
        <f t="shared" si="265"/>
        <v>0</v>
      </c>
      <c r="BZ81" s="100">
        <f t="shared" si="265"/>
        <v>0</v>
      </c>
      <c r="CA81" s="100">
        <f t="shared" si="265"/>
        <v>0</v>
      </c>
      <c r="CB81" s="100">
        <f t="shared" si="265"/>
        <v>0</v>
      </c>
      <c r="CC81" s="100">
        <f t="shared" si="265"/>
        <v>0</v>
      </c>
      <c r="CD81" s="100">
        <f t="shared" si="265"/>
        <v>0</v>
      </c>
      <c r="CE81" s="100">
        <f t="shared" si="265"/>
        <v>0</v>
      </c>
      <c r="CF81" s="100">
        <f t="shared" si="265"/>
        <v>0</v>
      </c>
      <c r="CG81" s="100">
        <f t="shared" si="265"/>
        <v>0</v>
      </c>
      <c r="CH81" s="100">
        <f t="shared" si="265"/>
        <v>0</v>
      </c>
      <c r="CI81" s="100">
        <f t="shared" si="265"/>
        <v>0</v>
      </c>
      <c r="CJ81" s="100">
        <f t="shared" si="265"/>
        <v>0</v>
      </c>
      <c r="CK81" s="100">
        <f t="shared" si="265"/>
        <v>0</v>
      </c>
    </row>
    <row r="82" spans="3:89" outlineLevel="1" x14ac:dyDescent="0.25">
      <c r="C82" s="45"/>
      <c r="D82" s="13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</row>
    <row r="83" spans="3:89" outlineLevel="1" x14ac:dyDescent="0.25">
      <c r="C83" s="118" t="s">
        <v>160</v>
      </c>
      <c r="D83" s="13" t="s">
        <v>24</v>
      </c>
      <c r="E83" s="47"/>
      <c r="F83" s="68">
        <f t="shared" ref="F83:AK83" si="266">IF(F$39&gt;=Ph2_Start_Month,F63*Upfront_Payment_Pct,0)</f>
        <v>0</v>
      </c>
      <c r="G83" s="68">
        <f t="shared" si="266"/>
        <v>0</v>
      </c>
      <c r="H83" s="68">
        <f t="shared" si="266"/>
        <v>0</v>
      </c>
      <c r="I83" s="68">
        <f t="shared" si="266"/>
        <v>0</v>
      </c>
      <c r="J83" s="68">
        <f t="shared" si="266"/>
        <v>0</v>
      </c>
      <c r="K83" s="68">
        <f t="shared" si="266"/>
        <v>0</v>
      </c>
      <c r="L83" s="68">
        <f t="shared" si="266"/>
        <v>0</v>
      </c>
      <c r="M83" s="68">
        <f t="shared" si="266"/>
        <v>4927247.1028353879</v>
      </c>
      <c r="N83" s="68">
        <f t="shared" si="266"/>
        <v>4937396.4251282858</v>
      </c>
      <c r="O83" s="68">
        <f t="shared" si="266"/>
        <v>4947566.6533633573</v>
      </c>
      <c r="P83" s="68">
        <f t="shared" si="266"/>
        <v>4957757.8306034189</v>
      </c>
      <c r="Q83" s="68">
        <f t="shared" si="266"/>
        <v>4967969.9999999935</v>
      </c>
      <c r="R83" s="68">
        <f t="shared" si="266"/>
        <v>4978203.204793484</v>
      </c>
      <c r="S83" s="68">
        <f t="shared" si="266"/>
        <v>4988457.4883133648</v>
      </c>
      <c r="T83" s="68">
        <f t="shared" si="266"/>
        <v>4998732.893978362</v>
      </c>
      <c r="U83" s="68">
        <f t="shared" si="266"/>
        <v>5009029.4652966345</v>
      </c>
      <c r="V83" s="68">
        <f t="shared" si="266"/>
        <v>5019347.2458659634</v>
      </c>
      <c r="W83" s="68">
        <f t="shared" si="266"/>
        <v>5029686.2793739336</v>
      </c>
      <c r="X83" s="68">
        <f t="shared" si="266"/>
        <v>0</v>
      </c>
      <c r="Y83" s="68">
        <f t="shared" si="266"/>
        <v>0</v>
      </c>
      <c r="Z83" s="68">
        <f t="shared" si="266"/>
        <v>0</v>
      </c>
      <c r="AA83" s="68">
        <f t="shared" si="266"/>
        <v>0</v>
      </c>
      <c r="AB83" s="68">
        <f t="shared" si="266"/>
        <v>0</v>
      </c>
      <c r="AC83" s="68">
        <f t="shared" si="266"/>
        <v>0</v>
      </c>
      <c r="AD83" s="68">
        <f t="shared" si="266"/>
        <v>0</v>
      </c>
      <c r="AE83" s="68">
        <f t="shared" si="266"/>
        <v>0</v>
      </c>
      <c r="AF83" s="68">
        <f t="shared" si="266"/>
        <v>0</v>
      </c>
      <c r="AG83" s="68">
        <f t="shared" si="266"/>
        <v>0</v>
      </c>
      <c r="AH83" s="68">
        <f t="shared" si="266"/>
        <v>0</v>
      </c>
      <c r="AI83" s="68">
        <f t="shared" si="266"/>
        <v>0</v>
      </c>
      <c r="AJ83" s="68">
        <f t="shared" si="266"/>
        <v>0</v>
      </c>
      <c r="AK83" s="68">
        <f t="shared" si="266"/>
        <v>0</v>
      </c>
      <c r="AL83" s="68">
        <f t="shared" ref="AL83:BQ83" si="267">IF(AL$39&gt;=Ph2_Start_Month,AL63*Upfront_Payment_Pct,0)</f>
        <v>0</v>
      </c>
      <c r="AM83" s="68">
        <f t="shared" si="267"/>
        <v>0</v>
      </c>
      <c r="AN83" s="68">
        <f t="shared" si="267"/>
        <v>0</v>
      </c>
      <c r="AO83" s="68">
        <f t="shared" si="267"/>
        <v>0</v>
      </c>
      <c r="AP83" s="68">
        <f t="shared" si="267"/>
        <v>0</v>
      </c>
      <c r="AQ83" s="68">
        <f t="shared" si="267"/>
        <v>0</v>
      </c>
      <c r="AR83" s="68">
        <f t="shared" si="267"/>
        <v>0</v>
      </c>
      <c r="AS83" s="68">
        <f t="shared" si="267"/>
        <v>0</v>
      </c>
      <c r="AT83" s="68">
        <f t="shared" si="267"/>
        <v>0</v>
      </c>
      <c r="AU83" s="68">
        <f t="shared" si="267"/>
        <v>0</v>
      </c>
      <c r="AV83" s="68">
        <f t="shared" si="267"/>
        <v>0</v>
      </c>
      <c r="AW83" s="68">
        <f t="shared" si="267"/>
        <v>0</v>
      </c>
      <c r="AX83" s="68">
        <f t="shared" si="267"/>
        <v>0</v>
      </c>
      <c r="AY83" s="68">
        <f t="shared" si="267"/>
        <v>0</v>
      </c>
      <c r="AZ83" s="68">
        <f t="shared" si="267"/>
        <v>0</v>
      </c>
      <c r="BA83" s="68">
        <f t="shared" si="267"/>
        <v>0</v>
      </c>
      <c r="BB83" s="68">
        <f t="shared" si="267"/>
        <v>0</v>
      </c>
      <c r="BC83" s="68">
        <f t="shared" si="267"/>
        <v>0</v>
      </c>
      <c r="BD83" s="68">
        <f t="shared" si="267"/>
        <v>0</v>
      </c>
      <c r="BE83" s="68">
        <f t="shared" si="267"/>
        <v>0</v>
      </c>
      <c r="BF83" s="68">
        <f t="shared" si="267"/>
        <v>0</v>
      </c>
      <c r="BG83" s="68">
        <f t="shared" si="267"/>
        <v>0</v>
      </c>
      <c r="BH83" s="68">
        <f t="shared" si="267"/>
        <v>0</v>
      </c>
      <c r="BI83" s="68">
        <f t="shared" si="267"/>
        <v>0</v>
      </c>
      <c r="BJ83" s="68">
        <f t="shared" si="267"/>
        <v>0</v>
      </c>
      <c r="BK83" s="68">
        <f t="shared" si="267"/>
        <v>0</v>
      </c>
      <c r="BL83" s="68">
        <f t="shared" si="267"/>
        <v>0</v>
      </c>
      <c r="BM83" s="68">
        <f t="shared" si="267"/>
        <v>0</v>
      </c>
      <c r="BN83" s="68">
        <f t="shared" si="267"/>
        <v>0</v>
      </c>
      <c r="BO83" s="68">
        <f t="shared" si="267"/>
        <v>0</v>
      </c>
      <c r="BP83" s="68">
        <f t="shared" si="267"/>
        <v>0</v>
      </c>
      <c r="BQ83" s="68">
        <f t="shared" si="267"/>
        <v>0</v>
      </c>
      <c r="BR83" s="68">
        <f t="shared" ref="BR83:CK83" si="268">IF(BR$39&gt;=Ph2_Start_Month,BR63*Upfront_Payment_Pct,0)</f>
        <v>0</v>
      </c>
      <c r="BS83" s="68">
        <f t="shared" si="268"/>
        <v>0</v>
      </c>
      <c r="BT83" s="68">
        <f t="shared" si="268"/>
        <v>0</v>
      </c>
      <c r="BU83" s="68">
        <f t="shared" si="268"/>
        <v>0</v>
      </c>
      <c r="BV83" s="68">
        <f t="shared" si="268"/>
        <v>0</v>
      </c>
      <c r="BW83" s="68">
        <f t="shared" si="268"/>
        <v>0</v>
      </c>
      <c r="BX83" s="68">
        <f t="shared" si="268"/>
        <v>0</v>
      </c>
      <c r="BY83" s="68">
        <f t="shared" si="268"/>
        <v>0</v>
      </c>
      <c r="BZ83" s="68">
        <f t="shared" si="268"/>
        <v>0</v>
      </c>
      <c r="CA83" s="68">
        <f t="shared" si="268"/>
        <v>0</v>
      </c>
      <c r="CB83" s="68">
        <f t="shared" si="268"/>
        <v>0</v>
      </c>
      <c r="CC83" s="68">
        <f t="shared" si="268"/>
        <v>0</v>
      </c>
      <c r="CD83" s="68">
        <f t="shared" si="268"/>
        <v>0</v>
      </c>
      <c r="CE83" s="68">
        <f t="shared" si="268"/>
        <v>0</v>
      </c>
      <c r="CF83" s="68">
        <f t="shared" si="268"/>
        <v>0</v>
      </c>
      <c r="CG83" s="68">
        <f t="shared" si="268"/>
        <v>0</v>
      </c>
      <c r="CH83" s="68">
        <f t="shared" si="268"/>
        <v>0</v>
      </c>
      <c r="CI83" s="68">
        <f t="shared" si="268"/>
        <v>0</v>
      </c>
      <c r="CJ83" s="68">
        <f t="shared" si="268"/>
        <v>0</v>
      </c>
      <c r="CK83" s="68">
        <f t="shared" si="268"/>
        <v>0</v>
      </c>
    </row>
    <row r="84" spans="3:89" outlineLevel="1" x14ac:dyDescent="0.25">
      <c r="C84" s="118" t="s">
        <v>164</v>
      </c>
      <c r="D84" s="13" t="s">
        <v>24</v>
      </c>
      <c r="E84" s="47"/>
      <c r="F84" s="68">
        <f>IF(F$39=Ph2_Constr_End,SUM($F63:F63)*Constr_End_Payment_Pct,0)</f>
        <v>0</v>
      </c>
      <c r="G84" s="68">
        <f>IF(G$39=Ph2_Constr_End,SUM($F63:G63)*Constr_End_Payment_Pct,0)</f>
        <v>0</v>
      </c>
      <c r="H84" s="68">
        <f>IF(H$39=Ph2_Constr_End,SUM($F63:H63)*Constr_End_Payment_Pct,0)</f>
        <v>0</v>
      </c>
      <c r="I84" s="68">
        <f>IF(I$39=Ph2_Constr_End,SUM($F63:I63)*Constr_End_Payment_Pct,0)</f>
        <v>0</v>
      </c>
      <c r="J84" s="68">
        <f>IF(J$39=Ph2_Constr_End,SUM($F63:J63)*Constr_End_Payment_Pct,0)</f>
        <v>0</v>
      </c>
      <c r="K84" s="68">
        <f>IF(K$39=Ph2_Constr_End,SUM($F63:K63)*Constr_End_Payment_Pct,0)</f>
        <v>0</v>
      </c>
      <c r="L84" s="68">
        <f>IF(L$39=Ph2_Constr_End,SUM($F63:L63)*Constr_End_Payment_Pct,0)</f>
        <v>0</v>
      </c>
      <c r="M84" s="68">
        <f>IF(M$39=Ph2_Constr_End,SUM($F63:M63)*Constr_End_Payment_Pct,0)</f>
        <v>0</v>
      </c>
      <c r="N84" s="68">
        <f>IF(N$39=Ph2_Constr_End,SUM($F63:N63)*Constr_End_Payment_Pct,0)</f>
        <v>0</v>
      </c>
      <c r="O84" s="68">
        <f>IF(O$39=Ph2_Constr_End,SUM($F63:O63)*Constr_End_Payment_Pct,0)</f>
        <v>0</v>
      </c>
      <c r="P84" s="68">
        <f>IF(P$39=Ph2_Constr_End,SUM($F63:P63)*Constr_End_Payment_Pct,0)</f>
        <v>0</v>
      </c>
      <c r="Q84" s="68">
        <f>IF(Q$39=Ph2_Constr_End,SUM($F63:Q63)*Constr_End_Payment_Pct,0)</f>
        <v>0</v>
      </c>
      <c r="R84" s="68">
        <f>IF(R$39=Ph2_Constr_End,SUM($F63:R63)*Constr_End_Payment_Pct,0)</f>
        <v>0</v>
      </c>
      <c r="S84" s="68">
        <f>IF(S$39=Ph2_Constr_End,SUM($F63:S63)*Constr_End_Payment_Pct,0)</f>
        <v>0</v>
      </c>
      <c r="T84" s="68">
        <f>IF(T$39=Ph2_Constr_End,SUM($F63:T63)*Constr_End_Payment_Pct,0)</f>
        <v>0</v>
      </c>
      <c r="U84" s="68">
        <f>IF(U$39=Ph2_Constr_End,SUM($F63:U63)*Constr_End_Payment_Pct,0)</f>
        <v>0</v>
      </c>
      <c r="V84" s="68">
        <f>IF(V$39=Ph2_Constr_End,SUM($F63:V63)*Constr_End_Payment_Pct,0)</f>
        <v>0</v>
      </c>
      <c r="W84" s="68">
        <f>IF(W$39=Ph2_Constr_End,SUM($F63:W63)*Constr_End_Payment_Pct,0)</f>
        <v>0</v>
      </c>
      <c r="X84" s="68">
        <f>IF(X$39=Ph2_Constr_End,SUM($F63:X63)*Constr_End_Payment_Pct,0)</f>
        <v>0</v>
      </c>
      <c r="Y84" s="68">
        <f>IF(Y$39=Ph2_Constr_End,SUM($F63:Y63)*Constr_End_Payment_Pct,0)</f>
        <v>0</v>
      </c>
      <c r="Z84" s="68">
        <f>IF(Z$39=Ph2_Constr_End,SUM($F63:Z63)*Constr_End_Payment_Pct,0)</f>
        <v>0</v>
      </c>
      <c r="AA84" s="68">
        <f>IF(AA$39=Ph2_Constr_End,SUM($F63:AA63)*Constr_End_Payment_Pct,0)</f>
        <v>0</v>
      </c>
      <c r="AB84" s="68">
        <f>IF(AB$39=Ph2_Constr_End,SUM($F63:AB63)*Constr_End_Payment_Pct,0)</f>
        <v>0</v>
      </c>
      <c r="AC84" s="68">
        <f>IF(AC$39=Ph2_Constr_End,SUM($F63:AC63)*Constr_End_Payment_Pct,0)</f>
        <v>0</v>
      </c>
      <c r="AD84" s="68">
        <f>IF(AD$39=Ph2_Constr_End,SUM($F63:AD63)*Constr_End_Payment_Pct,0)</f>
        <v>0</v>
      </c>
      <c r="AE84" s="68">
        <f>IF(AE$39=Ph2_Constr_End,SUM($F63:AE63)*Constr_End_Payment_Pct,0)</f>
        <v>0</v>
      </c>
      <c r="AF84" s="68">
        <f>IF(AF$39=Ph2_Constr_End,SUM($F63:AF63)*Constr_End_Payment_Pct,0)</f>
        <v>0</v>
      </c>
      <c r="AG84" s="68">
        <f>IF(AG$39=Ph2_Constr_End,SUM($F63:AG63)*Constr_End_Payment_Pct,0)</f>
        <v>0</v>
      </c>
      <c r="AH84" s="68">
        <f>IF(AH$39=Ph2_Constr_End,SUM($F63:AH63)*Constr_End_Payment_Pct,0)</f>
        <v>0</v>
      </c>
      <c r="AI84" s="68">
        <f>IF(AI$39=Ph2_Constr_End,SUM($F63:AI63)*Constr_End_Payment_Pct,0)</f>
        <v>0</v>
      </c>
      <c r="AJ84" s="68">
        <f>IF(AJ$39=Ph2_Constr_End,SUM($F63:AJ63)*Constr_End_Payment_Pct,0)</f>
        <v>0</v>
      </c>
      <c r="AK84" s="68">
        <f>IF(AK$39=Ph2_Constr_End,SUM($F63:AK63)*Constr_End_Payment_Pct,0)</f>
        <v>0</v>
      </c>
      <c r="AL84" s="68">
        <f>IF(AL$39=Ph2_Constr_End,SUM($F63:AL63)*Constr_End_Payment_Pct,0)</f>
        <v>0</v>
      </c>
      <c r="AM84" s="68">
        <f>IF(AM$39=Ph2_Constr_End,SUM($F63:AM63)*Constr_End_Payment_Pct,0)</f>
        <v>54761394.589552186</v>
      </c>
      <c r="AN84" s="68">
        <f>IF(AN$39=Ph2_Constr_End,SUM($F63:AN63)*Constr_End_Payment_Pct,0)</f>
        <v>0</v>
      </c>
      <c r="AO84" s="68">
        <f>IF(AO$39=Ph2_Constr_End,SUM($F63:AO63)*Constr_End_Payment_Pct,0)</f>
        <v>0</v>
      </c>
      <c r="AP84" s="68">
        <f>IF(AP$39=Ph2_Constr_End,SUM($F63:AP63)*Constr_End_Payment_Pct,0)</f>
        <v>0</v>
      </c>
      <c r="AQ84" s="68">
        <f>IF(AQ$39=Ph2_Constr_End,SUM($F63:AQ63)*Constr_End_Payment_Pct,0)</f>
        <v>0</v>
      </c>
      <c r="AR84" s="68">
        <f>IF(AR$39=Ph2_Constr_End,SUM($F63:AR63)*Constr_End_Payment_Pct,0)</f>
        <v>0</v>
      </c>
      <c r="AS84" s="68">
        <f>IF(AS$39=Ph2_Constr_End,SUM($F63:AS63)*Constr_End_Payment_Pct,0)</f>
        <v>0</v>
      </c>
      <c r="AT84" s="68">
        <f>IF(AT$39=Ph2_Constr_End,SUM($F63:AT63)*Constr_End_Payment_Pct,0)</f>
        <v>0</v>
      </c>
      <c r="AU84" s="68">
        <f>IF(AU$39=Ph2_Constr_End,SUM($F63:AU63)*Constr_End_Payment_Pct,0)</f>
        <v>0</v>
      </c>
      <c r="AV84" s="68">
        <f>IF(AV$39=Ph2_Constr_End,SUM($F63:AV63)*Constr_End_Payment_Pct,0)</f>
        <v>0</v>
      </c>
      <c r="AW84" s="68">
        <f>IF(AW$39=Ph2_Constr_End,SUM($F63:AW63)*Constr_End_Payment_Pct,0)</f>
        <v>0</v>
      </c>
      <c r="AX84" s="68">
        <f>IF(AX$39=Ph2_Constr_End,SUM($F63:AX63)*Constr_End_Payment_Pct,0)</f>
        <v>0</v>
      </c>
      <c r="AY84" s="68">
        <f>IF(AY$39=Ph2_Constr_End,SUM($F63:AY63)*Constr_End_Payment_Pct,0)</f>
        <v>0</v>
      </c>
      <c r="AZ84" s="68">
        <f>IF(AZ$39=Ph2_Constr_End,SUM($F63:AZ63)*Constr_End_Payment_Pct,0)</f>
        <v>0</v>
      </c>
      <c r="BA84" s="68">
        <f>IF(BA$39=Ph2_Constr_End,SUM($F63:BA63)*Constr_End_Payment_Pct,0)</f>
        <v>0</v>
      </c>
      <c r="BB84" s="68">
        <f>IF(BB$39=Ph2_Constr_End,SUM($F63:BB63)*Constr_End_Payment_Pct,0)</f>
        <v>0</v>
      </c>
      <c r="BC84" s="68">
        <f>IF(BC$39=Ph2_Constr_End,SUM($F63:BC63)*Constr_End_Payment_Pct,0)</f>
        <v>0</v>
      </c>
      <c r="BD84" s="68">
        <f>IF(BD$39=Ph2_Constr_End,SUM($F63:BD63)*Constr_End_Payment_Pct,0)</f>
        <v>0</v>
      </c>
      <c r="BE84" s="68">
        <f>IF(BE$39=Ph2_Constr_End,SUM($F63:BE63)*Constr_End_Payment_Pct,0)</f>
        <v>0</v>
      </c>
      <c r="BF84" s="68">
        <f>IF(BF$39=Ph2_Constr_End,SUM($F63:BF63)*Constr_End_Payment_Pct,0)</f>
        <v>0</v>
      </c>
      <c r="BG84" s="68">
        <f>IF(BG$39=Ph2_Constr_End,SUM($F63:BG63)*Constr_End_Payment_Pct,0)</f>
        <v>0</v>
      </c>
      <c r="BH84" s="68">
        <f>IF(BH$39=Ph2_Constr_End,SUM($F63:BH63)*Constr_End_Payment_Pct,0)</f>
        <v>0</v>
      </c>
      <c r="BI84" s="68">
        <f>IF(BI$39=Ph2_Constr_End,SUM($F63:BI63)*Constr_End_Payment_Pct,0)</f>
        <v>0</v>
      </c>
      <c r="BJ84" s="68">
        <f>IF(BJ$39=Ph2_Constr_End,SUM($F63:BJ63)*Constr_End_Payment_Pct,0)</f>
        <v>0</v>
      </c>
      <c r="BK84" s="68">
        <f>IF(BK$39=Ph2_Constr_End,SUM($F63:BK63)*Constr_End_Payment_Pct,0)</f>
        <v>0</v>
      </c>
      <c r="BL84" s="68">
        <f>IF(BL$39=Ph2_Constr_End,SUM($F63:BL63)*Constr_End_Payment_Pct,0)</f>
        <v>0</v>
      </c>
      <c r="BM84" s="68">
        <f>IF(BM$39=Ph2_Constr_End,SUM($F63:BM63)*Constr_End_Payment_Pct,0)</f>
        <v>0</v>
      </c>
      <c r="BN84" s="68">
        <f>IF(BN$39=Ph2_Constr_End,SUM($F63:BN63)*Constr_End_Payment_Pct,0)</f>
        <v>0</v>
      </c>
      <c r="BO84" s="68">
        <f>IF(BO$39=Ph2_Constr_End,SUM($F63:BO63)*Constr_End_Payment_Pct,0)</f>
        <v>0</v>
      </c>
      <c r="BP84" s="68">
        <f>IF(BP$39=Ph2_Constr_End,SUM($F63:BP63)*Constr_End_Payment_Pct,0)</f>
        <v>0</v>
      </c>
      <c r="BQ84" s="68">
        <f>IF(BQ$39=Ph2_Constr_End,SUM($F63:BQ63)*Constr_End_Payment_Pct,0)</f>
        <v>0</v>
      </c>
      <c r="BR84" s="68">
        <f>IF(BR$39=Ph2_Constr_End,SUM($F63:BR63)*Constr_End_Payment_Pct,0)</f>
        <v>0</v>
      </c>
      <c r="BS84" s="68">
        <f>IF(BS$39=Ph2_Constr_End,SUM($F63:BS63)*Constr_End_Payment_Pct,0)</f>
        <v>0</v>
      </c>
      <c r="BT84" s="68">
        <f>IF(BT$39=Ph2_Constr_End,SUM($F63:BT63)*Constr_End_Payment_Pct,0)</f>
        <v>0</v>
      </c>
      <c r="BU84" s="68">
        <f>IF(BU$39=Ph2_Constr_End,SUM($F63:BU63)*Constr_End_Payment_Pct,0)</f>
        <v>0</v>
      </c>
      <c r="BV84" s="68">
        <f>IF(BV$39=Ph2_Constr_End,SUM($F63:BV63)*Constr_End_Payment_Pct,0)</f>
        <v>0</v>
      </c>
      <c r="BW84" s="68">
        <f>IF(BW$39=Ph2_Constr_End,SUM($F63:BW63)*Constr_End_Payment_Pct,0)</f>
        <v>0</v>
      </c>
      <c r="BX84" s="68">
        <f>IF(BX$39=Ph2_Constr_End,SUM($F63:BX63)*Constr_End_Payment_Pct,0)</f>
        <v>0</v>
      </c>
      <c r="BY84" s="68">
        <f>IF(BY$39=Ph2_Constr_End,SUM($F63:BY63)*Constr_End_Payment_Pct,0)</f>
        <v>0</v>
      </c>
      <c r="BZ84" s="68">
        <f>IF(BZ$39=Ph2_Constr_End,SUM($F63:BZ63)*Constr_End_Payment_Pct,0)</f>
        <v>0</v>
      </c>
      <c r="CA84" s="68">
        <f>IF(CA$39=Ph2_Constr_End,SUM($F63:CA63)*Constr_End_Payment_Pct,0)</f>
        <v>0</v>
      </c>
      <c r="CB84" s="68">
        <f>IF(CB$39=Ph2_Constr_End,SUM($F63:CB63)*Constr_End_Payment_Pct,0)</f>
        <v>0</v>
      </c>
      <c r="CC84" s="68">
        <f>IF(CC$39=Ph2_Constr_End,SUM($F63:CC63)*Constr_End_Payment_Pct,0)</f>
        <v>0</v>
      </c>
      <c r="CD84" s="68">
        <f>IF(CD$39=Ph2_Constr_End,SUM($F63:CD63)*Constr_End_Payment_Pct,0)</f>
        <v>0</v>
      </c>
      <c r="CE84" s="68">
        <f>IF(CE$39=Ph2_Constr_End,SUM($F63:CE63)*Constr_End_Payment_Pct,0)</f>
        <v>0</v>
      </c>
      <c r="CF84" s="68">
        <f>IF(CF$39=Ph2_Constr_End,SUM($F63:CF63)*Constr_End_Payment_Pct,0)</f>
        <v>0</v>
      </c>
      <c r="CG84" s="68">
        <f>IF(CG$39=Ph2_Constr_End,SUM($F63:CG63)*Constr_End_Payment_Pct,0)</f>
        <v>0</v>
      </c>
      <c r="CH84" s="68">
        <f>IF(CH$39=Ph2_Constr_End,SUM($F63:CH63)*Constr_End_Payment_Pct,0)</f>
        <v>0</v>
      </c>
      <c r="CI84" s="68">
        <f>IF(CI$39=Ph2_Constr_End,SUM($F63:CI63)*Constr_End_Payment_Pct,0)</f>
        <v>0</v>
      </c>
      <c r="CJ84" s="68">
        <f>IF(CJ$39=Ph2_Constr_End,SUM($F63:CJ63)*Constr_End_Payment_Pct,0)</f>
        <v>0</v>
      </c>
      <c r="CK84" s="68">
        <f>IF(CK$39=Ph2_Constr_End,SUM($F63:CK63)*Constr_End_Payment_Pct,0)</f>
        <v>0</v>
      </c>
    </row>
    <row r="85" spans="3:89" outlineLevel="1" x14ac:dyDescent="0.25">
      <c r="C85" s="118" t="s">
        <v>161</v>
      </c>
      <c r="D85" s="50" t="s">
        <v>24</v>
      </c>
      <c r="E85" s="52"/>
      <c r="F85" s="68">
        <f>IF(F$39=Post_Constr_Phase_End,SUM($F$63:$CK$63)-SUM($F83:F84),0)</f>
        <v>0</v>
      </c>
      <c r="G85" s="68">
        <f>IF(G$39=Post_Constr_Phase_End,SUM($F$63:$CK$63)-SUM($F83:G84),0)</f>
        <v>0</v>
      </c>
      <c r="H85" s="68">
        <f>IF(H$39=Post_Constr_Phase_End,SUM($F$63:$CK$63)-SUM($F83:H84),0)</f>
        <v>0</v>
      </c>
      <c r="I85" s="68">
        <f>IF(I$39=Post_Constr_Phase_End,SUM($F$63:$CK$63)-SUM($F83:I84),0)</f>
        <v>0</v>
      </c>
      <c r="J85" s="68">
        <f>IF(J$39=Post_Constr_Phase_End,SUM($F$63:$CK$63)-SUM($F83:J84),0)</f>
        <v>0</v>
      </c>
      <c r="K85" s="68">
        <f>IF(K$39=Post_Constr_Phase_End,SUM($F$63:$CK$63)-SUM($F83:K84),0)</f>
        <v>0</v>
      </c>
      <c r="L85" s="68">
        <f>IF(L$39=Post_Constr_Phase_End,SUM($F$63:$CK$63)-SUM($F83:L84),0)</f>
        <v>0</v>
      </c>
      <c r="M85" s="68">
        <f>IF(M$39=Post_Constr_Phase_End,SUM($F$63:$CK$63)-SUM($F83:M84),0)</f>
        <v>0</v>
      </c>
      <c r="N85" s="68">
        <f>IF(N$39=Post_Constr_Phase_End,SUM($F$63:$CK$63)-SUM($F83:N84),0)</f>
        <v>0</v>
      </c>
      <c r="O85" s="68">
        <f>IF(O$39=Post_Constr_Phase_End,SUM($F$63:$CK$63)-SUM($F83:O84),0)</f>
        <v>0</v>
      </c>
      <c r="P85" s="68">
        <f>IF(P$39=Post_Constr_Phase_End,SUM($F$63:$CK$63)-SUM($F83:P84),0)</f>
        <v>0</v>
      </c>
      <c r="Q85" s="68">
        <f>IF(Q$39=Post_Constr_Phase_End,SUM($F$63:$CK$63)-SUM($F83:Q84),0)</f>
        <v>0</v>
      </c>
      <c r="R85" s="68">
        <f>IF(R$39=Post_Constr_Phase_End,SUM($F$63:$CK$63)-SUM($F83:R84),0)</f>
        <v>0</v>
      </c>
      <c r="S85" s="68">
        <f>IF(S$39=Post_Constr_Phase_End,SUM($F$63:$CK$63)-SUM($F83:S84),0)</f>
        <v>0</v>
      </c>
      <c r="T85" s="68">
        <f>IF(T$39=Post_Constr_Phase_End,SUM($F$63:$CK$63)-SUM($F83:T84),0)</f>
        <v>0</v>
      </c>
      <c r="U85" s="68">
        <f>IF(U$39=Post_Constr_Phase_End,SUM($F$63:$CK$63)-SUM($F83:U84),0)</f>
        <v>0</v>
      </c>
      <c r="V85" s="68">
        <f>IF(V$39=Post_Constr_Phase_End,SUM($F$63:$CK$63)-SUM($F83:V84),0)</f>
        <v>0</v>
      </c>
      <c r="W85" s="68">
        <f>IF(W$39=Post_Constr_Phase_End,SUM($F$63:$CK$63)-SUM($F83:W84),0)</f>
        <v>0</v>
      </c>
      <c r="X85" s="68">
        <f>IF(X$39=Post_Constr_Phase_End,SUM($F$63:$CK$63)-SUM($F83:X84),0)</f>
        <v>0</v>
      </c>
      <c r="Y85" s="68">
        <f>IF(Y$39=Post_Constr_Phase_End,SUM($F$63:$CK$63)-SUM($F83:Y84),0)</f>
        <v>0</v>
      </c>
      <c r="Z85" s="68">
        <f>IF(Z$39=Post_Constr_Phase_End,SUM($F$63:$CK$63)-SUM($F83:Z84),0)</f>
        <v>0</v>
      </c>
      <c r="AA85" s="68">
        <f>IF(AA$39=Post_Constr_Phase_End,SUM($F$63:$CK$63)-SUM($F83:AA84),0)</f>
        <v>0</v>
      </c>
      <c r="AB85" s="68">
        <f>IF(AB$39=Post_Constr_Phase_End,SUM($F$63:$CK$63)-SUM($F83:AB84),0)</f>
        <v>0</v>
      </c>
      <c r="AC85" s="68">
        <f>IF(AC$39=Post_Constr_Phase_End,SUM($F$63:$CK$63)-SUM($F83:AC84),0)</f>
        <v>0</v>
      </c>
      <c r="AD85" s="68">
        <f>IF(AD$39=Post_Constr_Phase_End,SUM($F$63:$CK$63)-SUM($F83:AD84),0)</f>
        <v>0</v>
      </c>
      <c r="AE85" s="68">
        <f>IF(AE$39=Post_Constr_Phase_End,SUM($F$63:$CK$63)-SUM($F83:AE84),0)</f>
        <v>0</v>
      </c>
      <c r="AF85" s="68">
        <f>IF(AF$39=Post_Constr_Phase_End,SUM($F$63:$CK$63)-SUM($F83:AF84),0)</f>
        <v>0</v>
      </c>
      <c r="AG85" s="68">
        <f>IF(AG$39=Post_Constr_Phase_End,SUM($F$63:$CK$63)-SUM($F83:AG84),0)</f>
        <v>0</v>
      </c>
      <c r="AH85" s="68">
        <f>IF(AH$39=Post_Constr_Phase_End,SUM($F$63:$CK$63)-SUM($F83:AH84),0)</f>
        <v>0</v>
      </c>
      <c r="AI85" s="68">
        <f>IF(AI$39=Post_Constr_Phase_End,SUM($F$63:$CK$63)-SUM($F83:AI84),0)</f>
        <v>0</v>
      </c>
      <c r="AJ85" s="68">
        <f>IF(AJ$39=Post_Constr_Phase_End,SUM($F$63:$CK$63)-SUM($F83:AJ84),0)</f>
        <v>0</v>
      </c>
      <c r="AK85" s="68">
        <f>IF(AK$39=Post_Constr_Phase_End,SUM($F$63:$CK$63)-SUM($F83:AK84),0)</f>
        <v>0</v>
      </c>
      <c r="AL85" s="68">
        <f>IF(AL$39=Post_Constr_Phase_End,SUM($F$63:$CK$63)-SUM($F83:AL84),0)</f>
        <v>0</v>
      </c>
      <c r="AM85" s="68">
        <f>IF(AM$39=Post_Constr_Phase_End,SUM($F$63:$CK$63)-SUM($F83:AM84),0)</f>
        <v>0</v>
      </c>
      <c r="AN85" s="68">
        <f>IF(AN$39=Post_Constr_Phase_End,SUM($F$63:$CK$63)-SUM($F83:AN84),0)</f>
        <v>0</v>
      </c>
      <c r="AO85" s="68">
        <f>IF(AO$39=Post_Constr_Phase_End,SUM($F$63:$CK$63)-SUM($F83:AO84),0)</f>
        <v>0</v>
      </c>
      <c r="AP85" s="68">
        <f>IF(AP$39=Post_Constr_Phase_End,SUM($F$63:$CK$63)-SUM($F83:AP84),0)</f>
        <v>0</v>
      </c>
      <c r="AQ85" s="68">
        <f>IF(AQ$39=Post_Constr_Phase_End,SUM($F$63:$CK$63)-SUM($F83:AQ84),0)</f>
        <v>0</v>
      </c>
      <c r="AR85" s="68">
        <f>IF(AR$39=Post_Constr_Phase_End,SUM($F$63:$CK$63)-SUM($F83:AR84),0)</f>
        <v>0</v>
      </c>
      <c r="AS85" s="68">
        <f>IF(AS$39=Post_Constr_Phase_End,SUM($F$63:$CK$63)-SUM($F83:AS84),0)</f>
        <v>0</v>
      </c>
      <c r="AT85" s="68">
        <f>IF(AT$39=Post_Constr_Phase_End,SUM($F$63:$CK$63)-SUM($F83:AT84),0)</f>
        <v>0</v>
      </c>
      <c r="AU85" s="68">
        <f>IF(AU$39=Post_Constr_Phase_End,SUM($F$63:$CK$63)-SUM($F83:AU84),0)</f>
        <v>0</v>
      </c>
      <c r="AV85" s="68">
        <f>IF(AV$39=Post_Constr_Phase_End,SUM($F$63:$CK$63)-SUM($F83:AV84),0)</f>
        <v>0</v>
      </c>
      <c r="AW85" s="68">
        <f>IF(AW$39=Post_Constr_Phase_End,SUM($F$63:$CK$63)-SUM($F83:AW84),0)</f>
        <v>0</v>
      </c>
      <c r="AX85" s="68">
        <f>IF(AX$39=Post_Constr_Phase_End,SUM($F$63:$CK$63)-SUM($F83:AX84),0)</f>
        <v>0</v>
      </c>
      <c r="AY85" s="68">
        <f>IF(AY$39=Post_Constr_Phase_End,SUM($F$63:$CK$63)-SUM($F83:AY84),0)</f>
        <v>0</v>
      </c>
      <c r="AZ85" s="68">
        <f>IF(AZ$39=Post_Constr_Phase_End,SUM($F$63:$CK$63)-SUM($F83:AZ84),0)</f>
        <v>73015192.786069587</v>
      </c>
      <c r="BA85" s="68">
        <f>IF(BA$39=Post_Constr_Phase_End,SUM($F$63:$CK$63)-SUM($F83:BA84),0)</f>
        <v>0</v>
      </c>
      <c r="BB85" s="68">
        <f>IF(BB$39=Post_Constr_Phase_End,SUM($F$63:$CK$63)-SUM($F83:BB84),0)</f>
        <v>0</v>
      </c>
      <c r="BC85" s="68">
        <f>IF(BC$39=Post_Constr_Phase_End,SUM($F$63:$CK$63)-SUM($F83:BC84),0)</f>
        <v>0</v>
      </c>
      <c r="BD85" s="68">
        <f>IF(BD$39=Post_Constr_Phase_End,SUM($F$63:$CK$63)-SUM($F83:BD84),0)</f>
        <v>0</v>
      </c>
      <c r="BE85" s="68">
        <f>IF(BE$39=Post_Constr_Phase_End,SUM($F$63:$CK$63)-SUM($F83:BE84),0)</f>
        <v>0</v>
      </c>
      <c r="BF85" s="68">
        <f>IF(BF$39=Post_Constr_Phase_End,SUM($F$63:$CK$63)-SUM($F83:BF84),0)</f>
        <v>0</v>
      </c>
      <c r="BG85" s="68">
        <f>IF(BG$39=Post_Constr_Phase_End,SUM($F$63:$CK$63)-SUM($F83:BG84),0)</f>
        <v>0</v>
      </c>
      <c r="BH85" s="68">
        <f>IF(BH$39=Post_Constr_Phase_End,SUM($F$63:$CK$63)-SUM($F83:BH84),0)</f>
        <v>0</v>
      </c>
      <c r="BI85" s="68">
        <f>IF(BI$39=Post_Constr_Phase_End,SUM($F$63:$CK$63)-SUM($F83:BI84),0)</f>
        <v>0</v>
      </c>
      <c r="BJ85" s="68">
        <f>IF(BJ$39=Post_Constr_Phase_End,SUM($F$63:$CK$63)-SUM($F83:BJ84),0)</f>
        <v>0</v>
      </c>
      <c r="BK85" s="68">
        <f>IF(BK$39=Post_Constr_Phase_End,SUM($F$63:$CK$63)-SUM($F83:BK84),0)</f>
        <v>0</v>
      </c>
      <c r="BL85" s="68">
        <f>IF(BL$39=Post_Constr_Phase_End,SUM($F$63:$CK$63)-SUM($F83:BL84),0)</f>
        <v>0</v>
      </c>
      <c r="BM85" s="68">
        <f>IF(BM$39=Post_Constr_Phase_End,SUM($F$63:$CK$63)-SUM($F83:BM84),0)</f>
        <v>0</v>
      </c>
      <c r="BN85" s="68">
        <f>IF(BN$39=Post_Constr_Phase_End,SUM($F$63:$CK$63)-SUM($F83:BN84),0)</f>
        <v>0</v>
      </c>
      <c r="BO85" s="68">
        <f>IF(BO$39=Post_Constr_Phase_End,SUM($F$63:$CK$63)-SUM($F83:BO84),0)</f>
        <v>0</v>
      </c>
      <c r="BP85" s="68">
        <f>IF(BP$39=Post_Constr_Phase_End,SUM($F$63:$CK$63)-SUM($F83:BP84),0)</f>
        <v>0</v>
      </c>
      <c r="BQ85" s="68">
        <f>IF(BQ$39=Post_Constr_Phase_End,SUM($F$63:$CK$63)-SUM($F83:BQ84),0)</f>
        <v>0</v>
      </c>
      <c r="BR85" s="68">
        <f>IF(BR$39=Post_Constr_Phase_End,SUM($F$63:$CK$63)-SUM($F83:BR84),0)</f>
        <v>0</v>
      </c>
      <c r="BS85" s="68">
        <f>IF(BS$39=Post_Constr_Phase_End,SUM($F$63:$CK$63)-SUM($F83:BS84),0)</f>
        <v>0</v>
      </c>
      <c r="BT85" s="68">
        <f>IF(BT$39=Post_Constr_Phase_End,SUM($F$63:$CK$63)-SUM($F83:BT84),0)</f>
        <v>0</v>
      </c>
      <c r="BU85" s="68">
        <f>IF(BU$39=Post_Constr_Phase_End,SUM($F$63:$CK$63)-SUM($F83:BU84),0)</f>
        <v>0</v>
      </c>
      <c r="BV85" s="68">
        <f>IF(BV$39=Post_Constr_Phase_End,SUM($F$63:$CK$63)-SUM($F83:BV84),0)</f>
        <v>0</v>
      </c>
      <c r="BW85" s="68">
        <f>IF(BW$39=Post_Constr_Phase_End,SUM($F$63:$CK$63)-SUM($F83:BW84),0)</f>
        <v>0</v>
      </c>
      <c r="BX85" s="68">
        <f>IF(BX$39=Post_Constr_Phase_End,SUM($F$63:$CK$63)-SUM($F83:BX84),0)</f>
        <v>0</v>
      </c>
      <c r="BY85" s="68">
        <f>IF(BY$39=Post_Constr_Phase_End,SUM($F$63:$CK$63)-SUM($F83:BY84),0)</f>
        <v>0</v>
      </c>
      <c r="BZ85" s="68">
        <f>IF(BZ$39=Post_Constr_Phase_End,SUM($F$63:$CK$63)-SUM($F83:BZ84),0)</f>
        <v>0</v>
      </c>
      <c r="CA85" s="68">
        <f>IF(CA$39=Post_Constr_Phase_End,SUM($F$63:$CK$63)-SUM($F83:CA84),0)</f>
        <v>0</v>
      </c>
      <c r="CB85" s="68">
        <f>IF(CB$39=Post_Constr_Phase_End,SUM($F$63:$CK$63)-SUM($F83:CB84),0)</f>
        <v>0</v>
      </c>
      <c r="CC85" s="68">
        <f>IF(CC$39=Post_Constr_Phase_End,SUM($F$63:$CK$63)-SUM($F83:CC84),0)</f>
        <v>0</v>
      </c>
      <c r="CD85" s="68">
        <f>IF(CD$39=Post_Constr_Phase_End,SUM($F$63:$CK$63)-SUM($F83:CD84),0)</f>
        <v>0</v>
      </c>
      <c r="CE85" s="68">
        <f>IF(CE$39=Post_Constr_Phase_End,SUM($F$63:$CK$63)-SUM($F83:CE84),0)</f>
        <v>0</v>
      </c>
      <c r="CF85" s="68">
        <f>IF(CF$39=Post_Constr_Phase_End,SUM($F$63:$CK$63)-SUM($F83:CF84),0)</f>
        <v>0</v>
      </c>
      <c r="CG85" s="68">
        <f>IF(CG$39=Post_Constr_Phase_End,SUM($F$63:$CK$63)-SUM($F83:CG84),0)</f>
        <v>0</v>
      </c>
      <c r="CH85" s="68">
        <f>IF(CH$39=Post_Constr_Phase_End,SUM($F$63:$CK$63)-SUM($F83:CH84),0)</f>
        <v>0</v>
      </c>
      <c r="CI85" s="68">
        <f>IF(CI$39=Post_Constr_Phase_End,SUM($F$63:$CK$63)-SUM($F83:CI84),0)</f>
        <v>0</v>
      </c>
      <c r="CJ85" s="68">
        <f>IF(CJ$39=Post_Constr_Phase_End,SUM($F$63:$CK$63)-SUM($F83:CJ84),0)</f>
        <v>0</v>
      </c>
      <c r="CK85" s="68">
        <f>IF(CK$39=Post_Constr_Phase_End,SUM($F$63:$CK$63)-SUM($F83:CK84),0)</f>
        <v>0</v>
      </c>
    </row>
    <row r="86" spans="3:89" outlineLevel="1" x14ac:dyDescent="0.25">
      <c r="C86" s="99" t="s">
        <v>56</v>
      </c>
      <c r="D86" s="13" t="s">
        <v>24</v>
      </c>
      <c r="E86" s="47"/>
      <c r="F86" s="71">
        <f>SUM(F83:F85)</f>
        <v>0</v>
      </c>
      <c r="G86" s="71">
        <f t="shared" ref="G86:BR86" si="269">SUM(G83:G85)</f>
        <v>0</v>
      </c>
      <c r="H86" s="71">
        <f t="shared" si="269"/>
        <v>0</v>
      </c>
      <c r="I86" s="71">
        <f t="shared" si="269"/>
        <v>0</v>
      </c>
      <c r="J86" s="71">
        <f t="shared" si="269"/>
        <v>0</v>
      </c>
      <c r="K86" s="71">
        <f t="shared" si="269"/>
        <v>0</v>
      </c>
      <c r="L86" s="71">
        <f t="shared" si="269"/>
        <v>0</v>
      </c>
      <c r="M86" s="71">
        <f t="shared" si="269"/>
        <v>4927247.1028353879</v>
      </c>
      <c r="N86" s="71">
        <f t="shared" si="269"/>
        <v>4937396.4251282858</v>
      </c>
      <c r="O86" s="71">
        <f t="shared" si="269"/>
        <v>4947566.6533633573</v>
      </c>
      <c r="P86" s="71">
        <f t="shared" si="269"/>
        <v>4957757.8306034189</v>
      </c>
      <c r="Q86" s="71">
        <f t="shared" si="269"/>
        <v>4967969.9999999935</v>
      </c>
      <c r="R86" s="71">
        <f t="shared" si="269"/>
        <v>4978203.204793484</v>
      </c>
      <c r="S86" s="71">
        <f t="shared" si="269"/>
        <v>4988457.4883133648</v>
      </c>
      <c r="T86" s="71">
        <f t="shared" si="269"/>
        <v>4998732.893978362</v>
      </c>
      <c r="U86" s="71">
        <f t="shared" si="269"/>
        <v>5009029.4652966345</v>
      </c>
      <c r="V86" s="71">
        <f t="shared" si="269"/>
        <v>5019347.2458659634</v>
      </c>
      <c r="W86" s="71">
        <f t="shared" si="269"/>
        <v>5029686.2793739336</v>
      </c>
      <c r="X86" s="71">
        <f t="shared" si="269"/>
        <v>0</v>
      </c>
      <c r="Y86" s="71">
        <f t="shared" si="269"/>
        <v>0</v>
      </c>
      <c r="Z86" s="71">
        <f t="shared" si="269"/>
        <v>0</v>
      </c>
      <c r="AA86" s="71">
        <f t="shared" si="269"/>
        <v>0</v>
      </c>
      <c r="AB86" s="71">
        <f t="shared" si="269"/>
        <v>0</v>
      </c>
      <c r="AC86" s="71">
        <f t="shared" si="269"/>
        <v>0</v>
      </c>
      <c r="AD86" s="71">
        <f t="shared" si="269"/>
        <v>0</v>
      </c>
      <c r="AE86" s="71">
        <f t="shared" si="269"/>
        <v>0</v>
      </c>
      <c r="AF86" s="71">
        <f t="shared" si="269"/>
        <v>0</v>
      </c>
      <c r="AG86" s="71">
        <f t="shared" si="269"/>
        <v>0</v>
      </c>
      <c r="AH86" s="71">
        <f t="shared" si="269"/>
        <v>0</v>
      </c>
      <c r="AI86" s="71">
        <f t="shared" si="269"/>
        <v>0</v>
      </c>
      <c r="AJ86" s="71">
        <f t="shared" si="269"/>
        <v>0</v>
      </c>
      <c r="AK86" s="71">
        <f t="shared" si="269"/>
        <v>0</v>
      </c>
      <c r="AL86" s="71">
        <f t="shared" si="269"/>
        <v>0</v>
      </c>
      <c r="AM86" s="71">
        <f t="shared" si="269"/>
        <v>54761394.589552186</v>
      </c>
      <c r="AN86" s="71">
        <f t="shared" si="269"/>
        <v>0</v>
      </c>
      <c r="AO86" s="71">
        <f t="shared" si="269"/>
        <v>0</v>
      </c>
      <c r="AP86" s="71">
        <f t="shared" si="269"/>
        <v>0</v>
      </c>
      <c r="AQ86" s="71">
        <f t="shared" si="269"/>
        <v>0</v>
      </c>
      <c r="AR86" s="71">
        <f t="shared" si="269"/>
        <v>0</v>
      </c>
      <c r="AS86" s="71">
        <f t="shared" si="269"/>
        <v>0</v>
      </c>
      <c r="AT86" s="71">
        <f t="shared" si="269"/>
        <v>0</v>
      </c>
      <c r="AU86" s="71">
        <f t="shared" si="269"/>
        <v>0</v>
      </c>
      <c r="AV86" s="71">
        <f t="shared" si="269"/>
        <v>0</v>
      </c>
      <c r="AW86" s="71">
        <f t="shared" si="269"/>
        <v>0</v>
      </c>
      <c r="AX86" s="71">
        <f t="shared" si="269"/>
        <v>0</v>
      </c>
      <c r="AY86" s="71">
        <f t="shared" si="269"/>
        <v>0</v>
      </c>
      <c r="AZ86" s="71">
        <f t="shared" si="269"/>
        <v>73015192.786069587</v>
      </c>
      <c r="BA86" s="71">
        <f t="shared" si="269"/>
        <v>0</v>
      </c>
      <c r="BB86" s="71">
        <f t="shared" si="269"/>
        <v>0</v>
      </c>
      <c r="BC86" s="71">
        <f t="shared" si="269"/>
        <v>0</v>
      </c>
      <c r="BD86" s="71">
        <f t="shared" si="269"/>
        <v>0</v>
      </c>
      <c r="BE86" s="71">
        <f t="shared" si="269"/>
        <v>0</v>
      </c>
      <c r="BF86" s="71">
        <f t="shared" si="269"/>
        <v>0</v>
      </c>
      <c r="BG86" s="71">
        <f t="shared" si="269"/>
        <v>0</v>
      </c>
      <c r="BH86" s="71">
        <f t="shared" si="269"/>
        <v>0</v>
      </c>
      <c r="BI86" s="71">
        <f t="shared" si="269"/>
        <v>0</v>
      </c>
      <c r="BJ86" s="71">
        <f t="shared" si="269"/>
        <v>0</v>
      </c>
      <c r="BK86" s="71">
        <f t="shared" si="269"/>
        <v>0</v>
      </c>
      <c r="BL86" s="71">
        <f t="shared" si="269"/>
        <v>0</v>
      </c>
      <c r="BM86" s="71">
        <f t="shared" si="269"/>
        <v>0</v>
      </c>
      <c r="BN86" s="71">
        <f t="shared" si="269"/>
        <v>0</v>
      </c>
      <c r="BO86" s="71">
        <f t="shared" si="269"/>
        <v>0</v>
      </c>
      <c r="BP86" s="71">
        <f t="shared" si="269"/>
        <v>0</v>
      </c>
      <c r="BQ86" s="71">
        <f t="shared" si="269"/>
        <v>0</v>
      </c>
      <c r="BR86" s="71">
        <f t="shared" si="269"/>
        <v>0</v>
      </c>
      <c r="BS86" s="71">
        <f t="shared" ref="BS86:CK86" si="270">SUM(BS83:BS85)</f>
        <v>0</v>
      </c>
      <c r="BT86" s="71">
        <f t="shared" si="270"/>
        <v>0</v>
      </c>
      <c r="BU86" s="71">
        <f t="shared" si="270"/>
        <v>0</v>
      </c>
      <c r="BV86" s="71">
        <f t="shared" si="270"/>
        <v>0</v>
      </c>
      <c r="BW86" s="71">
        <f t="shared" si="270"/>
        <v>0</v>
      </c>
      <c r="BX86" s="71">
        <f t="shared" si="270"/>
        <v>0</v>
      </c>
      <c r="BY86" s="71">
        <f t="shared" si="270"/>
        <v>0</v>
      </c>
      <c r="BZ86" s="71">
        <f t="shared" si="270"/>
        <v>0</v>
      </c>
      <c r="CA86" s="71">
        <f t="shared" si="270"/>
        <v>0</v>
      </c>
      <c r="CB86" s="71">
        <f t="shared" si="270"/>
        <v>0</v>
      </c>
      <c r="CC86" s="71">
        <f t="shared" si="270"/>
        <v>0</v>
      </c>
      <c r="CD86" s="71">
        <f t="shared" si="270"/>
        <v>0</v>
      </c>
      <c r="CE86" s="71">
        <f t="shared" si="270"/>
        <v>0</v>
      </c>
      <c r="CF86" s="71">
        <f t="shared" si="270"/>
        <v>0</v>
      </c>
      <c r="CG86" s="71">
        <f t="shared" si="270"/>
        <v>0</v>
      </c>
      <c r="CH86" s="71">
        <f t="shared" si="270"/>
        <v>0</v>
      </c>
      <c r="CI86" s="71">
        <f t="shared" si="270"/>
        <v>0</v>
      </c>
      <c r="CJ86" s="71">
        <f t="shared" si="270"/>
        <v>0</v>
      </c>
      <c r="CK86" s="71">
        <f t="shared" si="270"/>
        <v>0</v>
      </c>
    </row>
    <row r="87" spans="3:89" outlineLevel="1" x14ac:dyDescent="0.25">
      <c r="C87" s="45"/>
      <c r="D87" s="13"/>
      <c r="K87" s="58"/>
    </row>
    <row r="88" spans="3:89" outlineLevel="1" x14ac:dyDescent="0.25">
      <c r="C88" s="118" t="s">
        <v>162</v>
      </c>
      <c r="D88" s="13" t="s">
        <v>24</v>
      </c>
      <c r="E88" s="47"/>
      <c r="F88" s="68">
        <f t="shared" ref="F88:AK88" si="271">IF(F$39&gt;=Ph3_Start_Month,F71*Upfront_Payment_Pct,0)</f>
        <v>0</v>
      </c>
      <c r="G88" s="68">
        <f t="shared" si="271"/>
        <v>0</v>
      </c>
      <c r="H88" s="68">
        <f t="shared" si="271"/>
        <v>0</v>
      </c>
      <c r="I88" s="68">
        <f t="shared" si="271"/>
        <v>0</v>
      </c>
      <c r="J88" s="68">
        <f t="shared" si="271"/>
        <v>0</v>
      </c>
      <c r="K88" s="68">
        <f t="shared" si="271"/>
        <v>0</v>
      </c>
      <c r="L88" s="68">
        <f t="shared" si="271"/>
        <v>0</v>
      </c>
      <c r="M88" s="68">
        <f t="shared" si="271"/>
        <v>0</v>
      </c>
      <c r="N88" s="68">
        <f t="shared" si="271"/>
        <v>0</v>
      </c>
      <c r="O88" s="68">
        <f t="shared" si="271"/>
        <v>0</v>
      </c>
      <c r="P88" s="68">
        <f t="shared" si="271"/>
        <v>0</v>
      </c>
      <c r="Q88" s="68">
        <f t="shared" si="271"/>
        <v>0</v>
      </c>
      <c r="R88" s="68">
        <f t="shared" si="271"/>
        <v>0</v>
      </c>
      <c r="S88" s="68">
        <f t="shared" si="271"/>
        <v>0</v>
      </c>
      <c r="T88" s="68">
        <f t="shared" si="271"/>
        <v>5206652.459759091</v>
      </c>
      <c r="U88" s="68">
        <f t="shared" si="271"/>
        <v>5217377.311340169</v>
      </c>
      <c r="V88" s="68">
        <f t="shared" si="271"/>
        <v>5228124.2543595219</v>
      </c>
      <c r="W88" s="68">
        <f t="shared" si="271"/>
        <v>5238893.3343218965</v>
      </c>
      <c r="X88" s="68">
        <f t="shared" si="271"/>
        <v>5249684.5968257692</v>
      </c>
      <c r="Y88" s="68">
        <f t="shared" si="271"/>
        <v>5260498.0875635454</v>
      </c>
      <c r="Z88" s="68">
        <f t="shared" si="271"/>
        <v>5271333.8523217477</v>
      </c>
      <c r="AA88" s="68">
        <f t="shared" si="271"/>
        <v>5282191.9369812096</v>
      </c>
      <c r="AB88" s="68">
        <f t="shared" si="271"/>
        <v>5293072.3875172753</v>
      </c>
      <c r="AC88" s="68">
        <f t="shared" si="271"/>
        <v>5303975.249999986</v>
      </c>
      <c r="AD88" s="68">
        <f t="shared" si="271"/>
        <v>5314900.5705942838</v>
      </c>
      <c r="AE88" s="68">
        <f t="shared" si="271"/>
        <v>5325848.3955602022</v>
      </c>
      <c r="AF88" s="68">
        <f t="shared" si="271"/>
        <v>0</v>
      </c>
      <c r="AG88" s="68">
        <f t="shared" si="271"/>
        <v>0</v>
      </c>
      <c r="AH88" s="68">
        <f t="shared" si="271"/>
        <v>0</v>
      </c>
      <c r="AI88" s="68">
        <f t="shared" si="271"/>
        <v>0</v>
      </c>
      <c r="AJ88" s="68">
        <f t="shared" si="271"/>
        <v>0</v>
      </c>
      <c r="AK88" s="68">
        <f t="shared" si="271"/>
        <v>0</v>
      </c>
      <c r="AL88" s="68">
        <f t="shared" ref="AL88:BQ88" si="272">IF(AL$39&gt;=Ph3_Start_Month,AL71*Upfront_Payment_Pct,0)</f>
        <v>0</v>
      </c>
      <c r="AM88" s="68">
        <f t="shared" si="272"/>
        <v>0</v>
      </c>
      <c r="AN88" s="68">
        <f t="shared" si="272"/>
        <v>0</v>
      </c>
      <c r="AO88" s="68">
        <f t="shared" si="272"/>
        <v>0</v>
      </c>
      <c r="AP88" s="68">
        <f t="shared" si="272"/>
        <v>0</v>
      </c>
      <c r="AQ88" s="68">
        <f t="shared" si="272"/>
        <v>0</v>
      </c>
      <c r="AR88" s="68">
        <f t="shared" si="272"/>
        <v>0</v>
      </c>
      <c r="AS88" s="68">
        <f t="shared" si="272"/>
        <v>0</v>
      </c>
      <c r="AT88" s="68">
        <f t="shared" si="272"/>
        <v>0</v>
      </c>
      <c r="AU88" s="68">
        <f t="shared" si="272"/>
        <v>0</v>
      </c>
      <c r="AV88" s="68">
        <f t="shared" si="272"/>
        <v>0</v>
      </c>
      <c r="AW88" s="68">
        <f t="shared" si="272"/>
        <v>0</v>
      </c>
      <c r="AX88" s="68">
        <f t="shared" si="272"/>
        <v>0</v>
      </c>
      <c r="AY88" s="68">
        <f t="shared" si="272"/>
        <v>0</v>
      </c>
      <c r="AZ88" s="68">
        <f t="shared" si="272"/>
        <v>0</v>
      </c>
      <c r="BA88" s="68">
        <f t="shared" si="272"/>
        <v>0</v>
      </c>
      <c r="BB88" s="68">
        <f t="shared" si="272"/>
        <v>0</v>
      </c>
      <c r="BC88" s="68">
        <f t="shared" si="272"/>
        <v>0</v>
      </c>
      <c r="BD88" s="68">
        <f t="shared" si="272"/>
        <v>0</v>
      </c>
      <c r="BE88" s="68">
        <f t="shared" si="272"/>
        <v>0</v>
      </c>
      <c r="BF88" s="68">
        <f t="shared" si="272"/>
        <v>0</v>
      </c>
      <c r="BG88" s="68">
        <f t="shared" si="272"/>
        <v>0</v>
      </c>
      <c r="BH88" s="68">
        <f t="shared" si="272"/>
        <v>0</v>
      </c>
      <c r="BI88" s="68">
        <f t="shared" si="272"/>
        <v>0</v>
      </c>
      <c r="BJ88" s="68">
        <f t="shared" si="272"/>
        <v>0</v>
      </c>
      <c r="BK88" s="68">
        <f t="shared" si="272"/>
        <v>0</v>
      </c>
      <c r="BL88" s="68">
        <f t="shared" si="272"/>
        <v>0</v>
      </c>
      <c r="BM88" s="68">
        <f t="shared" si="272"/>
        <v>0</v>
      </c>
      <c r="BN88" s="68">
        <f t="shared" si="272"/>
        <v>0</v>
      </c>
      <c r="BO88" s="68">
        <f t="shared" si="272"/>
        <v>0</v>
      </c>
      <c r="BP88" s="68">
        <f t="shared" si="272"/>
        <v>0</v>
      </c>
      <c r="BQ88" s="68">
        <f t="shared" si="272"/>
        <v>0</v>
      </c>
      <c r="BR88" s="68">
        <f t="shared" ref="BR88:CK88" si="273">IF(BR$39&gt;=Ph3_Start_Month,BR71*Upfront_Payment_Pct,0)</f>
        <v>0</v>
      </c>
      <c r="BS88" s="68">
        <f t="shared" si="273"/>
        <v>0</v>
      </c>
      <c r="BT88" s="68">
        <f t="shared" si="273"/>
        <v>0</v>
      </c>
      <c r="BU88" s="68">
        <f t="shared" si="273"/>
        <v>0</v>
      </c>
      <c r="BV88" s="68">
        <f t="shared" si="273"/>
        <v>0</v>
      </c>
      <c r="BW88" s="68">
        <f t="shared" si="273"/>
        <v>0</v>
      </c>
      <c r="BX88" s="68">
        <f t="shared" si="273"/>
        <v>0</v>
      </c>
      <c r="BY88" s="68">
        <f t="shared" si="273"/>
        <v>0</v>
      </c>
      <c r="BZ88" s="68">
        <f t="shared" si="273"/>
        <v>0</v>
      </c>
      <c r="CA88" s="68">
        <f t="shared" si="273"/>
        <v>0</v>
      </c>
      <c r="CB88" s="68">
        <f t="shared" si="273"/>
        <v>0</v>
      </c>
      <c r="CC88" s="68">
        <f t="shared" si="273"/>
        <v>0</v>
      </c>
      <c r="CD88" s="68">
        <f t="shared" si="273"/>
        <v>0</v>
      </c>
      <c r="CE88" s="68">
        <f t="shared" si="273"/>
        <v>0</v>
      </c>
      <c r="CF88" s="68">
        <f t="shared" si="273"/>
        <v>0</v>
      </c>
      <c r="CG88" s="68">
        <f t="shared" si="273"/>
        <v>0</v>
      </c>
      <c r="CH88" s="68">
        <f t="shared" si="273"/>
        <v>0</v>
      </c>
      <c r="CI88" s="68">
        <f t="shared" si="273"/>
        <v>0</v>
      </c>
      <c r="CJ88" s="68">
        <f t="shared" si="273"/>
        <v>0</v>
      </c>
      <c r="CK88" s="68">
        <f t="shared" si="273"/>
        <v>0</v>
      </c>
    </row>
    <row r="89" spans="3:89" outlineLevel="1" x14ac:dyDescent="0.25">
      <c r="C89" s="118" t="s">
        <v>165</v>
      </c>
      <c r="D89" s="13" t="s">
        <v>24</v>
      </c>
      <c r="E89" s="47"/>
      <c r="F89" s="68">
        <f>IF(F$39=Ph3_Constr_End,SUM($F71:F71)*Constr_End_Payment_Pct,0)</f>
        <v>0</v>
      </c>
      <c r="G89" s="68">
        <f>IF(G$39=Ph3_Constr_End,SUM($F71:G71)*Constr_End_Payment_Pct,0)</f>
        <v>0</v>
      </c>
      <c r="H89" s="68">
        <f>IF(H$39=Ph3_Constr_End,SUM($F71:H71)*Constr_End_Payment_Pct,0)</f>
        <v>0</v>
      </c>
      <c r="I89" s="68">
        <f>IF(I$39=Ph3_Constr_End,SUM($F71:I71)*Constr_End_Payment_Pct,0)</f>
        <v>0</v>
      </c>
      <c r="J89" s="68">
        <f>IF(J$39=Ph3_Constr_End,SUM($F71:J71)*Constr_End_Payment_Pct,0)</f>
        <v>0</v>
      </c>
      <c r="K89" s="68">
        <f>IF(K$39=Ph3_Constr_End,SUM($F71:K71)*Constr_End_Payment_Pct,0)</f>
        <v>0</v>
      </c>
      <c r="L89" s="68">
        <f>IF(L$39=Ph3_Constr_End,SUM($F71:L71)*Constr_End_Payment_Pct,0)</f>
        <v>0</v>
      </c>
      <c r="M89" s="68">
        <f>IF(M$39=Ph3_Constr_End,SUM($F71:M71)*Constr_End_Payment_Pct,0)</f>
        <v>0</v>
      </c>
      <c r="N89" s="68">
        <f>IF(N$39=Ph3_Constr_End,SUM($F71:N71)*Constr_End_Payment_Pct,0)</f>
        <v>0</v>
      </c>
      <c r="O89" s="68">
        <f>IF(O$39=Ph3_Constr_End,SUM($F71:O71)*Constr_End_Payment_Pct,0)</f>
        <v>0</v>
      </c>
      <c r="P89" s="68">
        <f>IF(P$39=Ph3_Constr_End,SUM($F71:P71)*Constr_End_Payment_Pct,0)</f>
        <v>0</v>
      </c>
      <c r="Q89" s="68">
        <f>IF(Q$39=Ph3_Constr_End,SUM($F71:Q71)*Constr_End_Payment_Pct,0)</f>
        <v>0</v>
      </c>
      <c r="R89" s="68">
        <f>IF(R$39=Ph3_Constr_End,SUM($F71:R71)*Constr_End_Payment_Pct,0)</f>
        <v>0</v>
      </c>
      <c r="S89" s="68">
        <f>IF(S$39=Ph3_Constr_End,SUM($F71:S71)*Constr_End_Payment_Pct,0)</f>
        <v>0</v>
      </c>
      <c r="T89" s="68">
        <f>IF(T$39=Ph3_Constr_End,SUM($F71:T71)*Constr_End_Payment_Pct,0)</f>
        <v>0</v>
      </c>
      <c r="U89" s="68">
        <f>IF(U$39=Ph3_Constr_End,SUM($F71:U71)*Constr_End_Payment_Pct,0)</f>
        <v>0</v>
      </c>
      <c r="V89" s="68">
        <f>IF(V$39=Ph3_Constr_End,SUM($F71:V71)*Constr_End_Payment_Pct,0)</f>
        <v>0</v>
      </c>
      <c r="W89" s="68">
        <f>IF(W$39=Ph3_Constr_End,SUM($F71:W71)*Constr_End_Payment_Pct,0)</f>
        <v>0</v>
      </c>
      <c r="X89" s="68">
        <f>IF(X$39=Ph3_Constr_End,SUM($F71:X71)*Constr_End_Payment_Pct,0)</f>
        <v>0</v>
      </c>
      <c r="Y89" s="68">
        <f>IF(Y$39=Ph3_Constr_End,SUM($F71:Y71)*Constr_End_Payment_Pct,0)</f>
        <v>0</v>
      </c>
      <c r="Z89" s="68">
        <f>IF(Z$39=Ph3_Constr_End,SUM($F71:Z71)*Constr_End_Payment_Pct,0)</f>
        <v>0</v>
      </c>
      <c r="AA89" s="68">
        <f>IF(AA$39=Ph3_Constr_End,SUM($F71:AA71)*Constr_End_Payment_Pct,0)</f>
        <v>0</v>
      </c>
      <c r="AB89" s="68">
        <f>IF(AB$39=Ph3_Constr_End,SUM($F71:AB71)*Constr_End_Payment_Pct,0)</f>
        <v>0</v>
      </c>
      <c r="AC89" s="68">
        <f>IF(AC$39=Ph3_Constr_End,SUM($F71:AC71)*Constr_End_Payment_Pct,0)</f>
        <v>0</v>
      </c>
      <c r="AD89" s="68">
        <f>IF(AD$39=Ph3_Constr_End,SUM($F71:AD71)*Constr_End_Payment_Pct,0)</f>
        <v>0</v>
      </c>
      <c r="AE89" s="68">
        <f>IF(AE$39=Ph3_Constr_End,SUM($F71:AE71)*Constr_End_Payment_Pct,0)</f>
        <v>0</v>
      </c>
      <c r="AF89" s="68">
        <f>IF(AF$39=Ph3_Constr_End,SUM($F71:AF71)*Constr_End_Payment_Pct,0)</f>
        <v>0</v>
      </c>
      <c r="AG89" s="68">
        <f>IF(AG$39=Ph3_Constr_End,SUM($F71:AG71)*Constr_End_Payment_Pct,0)</f>
        <v>0</v>
      </c>
      <c r="AH89" s="68">
        <f>IF(AH$39=Ph3_Constr_End,SUM($F71:AH71)*Constr_End_Payment_Pct,0)</f>
        <v>0</v>
      </c>
      <c r="AI89" s="68">
        <f>IF(AI$39=Ph3_Constr_End,SUM($F71:AI71)*Constr_End_Payment_Pct,0)</f>
        <v>0</v>
      </c>
      <c r="AJ89" s="68">
        <f>IF(AJ$39=Ph3_Constr_End,SUM($F71:AJ71)*Constr_End_Payment_Pct,0)</f>
        <v>0</v>
      </c>
      <c r="AK89" s="68">
        <f>IF(AK$39=Ph3_Constr_End,SUM($F71:AK71)*Constr_End_Payment_Pct,0)</f>
        <v>0</v>
      </c>
      <c r="AL89" s="68">
        <f>IF(AL$39=Ph3_Constr_End,SUM($F71:AL71)*Constr_End_Payment_Pct,0)</f>
        <v>0</v>
      </c>
      <c r="AM89" s="68">
        <f>IF(AM$39=Ph3_Constr_End,SUM($F71:AM71)*Constr_End_Payment_Pct,0)</f>
        <v>0</v>
      </c>
      <c r="AN89" s="68">
        <f>IF(AN$39=Ph3_Constr_End,SUM($F71:AN71)*Constr_End_Payment_Pct,0)</f>
        <v>0</v>
      </c>
      <c r="AO89" s="68">
        <f>IF(AO$39=Ph3_Constr_End,SUM($F71:AO71)*Constr_End_Payment_Pct,0)</f>
        <v>0</v>
      </c>
      <c r="AP89" s="68">
        <f>IF(AP$39=Ph3_Constr_End,SUM($F71:AP71)*Constr_End_Payment_Pct,0)</f>
        <v>0</v>
      </c>
      <c r="AQ89" s="68">
        <f>IF(AQ$39=Ph3_Constr_End,SUM($F71:AQ71)*Constr_End_Payment_Pct,0)</f>
        <v>0</v>
      </c>
      <c r="AR89" s="68">
        <f>IF(AR$39=Ph3_Constr_End,SUM($F71:AR71)*Constr_End_Payment_Pct,0)</f>
        <v>0</v>
      </c>
      <c r="AS89" s="68">
        <f>IF(AS$39=Ph3_Constr_End,SUM($F71:AS71)*Constr_End_Payment_Pct,0)</f>
        <v>0</v>
      </c>
      <c r="AT89" s="68">
        <f>IF(AT$39=Ph3_Constr_End,SUM($F71:AT71)*Constr_End_Payment_Pct,0)</f>
        <v>63192552.437144689</v>
      </c>
      <c r="AU89" s="68">
        <f>IF(AU$39=Ph3_Constr_End,SUM($F71:AU71)*Constr_End_Payment_Pct,0)</f>
        <v>0</v>
      </c>
      <c r="AV89" s="68">
        <f>IF(AV$39=Ph3_Constr_End,SUM($F71:AV71)*Constr_End_Payment_Pct,0)</f>
        <v>0</v>
      </c>
      <c r="AW89" s="68">
        <f>IF(AW$39=Ph3_Constr_End,SUM($F71:AW71)*Constr_End_Payment_Pct,0)</f>
        <v>0</v>
      </c>
      <c r="AX89" s="68">
        <f>IF(AX$39=Ph3_Constr_End,SUM($F71:AX71)*Constr_End_Payment_Pct,0)</f>
        <v>0</v>
      </c>
      <c r="AY89" s="68">
        <f>IF(AY$39=Ph3_Constr_End,SUM($F71:AY71)*Constr_End_Payment_Pct,0)</f>
        <v>0</v>
      </c>
      <c r="AZ89" s="68">
        <f>IF(AZ$39=Ph3_Constr_End,SUM($F71:AZ71)*Constr_End_Payment_Pct,0)</f>
        <v>0</v>
      </c>
      <c r="BA89" s="68">
        <f>IF(BA$39=Ph3_Constr_End,SUM($F71:BA71)*Constr_End_Payment_Pct,0)</f>
        <v>0</v>
      </c>
      <c r="BB89" s="68">
        <f>IF(BB$39=Ph3_Constr_End,SUM($F71:BB71)*Constr_End_Payment_Pct,0)</f>
        <v>0</v>
      </c>
      <c r="BC89" s="68">
        <f>IF(BC$39=Ph3_Constr_End,SUM($F71:BC71)*Constr_End_Payment_Pct,0)</f>
        <v>0</v>
      </c>
      <c r="BD89" s="68">
        <f>IF(BD$39=Ph3_Constr_End,SUM($F71:BD71)*Constr_End_Payment_Pct,0)</f>
        <v>0</v>
      </c>
      <c r="BE89" s="68">
        <f>IF(BE$39=Ph3_Constr_End,SUM($F71:BE71)*Constr_End_Payment_Pct,0)</f>
        <v>0</v>
      </c>
      <c r="BF89" s="68">
        <f>IF(BF$39=Ph3_Constr_End,SUM($F71:BF71)*Constr_End_Payment_Pct,0)</f>
        <v>0</v>
      </c>
      <c r="BG89" s="68">
        <f>IF(BG$39=Ph3_Constr_End,SUM($F71:BG71)*Constr_End_Payment_Pct,0)</f>
        <v>0</v>
      </c>
      <c r="BH89" s="68">
        <f>IF(BH$39=Ph3_Constr_End,SUM($F71:BH71)*Constr_End_Payment_Pct,0)</f>
        <v>0</v>
      </c>
      <c r="BI89" s="68">
        <f>IF(BI$39=Ph3_Constr_End,SUM($F71:BI71)*Constr_End_Payment_Pct,0)</f>
        <v>0</v>
      </c>
      <c r="BJ89" s="68">
        <f>IF(BJ$39=Ph3_Constr_End,SUM($F71:BJ71)*Constr_End_Payment_Pct,0)</f>
        <v>0</v>
      </c>
      <c r="BK89" s="68">
        <f>IF(BK$39=Ph3_Constr_End,SUM($F71:BK71)*Constr_End_Payment_Pct,0)</f>
        <v>0</v>
      </c>
      <c r="BL89" s="68">
        <f>IF(BL$39=Ph3_Constr_End,SUM($F71:BL71)*Constr_End_Payment_Pct,0)</f>
        <v>0</v>
      </c>
      <c r="BM89" s="68">
        <f>IF(BM$39=Ph3_Constr_End,SUM($F71:BM71)*Constr_End_Payment_Pct,0)</f>
        <v>0</v>
      </c>
      <c r="BN89" s="68">
        <f>IF(BN$39=Ph3_Constr_End,SUM($F71:BN71)*Constr_End_Payment_Pct,0)</f>
        <v>0</v>
      </c>
      <c r="BO89" s="68">
        <f>IF(BO$39=Ph3_Constr_End,SUM($F71:BO71)*Constr_End_Payment_Pct,0)</f>
        <v>0</v>
      </c>
      <c r="BP89" s="68">
        <f>IF(BP$39=Ph3_Constr_End,SUM($F71:BP71)*Constr_End_Payment_Pct,0)</f>
        <v>0</v>
      </c>
      <c r="BQ89" s="68">
        <f>IF(BQ$39=Ph3_Constr_End,SUM($F71:BQ71)*Constr_End_Payment_Pct,0)</f>
        <v>0</v>
      </c>
      <c r="BR89" s="68">
        <f>IF(BR$39=Ph3_Constr_End,SUM($F71:BR71)*Constr_End_Payment_Pct,0)</f>
        <v>0</v>
      </c>
      <c r="BS89" s="68">
        <f>IF(BS$39=Ph3_Constr_End,SUM($F71:BS71)*Constr_End_Payment_Pct,0)</f>
        <v>0</v>
      </c>
      <c r="BT89" s="68">
        <f>IF(BT$39=Ph3_Constr_End,SUM($F71:BT71)*Constr_End_Payment_Pct,0)</f>
        <v>0</v>
      </c>
      <c r="BU89" s="68">
        <f>IF(BU$39=Ph3_Constr_End,SUM($F71:BU71)*Constr_End_Payment_Pct,0)</f>
        <v>0</v>
      </c>
      <c r="BV89" s="68">
        <f>IF(BV$39=Ph3_Constr_End,SUM($F71:BV71)*Constr_End_Payment_Pct,0)</f>
        <v>0</v>
      </c>
      <c r="BW89" s="68">
        <f>IF(BW$39=Ph3_Constr_End,SUM($F71:BW71)*Constr_End_Payment_Pct,0)</f>
        <v>0</v>
      </c>
      <c r="BX89" s="68">
        <f>IF(BX$39=Ph3_Constr_End,SUM($F71:BX71)*Constr_End_Payment_Pct,0)</f>
        <v>0</v>
      </c>
      <c r="BY89" s="68">
        <f>IF(BY$39=Ph3_Constr_End,SUM($F71:BY71)*Constr_End_Payment_Pct,0)</f>
        <v>0</v>
      </c>
      <c r="BZ89" s="68">
        <f>IF(BZ$39=Ph3_Constr_End,SUM($F71:BZ71)*Constr_End_Payment_Pct,0)</f>
        <v>0</v>
      </c>
      <c r="CA89" s="68">
        <f>IF(CA$39=Ph3_Constr_End,SUM($F71:CA71)*Constr_End_Payment_Pct,0)</f>
        <v>0</v>
      </c>
      <c r="CB89" s="68">
        <f>IF(CB$39=Ph3_Constr_End,SUM($F71:CB71)*Constr_End_Payment_Pct,0)</f>
        <v>0</v>
      </c>
      <c r="CC89" s="68">
        <f>IF(CC$39=Ph3_Constr_End,SUM($F71:CC71)*Constr_End_Payment_Pct,0)</f>
        <v>0</v>
      </c>
      <c r="CD89" s="68">
        <f>IF(CD$39=Ph3_Constr_End,SUM($F71:CD71)*Constr_End_Payment_Pct,0)</f>
        <v>0</v>
      </c>
      <c r="CE89" s="68">
        <f>IF(CE$39=Ph3_Constr_End,SUM($F71:CE71)*Constr_End_Payment_Pct,0)</f>
        <v>0</v>
      </c>
      <c r="CF89" s="68">
        <f>IF(CF$39=Ph3_Constr_End,SUM($F71:CF71)*Constr_End_Payment_Pct,0)</f>
        <v>0</v>
      </c>
      <c r="CG89" s="68">
        <f>IF(CG$39=Ph3_Constr_End,SUM($F71:CG71)*Constr_End_Payment_Pct,0)</f>
        <v>0</v>
      </c>
      <c r="CH89" s="68">
        <f>IF(CH$39=Ph3_Constr_End,SUM($F71:CH71)*Constr_End_Payment_Pct,0)</f>
        <v>0</v>
      </c>
      <c r="CI89" s="68">
        <f>IF(CI$39=Ph3_Constr_End,SUM($F71:CI71)*Constr_End_Payment_Pct,0)</f>
        <v>0</v>
      </c>
      <c r="CJ89" s="68">
        <f>IF(CJ$39=Ph3_Constr_End,SUM($F71:CJ71)*Constr_End_Payment_Pct,0)</f>
        <v>0</v>
      </c>
      <c r="CK89" s="68">
        <f>IF(CK$39=Ph3_Constr_End,SUM($F71:CK71)*Constr_End_Payment_Pct,0)</f>
        <v>0</v>
      </c>
    </row>
    <row r="90" spans="3:89" outlineLevel="1" x14ac:dyDescent="0.25">
      <c r="C90" s="118" t="s">
        <v>163</v>
      </c>
      <c r="D90" s="50" t="s">
        <v>24</v>
      </c>
      <c r="E90" s="52"/>
      <c r="F90" s="68">
        <f>IF(F$39=Post_Constr_Phase_End,SUM($F$71:$CK$71)-SUM($F88:F89),0)</f>
        <v>0</v>
      </c>
      <c r="G90" s="68">
        <f>IF(G$39=Post_Constr_Phase_End,SUM($F$71:$CK$71)-SUM($F88:G89),0)</f>
        <v>0</v>
      </c>
      <c r="H90" s="68">
        <f>IF(H$39=Post_Constr_Phase_End,SUM($F$71:$CK$71)-SUM($F88:H89),0)</f>
        <v>0</v>
      </c>
      <c r="I90" s="68">
        <f>IF(I$39=Post_Constr_Phase_End,SUM($F$71:$CK$71)-SUM($F88:I89),0)</f>
        <v>0</v>
      </c>
      <c r="J90" s="68">
        <f>IF(J$39=Post_Constr_Phase_End,SUM($F$71:$CK$71)-SUM($F88:J89),0)</f>
        <v>0</v>
      </c>
      <c r="K90" s="68">
        <f>IF(K$39=Post_Constr_Phase_End,SUM($F$71:$CK$71)-SUM($F88:K89),0)</f>
        <v>0</v>
      </c>
      <c r="L90" s="68">
        <f>IF(L$39=Post_Constr_Phase_End,SUM($F$71:$CK$71)-SUM($F88:L89),0)</f>
        <v>0</v>
      </c>
      <c r="M90" s="68">
        <f>IF(M$39=Post_Constr_Phase_End,SUM($F$71:$CK$71)-SUM($F88:M89),0)</f>
        <v>0</v>
      </c>
      <c r="N90" s="68">
        <f>IF(N$39=Post_Constr_Phase_End,SUM($F$71:$CK$71)-SUM($F88:N89),0)</f>
        <v>0</v>
      </c>
      <c r="O90" s="68">
        <f>IF(O$39=Post_Constr_Phase_End,SUM($F$71:$CK$71)-SUM($F88:O89),0)</f>
        <v>0</v>
      </c>
      <c r="P90" s="68">
        <f>IF(P$39=Post_Constr_Phase_End,SUM($F$71:$CK$71)-SUM($F88:P89),0)</f>
        <v>0</v>
      </c>
      <c r="Q90" s="68">
        <f>IF(Q$39=Post_Constr_Phase_End,SUM($F$71:$CK$71)-SUM($F88:Q89),0)</f>
        <v>0</v>
      </c>
      <c r="R90" s="68">
        <f>IF(R$39=Post_Constr_Phase_End,SUM($F$71:$CK$71)-SUM($F88:R89),0)</f>
        <v>0</v>
      </c>
      <c r="S90" s="68">
        <f>IF(S$39=Post_Constr_Phase_End,SUM($F$71:$CK$71)-SUM($F88:S89),0)</f>
        <v>0</v>
      </c>
      <c r="T90" s="68">
        <f>IF(T$39=Post_Constr_Phase_End,SUM($F$71:$CK$71)-SUM($F88:T89),0)</f>
        <v>0</v>
      </c>
      <c r="U90" s="68">
        <f>IF(U$39=Post_Constr_Phase_End,SUM($F$71:$CK$71)-SUM($F88:U89),0)</f>
        <v>0</v>
      </c>
      <c r="V90" s="68">
        <f>IF(V$39=Post_Constr_Phase_End,SUM($F$71:$CK$71)-SUM($F88:V89),0)</f>
        <v>0</v>
      </c>
      <c r="W90" s="68">
        <f>IF(W$39=Post_Constr_Phase_End,SUM($F$71:$CK$71)-SUM($F88:W89),0)</f>
        <v>0</v>
      </c>
      <c r="X90" s="68">
        <f>IF(X$39=Post_Constr_Phase_End,SUM($F$71:$CK$71)-SUM($F88:X89),0)</f>
        <v>0</v>
      </c>
      <c r="Y90" s="68">
        <f>IF(Y$39=Post_Constr_Phase_End,SUM($F$71:$CK$71)-SUM($F88:Y89),0)</f>
        <v>0</v>
      </c>
      <c r="Z90" s="68">
        <f>IF(Z$39=Post_Constr_Phase_End,SUM($F$71:$CK$71)-SUM($F88:Z89),0)</f>
        <v>0</v>
      </c>
      <c r="AA90" s="68">
        <f>IF(AA$39=Post_Constr_Phase_End,SUM($F$71:$CK$71)-SUM($F88:AA89),0)</f>
        <v>0</v>
      </c>
      <c r="AB90" s="68">
        <f>IF(AB$39=Post_Constr_Phase_End,SUM($F$71:$CK$71)-SUM($F88:AB89),0)</f>
        <v>0</v>
      </c>
      <c r="AC90" s="68">
        <f>IF(AC$39=Post_Constr_Phase_End,SUM($F$71:$CK$71)-SUM($F88:AC89),0)</f>
        <v>0</v>
      </c>
      <c r="AD90" s="68">
        <f>IF(AD$39=Post_Constr_Phase_End,SUM($F$71:$CK$71)-SUM($F88:AD89),0)</f>
        <v>0</v>
      </c>
      <c r="AE90" s="68">
        <f>IF(AE$39=Post_Constr_Phase_End,SUM($F$71:$CK$71)-SUM($F88:AE89),0)</f>
        <v>0</v>
      </c>
      <c r="AF90" s="68">
        <f>IF(AF$39=Post_Constr_Phase_End,SUM($F$71:$CK$71)-SUM($F88:AF89),0)</f>
        <v>0</v>
      </c>
      <c r="AG90" s="68">
        <f>IF(AG$39=Post_Constr_Phase_End,SUM($F$71:$CK$71)-SUM($F88:AG89),0)</f>
        <v>0</v>
      </c>
      <c r="AH90" s="68">
        <f>IF(AH$39=Post_Constr_Phase_End,SUM($F$71:$CK$71)-SUM($F88:AH89),0)</f>
        <v>0</v>
      </c>
      <c r="AI90" s="68">
        <f>IF(AI$39=Post_Constr_Phase_End,SUM($F$71:$CK$71)-SUM($F88:AI89),0)</f>
        <v>0</v>
      </c>
      <c r="AJ90" s="68">
        <f>IF(AJ$39=Post_Constr_Phase_End,SUM($F$71:$CK$71)-SUM($F88:AJ89),0)</f>
        <v>0</v>
      </c>
      <c r="AK90" s="68">
        <f>IF(AK$39=Post_Constr_Phase_End,SUM($F$71:$CK$71)-SUM($F88:AK89),0)</f>
        <v>0</v>
      </c>
      <c r="AL90" s="68">
        <f>IF(AL$39=Post_Constr_Phase_End,SUM($F$71:$CK$71)-SUM($F88:AL89),0)</f>
        <v>0</v>
      </c>
      <c r="AM90" s="68">
        <f>IF(AM$39=Post_Constr_Phase_End,SUM($F$71:$CK$71)-SUM($F88:AM89),0)</f>
        <v>0</v>
      </c>
      <c r="AN90" s="68">
        <f>IF(AN$39=Post_Constr_Phase_End,SUM($F$71:$CK$71)-SUM($F88:AN89),0)</f>
        <v>0</v>
      </c>
      <c r="AO90" s="68">
        <f>IF(AO$39=Post_Constr_Phase_End,SUM($F$71:$CK$71)-SUM($F88:AO89),0)</f>
        <v>0</v>
      </c>
      <c r="AP90" s="68">
        <f>IF(AP$39=Post_Constr_Phase_End,SUM($F$71:$CK$71)-SUM($F88:AP89),0)</f>
        <v>0</v>
      </c>
      <c r="AQ90" s="68">
        <f>IF(AQ$39=Post_Constr_Phase_End,SUM($F$71:$CK$71)-SUM($F88:AQ89),0)</f>
        <v>0</v>
      </c>
      <c r="AR90" s="68">
        <f>IF(AR$39=Post_Constr_Phase_End,SUM($F$71:$CK$71)-SUM($F88:AR89),0)</f>
        <v>0</v>
      </c>
      <c r="AS90" s="68">
        <f>IF(AS$39=Post_Constr_Phase_End,SUM($F$71:$CK$71)-SUM($F88:AS89),0)</f>
        <v>0</v>
      </c>
      <c r="AT90" s="68">
        <f>IF(AT$39=Post_Constr_Phase_End,SUM($F$71:$CK$71)-SUM($F88:AT89),0)</f>
        <v>0</v>
      </c>
      <c r="AU90" s="68">
        <f>IF(AU$39=Post_Constr_Phase_End,SUM($F$71:$CK$71)-SUM($F88:AU89),0)</f>
        <v>0</v>
      </c>
      <c r="AV90" s="68">
        <f>IF(AV$39=Post_Constr_Phase_End,SUM($F$71:$CK$71)-SUM($F88:AV89),0)</f>
        <v>0</v>
      </c>
      <c r="AW90" s="68">
        <f>IF(AW$39=Post_Constr_Phase_End,SUM($F$71:$CK$71)-SUM($F88:AW89),0)</f>
        <v>0</v>
      </c>
      <c r="AX90" s="68">
        <f>IF(AX$39=Post_Constr_Phase_End,SUM($F$71:$CK$71)-SUM($F88:AX89),0)</f>
        <v>0</v>
      </c>
      <c r="AY90" s="68">
        <f>IF(AY$39=Post_Constr_Phase_End,SUM($F$71:$CK$71)-SUM($F88:AY89),0)</f>
        <v>0</v>
      </c>
      <c r="AZ90" s="68">
        <f>IF(AZ$39=Post_Constr_Phase_End,SUM($F$71:$CK$71)-SUM($F88:AZ89),0)</f>
        <v>84256736.582859591</v>
      </c>
      <c r="BA90" s="68">
        <f>IF(BA$39=Post_Constr_Phase_End,SUM($F$71:$CK$71)-SUM($F88:BA89),0)</f>
        <v>0</v>
      </c>
      <c r="BB90" s="68">
        <f>IF(BB$39=Post_Constr_Phase_End,SUM($F$71:$CK$71)-SUM($F88:BB89),0)</f>
        <v>0</v>
      </c>
      <c r="BC90" s="68">
        <f>IF(BC$39=Post_Constr_Phase_End,SUM($F$71:$CK$71)-SUM($F88:BC89),0)</f>
        <v>0</v>
      </c>
      <c r="BD90" s="68">
        <f>IF(BD$39=Post_Constr_Phase_End,SUM($F$71:$CK$71)-SUM($F88:BD89),0)</f>
        <v>0</v>
      </c>
      <c r="BE90" s="68">
        <f>IF(BE$39=Post_Constr_Phase_End,SUM($F$71:$CK$71)-SUM($F88:BE89),0)</f>
        <v>0</v>
      </c>
      <c r="BF90" s="68">
        <f>IF(BF$39=Post_Constr_Phase_End,SUM($F$71:$CK$71)-SUM($F88:BF89),0)</f>
        <v>0</v>
      </c>
      <c r="BG90" s="68">
        <f>IF(BG$39=Post_Constr_Phase_End,SUM($F$71:$CK$71)-SUM($F88:BG89),0)</f>
        <v>0</v>
      </c>
      <c r="BH90" s="68">
        <f>IF(BH$39=Post_Constr_Phase_End,SUM($F$71:$CK$71)-SUM($F88:BH89),0)</f>
        <v>0</v>
      </c>
      <c r="BI90" s="68">
        <f>IF(BI$39=Post_Constr_Phase_End,SUM($F$71:$CK$71)-SUM($F88:BI89),0)</f>
        <v>0</v>
      </c>
      <c r="BJ90" s="68">
        <f>IF(BJ$39=Post_Constr_Phase_End,SUM($F$71:$CK$71)-SUM($F88:BJ89),0)</f>
        <v>0</v>
      </c>
      <c r="BK90" s="68">
        <f>IF(BK$39=Post_Constr_Phase_End,SUM($F$71:$CK$71)-SUM($F88:BK89),0)</f>
        <v>0</v>
      </c>
      <c r="BL90" s="68">
        <f>IF(BL$39=Post_Constr_Phase_End,SUM($F$71:$CK$71)-SUM($F88:BL89),0)</f>
        <v>0</v>
      </c>
      <c r="BM90" s="68">
        <f>IF(BM$39=Post_Constr_Phase_End,SUM($F$71:$CK$71)-SUM($F88:BM89),0)</f>
        <v>0</v>
      </c>
      <c r="BN90" s="68">
        <f>IF(BN$39=Post_Constr_Phase_End,SUM($F$71:$CK$71)-SUM($F88:BN89),0)</f>
        <v>0</v>
      </c>
      <c r="BO90" s="68">
        <f>IF(BO$39=Post_Constr_Phase_End,SUM($F$71:$CK$71)-SUM($F88:BO89),0)</f>
        <v>0</v>
      </c>
      <c r="BP90" s="68">
        <f>IF(BP$39=Post_Constr_Phase_End,SUM($F$71:$CK$71)-SUM($F88:BP89),0)</f>
        <v>0</v>
      </c>
      <c r="BQ90" s="68">
        <f>IF(BQ$39=Post_Constr_Phase_End,SUM($F$71:$CK$71)-SUM($F88:BQ89),0)</f>
        <v>0</v>
      </c>
      <c r="BR90" s="68">
        <f>IF(BR$39=Post_Constr_Phase_End,SUM($F$71:$CK$71)-SUM($F88:BR89),0)</f>
        <v>0</v>
      </c>
      <c r="BS90" s="68">
        <f>IF(BS$39=Post_Constr_Phase_End,SUM($F$71:$CK$71)-SUM($F88:BS89),0)</f>
        <v>0</v>
      </c>
      <c r="BT90" s="68">
        <f>IF(BT$39=Post_Constr_Phase_End,SUM($F$71:$CK$71)-SUM($F88:BT89),0)</f>
        <v>0</v>
      </c>
      <c r="BU90" s="68">
        <f>IF(BU$39=Post_Constr_Phase_End,SUM($F$71:$CK$71)-SUM($F88:BU89),0)</f>
        <v>0</v>
      </c>
      <c r="BV90" s="68">
        <f>IF(BV$39=Post_Constr_Phase_End,SUM($F$71:$CK$71)-SUM($F88:BV89),0)</f>
        <v>0</v>
      </c>
      <c r="BW90" s="68">
        <f>IF(BW$39=Post_Constr_Phase_End,SUM($F$71:$CK$71)-SUM($F88:BW89),0)</f>
        <v>0</v>
      </c>
      <c r="BX90" s="68">
        <f>IF(BX$39=Post_Constr_Phase_End,SUM($F$71:$CK$71)-SUM($F88:BX89),0)</f>
        <v>0</v>
      </c>
      <c r="BY90" s="68">
        <f>IF(BY$39=Post_Constr_Phase_End,SUM($F$71:$CK$71)-SUM($F88:BY89),0)</f>
        <v>0</v>
      </c>
      <c r="BZ90" s="68">
        <f>IF(BZ$39=Post_Constr_Phase_End,SUM($F$71:$CK$71)-SUM($F88:BZ89),0)</f>
        <v>0</v>
      </c>
      <c r="CA90" s="68">
        <f>IF(CA$39=Post_Constr_Phase_End,SUM($F$71:$CK$71)-SUM($F88:CA89),0)</f>
        <v>0</v>
      </c>
      <c r="CB90" s="68">
        <f>IF(CB$39=Post_Constr_Phase_End,SUM($F$71:$CK$71)-SUM($F88:CB89),0)</f>
        <v>0</v>
      </c>
      <c r="CC90" s="68">
        <f>IF(CC$39=Post_Constr_Phase_End,SUM($F$71:$CK$71)-SUM($F88:CC89),0)</f>
        <v>0</v>
      </c>
      <c r="CD90" s="68">
        <f>IF(CD$39=Post_Constr_Phase_End,SUM($F$71:$CK$71)-SUM($F88:CD89),0)</f>
        <v>0</v>
      </c>
      <c r="CE90" s="68">
        <f>IF(CE$39=Post_Constr_Phase_End,SUM($F$71:$CK$71)-SUM($F88:CE89),0)</f>
        <v>0</v>
      </c>
      <c r="CF90" s="68">
        <f>IF(CF$39=Post_Constr_Phase_End,SUM($F$71:$CK$71)-SUM($F88:CF89),0)</f>
        <v>0</v>
      </c>
      <c r="CG90" s="68">
        <f>IF(CG$39=Post_Constr_Phase_End,SUM($F$71:$CK$71)-SUM($F88:CG89),0)</f>
        <v>0</v>
      </c>
      <c r="CH90" s="68">
        <f>IF(CH$39=Post_Constr_Phase_End,SUM($F$71:$CK$71)-SUM($F88:CH89),0)</f>
        <v>0</v>
      </c>
      <c r="CI90" s="68">
        <f>IF(CI$39=Post_Constr_Phase_End,SUM($F$71:$CK$71)-SUM($F88:CI89),0)</f>
        <v>0</v>
      </c>
      <c r="CJ90" s="68">
        <f>IF(CJ$39=Post_Constr_Phase_End,SUM($F$71:$CK$71)-SUM($F88:CJ89),0)</f>
        <v>0</v>
      </c>
      <c r="CK90" s="68">
        <f>IF(CK$39=Post_Constr_Phase_End,SUM($F$71:$CK$71)-SUM($F88:CK89),0)</f>
        <v>0</v>
      </c>
    </row>
    <row r="91" spans="3:89" outlineLevel="1" x14ac:dyDescent="0.25">
      <c r="C91" s="69" t="s">
        <v>57</v>
      </c>
      <c r="D91" s="13" t="s">
        <v>24</v>
      </c>
      <c r="E91" s="47"/>
      <c r="F91" s="71">
        <f>SUM(F88:F90)</f>
        <v>0</v>
      </c>
      <c r="G91" s="71">
        <f t="shared" ref="G91:BR91" si="274">SUM(G88:G90)</f>
        <v>0</v>
      </c>
      <c r="H91" s="71">
        <f t="shared" si="274"/>
        <v>0</v>
      </c>
      <c r="I91" s="71">
        <f t="shared" si="274"/>
        <v>0</v>
      </c>
      <c r="J91" s="71">
        <f t="shared" si="274"/>
        <v>0</v>
      </c>
      <c r="K91" s="71">
        <f t="shared" si="274"/>
        <v>0</v>
      </c>
      <c r="L91" s="71">
        <f t="shared" si="274"/>
        <v>0</v>
      </c>
      <c r="M91" s="71">
        <f t="shared" si="274"/>
        <v>0</v>
      </c>
      <c r="N91" s="71">
        <f t="shared" si="274"/>
        <v>0</v>
      </c>
      <c r="O91" s="71">
        <f t="shared" si="274"/>
        <v>0</v>
      </c>
      <c r="P91" s="71">
        <f t="shared" si="274"/>
        <v>0</v>
      </c>
      <c r="Q91" s="71">
        <f t="shared" si="274"/>
        <v>0</v>
      </c>
      <c r="R91" s="71">
        <f t="shared" si="274"/>
        <v>0</v>
      </c>
      <c r="S91" s="71">
        <f t="shared" si="274"/>
        <v>0</v>
      </c>
      <c r="T91" s="71">
        <f t="shared" si="274"/>
        <v>5206652.459759091</v>
      </c>
      <c r="U91" s="71">
        <f t="shared" si="274"/>
        <v>5217377.311340169</v>
      </c>
      <c r="V91" s="71">
        <f t="shared" si="274"/>
        <v>5228124.2543595219</v>
      </c>
      <c r="W91" s="71">
        <f t="shared" si="274"/>
        <v>5238893.3343218965</v>
      </c>
      <c r="X91" s="71">
        <f t="shared" si="274"/>
        <v>5249684.5968257692</v>
      </c>
      <c r="Y91" s="71">
        <f t="shared" si="274"/>
        <v>5260498.0875635454</v>
      </c>
      <c r="Z91" s="71">
        <f t="shared" si="274"/>
        <v>5271333.8523217477</v>
      </c>
      <c r="AA91" s="71">
        <f t="shared" si="274"/>
        <v>5282191.9369812096</v>
      </c>
      <c r="AB91" s="71">
        <f t="shared" si="274"/>
        <v>5293072.3875172753</v>
      </c>
      <c r="AC91" s="71">
        <f t="shared" si="274"/>
        <v>5303975.249999986</v>
      </c>
      <c r="AD91" s="71">
        <f t="shared" si="274"/>
        <v>5314900.5705942838</v>
      </c>
      <c r="AE91" s="71">
        <f t="shared" si="274"/>
        <v>5325848.3955602022</v>
      </c>
      <c r="AF91" s="71">
        <f t="shared" si="274"/>
        <v>0</v>
      </c>
      <c r="AG91" s="71">
        <f t="shared" si="274"/>
        <v>0</v>
      </c>
      <c r="AH91" s="71">
        <f t="shared" si="274"/>
        <v>0</v>
      </c>
      <c r="AI91" s="71">
        <f t="shared" si="274"/>
        <v>0</v>
      </c>
      <c r="AJ91" s="71">
        <f t="shared" si="274"/>
        <v>0</v>
      </c>
      <c r="AK91" s="71">
        <f t="shared" si="274"/>
        <v>0</v>
      </c>
      <c r="AL91" s="71">
        <f t="shared" si="274"/>
        <v>0</v>
      </c>
      <c r="AM91" s="71">
        <f t="shared" si="274"/>
        <v>0</v>
      </c>
      <c r="AN91" s="71">
        <f t="shared" si="274"/>
        <v>0</v>
      </c>
      <c r="AO91" s="71">
        <f t="shared" si="274"/>
        <v>0</v>
      </c>
      <c r="AP91" s="71">
        <f t="shared" si="274"/>
        <v>0</v>
      </c>
      <c r="AQ91" s="71">
        <f t="shared" si="274"/>
        <v>0</v>
      </c>
      <c r="AR91" s="71">
        <f t="shared" si="274"/>
        <v>0</v>
      </c>
      <c r="AS91" s="71">
        <f t="shared" si="274"/>
        <v>0</v>
      </c>
      <c r="AT91" s="71">
        <f t="shared" si="274"/>
        <v>63192552.437144689</v>
      </c>
      <c r="AU91" s="71">
        <f t="shared" si="274"/>
        <v>0</v>
      </c>
      <c r="AV91" s="71">
        <f t="shared" si="274"/>
        <v>0</v>
      </c>
      <c r="AW91" s="71">
        <f t="shared" si="274"/>
        <v>0</v>
      </c>
      <c r="AX91" s="71">
        <f t="shared" si="274"/>
        <v>0</v>
      </c>
      <c r="AY91" s="71">
        <f t="shared" si="274"/>
        <v>0</v>
      </c>
      <c r="AZ91" s="71">
        <f t="shared" si="274"/>
        <v>84256736.582859591</v>
      </c>
      <c r="BA91" s="71">
        <f t="shared" si="274"/>
        <v>0</v>
      </c>
      <c r="BB91" s="71">
        <f t="shared" si="274"/>
        <v>0</v>
      </c>
      <c r="BC91" s="71">
        <f t="shared" si="274"/>
        <v>0</v>
      </c>
      <c r="BD91" s="71">
        <f t="shared" si="274"/>
        <v>0</v>
      </c>
      <c r="BE91" s="71">
        <f t="shared" si="274"/>
        <v>0</v>
      </c>
      <c r="BF91" s="71">
        <f t="shared" si="274"/>
        <v>0</v>
      </c>
      <c r="BG91" s="71">
        <f t="shared" si="274"/>
        <v>0</v>
      </c>
      <c r="BH91" s="71">
        <f t="shared" si="274"/>
        <v>0</v>
      </c>
      <c r="BI91" s="71">
        <f t="shared" si="274"/>
        <v>0</v>
      </c>
      <c r="BJ91" s="71">
        <f t="shared" si="274"/>
        <v>0</v>
      </c>
      <c r="BK91" s="71">
        <f t="shared" si="274"/>
        <v>0</v>
      </c>
      <c r="BL91" s="71">
        <f t="shared" si="274"/>
        <v>0</v>
      </c>
      <c r="BM91" s="71">
        <f t="shared" si="274"/>
        <v>0</v>
      </c>
      <c r="BN91" s="71">
        <f t="shared" si="274"/>
        <v>0</v>
      </c>
      <c r="BO91" s="71">
        <f t="shared" si="274"/>
        <v>0</v>
      </c>
      <c r="BP91" s="71">
        <f t="shared" si="274"/>
        <v>0</v>
      </c>
      <c r="BQ91" s="71">
        <f t="shared" si="274"/>
        <v>0</v>
      </c>
      <c r="BR91" s="71">
        <f t="shared" si="274"/>
        <v>0</v>
      </c>
      <c r="BS91" s="71">
        <f t="shared" ref="BS91:CK91" si="275">SUM(BS88:BS90)</f>
        <v>0</v>
      </c>
      <c r="BT91" s="71">
        <f t="shared" si="275"/>
        <v>0</v>
      </c>
      <c r="BU91" s="71">
        <f t="shared" si="275"/>
        <v>0</v>
      </c>
      <c r="BV91" s="71">
        <f t="shared" si="275"/>
        <v>0</v>
      </c>
      <c r="BW91" s="71">
        <f t="shared" si="275"/>
        <v>0</v>
      </c>
      <c r="BX91" s="71">
        <f t="shared" si="275"/>
        <v>0</v>
      </c>
      <c r="BY91" s="71">
        <f t="shared" si="275"/>
        <v>0</v>
      </c>
      <c r="BZ91" s="71">
        <f t="shared" si="275"/>
        <v>0</v>
      </c>
      <c r="CA91" s="71">
        <f t="shared" si="275"/>
        <v>0</v>
      </c>
      <c r="CB91" s="71">
        <f t="shared" si="275"/>
        <v>0</v>
      </c>
      <c r="CC91" s="71">
        <f t="shared" si="275"/>
        <v>0</v>
      </c>
      <c r="CD91" s="71">
        <f t="shared" si="275"/>
        <v>0</v>
      </c>
      <c r="CE91" s="71">
        <f t="shared" si="275"/>
        <v>0</v>
      </c>
      <c r="CF91" s="71">
        <f t="shared" si="275"/>
        <v>0</v>
      </c>
      <c r="CG91" s="71">
        <f t="shared" si="275"/>
        <v>0</v>
      </c>
      <c r="CH91" s="71">
        <f t="shared" si="275"/>
        <v>0</v>
      </c>
      <c r="CI91" s="71">
        <f t="shared" si="275"/>
        <v>0</v>
      </c>
      <c r="CJ91" s="71">
        <f t="shared" si="275"/>
        <v>0</v>
      </c>
      <c r="CK91" s="71">
        <f t="shared" si="275"/>
        <v>0</v>
      </c>
    </row>
    <row r="92" spans="3:89" outlineLevel="1" x14ac:dyDescent="0.25">
      <c r="C92" s="98"/>
      <c r="E92" s="27"/>
      <c r="K92" s="58"/>
    </row>
    <row r="93" spans="3:89" outlineLevel="1" x14ac:dyDescent="0.25">
      <c r="C93" s="66" t="s">
        <v>116</v>
      </c>
      <c r="D93" s="13" t="s">
        <v>24</v>
      </c>
      <c r="E93" s="47"/>
      <c r="F93" s="72">
        <f>+F81+F86+F91</f>
        <v>4755775.9829366729</v>
      </c>
      <c r="G93" s="72">
        <f t="shared" ref="G93:BR93" si="276">+G81+G86+G91</f>
        <v>4765572.1027975734</v>
      </c>
      <c r="H93" s="72">
        <f t="shared" si="276"/>
        <v>4775388.401061466</v>
      </c>
      <c r="I93" s="72">
        <f t="shared" si="276"/>
        <v>4785224.9192925589</v>
      </c>
      <c r="J93" s="72">
        <f t="shared" si="276"/>
        <v>4795081.6991406735</v>
      </c>
      <c r="K93" s="72">
        <f t="shared" si="276"/>
        <v>4804958.7823414225</v>
      </c>
      <c r="L93" s="72">
        <f t="shared" si="276"/>
        <v>4814856.2107163882</v>
      </c>
      <c r="M93" s="72">
        <f t="shared" si="276"/>
        <v>9752021.129008688</v>
      </c>
      <c r="N93" s="72">
        <f t="shared" si="276"/>
        <v>9772108.6958344914</v>
      </c>
      <c r="O93" s="72">
        <f t="shared" si="276"/>
        <v>9792237.639759019</v>
      </c>
      <c r="P93" s="72">
        <f t="shared" si="276"/>
        <v>4957757.8306034189</v>
      </c>
      <c r="Q93" s="72">
        <f t="shared" si="276"/>
        <v>4967969.9999999935</v>
      </c>
      <c r="R93" s="72">
        <f t="shared" si="276"/>
        <v>4978203.204793484</v>
      </c>
      <c r="S93" s="72">
        <f t="shared" si="276"/>
        <v>4988457.4883133648</v>
      </c>
      <c r="T93" s="72">
        <f t="shared" si="276"/>
        <v>10205385.353737453</v>
      </c>
      <c r="U93" s="72">
        <f t="shared" si="276"/>
        <v>10226406.776636804</v>
      </c>
      <c r="V93" s="72">
        <f t="shared" si="276"/>
        <v>10247471.500225484</v>
      </c>
      <c r="W93" s="72">
        <f t="shared" si="276"/>
        <v>10268579.61369583</v>
      </c>
      <c r="X93" s="72">
        <f t="shared" si="276"/>
        <v>5249684.5968257692</v>
      </c>
      <c r="Y93" s="72">
        <f t="shared" si="276"/>
        <v>5260498.0875635454</v>
      </c>
      <c r="Z93" s="72">
        <f t="shared" si="276"/>
        <v>5271333.8523217477</v>
      </c>
      <c r="AA93" s="72">
        <f t="shared" si="276"/>
        <v>5282191.9369812096</v>
      </c>
      <c r="AB93" s="72">
        <f t="shared" si="276"/>
        <v>5293072.3875172753</v>
      </c>
      <c r="AC93" s="72">
        <f t="shared" si="276"/>
        <v>5303975.249999986</v>
      </c>
      <c r="AD93" s="72">
        <f t="shared" si="276"/>
        <v>5314900.5705942838</v>
      </c>
      <c r="AE93" s="72">
        <f t="shared" si="276"/>
        <v>5325848.3955602022</v>
      </c>
      <c r="AF93" s="72">
        <f t="shared" si="276"/>
        <v>48001015.38156192</v>
      </c>
      <c r="AG93" s="72">
        <f t="shared" si="276"/>
        <v>0</v>
      </c>
      <c r="AH93" s="72">
        <f t="shared" si="276"/>
        <v>0</v>
      </c>
      <c r="AI93" s="72">
        <f t="shared" si="276"/>
        <v>0</v>
      </c>
      <c r="AJ93" s="72">
        <f t="shared" si="276"/>
        <v>0</v>
      </c>
      <c r="AK93" s="72">
        <f t="shared" si="276"/>
        <v>0</v>
      </c>
      <c r="AL93" s="72">
        <f t="shared" si="276"/>
        <v>0</v>
      </c>
      <c r="AM93" s="72">
        <f t="shared" si="276"/>
        <v>54761394.589552186</v>
      </c>
      <c r="AN93" s="72">
        <f t="shared" si="276"/>
        <v>0</v>
      </c>
      <c r="AO93" s="72">
        <f t="shared" si="276"/>
        <v>0</v>
      </c>
      <c r="AP93" s="72">
        <f t="shared" si="276"/>
        <v>0</v>
      </c>
      <c r="AQ93" s="72">
        <f t="shared" si="276"/>
        <v>0</v>
      </c>
      <c r="AR93" s="72">
        <f t="shared" si="276"/>
        <v>0</v>
      </c>
      <c r="AS93" s="72">
        <f t="shared" si="276"/>
        <v>0</v>
      </c>
      <c r="AT93" s="72">
        <f t="shared" si="276"/>
        <v>63192552.437144689</v>
      </c>
      <c r="AU93" s="72">
        <f t="shared" si="276"/>
        <v>0</v>
      </c>
      <c r="AV93" s="72">
        <f t="shared" si="276"/>
        <v>0</v>
      </c>
      <c r="AW93" s="72">
        <f t="shared" si="276"/>
        <v>0</v>
      </c>
      <c r="AX93" s="72">
        <f t="shared" si="276"/>
        <v>0</v>
      </c>
      <c r="AY93" s="72">
        <f t="shared" si="276"/>
        <v>0</v>
      </c>
      <c r="AZ93" s="72">
        <f t="shared" si="276"/>
        <v>221273283.21101171</v>
      </c>
      <c r="BA93" s="72">
        <f t="shared" si="276"/>
        <v>0</v>
      </c>
      <c r="BB93" s="72">
        <f t="shared" si="276"/>
        <v>0</v>
      </c>
      <c r="BC93" s="72">
        <f t="shared" si="276"/>
        <v>0</v>
      </c>
      <c r="BD93" s="72">
        <f t="shared" si="276"/>
        <v>0</v>
      </c>
      <c r="BE93" s="72">
        <f t="shared" si="276"/>
        <v>0</v>
      </c>
      <c r="BF93" s="72">
        <f t="shared" si="276"/>
        <v>0</v>
      </c>
      <c r="BG93" s="72">
        <f t="shared" si="276"/>
        <v>0</v>
      </c>
      <c r="BH93" s="72">
        <f t="shared" si="276"/>
        <v>0</v>
      </c>
      <c r="BI93" s="72">
        <f t="shared" si="276"/>
        <v>0</v>
      </c>
      <c r="BJ93" s="72">
        <f t="shared" si="276"/>
        <v>0</v>
      </c>
      <c r="BK93" s="72">
        <f t="shared" si="276"/>
        <v>0</v>
      </c>
      <c r="BL93" s="72">
        <f t="shared" si="276"/>
        <v>0</v>
      </c>
      <c r="BM93" s="72">
        <f t="shared" si="276"/>
        <v>0</v>
      </c>
      <c r="BN93" s="72">
        <f t="shared" si="276"/>
        <v>0</v>
      </c>
      <c r="BO93" s="72">
        <f t="shared" si="276"/>
        <v>0</v>
      </c>
      <c r="BP93" s="72">
        <f t="shared" si="276"/>
        <v>0</v>
      </c>
      <c r="BQ93" s="72">
        <f t="shared" si="276"/>
        <v>0</v>
      </c>
      <c r="BR93" s="72">
        <f t="shared" si="276"/>
        <v>0</v>
      </c>
      <c r="BS93" s="72">
        <f t="shared" ref="BS93:CK93" si="277">+BS81+BS86+BS91</f>
        <v>0</v>
      </c>
      <c r="BT93" s="72">
        <f t="shared" si="277"/>
        <v>0</v>
      </c>
      <c r="BU93" s="72">
        <f t="shared" si="277"/>
        <v>0</v>
      </c>
      <c r="BV93" s="72">
        <f t="shared" si="277"/>
        <v>0</v>
      </c>
      <c r="BW93" s="72">
        <f t="shared" si="277"/>
        <v>0</v>
      </c>
      <c r="BX93" s="72">
        <f t="shared" si="277"/>
        <v>0</v>
      </c>
      <c r="BY93" s="72">
        <f t="shared" si="277"/>
        <v>0</v>
      </c>
      <c r="BZ93" s="72">
        <f t="shared" si="277"/>
        <v>0</v>
      </c>
      <c r="CA93" s="72">
        <f t="shared" si="277"/>
        <v>0</v>
      </c>
      <c r="CB93" s="72">
        <f t="shared" si="277"/>
        <v>0</v>
      </c>
      <c r="CC93" s="72">
        <f t="shared" si="277"/>
        <v>0</v>
      </c>
      <c r="CD93" s="72">
        <f t="shared" si="277"/>
        <v>0</v>
      </c>
      <c r="CE93" s="72">
        <f t="shared" si="277"/>
        <v>0</v>
      </c>
      <c r="CF93" s="72">
        <f t="shared" si="277"/>
        <v>0</v>
      </c>
      <c r="CG93" s="72">
        <f t="shared" si="277"/>
        <v>0</v>
      </c>
      <c r="CH93" s="72">
        <f t="shared" si="277"/>
        <v>0</v>
      </c>
      <c r="CI93" s="72">
        <f t="shared" si="277"/>
        <v>0</v>
      </c>
      <c r="CJ93" s="72">
        <f t="shared" si="277"/>
        <v>0</v>
      </c>
      <c r="CK93" s="72">
        <f t="shared" si="277"/>
        <v>0</v>
      </c>
    </row>
    <row r="94" spans="3:89" outlineLevel="1" x14ac:dyDescent="0.25">
      <c r="E94" s="38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</row>
    <row r="95" spans="3:89" outlineLevel="1" x14ac:dyDescent="0.25">
      <c r="C95" s="66" t="s">
        <v>71</v>
      </c>
      <c r="K95" s="58"/>
    </row>
    <row r="96" spans="3:89" outlineLevel="1" x14ac:dyDescent="0.25">
      <c r="C96" s="45" t="s">
        <v>150</v>
      </c>
      <c r="D96" s="13" t="s">
        <v>24</v>
      </c>
      <c r="E96" s="38"/>
      <c r="F96" s="68">
        <f>IF(OR(F57=Constr,F65=Constr,F73=Constr),-Gross_Area*Hard_Costs_per_Sq_M*'Monthly-CF'!F$47/Total_Constr_Months,0)</f>
        <v>0</v>
      </c>
      <c r="G96" s="68">
        <f>IF(OR(G57=Constr,G65=Constr,G73=Constr),-Gross_Area*Hard_Costs_per_Sq_M*'Monthly-CF'!G$47/Total_Constr_Months,0)</f>
        <v>0</v>
      </c>
      <c r="H96" s="68">
        <f>IF(OR(H57=Constr,H65=Constr,H73=Constr),-Gross_Area*Hard_Costs_per_Sq_M*'Monthly-CF'!H$47/Total_Constr_Months,0)</f>
        <v>0</v>
      </c>
      <c r="I96" s="68">
        <f>IF(OR(I57=Constr,I65=Constr,I73=Constr),-Gross_Area*Hard_Costs_per_Sq_M*'Monthly-CF'!I$47/Total_Constr_Months,0)</f>
        <v>-8494631.2568562608</v>
      </c>
      <c r="J96" s="68">
        <f>IF(OR(J57=Constr,J65=Constr,J73=Constr),-Gross_Area*Hard_Costs_per_Sq_M*'Monthly-CF'!J$47/Total_Constr_Months,0)</f>
        <v>-8512128.8064180724</v>
      </c>
      <c r="K96" s="68">
        <f>IF(OR(K57=Constr,K65=Constr,K73=Constr),-Gross_Area*Hard_Costs_per_Sq_M*'Monthly-CF'!K$47/Total_Constr_Months,0)</f>
        <v>-8529662.3980671056</v>
      </c>
      <c r="L96" s="68">
        <f>IF(OR(L57=Constr,L65=Constr,L73=Constr),-Gross_Area*Hard_Costs_per_Sq_M*'Monthly-CF'!L$47/Total_Constr_Months,0)</f>
        <v>-8547232.1060441583</v>
      </c>
      <c r="M96" s="68">
        <f>IF(OR(M57=Constr,M65=Constr,M73=Constr),-Gross_Area*Hard_Costs_per_Sq_M*'Monthly-CF'!M$47/Total_Constr_Months,0)</f>
        <v>-8564838.0047429521</v>
      </c>
      <c r="N96" s="68">
        <f>IF(OR(N57=Constr,N65=Constr,N73=Constr),-Gross_Area*Hard_Costs_per_Sq_M*'Monthly-CF'!N$47/Total_Constr_Months,0)</f>
        <v>-8582480.1687104497</v>
      </c>
      <c r="O96" s="68">
        <f>IF(OR(O57=Constr,O65=Constr,O73=Constr),-Gross_Area*Hard_Costs_per_Sq_M*'Monthly-CF'!O$47/Total_Constr_Months,0)</f>
        <v>-8600158.6726471651</v>
      </c>
      <c r="P96" s="68">
        <f>IF(OR(P57=Constr,P65=Constr,P73=Constr),-Gross_Area*Hard_Costs_per_Sq_M*'Monthly-CF'!P$47/Total_Constr_Months,0)</f>
        <v>-8617873.5914074872</v>
      </c>
      <c r="Q96" s="68">
        <f>IF(OR(Q57=Constr,Q65=Constr,Q73=Constr),-Gross_Area*Hard_Costs_per_Sq_M*'Monthly-CF'!Q$47/Total_Constr_Months,0)</f>
        <v>-8635624.999999987</v>
      </c>
      <c r="R96" s="68">
        <f>IF(OR(R57=Constr,R65=Constr,R73=Constr),-Gross_Area*Hard_Costs_per_Sq_M*'Monthly-CF'!R$47/Total_Constr_Months,0)</f>
        <v>-8653412.9735877495</v>
      </c>
      <c r="S96" s="68">
        <f>IF(OR(S57=Constr,S65=Constr,S73=Constr),-Gross_Area*Hard_Costs_per_Sq_M*'Monthly-CF'!S$47/Total_Constr_Months,0)</f>
        <v>-8671237.5874886736</v>
      </c>
      <c r="T96" s="68">
        <f>IF(OR(T57=Constr,T65=Constr,T73=Constr),-Gross_Area*Hard_Costs_per_Sq_M*'Monthly-CF'!T$47/Total_Constr_Months,0)</f>
        <v>-8689098.9171758071</v>
      </c>
      <c r="U96" s="68">
        <f>IF(OR(U57=Constr,U65=Constr,U73=Constr),-Gross_Area*Hard_Costs_per_Sq_M*'Monthly-CF'!U$47/Total_Constr_Months,0)</f>
        <v>-8706997.0382776577</v>
      </c>
      <c r="V96" s="68">
        <f>IF(OR(V57=Constr,V65=Constr,V73=Constr),-Gross_Area*Hard_Costs_per_Sq_M*'Monthly-CF'!V$47/Total_Constr_Months,0)</f>
        <v>-8724932.0265785139</v>
      </c>
      <c r="W96" s="68">
        <f>IF(OR(W57=Constr,W65=Constr,W73=Constr),-Gross_Area*Hard_Costs_per_Sq_M*'Monthly-CF'!W$47/Total_Constr_Months,0)</f>
        <v>-8742903.9580187742</v>
      </c>
      <c r="X96" s="68">
        <f>IF(OR(X57=Constr,X65=Constr,X73=Constr),-Gross_Area*Hard_Costs_per_Sq_M*'Monthly-CF'!X$47/Total_Constr_Months,0)</f>
        <v>-8760912.9086952526</v>
      </c>
      <c r="Y96" s="68">
        <f>IF(OR(Y57=Constr,Y65=Constr,Y73=Constr),-Gross_Area*Hard_Costs_per_Sq_M*'Monthly-CF'!Y$47/Total_Constr_Months,0)</f>
        <v>-8778958.9548615161</v>
      </c>
      <c r="Z96" s="68">
        <f>IF(OR(Z57=Constr,Z65=Constr,Z73=Constr),-Gross_Area*Hard_Costs_per_Sq_M*'Monthly-CF'!Z$47/Total_Constr_Months,0)</f>
        <v>-8797042.1729281992</v>
      </c>
      <c r="AA96" s="68">
        <f>IF(OR(AA57=Constr,AA65=Constr,AA73=Constr),-Gross_Area*Hard_Costs_per_Sq_M*'Monthly-CF'!AA$47/Total_Constr_Months,0)</f>
        <v>-8815162.6394633334</v>
      </c>
      <c r="AB96" s="68">
        <f>IF(OR(AB57=Constr,AB65=Constr,AB73=Constr),-Gross_Area*Hard_Costs_per_Sq_M*'Monthly-CF'!AB$47/Total_Constr_Months,0)</f>
        <v>-8833320.4311926626</v>
      </c>
      <c r="AC96" s="68">
        <f>IF(OR(AC57=Constr,AC65=Constr,AC73=Constr),-Gross_Area*Hard_Costs_per_Sq_M*'Monthly-CF'!AC$47/Total_Constr_Months,0)</f>
        <v>-8851515.6249999758</v>
      </c>
      <c r="AD96" s="68">
        <f>IF(OR(AD57=Constr,AD65=Constr,AD73=Constr),-Gross_Area*Hard_Costs_per_Sq_M*'Monthly-CF'!AD$47/Total_Constr_Months,0)</f>
        <v>-8869748.2979274318</v>
      </c>
      <c r="AE96" s="68">
        <f>IF(OR(AE57=Constr,AE65=Constr,AE73=Constr),-Gross_Area*Hard_Costs_per_Sq_M*'Monthly-CF'!AE$47/Total_Constr_Months,0)</f>
        <v>-8888018.5271758772</v>
      </c>
      <c r="AF96" s="68">
        <f>IF(OR(AF57=Constr,AF65=Constr,AF73=Constr),-Gross_Area*Hard_Costs_per_Sq_M*'Monthly-CF'!AF$47/Total_Constr_Months,0)</f>
        <v>-8906326.3901051879</v>
      </c>
      <c r="AG96" s="68">
        <f>IF(OR(AG57=Constr,AG65=Constr,AG73=Constr),-Gross_Area*Hard_Costs_per_Sq_M*'Monthly-CF'!AG$47/Total_Constr_Months,0)</f>
        <v>-8924671.9642345831</v>
      </c>
      <c r="AH96" s="68">
        <f>IF(OR(AH57=Constr,AH65=Constr,AH73=Constr),-Gross_Area*Hard_Costs_per_Sq_M*'Monthly-CF'!AH$47/Total_Constr_Months,0)</f>
        <v>-8943055.327242963</v>
      </c>
      <c r="AI96" s="68">
        <f>IF(OR(AI57=Constr,AI65=Constr,AI73=Constr),-Gross_Area*Hard_Costs_per_Sq_M*'Monthly-CF'!AI$47/Total_Constr_Months,0)</f>
        <v>-8961476.5569692273</v>
      </c>
      <c r="AJ96" s="68">
        <f>IF(OR(AJ57=Constr,AJ65=Constr,AJ73=Constr),-Gross_Area*Hard_Costs_per_Sq_M*'Monthly-CF'!AJ$47/Total_Constr_Months,0)</f>
        <v>-8979935.7314126175</v>
      </c>
      <c r="AK96" s="68">
        <f>IF(OR(AK57=Constr,AK65=Constr,AK73=Constr),-Gross_Area*Hard_Costs_per_Sq_M*'Monthly-CF'!AK$47/Total_Constr_Months,0)</f>
        <v>-8998432.9287330396</v>
      </c>
      <c r="AL96" s="68">
        <f>IF(OR(AL57=Constr,AL65=Constr,AL73=Constr),-Gross_Area*Hard_Costs_per_Sq_M*'Monthly-CF'!AL$47/Total_Constr_Months,0)</f>
        <v>-9016968.22725139</v>
      </c>
      <c r="AM96" s="68">
        <f>IF(OR(AM57=Constr,AM65=Constr,AM73=Constr),-Gross_Area*Hard_Costs_per_Sq_M*'Monthly-CF'!AM$47/Total_Constr_Months,0)</f>
        <v>-9035541.7054499034</v>
      </c>
      <c r="AN96" s="68">
        <f>IF(OR(AN57=Constr,AN65=Constr,AN73=Constr),-Gross_Area*Hard_Costs_per_Sq_M*'Monthly-CF'!AN$47/Total_Constr_Months,0)</f>
        <v>-9054153.4419724643</v>
      </c>
      <c r="AO96" s="68">
        <f>IF(OR(AO57=Constr,AO65=Constr,AO73=Constr),-Gross_Area*Hard_Costs_per_Sq_M*'Monthly-CF'!AO$47/Total_Constr_Months,0)</f>
        <v>-9072803.5156249609</v>
      </c>
      <c r="AP96" s="68">
        <f>IF(OR(AP57=Constr,AP65=Constr,AP73=Constr),-Gross_Area*Hard_Costs_per_Sq_M*'Monthly-CF'!AP$47/Total_Constr_Months,0)</f>
        <v>-9091492.0053756032</v>
      </c>
      <c r="AQ96" s="68">
        <f>IF(OR(AQ57=Constr,AQ65=Constr,AQ73=Constr),-Gross_Area*Hard_Costs_per_Sq_M*'Monthly-CF'!AQ$47/Total_Constr_Months,0)</f>
        <v>-9110218.9903552588</v>
      </c>
      <c r="AR96" s="68">
        <f>IF(OR(AR57=Constr,AR65=Constr,AR73=Constr),-Gross_Area*Hard_Costs_per_Sq_M*'Monthly-CF'!AR$47/Total_Constr_Months,0)</f>
        <v>-9128984.5498578046</v>
      </c>
      <c r="AS96" s="68">
        <f>IF(OR(AS57=Constr,AS65=Constr,AS73=Constr),-Gross_Area*Hard_Costs_per_Sq_M*'Monthly-CF'!AS$47/Total_Constr_Months,0)</f>
        <v>-9147788.7633404359</v>
      </c>
      <c r="AT96" s="68">
        <f>IF(OR(AT57=Constr,AT65=Constr,AT73=Constr),-Gross_Area*Hard_Costs_per_Sq_M*'Monthly-CF'!AT$47/Total_Constr_Months,0)</f>
        <v>-9166631.7104240227</v>
      </c>
      <c r="AU96" s="68">
        <f>IF(OR(AU57=Constr,AU65=Constr,AU73=Constr),-Gross_Area*Hard_Costs_per_Sq_M*'Monthly-CF'!AU$47/Total_Constr_Months,0)</f>
        <v>0</v>
      </c>
      <c r="AV96" s="68">
        <f>IF(OR(AV57=Constr,AV65=Constr,AV73=Constr),-Gross_Area*Hard_Costs_per_Sq_M*'Monthly-CF'!AV$47/Total_Constr_Months,0)</f>
        <v>0</v>
      </c>
      <c r="AW96" s="68">
        <f>IF(OR(AW57=Constr,AW65=Constr,AW73=Constr),-Gross_Area*Hard_Costs_per_Sq_M*'Monthly-CF'!AW$47/Total_Constr_Months,0)</f>
        <v>0</v>
      </c>
      <c r="AX96" s="68">
        <f>IF(OR(AX57=Constr,AX65=Constr,AX73=Constr),-Gross_Area*Hard_Costs_per_Sq_M*'Monthly-CF'!AX$47/Total_Constr_Months,0)</f>
        <v>0</v>
      </c>
      <c r="AY96" s="68">
        <f>IF(OR(AY57=Constr,AY65=Constr,AY73=Constr),-Gross_Area*Hard_Costs_per_Sq_M*'Monthly-CF'!AY$47/Total_Constr_Months,0)</f>
        <v>0</v>
      </c>
      <c r="AZ96" s="68">
        <f>IF(OR(AZ57=Constr,AZ65=Constr,AZ73=Constr),-Gross_Area*Hard_Costs_per_Sq_M*'Monthly-CF'!AZ$47/Total_Constr_Months,0)</f>
        <v>0</v>
      </c>
      <c r="BA96" s="68">
        <f>IF(OR(BA57=Constr,BA65=Constr,BA73=Constr),-Gross_Area*Hard_Costs_per_Sq_M*'Monthly-CF'!BA$47/Total_Constr_Months,0)</f>
        <v>0</v>
      </c>
      <c r="BB96" s="68">
        <f>IF(OR(BB57=Constr,BB65=Constr,BB73=Constr),-Gross_Area*Hard_Costs_per_Sq_M*'Monthly-CF'!BB$47/Total_Constr_Months,0)</f>
        <v>0</v>
      </c>
      <c r="BC96" s="68">
        <f>IF(OR(BC57=Constr,BC65=Constr,BC73=Constr),-Gross_Area*Hard_Costs_per_Sq_M*'Monthly-CF'!BC$47/Total_Constr_Months,0)</f>
        <v>0</v>
      </c>
      <c r="BD96" s="68">
        <f>IF(OR(BD57=Constr,BD65=Constr,BD73=Constr),-Gross_Area*Hard_Costs_per_Sq_M*'Monthly-CF'!BD$47/Total_Constr_Months,0)</f>
        <v>0</v>
      </c>
      <c r="BE96" s="68">
        <f>IF(OR(BE57=Constr,BE65=Constr,BE73=Constr),-Gross_Area*Hard_Costs_per_Sq_M*'Monthly-CF'!BE$47/Total_Constr_Months,0)</f>
        <v>0</v>
      </c>
      <c r="BF96" s="68">
        <f>IF(OR(BF57=Constr,BF65=Constr,BF73=Constr),-Gross_Area*Hard_Costs_per_Sq_M*'Monthly-CF'!BF$47/Total_Constr_Months,0)</f>
        <v>0</v>
      </c>
      <c r="BG96" s="68">
        <f>IF(OR(BG57=Constr,BG65=Constr,BG73=Constr),-Gross_Area*Hard_Costs_per_Sq_M*'Monthly-CF'!BG$47/Total_Constr_Months,0)</f>
        <v>0</v>
      </c>
      <c r="BH96" s="68">
        <f>IF(OR(BH57=Constr,BH65=Constr,BH73=Constr),-Gross_Area*Hard_Costs_per_Sq_M*'Monthly-CF'!BH$47/Total_Constr_Months,0)</f>
        <v>0</v>
      </c>
      <c r="BI96" s="68">
        <f>IF(OR(BI57=Constr,BI65=Constr,BI73=Constr),-Gross_Area*Hard_Costs_per_Sq_M*'Monthly-CF'!BI$47/Total_Constr_Months,0)</f>
        <v>0</v>
      </c>
      <c r="BJ96" s="68">
        <f>IF(OR(BJ57=Constr,BJ65=Constr,BJ73=Constr),-Gross_Area*Hard_Costs_per_Sq_M*'Monthly-CF'!BJ$47/Total_Constr_Months,0)</f>
        <v>0</v>
      </c>
      <c r="BK96" s="68">
        <f>IF(OR(BK57=Constr,BK65=Constr,BK73=Constr),-Gross_Area*Hard_Costs_per_Sq_M*'Monthly-CF'!BK$47/Total_Constr_Months,0)</f>
        <v>0</v>
      </c>
      <c r="BL96" s="68">
        <f>IF(OR(BL57=Constr,BL65=Constr,BL73=Constr),-Gross_Area*Hard_Costs_per_Sq_M*'Monthly-CF'!BL$47/Total_Constr_Months,0)</f>
        <v>0</v>
      </c>
      <c r="BM96" s="68">
        <f>IF(OR(BM57=Constr,BM65=Constr,BM73=Constr),-Gross_Area*Hard_Costs_per_Sq_M*'Monthly-CF'!BM$47/Total_Constr_Months,0)</f>
        <v>0</v>
      </c>
      <c r="BN96" s="68">
        <f>IF(OR(BN57=Constr,BN65=Constr,BN73=Constr),-Gross_Area*Hard_Costs_per_Sq_M*'Monthly-CF'!BN$47/Total_Constr_Months,0)</f>
        <v>0</v>
      </c>
      <c r="BO96" s="68">
        <f>IF(OR(BO57=Constr,BO65=Constr,BO73=Constr),-Gross_Area*Hard_Costs_per_Sq_M*'Monthly-CF'!BO$47/Total_Constr_Months,0)</f>
        <v>0</v>
      </c>
      <c r="BP96" s="68">
        <f>IF(OR(BP57=Constr,BP65=Constr,BP73=Constr),-Gross_Area*Hard_Costs_per_Sq_M*'Monthly-CF'!BP$47/Total_Constr_Months,0)</f>
        <v>0</v>
      </c>
      <c r="BQ96" s="68">
        <f>IF(OR(BQ57=Constr,BQ65=Constr,BQ73=Constr),-Gross_Area*Hard_Costs_per_Sq_M*'Monthly-CF'!BQ$47/Total_Constr_Months,0)</f>
        <v>0</v>
      </c>
      <c r="BR96" s="68">
        <f>IF(OR(BR57=Constr,BR65=Constr,BR73=Constr),-Gross_Area*Hard_Costs_per_Sq_M*'Monthly-CF'!BR$47/Total_Constr_Months,0)</f>
        <v>0</v>
      </c>
      <c r="BS96" s="68">
        <f>IF(OR(BS57=Constr,BS65=Constr,BS73=Constr),-Gross_Area*Hard_Costs_per_Sq_M*'Monthly-CF'!BS$47/Total_Constr_Months,0)</f>
        <v>0</v>
      </c>
      <c r="BT96" s="68">
        <f>IF(OR(BT57=Constr,BT65=Constr,BT73=Constr),-Gross_Area*Hard_Costs_per_Sq_M*'Monthly-CF'!BT$47/Total_Constr_Months,0)</f>
        <v>0</v>
      </c>
      <c r="BU96" s="68">
        <f>IF(OR(BU57=Constr,BU65=Constr,BU73=Constr),-Gross_Area*Hard_Costs_per_Sq_M*'Monthly-CF'!BU$47/Total_Constr_Months,0)</f>
        <v>0</v>
      </c>
      <c r="BV96" s="68">
        <f>IF(OR(BV57=Constr,BV65=Constr,BV73=Constr),-Gross_Area*Hard_Costs_per_Sq_M*'Monthly-CF'!BV$47/Total_Constr_Months,0)</f>
        <v>0</v>
      </c>
      <c r="BW96" s="68">
        <f>IF(OR(BW57=Constr,BW65=Constr,BW73=Constr),-Gross_Area*Hard_Costs_per_Sq_M*'Monthly-CF'!BW$47/Total_Constr_Months,0)</f>
        <v>0</v>
      </c>
      <c r="BX96" s="68">
        <f>IF(OR(BX57=Constr,BX65=Constr,BX73=Constr),-Gross_Area*Hard_Costs_per_Sq_M*'Monthly-CF'!BX$47/Total_Constr_Months,0)</f>
        <v>0</v>
      </c>
      <c r="BY96" s="68">
        <f>IF(OR(BY57=Constr,BY65=Constr,BY73=Constr),-Gross_Area*Hard_Costs_per_Sq_M*'Monthly-CF'!BY$47/Total_Constr_Months,0)</f>
        <v>0</v>
      </c>
      <c r="BZ96" s="68">
        <f>IF(OR(BZ57=Constr,BZ65=Constr,BZ73=Constr),-Gross_Area*Hard_Costs_per_Sq_M*'Monthly-CF'!BZ$47/Total_Constr_Months,0)</f>
        <v>0</v>
      </c>
      <c r="CA96" s="68">
        <f>IF(OR(CA57=Constr,CA65=Constr,CA73=Constr),-Gross_Area*Hard_Costs_per_Sq_M*'Monthly-CF'!CA$47/Total_Constr_Months,0)</f>
        <v>0</v>
      </c>
      <c r="CB96" s="68">
        <f>IF(OR(CB57=Constr,CB65=Constr,CB73=Constr),-Gross_Area*Hard_Costs_per_Sq_M*'Monthly-CF'!CB$47/Total_Constr_Months,0)</f>
        <v>0</v>
      </c>
      <c r="CC96" s="68">
        <f>IF(OR(CC57=Constr,CC65=Constr,CC73=Constr),-Gross_Area*Hard_Costs_per_Sq_M*'Monthly-CF'!CC$47/Total_Constr_Months,0)</f>
        <v>0</v>
      </c>
      <c r="CD96" s="68">
        <f>IF(OR(CD57=Constr,CD65=Constr,CD73=Constr),-Gross_Area*Hard_Costs_per_Sq_M*'Monthly-CF'!CD$47/Total_Constr_Months,0)</f>
        <v>0</v>
      </c>
      <c r="CE96" s="68">
        <f>IF(OR(CE57=Constr,CE65=Constr,CE73=Constr),-Gross_Area*Hard_Costs_per_Sq_M*'Monthly-CF'!CE$47/Total_Constr_Months,0)</f>
        <v>0</v>
      </c>
      <c r="CF96" s="68">
        <f>IF(OR(CF57=Constr,CF65=Constr,CF73=Constr),-Gross_Area*Hard_Costs_per_Sq_M*'Monthly-CF'!CF$47/Total_Constr_Months,0)</f>
        <v>0</v>
      </c>
      <c r="CG96" s="68">
        <f>IF(OR(CG57=Constr,CG65=Constr,CG73=Constr),-Gross_Area*Hard_Costs_per_Sq_M*'Monthly-CF'!CG$47/Total_Constr_Months,0)</f>
        <v>0</v>
      </c>
      <c r="CH96" s="68">
        <f>IF(OR(CH57=Constr,CH65=Constr,CH73=Constr),-Gross_Area*Hard_Costs_per_Sq_M*'Monthly-CF'!CH$47/Total_Constr_Months,0)</f>
        <v>0</v>
      </c>
      <c r="CI96" s="68">
        <f>IF(OR(CI57=Constr,CI65=Constr,CI73=Constr),-Gross_Area*Hard_Costs_per_Sq_M*'Monthly-CF'!CI$47/Total_Constr_Months,0)</f>
        <v>0</v>
      </c>
      <c r="CJ96" s="68">
        <f>IF(OR(CJ57=Constr,CJ65=Constr,CJ73=Constr),-Gross_Area*Hard_Costs_per_Sq_M*'Monthly-CF'!CJ$47/Total_Constr_Months,0)</f>
        <v>0</v>
      </c>
      <c r="CK96" s="68">
        <f>IF(OR(CK57=Constr,CK65=Constr,CK73=Constr),-Gross_Area*Hard_Costs_per_Sq_M*'Monthly-CF'!CK$47/Total_Constr_Months,0)</f>
        <v>0</v>
      </c>
    </row>
    <row r="97" spans="2:89" outlineLevel="1" x14ac:dyDescent="0.25">
      <c r="C97" s="123" t="s">
        <v>151</v>
      </c>
      <c r="D97" s="13" t="s">
        <v>24</v>
      </c>
      <c r="E97" s="38"/>
      <c r="F97" s="68">
        <f t="shared" ref="F97:AK97" si="278">-F47*F49*Soft_Costs_per_Sq_M*Gross_Area</f>
        <v>-5239887.7908359058</v>
      </c>
      <c r="G97" s="68">
        <f t="shared" si="278"/>
        <v>-1500194.6005021073</v>
      </c>
      <c r="H97" s="68">
        <f t="shared" si="278"/>
        <v>-2254927.1336280652</v>
      </c>
      <c r="I97" s="68">
        <f t="shared" si="278"/>
        <v>-753190.63810792181</v>
      </c>
      <c r="J97" s="68">
        <f t="shared" si="278"/>
        <v>-1509484.175004805</v>
      </c>
      <c r="K97" s="68">
        <f t="shared" si="278"/>
        <v>-756296.73262861662</v>
      </c>
      <c r="L97" s="68">
        <f t="shared" si="278"/>
        <v>-6062836.6405539885</v>
      </c>
      <c r="M97" s="68">
        <f t="shared" si="278"/>
        <v>-3037662.5456821672</v>
      </c>
      <c r="N97" s="68">
        <f t="shared" si="278"/>
        <v>-1521959.8165846532</v>
      </c>
      <c r="O97" s="68">
        <f t="shared" si="278"/>
        <v>-2287642.2069241456</v>
      </c>
      <c r="P97" s="68">
        <f t="shared" si="278"/>
        <v>-764118.12510479707</v>
      </c>
      <c r="Q97" s="68">
        <f t="shared" si="278"/>
        <v>-3828460.4166666614</v>
      </c>
      <c r="R97" s="68">
        <f t="shared" si="278"/>
        <v>-767269.2836581138</v>
      </c>
      <c r="S97" s="68">
        <f t="shared" si="278"/>
        <v>-1537699.465514658</v>
      </c>
      <c r="T97" s="68">
        <f t="shared" si="278"/>
        <v>-770433.43732292147</v>
      </c>
      <c r="U97" s="68">
        <f t="shared" si="278"/>
        <v>-772020.40406061907</v>
      </c>
      <c r="V97" s="68">
        <f t="shared" si="278"/>
        <v>-2320831.9190698848</v>
      </c>
      <c r="W97" s="68">
        <f t="shared" si="278"/>
        <v>-1550408.3018886624</v>
      </c>
      <c r="X97" s="68">
        <f t="shared" si="278"/>
        <v>-3107203.7782839164</v>
      </c>
      <c r="Y97" s="68">
        <f t="shared" si="278"/>
        <v>-778401.02733105433</v>
      </c>
      <c r="Z97" s="68">
        <f t="shared" si="278"/>
        <v>-780004.40599963372</v>
      </c>
      <c r="AA97" s="68">
        <f t="shared" si="278"/>
        <v>-2344833.2620972465</v>
      </c>
      <c r="AB97" s="68">
        <f t="shared" si="278"/>
        <v>-1566442.1564648326</v>
      </c>
      <c r="AC97" s="68">
        <f t="shared" si="278"/>
        <v>-1569668.7708333291</v>
      </c>
      <c r="AD97" s="68">
        <f t="shared" si="278"/>
        <v>-5505157.1102469591</v>
      </c>
      <c r="AE97" s="68">
        <f t="shared" si="278"/>
        <v>-1576141.952152522</v>
      </c>
      <c r="AF97" s="68">
        <f t="shared" si="278"/>
        <v>-2369082.8197679799</v>
      </c>
      <c r="AG97" s="68">
        <f t="shared" si="278"/>
        <v>-2373962.7424863987</v>
      </c>
      <c r="AH97" s="68">
        <f t="shared" si="278"/>
        <v>-1585901.8113644186</v>
      </c>
      <c r="AI97" s="68">
        <f t="shared" si="278"/>
        <v>-794584.25471793814</v>
      </c>
      <c r="AJ97" s="68">
        <f t="shared" si="278"/>
        <v>-796220.96818525216</v>
      </c>
      <c r="AK97" s="68">
        <f t="shared" si="278"/>
        <v>-1595722.1060286586</v>
      </c>
      <c r="AL97" s="68">
        <f t="shared" ref="AL97:BQ97" si="279">-AL47*AL49*Soft_Costs_per_Sq_M*Gross_Area</f>
        <v>-3198018.0645984928</v>
      </c>
      <c r="AM97" s="68">
        <f t="shared" si="279"/>
        <v>-801151.36454989121</v>
      </c>
      <c r="AN97" s="68">
        <f t="shared" si="279"/>
        <v>-802801.60518822516</v>
      </c>
      <c r="AO97" s="68">
        <f t="shared" si="279"/>
        <v>-804455.24505207979</v>
      </c>
      <c r="AP97" s="68">
        <f t="shared" si="279"/>
        <v>0</v>
      </c>
      <c r="AQ97" s="68">
        <f t="shared" si="279"/>
        <v>0</v>
      </c>
      <c r="AR97" s="68">
        <f t="shared" si="279"/>
        <v>0</v>
      </c>
      <c r="AS97" s="68">
        <f t="shared" si="279"/>
        <v>0</v>
      </c>
      <c r="AT97" s="68">
        <f t="shared" si="279"/>
        <v>0</v>
      </c>
      <c r="AU97" s="68">
        <f t="shared" si="279"/>
        <v>0</v>
      </c>
      <c r="AV97" s="68">
        <f t="shared" si="279"/>
        <v>0</v>
      </c>
      <c r="AW97" s="68">
        <f t="shared" si="279"/>
        <v>0</v>
      </c>
      <c r="AX97" s="68">
        <f t="shared" si="279"/>
        <v>0</v>
      </c>
      <c r="AY97" s="68">
        <f t="shared" si="279"/>
        <v>0</v>
      </c>
      <c r="AZ97" s="68">
        <f t="shared" si="279"/>
        <v>-8228716.4531792691</v>
      </c>
      <c r="BA97" s="68">
        <f t="shared" si="279"/>
        <v>0</v>
      </c>
      <c r="BB97" s="68">
        <f t="shared" si="279"/>
        <v>0</v>
      </c>
      <c r="BC97" s="68">
        <f t="shared" si="279"/>
        <v>0</v>
      </c>
      <c r="BD97" s="68">
        <f t="shared" si="279"/>
        <v>0</v>
      </c>
      <c r="BE97" s="68">
        <f t="shared" si="279"/>
        <v>0</v>
      </c>
      <c r="BF97" s="68">
        <f t="shared" si="279"/>
        <v>0</v>
      </c>
      <c r="BG97" s="68">
        <f t="shared" si="279"/>
        <v>0</v>
      </c>
      <c r="BH97" s="68">
        <f t="shared" si="279"/>
        <v>0</v>
      </c>
      <c r="BI97" s="68">
        <f t="shared" si="279"/>
        <v>0</v>
      </c>
      <c r="BJ97" s="68">
        <f t="shared" si="279"/>
        <v>0</v>
      </c>
      <c r="BK97" s="68">
        <f t="shared" si="279"/>
        <v>0</v>
      </c>
      <c r="BL97" s="68">
        <f t="shared" si="279"/>
        <v>0</v>
      </c>
      <c r="BM97" s="68">
        <f t="shared" si="279"/>
        <v>0</v>
      </c>
      <c r="BN97" s="68">
        <f t="shared" si="279"/>
        <v>0</v>
      </c>
      <c r="BO97" s="68">
        <f t="shared" si="279"/>
        <v>0</v>
      </c>
      <c r="BP97" s="68">
        <f t="shared" si="279"/>
        <v>0</v>
      </c>
      <c r="BQ97" s="68">
        <f t="shared" si="279"/>
        <v>0</v>
      </c>
      <c r="BR97" s="68">
        <f t="shared" ref="BR97:CK97" si="280">-BR47*BR49*Soft_Costs_per_Sq_M*Gross_Area</f>
        <v>0</v>
      </c>
      <c r="BS97" s="68">
        <f t="shared" si="280"/>
        <v>0</v>
      </c>
      <c r="BT97" s="68">
        <f t="shared" si="280"/>
        <v>0</v>
      </c>
      <c r="BU97" s="68">
        <f t="shared" si="280"/>
        <v>0</v>
      </c>
      <c r="BV97" s="68">
        <f t="shared" si="280"/>
        <v>0</v>
      </c>
      <c r="BW97" s="68">
        <f t="shared" si="280"/>
        <v>0</v>
      </c>
      <c r="BX97" s="68">
        <f t="shared" si="280"/>
        <v>0</v>
      </c>
      <c r="BY97" s="68">
        <f t="shared" si="280"/>
        <v>0</v>
      </c>
      <c r="BZ97" s="68">
        <f t="shared" si="280"/>
        <v>0</v>
      </c>
      <c r="CA97" s="68">
        <f t="shared" si="280"/>
        <v>0</v>
      </c>
      <c r="CB97" s="68">
        <f t="shared" si="280"/>
        <v>0</v>
      </c>
      <c r="CC97" s="68">
        <f t="shared" si="280"/>
        <v>0</v>
      </c>
      <c r="CD97" s="68">
        <f t="shared" si="280"/>
        <v>0</v>
      </c>
      <c r="CE97" s="68">
        <f t="shared" si="280"/>
        <v>0</v>
      </c>
      <c r="CF97" s="68">
        <f t="shared" si="280"/>
        <v>0</v>
      </c>
      <c r="CG97" s="68">
        <f t="shared" si="280"/>
        <v>0</v>
      </c>
      <c r="CH97" s="68">
        <f t="shared" si="280"/>
        <v>0</v>
      </c>
      <c r="CI97" s="68">
        <f t="shared" si="280"/>
        <v>0</v>
      </c>
      <c r="CJ97" s="68">
        <f t="shared" si="280"/>
        <v>0</v>
      </c>
      <c r="CK97" s="68">
        <f t="shared" si="280"/>
        <v>0</v>
      </c>
    </row>
    <row r="98" spans="2:89" outlineLevel="1" x14ac:dyDescent="0.25">
      <c r="C98" s="123" t="s">
        <v>183</v>
      </c>
      <c r="D98" s="50" t="s">
        <v>24</v>
      </c>
      <c r="E98" s="38"/>
      <c r="F98" s="68">
        <f t="shared" ref="F98:AK98" si="281">-F93*FFE_Move_In_Cost_Pct</f>
        <v>-475577.59829366731</v>
      </c>
      <c r="G98" s="68">
        <f t="shared" si="281"/>
        <v>-476557.21027975739</v>
      </c>
      <c r="H98" s="68">
        <f t="shared" si="281"/>
        <v>-477538.84010614664</v>
      </c>
      <c r="I98" s="68">
        <f t="shared" si="281"/>
        <v>-478522.49192925589</v>
      </c>
      <c r="J98" s="68">
        <f t="shared" si="281"/>
        <v>-479508.16991406737</v>
      </c>
      <c r="K98" s="68">
        <f t="shared" si="281"/>
        <v>-480495.87823414226</v>
      </c>
      <c r="L98" s="68">
        <f t="shared" si="281"/>
        <v>-481485.62107163883</v>
      </c>
      <c r="M98" s="68">
        <f t="shared" si="281"/>
        <v>-975202.11290086887</v>
      </c>
      <c r="N98" s="68">
        <f t="shared" si="281"/>
        <v>-977210.86958344921</v>
      </c>
      <c r="O98" s="68">
        <f t="shared" si="281"/>
        <v>-979223.76397590199</v>
      </c>
      <c r="P98" s="68">
        <f t="shared" si="281"/>
        <v>-495775.7830603419</v>
      </c>
      <c r="Q98" s="68">
        <f t="shared" si="281"/>
        <v>-496796.99999999936</v>
      </c>
      <c r="R98" s="68">
        <f t="shared" si="281"/>
        <v>-497820.32047934842</v>
      </c>
      <c r="S98" s="68">
        <f t="shared" si="281"/>
        <v>-498845.7488313365</v>
      </c>
      <c r="T98" s="68">
        <f t="shared" si="281"/>
        <v>-1020538.5353737454</v>
      </c>
      <c r="U98" s="68">
        <f t="shared" si="281"/>
        <v>-1022640.6776636804</v>
      </c>
      <c r="V98" s="68">
        <f t="shared" si="281"/>
        <v>-1024747.1500225485</v>
      </c>
      <c r="W98" s="68">
        <f t="shared" si="281"/>
        <v>-1026857.961369583</v>
      </c>
      <c r="X98" s="68">
        <f t="shared" si="281"/>
        <v>-524968.45968257694</v>
      </c>
      <c r="Y98" s="68">
        <f t="shared" si="281"/>
        <v>-526049.80875635461</v>
      </c>
      <c r="Z98" s="68">
        <f t="shared" si="281"/>
        <v>-527133.38523217477</v>
      </c>
      <c r="AA98" s="68">
        <f t="shared" si="281"/>
        <v>-528219.193698121</v>
      </c>
      <c r="AB98" s="68">
        <f t="shared" si="281"/>
        <v>-529307.23875172751</v>
      </c>
      <c r="AC98" s="68">
        <f t="shared" si="281"/>
        <v>-530397.52499999863</v>
      </c>
      <c r="AD98" s="68">
        <f t="shared" si="281"/>
        <v>-531490.05705942842</v>
      </c>
      <c r="AE98" s="68">
        <f t="shared" si="281"/>
        <v>-532584.83955602022</v>
      </c>
      <c r="AF98" s="68">
        <f t="shared" si="281"/>
        <v>-4800101.5381561918</v>
      </c>
      <c r="AG98" s="68">
        <f t="shared" si="281"/>
        <v>0</v>
      </c>
      <c r="AH98" s="68">
        <f t="shared" si="281"/>
        <v>0</v>
      </c>
      <c r="AI98" s="68">
        <f t="shared" si="281"/>
        <v>0</v>
      </c>
      <c r="AJ98" s="68">
        <f t="shared" si="281"/>
        <v>0</v>
      </c>
      <c r="AK98" s="68">
        <f t="shared" si="281"/>
        <v>0</v>
      </c>
      <c r="AL98" s="68">
        <f t="shared" ref="AL98:BQ98" si="282">-AL93*FFE_Move_In_Cost_Pct</f>
        <v>0</v>
      </c>
      <c r="AM98" s="68">
        <f t="shared" si="282"/>
        <v>-5476139.458955219</v>
      </c>
      <c r="AN98" s="68">
        <f t="shared" si="282"/>
        <v>0</v>
      </c>
      <c r="AO98" s="68">
        <f t="shared" si="282"/>
        <v>0</v>
      </c>
      <c r="AP98" s="68">
        <f t="shared" si="282"/>
        <v>0</v>
      </c>
      <c r="AQ98" s="68">
        <f t="shared" si="282"/>
        <v>0</v>
      </c>
      <c r="AR98" s="68">
        <f t="shared" si="282"/>
        <v>0</v>
      </c>
      <c r="AS98" s="68">
        <f t="shared" si="282"/>
        <v>0</v>
      </c>
      <c r="AT98" s="68">
        <f t="shared" si="282"/>
        <v>-6319255.2437144695</v>
      </c>
      <c r="AU98" s="68">
        <f t="shared" si="282"/>
        <v>0</v>
      </c>
      <c r="AV98" s="68">
        <f t="shared" si="282"/>
        <v>0</v>
      </c>
      <c r="AW98" s="68">
        <f t="shared" si="282"/>
        <v>0</v>
      </c>
      <c r="AX98" s="68">
        <f t="shared" si="282"/>
        <v>0</v>
      </c>
      <c r="AY98" s="68">
        <f t="shared" si="282"/>
        <v>0</v>
      </c>
      <c r="AZ98" s="68">
        <f t="shared" si="282"/>
        <v>-22127328.321101174</v>
      </c>
      <c r="BA98" s="68">
        <f t="shared" si="282"/>
        <v>0</v>
      </c>
      <c r="BB98" s="68">
        <f t="shared" si="282"/>
        <v>0</v>
      </c>
      <c r="BC98" s="68">
        <f t="shared" si="282"/>
        <v>0</v>
      </c>
      <c r="BD98" s="68">
        <f t="shared" si="282"/>
        <v>0</v>
      </c>
      <c r="BE98" s="68">
        <f t="shared" si="282"/>
        <v>0</v>
      </c>
      <c r="BF98" s="68">
        <f t="shared" si="282"/>
        <v>0</v>
      </c>
      <c r="BG98" s="68">
        <f t="shared" si="282"/>
        <v>0</v>
      </c>
      <c r="BH98" s="68">
        <f t="shared" si="282"/>
        <v>0</v>
      </c>
      <c r="BI98" s="68">
        <f t="shared" si="282"/>
        <v>0</v>
      </c>
      <c r="BJ98" s="68">
        <f t="shared" si="282"/>
        <v>0</v>
      </c>
      <c r="BK98" s="68">
        <f t="shared" si="282"/>
        <v>0</v>
      </c>
      <c r="BL98" s="68">
        <f t="shared" si="282"/>
        <v>0</v>
      </c>
      <c r="BM98" s="68">
        <f t="shared" si="282"/>
        <v>0</v>
      </c>
      <c r="BN98" s="68">
        <f t="shared" si="282"/>
        <v>0</v>
      </c>
      <c r="BO98" s="68">
        <f t="shared" si="282"/>
        <v>0</v>
      </c>
      <c r="BP98" s="68">
        <f t="shared" si="282"/>
        <v>0</v>
      </c>
      <c r="BQ98" s="68">
        <f t="shared" si="282"/>
        <v>0</v>
      </c>
      <c r="BR98" s="68">
        <f t="shared" ref="BR98:CK98" si="283">-BR93*FFE_Move_In_Cost_Pct</f>
        <v>0</v>
      </c>
      <c r="BS98" s="68">
        <f t="shared" si="283"/>
        <v>0</v>
      </c>
      <c r="BT98" s="68">
        <f t="shared" si="283"/>
        <v>0</v>
      </c>
      <c r="BU98" s="68">
        <f t="shared" si="283"/>
        <v>0</v>
      </c>
      <c r="BV98" s="68">
        <f t="shared" si="283"/>
        <v>0</v>
      </c>
      <c r="BW98" s="68">
        <f t="shared" si="283"/>
        <v>0</v>
      </c>
      <c r="BX98" s="68">
        <f t="shared" si="283"/>
        <v>0</v>
      </c>
      <c r="BY98" s="68">
        <f t="shared" si="283"/>
        <v>0</v>
      </c>
      <c r="BZ98" s="68">
        <f t="shared" si="283"/>
        <v>0</v>
      </c>
      <c r="CA98" s="68">
        <f t="shared" si="283"/>
        <v>0</v>
      </c>
      <c r="CB98" s="68">
        <f t="shared" si="283"/>
        <v>0</v>
      </c>
      <c r="CC98" s="68">
        <f t="shared" si="283"/>
        <v>0</v>
      </c>
      <c r="CD98" s="68">
        <f t="shared" si="283"/>
        <v>0</v>
      </c>
      <c r="CE98" s="68">
        <f t="shared" si="283"/>
        <v>0</v>
      </c>
      <c r="CF98" s="68">
        <f t="shared" si="283"/>
        <v>0</v>
      </c>
      <c r="CG98" s="68">
        <f t="shared" si="283"/>
        <v>0</v>
      </c>
      <c r="CH98" s="68">
        <f t="shared" si="283"/>
        <v>0</v>
      </c>
      <c r="CI98" s="68">
        <f t="shared" si="283"/>
        <v>0</v>
      </c>
      <c r="CJ98" s="68">
        <f t="shared" si="283"/>
        <v>0</v>
      </c>
      <c r="CK98" s="68">
        <f t="shared" si="283"/>
        <v>0</v>
      </c>
    </row>
    <row r="99" spans="2:89" outlineLevel="1" x14ac:dyDescent="0.25">
      <c r="C99" s="69" t="s">
        <v>73</v>
      </c>
      <c r="D99" s="13" t="s">
        <v>24</v>
      </c>
      <c r="E99" s="71"/>
      <c r="F99" s="71">
        <f>SUM(F96:F98)</f>
        <v>-5715465.3891295735</v>
      </c>
      <c r="G99" s="71">
        <f t="shared" ref="G99:BR99" si="284">SUM(G96:G98)</f>
        <v>-1976751.8107818647</v>
      </c>
      <c r="H99" s="71">
        <f t="shared" si="284"/>
        <v>-2732465.9737342121</v>
      </c>
      <c r="I99" s="71">
        <f t="shared" si="284"/>
        <v>-9726344.3868934382</v>
      </c>
      <c r="J99" s="71">
        <f t="shared" si="284"/>
        <v>-10501121.151336944</v>
      </c>
      <c r="K99" s="71">
        <f t="shared" si="284"/>
        <v>-9766455.0089298654</v>
      </c>
      <c r="L99" s="71">
        <f t="shared" si="284"/>
        <v>-15091554.367669785</v>
      </c>
      <c r="M99" s="71">
        <f t="shared" si="284"/>
        <v>-12577702.663325988</v>
      </c>
      <c r="N99" s="71">
        <f t="shared" si="284"/>
        <v>-11081650.85487855</v>
      </c>
      <c r="O99" s="71">
        <f t="shared" si="284"/>
        <v>-11867024.643547213</v>
      </c>
      <c r="P99" s="71">
        <f t="shared" si="284"/>
        <v>-9877767.4995726272</v>
      </c>
      <c r="Q99" s="71">
        <f t="shared" si="284"/>
        <v>-12960882.416666649</v>
      </c>
      <c r="R99" s="71">
        <f t="shared" si="284"/>
        <v>-9918502.5777252112</v>
      </c>
      <c r="S99" s="71">
        <f t="shared" si="284"/>
        <v>-10707782.801834669</v>
      </c>
      <c r="T99" s="71">
        <f t="shared" si="284"/>
        <v>-10480070.889872475</v>
      </c>
      <c r="U99" s="71">
        <f t="shared" si="284"/>
        <v>-10501658.120001957</v>
      </c>
      <c r="V99" s="71">
        <f t="shared" si="284"/>
        <v>-12070511.095670946</v>
      </c>
      <c r="W99" s="71">
        <f t="shared" si="284"/>
        <v>-11320170.221277019</v>
      </c>
      <c r="X99" s="71">
        <f t="shared" si="284"/>
        <v>-12393085.146661745</v>
      </c>
      <c r="Y99" s="71">
        <f t="shared" si="284"/>
        <v>-10083409.790948926</v>
      </c>
      <c r="Z99" s="71">
        <f t="shared" si="284"/>
        <v>-10104179.964160008</v>
      </c>
      <c r="AA99" s="71">
        <f t="shared" si="284"/>
        <v>-11688215.095258702</v>
      </c>
      <c r="AB99" s="71">
        <f t="shared" si="284"/>
        <v>-10929069.826409223</v>
      </c>
      <c r="AC99" s="71">
        <f t="shared" si="284"/>
        <v>-10951581.920833303</v>
      </c>
      <c r="AD99" s="71">
        <f t="shared" si="284"/>
        <v>-14906395.46523382</v>
      </c>
      <c r="AE99" s="71">
        <f t="shared" si="284"/>
        <v>-10996745.318884419</v>
      </c>
      <c r="AF99" s="71">
        <f t="shared" si="284"/>
        <v>-16075510.748029359</v>
      </c>
      <c r="AG99" s="71">
        <f t="shared" si="284"/>
        <v>-11298634.706720982</v>
      </c>
      <c r="AH99" s="71">
        <f t="shared" si="284"/>
        <v>-10528957.138607381</v>
      </c>
      <c r="AI99" s="71">
        <f t="shared" si="284"/>
        <v>-9756060.8116871659</v>
      </c>
      <c r="AJ99" s="71">
        <f t="shared" si="284"/>
        <v>-9776156.6995978691</v>
      </c>
      <c r="AK99" s="71">
        <f t="shared" si="284"/>
        <v>-10594155.034761699</v>
      </c>
      <c r="AL99" s="71">
        <f t="shared" si="284"/>
        <v>-12214986.291849883</v>
      </c>
      <c r="AM99" s="71">
        <f t="shared" si="284"/>
        <v>-15312832.528955014</v>
      </c>
      <c r="AN99" s="71">
        <f t="shared" si="284"/>
        <v>-9856955.0471606888</v>
      </c>
      <c r="AO99" s="71">
        <f t="shared" si="284"/>
        <v>-9877258.7606770415</v>
      </c>
      <c r="AP99" s="71">
        <f t="shared" si="284"/>
        <v>-9091492.0053756032</v>
      </c>
      <c r="AQ99" s="71">
        <f t="shared" si="284"/>
        <v>-9110218.9903552588</v>
      </c>
      <c r="AR99" s="71">
        <f t="shared" si="284"/>
        <v>-9128984.5498578046</v>
      </c>
      <c r="AS99" s="71">
        <f t="shared" si="284"/>
        <v>-9147788.7633404359</v>
      </c>
      <c r="AT99" s="71">
        <f t="shared" si="284"/>
        <v>-15485886.954138491</v>
      </c>
      <c r="AU99" s="71">
        <f t="shared" si="284"/>
        <v>0</v>
      </c>
      <c r="AV99" s="71">
        <f t="shared" si="284"/>
        <v>0</v>
      </c>
      <c r="AW99" s="71">
        <f t="shared" si="284"/>
        <v>0</v>
      </c>
      <c r="AX99" s="71">
        <f t="shared" si="284"/>
        <v>0</v>
      </c>
      <c r="AY99" s="71">
        <f t="shared" si="284"/>
        <v>0</v>
      </c>
      <c r="AZ99" s="71">
        <f t="shared" si="284"/>
        <v>-30356044.774280444</v>
      </c>
      <c r="BA99" s="71">
        <f t="shared" si="284"/>
        <v>0</v>
      </c>
      <c r="BB99" s="71">
        <f t="shared" si="284"/>
        <v>0</v>
      </c>
      <c r="BC99" s="71">
        <f t="shared" si="284"/>
        <v>0</v>
      </c>
      <c r="BD99" s="71">
        <f t="shared" si="284"/>
        <v>0</v>
      </c>
      <c r="BE99" s="71">
        <f t="shared" si="284"/>
        <v>0</v>
      </c>
      <c r="BF99" s="71">
        <f t="shared" si="284"/>
        <v>0</v>
      </c>
      <c r="BG99" s="71">
        <f t="shared" si="284"/>
        <v>0</v>
      </c>
      <c r="BH99" s="71">
        <f t="shared" si="284"/>
        <v>0</v>
      </c>
      <c r="BI99" s="71">
        <f t="shared" si="284"/>
        <v>0</v>
      </c>
      <c r="BJ99" s="71">
        <f t="shared" si="284"/>
        <v>0</v>
      </c>
      <c r="BK99" s="71">
        <f t="shared" si="284"/>
        <v>0</v>
      </c>
      <c r="BL99" s="71">
        <f t="shared" si="284"/>
        <v>0</v>
      </c>
      <c r="BM99" s="71">
        <f t="shared" si="284"/>
        <v>0</v>
      </c>
      <c r="BN99" s="71">
        <f t="shared" si="284"/>
        <v>0</v>
      </c>
      <c r="BO99" s="71">
        <f t="shared" si="284"/>
        <v>0</v>
      </c>
      <c r="BP99" s="71">
        <f t="shared" si="284"/>
        <v>0</v>
      </c>
      <c r="BQ99" s="71">
        <f t="shared" si="284"/>
        <v>0</v>
      </c>
      <c r="BR99" s="71">
        <f t="shared" si="284"/>
        <v>0</v>
      </c>
      <c r="BS99" s="71">
        <f t="shared" ref="BS99:CK99" si="285">SUM(BS96:BS98)</f>
        <v>0</v>
      </c>
      <c r="BT99" s="71">
        <f t="shared" si="285"/>
        <v>0</v>
      </c>
      <c r="BU99" s="71">
        <f t="shared" si="285"/>
        <v>0</v>
      </c>
      <c r="BV99" s="71">
        <f t="shared" si="285"/>
        <v>0</v>
      </c>
      <c r="BW99" s="71">
        <f t="shared" si="285"/>
        <v>0</v>
      </c>
      <c r="BX99" s="71">
        <f t="shared" si="285"/>
        <v>0</v>
      </c>
      <c r="BY99" s="71">
        <f t="shared" si="285"/>
        <v>0</v>
      </c>
      <c r="BZ99" s="71">
        <f t="shared" si="285"/>
        <v>0</v>
      </c>
      <c r="CA99" s="71">
        <f t="shared" si="285"/>
        <v>0</v>
      </c>
      <c r="CB99" s="71">
        <f t="shared" si="285"/>
        <v>0</v>
      </c>
      <c r="CC99" s="71">
        <f t="shared" si="285"/>
        <v>0</v>
      </c>
      <c r="CD99" s="71">
        <f t="shared" si="285"/>
        <v>0</v>
      </c>
      <c r="CE99" s="71">
        <f t="shared" si="285"/>
        <v>0</v>
      </c>
      <c r="CF99" s="71">
        <f t="shared" si="285"/>
        <v>0</v>
      </c>
      <c r="CG99" s="71">
        <f t="shared" si="285"/>
        <v>0</v>
      </c>
      <c r="CH99" s="71">
        <f t="shared" si="285"/>
        <v>0</v>
      </c>
      <c r="CI99" s="71">
        <f t="shared" si="285"/>
        <v>0</v>
      </c>
      <c r="CJ99" s="71">
        <f t="shared" si="285"/>
        <v>0</v>
      </c>
      <c r="CK99" s="71">
        <f t="shared" si="285"/>
        <v>0</v>
      </c>
    </row>
    <row r="100" spans="2:89" outlineLevel="1" x14ac:dyDescent="0.25">
      <c r="E100" s="38"/>
      <c r="F100" s="38"/>
      <c r="K100" s="58"/>
    </row>
    <row r="101" spans="2:89" outlineLevel="1" x14ac:dyDescent="0.25">
      <c r="C101" s="122" t="s">
        <v>172</v>
      </c>
      <c r="D101" s="13" t="s">
        <v>24</v>
      </c>
      <c r="E101" s="38"/>
      <c r="F101" s="68">
        <f t="shared" ref="F101:AK101" si="286">IF(F39=Lot_Upfront_Payment_Month,-Lot_Price*Lot_Deposit_Pct,IF(F39=Lot_Remainder_Payment_Month,-Lot_Price*(1-Lot_Deposit_Pct),0))</f>
        <v>-8003750</v>
      </c>
      <c r="G101" s="68">
        <f t="shared" si="286"/>
        <v>0</v>
      </c>
      <c r="H101" s="68">
        <f t="shared" si="286"/>
        <v>0</v>
      </c>
      <c r="I101" s="68">
        <f t="shared" si="286"/>
        <v>0</v>
      </c>
      <c r="J101" s="68">
        <f t="shared" si="286"/>
        <v>0</v>
      </c>
      <c r="K101" s="68">
        <f t="shared" si="286"/>
        <v>-8003750</v>
      </c>
      <c r="L101" s="68">
        <f t="shared" si="286"/>
        <v>0</v>
      </c>
      <c r="M101" s="68">
        <f t="shared" si="286"/>
        <v>0</v>
      </c>
      <c r="N101" s="68">
        <f t="shared" si="286"/>
        <v>0</v>
      </c>
      <c r="O101" s="68">
        <f t="shared" si="286"/>
        <v>0</v>
      </c>
      <c r="P101" s="68">
        <f t="shared" si="286"/>
        <v>0</v>
      </c>
      <c r="Q101" s="68">
        <f t="shared" si="286"/>
        <v>0</v>
      </c>
      <c r="R101" s="68">
        <f t="shared" si="286"/>
        <v>0</v>
      </c>
      <c r="S101" s="68">
        <f t="shared" si="286"/>
        <v>0</v>
      </c>
      <c r="T101" s="68">
        <f t="shared" si="286"/>
        <v>0</v>
      </c>
      <c r="U101" s="68">
        <f t="shared" si="286"/>
        <v>0</v>
      </c>
      <c r="V101" s="68">
        <f t="shared" si="286"/>
        <v>0</v>
      </c>
      <c r="W101" s="68">
        <f t="shared" si="286"/>
        <v>0</v>
      </c>
      <c r="X101" s="68">
        <f t="shared" si="286"/>
        <v>0</v>
      </c>
      <c r="Y101" s="68">
        <f t="shared" si="286"/>
        <v>0</v>
      </c>
      <c r="Z101" s="68">
        <f t="shared" si="286"/>
        <v>0</v>
      </c>
      <c r="AA101" s="68">
        <f t="shared" si="286"/>
        <v>0</v>
      </c>
      <c r="AB101" s="68">
        <f t="shared" si="286"/>
        <v>0</v>
      </c>
      <c r="AC101" s="68">
        <f t="shared" si="286"/>
        <v>0</v>
      </c>
      <c r="AD101" s="68">
        <f t="shared" si="286"/>
        <v>0</v>
      </c>
      <c r="AE101" s="68">
        <f t="shared" si="286"/>
        <v>0</v>
      </c>
      <c r="AF101" s="68">
        <f t="shared" si="286"/>
        <v>0</v>
      </c>
      <c r="AG101" s="68">
        <f t="shared" si="286"/>
        <v>0</v>
      </c>
      <c r="AH101" s="68">
        <f t="shared" si="286"/>
        <v>0</v>
      </c>
      <c r="AI101" s="68">
        <f t="shared" si="286"/>
        <v>0</v>
      </c>
      <c r="AJ101" s="68">
        <f t="shared" si="286"/>
        <v>0</v>
      </c>
      <c r="AK101" s="68">
        <f t="shared" si="286"/>
        <v>0</v>
      </c>
      <c r="AL101" s="68">
        <f t="shared" ref="AL101:BQ101" si="287">IF(AL39=Lot_Upfront_Payment_Month,-Lot_Price*Lot_Deposit_Pct,IF(AL39=Lot_Remainder_Payment_Month,-Lot_Price*(1-Lot_Deposit_Pct),0))</f>
        <v>0</v>
      </c>
      <c r="AM101" s="68">
        <f t="shared" si="287"/>
        <v>0</v>
      </c>
      <c r="AN101" s="68">
        <f t="shared" si="287"/>
        <v>0</v>
      </c>
      <c r="AO101" s="68">
        <f t="shared" si="287"/>
        <v>0</v>
      </c>
      <c r="AP101" s="68">
        <f t="shared" si="287"/>
        <v>0</v>
      </c>
      <c r="AQ101" s="68">
        <f t="shared" si="287"/>
        <v>0</v>
      </c>
      <c r="AR101" s="68">
        <f t="shared" si="287"/>
        <v>0</v>
      </c>
      <c r="AS101" s="68">
        <f t="shared" si="287"/>
        <v>0</v>
      </c>
      <c r="AT101" s="68">
        <f t="shared" si="287"/>
        <v>0</v>
      </c>
      <c r="AU101" s="68">
        <f t="shared" si="287"/>
        <v>0</v>
      </c>
      <c r="AV101" s="68">
        <f t="shared" si="287"/>
        <v>0</v>
      </c>
      <c r="AW101" s="68">
        <f t="shared" si="287"/>
        <v>0</v>
      </c>
      <c r="AX101" s="68">
        <f t="shared" si="287"/>
        <v>0</v>
      </c>
      <c r="AY101" s="68">
        <f t="shared" si="287"/>
        <v>0</v>
      </c>
      <c r="AZ101" s="68">
        <f t="shared" si="287"/>
        <v>0</v>
      </c>
      <c r="BA101" s="68">
        <f t="shared" si="287"/>
        <v>0</v>
      </c>
      <c r="BB101" s="68">
        <f t="shared" si="287"/>
        <v>0</v>
      </c>
      <c r="BC101" s="68">
        <f t="shared" si="287"/>
        <v>0</v>
      </c>
      <c r="BD101" s="68">
        <f t="shared" si="287"/>
        <v>0</v>
      </c>
      <c r="BE101" s="68">
        <f t="shared" si="287"/>
        <v>0</v>
      </c>
      <c r="BF101" s="68">
        <f t="shared" si="287"/>
        <v>0</v>
      </c>
      <c r="BG101" s="68">
        <f t="shared" si="287"/>
        <v>0</v>
      </c>
      <c r="BH101" s="68">
        <f t="shared" si="287"/>
        <v>0</v>
      </c>
      <c r="BI101" s="68">
        <f t="shared" si="287"/>
        <v>0</v>
      </c>
      <c r="BJ101" s="68">
        <f t="shared" si="287"/>
        <v>0</v>
      </c>
      <c r="BK101" s="68">
        <f t="shared" si="287"/>
        <v>0</v>
      </c>
      <c r="BL101" s="68">
        <f t="shared" si="287"/>
        <v>0</v>
      </c>
      <c r="BM101" s="68">
        <f t="shared" si="287"/>
        <v>0</v>
      </c>
      <c r="BN101" s="68">
        <f t="shared" si="287"/>
        <v>0</v>
      </c>
      <c r="BO101" s="68">
        <f t="shared" si="287"/>
        <v>0</v>
      </c>
      <c r="BP101" s="68">
        <f t="shared" si="287"/>
        <v>0</v>
      </c>
      <c r="BQ101" s="68">
        <f t="shared" si="287"/>
        <v>0</v>
      </c>
      <c r="BR101" s="68">
        <f t="shared" ref="BR101:CK101" si="288">IF(BR39=Lot_Upfront_Payment_Month,-Lot_Price*Lot_Deposit_Pct,IF(BR39=Lot_Remainder_Payment_Month,-Lot_Price*(1-Lot_Deposit_Pct),0))</f>
        <v>0</v>
      </c>
      <c r="BS101" s="68">
        <f t="shared" si="288"/>
        <v>0</v>
      </c>
      <c r="BT101" s="68">
        <f t="shared" si="288"/>
        <v>0</v>
      </c>
      <c r="BU101" s="68">
        <f t="shared" si="288"/>
        <v>0</v>
      </c>
      <c r="BV101" s="68">
        <f t="shared" si="288"/>
        <v>0</v>
      </c>
      <c r="BW101" s="68">
        <f t="shared" si="288"/>
        <v>0</v>
      </c>
      <c r="BX101" s="68">
        <f t="shared" si="288"/>
        <v>0</v>
      </c>
      <c r="BY101" s="68">
        <f t="shared" si="288"/>
        <v>0</v>
      </c>
      <c r="BZ101" s="68">
        <f t="shared" si="288"/>
        <v>0</v>
      </c>
      <c r="CA101" s="68">
        <f t="shared" si="288"/>
        <v>0</v>
      </c>
      <c r="CB101" s="68">
        <f t="shared" si="288"/>
        <v>0</v>
      </c>
      <c r="CC101" s="68">
        <f t="shared" si="288"/>
        <v>0</v>
      </c>
      <c r="CD101" s="68">
        <f t="shared" si="288"/>
        <v>0</v>
      </c>
      <c r="CE101" s="68">
        <f t="shared" si="288"/>
        <v>0</v>
      </c>
      <c r="CF101" s="68">
        <f t="shared" si="288"/>
        <v>0</v>
      </c>
      <c r="CG101" s="68">
        <f t="shared" si="288"/>
        <v>0</v>
      </c>
      <c r="CH101" s="68">
        <f t="shared" si="288"/>
        <v>0</v>
      </c>
      <c r="CI101" s="68">
        <f t="shared" si="288"/>
        <v>0</v>
      </c>
      <c r="CJ101" s="68">
        <f t="shared" si="288"/>
        <v>0</v>
      </c>
      <c r="CK101" s="68">
        <f t="shared" si="288"/>
        <v>0</v>
      </c>
    </row>
    <row r="102" spans="2:89" outlineLevel="1" x14ac:dyDescent="0.25">
      <c r="E102" s="38"/>
      <c r="K102" s="58"/>
    </row>
    <row r="103" spans="2:89" outlineLevel="1" x14ac:dyDescent="0.25">
      <c r="C103" s="66" t="s">
        <v>75</v>
      </c>
      <c r="D103" s="13" t="s">
        <v>24</v>
      </c>
      <c r="E103" s="38"/>
      <c r="F103" s="72">
        <f>+F93+F99+F101</f>
        <v>-8963439.4061929006</v>
      </c>
      <c r="G103" s="72">
        <f t="shared" ref="G103:BR103" si="289">+G93+G99+G101</f>
        <v>2788820.292015709</v>
      </c>
      <c r="H103" s="72">
        <f t="shared" si="289"/>
        <v>2042922.4273272539</v>
      </c>
      <c r="I103" s="72">
        <f t="shared" si="289"/>
        <v>-4941119.4676008793</v>
      </c>
      <c r="J103" s="72">
        <f t="shared" si="289"/>
        <v>-5706039.4521962702</v>
      </c>
      <c r="K103" s="72">
        <f t="shared" si="289"/>
        <v>-12965246.226588443</v>
      </c>
      <c r="L103" s="72">
        <f t="shared" si="289"/>
        <v>-10276698.156953398</v>
      </c>
      <c r="M103" s="72">
        <f t="shared" si="289"/>
        <v>-2825681.5343172997</v>
      </c>
      <c r="N103" s="72">
        <f t="shared" si="289"/>
        <v>-1309542.159044059</v>
      </c>
      <c r="O103" s="72">
        <f t="shared" si="289"/>
        <v>-2074787.0037881937</v>
      </c>
      <c r="P103" s="72">
        <f t="shared" si="289"/>
        <v>-4920009.6689692084</v>
      </c>
      <c r="Q103" s="72">
        <f t="shared" si="289"/>
        <v>-7992912.4166666558</v>
      </c>
      <c r="R103" s="72">
        <f t="shared" si="289"/>
        <v>-4940299.3729317272</v>
      </c>
      <c r="S103" s="72">
        <f t="shared" si="289"/>
        <v>-5719325.3135213042</v>
      </c>
      <c r="T103" s="72">
        <f t="shared" si="289"/>
        <v>-274685.5361350216</v>
      </c>
      <c r="U103" s="72">
        <f t="shared" si="289"/>
        <v>-275251.3433651533</v>
      </c>
      <c r="V103" s="72">
        <f t="shared" si="289"/>
        <v>-1823039.5954454616</v>
      </c>
      <c r="W103" s="72">
        <f t="shared" si="289"/>
        <v>-1051590.6075811889</v>
      </c>
      <c r="X103" s="72">
        <f t="shared" si="289"/>
        <v>-7143400.5498359762</v>
      </c>
      <c r="Y103" s="72">
        <f t="shared" si="289"/>
        <v>-4822911.7033853801</v>
      </c>
      <c r="Z103" s="72">
        <f t="shared" si="289"/>
        <v>-4832846.1118382607</v>
      </c>
      <c r="AA103" s="72">
        <f t="shared" si="289"/>
        <v>-6406023.158277492</v>
      </c>
      <c r="AB103" s="72">
        <f t="shared" si="289"/>
        <v>-5635997.4388919473</v>
      </c>
      <c r="AC103" s="72">
        <f t="shared" si="289"/>
        <v>-5647606.6708333166</v>
      </c>
      <c r="AD103" s="72">
        <f t="shared" si="289"/>
        <v>-9591494.8946395367</v>
      </c>
      <c r="AE103" s="72">
        <f t="shared" si="289"/>
        <v>-5670896.9233242171</v>
      </c>
      <c r="AF103" s="72">
        <f t="shared" si="289"/>
        <v>31925504.633532561</v>
      </c>
      <c r="AG103" s="72">
        <f t="shared" si="289"/>
        <v>-11298634.706720982</v>
      </c>
      <c r="AH103" s="72">
        <f t="shared" si="289"/>
        <v>-10528957.138607381</v>
      </c>
      <c r="AI103" s="72">
        <f t="shared" si="289"/>
        <v>-9756060.8116871659</v>
      </c>
      <c r="AJ103" s="72">
        <f t="shared" si="289"/>
        <v>-9776156.6995978691</v>
      </c>
      <c r="AK103" s="72">
        <f t="shared" si="289"/>
        <v>-10594155.034761699</v>
      </c>
      <c r="AL103" s="72">
        <f t="shared" si="289"/>
        <v>-12214986.291849883</v>
      </c>
      <c r="AM103" s="72">
        <f t="shared" si="289"/>
        <v>39448562.060597174</v>
      </c>
      <c r="AN103" s="72">
        <f t="shared" si="289"/>
        <v>-9856955.0471606888</v>
      </c>
      <c r="AO103" s="72">
        <f t="shared" si="289"/>
        <v>-9877258.7606770415</v>
      </c>
      <c r="AP103" s="72">
        <f t="shared" si="289"/>
        <v>-9091492.0053756032</v>
      </c>
      <c r="AQ103" s="72">
        <f t="shared" si="289"/>
        <v>-9110218.9903552588</v>
      </c>
      <c r="AR103" s="72">
        <f t="shared" si="289"/>
        <v>-9128984.5498578046</v>
      </c>
      <c r="AS103" s="72">
        <f t="shared" si="289"/>
        <v>-9147788.7633404359</v>
      </c>
      <c r="AT103" s="72">
        <f t="shared" si="289"/>
        <v>47706665.483006194</v>
      </c>
      <c r="AU103" s="72">
        <f t="shared" si="289"/>
        <v>0</v>
      </c>
      <c r="AV103" s="72">
        <f t="shared" si="289"/>
        <v>0</v>
      </c>
      <c r="AW103" s="72">
        <f t="shared" si="289"/>
        <v>0</v>
      </c>
      <c r="AX103" s="72">
        <f t="shared" si="289"/>
        <v>0</v>
      </c>
      <c r="AY103" s="72">
        <f t="shared" si="289"/>
        <v>0</v>
      </c>
      <c r="AZ103" s="72">
        <f t="shared" si="289"/>
        <v>190917238.43673128</v>
      </c>
      <c r="BA103" s="72">
        <f t="shared" si="289"/>
        <v>0</v>
      </c>
      <c r="BB103" s="72">
        <f t="shared" si="289"/>
        <v>0</v>
      </c>
      <c r="BC103" s="72">
        <f t="shared" si="289"/>
        <v>0</v>
      </c>
      <c r="BD103" s="72">
        <f t="shared" si="289"/>
        <v>0</v>
      </c>
      <c r="BE103" s="72">
        <f t="shared" si="289"/>
        <v>0</v>
      </c>
      <c r="BF103" s="72">
        <f t="shared" si="289"/>
        <v>0</v>
      </c>
      <c r="BG103" s="72">
        <f t="shared" si="289"/>
        <v>0</v>
      </c>
      <c r="BH103" s="72">
        <f t="shared" si="289"/>
        <v>0</v>
      </c>
      <c r="BI103" s="72">
        <f t="shared" si="289"/>
        <v>0</v>
      </c>
      <c r="BJ103" s="72">
        <f t="shared" si="289"/>
        <v>0</v>
      </c>
      <c r="BK103" s="72">
        <f t="shared" si="289"/>
        <v>0</v>
      </c>
      <c r="BL103" s="72">
        <f t="shared" si="289"/>
        <v>0</v>
      </c>
      <c r="BM103" s="72">
        <f t="shared" si="289"/>
        <v>0</v>
      </c>
      <c r="BN103" s="72">
        <f t="shared" si="289"/>
        <v>0</v>
      </c>
      <c r="BO103" s="72">
        <f t="shared" si="289"/>
        <v>0</v>
      </c>
      <c r="BP103" s="72">
        <f t="shared" si="289"/>
        <v>0</v>
      </c>
      <c r="BQ103" s="72">
        <f t="shared" si="289"/>
        <v>0</v>
      </c>
      <c r="BR103" s="72">
        <f t="shared" si="289"/>
        <v>0</v>
      </c>
      <c r="BS103" s="72">
        <f t="shared" ref="BS103:CK103" si="290">+BS93+BS99+BS101</f>
        <v>0</v>
      </c>
      <c r="BT103" s="72">
        <f t="shared" si="290"/>
        <v>0</v>
      </c>
      <c r="BU103" s="72">
        <f t="shared" si="290"/>
        <v>0</v>
      </c>
      <c r="BV103" s="72">
        <f t="shared" si="290"/>
        <v>0</v>
      </c>
      <c r="BW103" s="72">
        <f t="shared" si="290"/>
        <v>0</v>
      </c>
      <c r="BX103" s="72">
        <f t="shared" si="290"/>
        <v>0</v>
      </c>
      <c r="BY103" s="72">
        <f t="shared" si="290"/>
        <v>0</v>
      </c>
      <c r="BZ103" s="72">
        <f t="shared" si="290"/>
        <v>0</v>
      </c>
      <c r="CA103" s="72">
        <f t="shared" si="290"/>
        <v>0</v>
      </c>
      <c r="CB103" s="72">
        <f t="shared" si="290"/>
        <v>0</v>
      </c>
      <c r="CC103" s="72">
        <f t="shared" si="290"/>
        <v>0</v>
      </c>
      <c r="CD103" s="72">
        <f t="shared" si="290"/>
        <v>0</v>
      </c>
      <c r="CE103" s="72">
        <f t="shared" si="290"/>
        <v>0</v>
      </c>
      <c r="CF103" s="72">
        <f t="shared" si="290"/>
        <v>0</v>
      </c>
      <c r="CG103" s="72">
        <f t="shared" si="290"/>
        <v>0</v>
      </c>
      <c r="CH103" s="72">
        <f t="shared" si="290"/>
        <v>0</v>
      </c>
      <c r="CI103" s="72">
        <f t="shared" si="290"/>
        <v>0</v>
      </c>
      <c r="CJ103" s="72">
        <f t="shared" si="290"/>
        <v>0</v>
      </c>
      <c r="CK103" s="72">
        <f t="shared" si="290"/>
        <v>0</v>
      </c>
    </row>
    <row r="104" spans="2:89" outlineLevel="1" x14ac:dyDescent="0.25">
      <c r="C104" s="73" t="s">
        <v>149</v>
      </c>
      <c r="D104" s="50" t="s">
        <v>24</v>
      </c>
      <c r="E104" s="101"/>
      <c r="F104" s="52">
        <f>-F112</f>
        <v>0</v>
      </c>
      <c r="G104" s="52">
        <f t="shared" ref="G104:BR104" si="291">-G112</f>
        <v>0</v>
      </c>
      <c r="H104" s="52">
        <f t="shared" si="291"/>
        <v>0</v>
      </c>
      <c r="I104" s="52">
        <f t="shared" si="291"/>
        <v>0</v>
      </c>
      <c r="J104" s="52">
        <f t="shared" si="291"/>
        <v>0</v>
      </c>
      <c r="K104" s="52">
        <f t="shared" si="291"/>
        <v>0</v>
      </c>
      <c r="L104" s="52">
        <f t="shared" si="291"/>
        <v>0</v>
      </c>
      <c r="M104" s="52">
        <f t="shared" si="291"/>
        <v>0</v>
      </c>
      <c r="N104" s="52">
        <f t="shared" si="291"/>
        <v>0</v>
      </c>
      <c r="O104" s="52">
        <f t="shared" si="291"/>
        <v>0</v>
      </c>
      <c r="P104" s="52">
        <f t="shared" si="291"/>
        <v>0</v>
      </c>
      <c r="Q104" s="52">
        <f t="shared" si="291"/>
        <v>0</v>
      </c>
      <c r="R104" s="52">
        <f t="shared" si="291"/>
        <v>0</v>
      </c>
      <c r="S104" s="52">
        <f t="shared" si="291"/>
        <v>0</v>
      </c>
      <c r="T104" s="52">
        <f t="shared" si="291"/>
        <v>0</v>
      </c>
      <c r="U104" s="52">
        <f t="shared" si="291"/>
        <v>0</v>
      </c>
      <c r="V104" s="52">
        <f t="shared" si="291"/>
        <v>0</v>
      </c>
      <c r="W104" s="52">
        <f t="shared" si="291"/>
        <v>0</v>
      </c>
      <c r="X104" s="52">
        <f t="shared" si="291"/>
        <v>0</v>
      </c>
      <c r="Y104" s="52">
        <f t="shared" si="291"/>
        <v>0</v>
      </c>
      <c r="Z104" s="52">
        <f t="shared" si="291"/>
        <v>0</v>
      </c>
      <c r="AA104" s="52">
        <f t="shared" si="291"/>
        <v>0</v>
      </c>
      <c r="AB104" s="52">
        <f t="shared" si="291"/>
        <v>0</v>
      </c>
      <c r="AC104" s="52">
        <f t="shared" si="291"/>
        <v>0</v>
      </c>
      <c r="AD104" s="52">
        <f t="shared" si="291"/>
        <v>0</v>
      </c>
      <c r="AE104" s="52">
        <f t="shared" si="291"/>
        <v>0</v>
      </c>
      <c r="AF104" s="52">
        <f t="shared" si="291"/>
        <v>-486965.62844215526</v>
      </c>
      <c r="AG104" s="52">
        <f t="shared" si="291"/>
        <v>0</v>
      </c>
      <c r="AH104" s="52">
        <f t="shared" si="291"/>
        <v>0</v>
      </c>
      <c r="AI104" s="52">
        <f t="shared" si="291"/>
        <v>0</v>
      </c>
      <c r="AJ104" s="52">
        <f t="shared" si="291"/>
        <v>0</v>
      </c>
      <c r="AK104" s="52">
        <f t="shared" si="291"/>
        <v>0</v>
      </c>
      <c r="AL104" s="52">
        <f t="shared" si="291"/>
        <v>0</v>
      </c>
      <c r="AM104" s="52">
        <f t="shared" si="291"/>
        <v>-769652.63386619382</v>
      </c>
      <c r="AN104" s="52">
        <f t="shared" si="291"/>
        <v>0</v>
      </c>
      <c r="AO104" s="52">
        <f t="shared" si="291"/>
        <v>0</v>
      </c>
      <c r="AP104" s="52">
        <f t="shared" si="291"/>
        <v>0</v>
      </c>
      <c r="AQ104" s="52">
        <f t="shared" si="291"/>
        <v>0</v>
      </c>
      <c r="AR104" s="52">
        <f t="shared" si="291"/>
        <v>0</v>
      </c>
      <c r="AS104" s="52">
        <f t="shared" si="291"/>
        <v>0</v>
      </c>
      <c r="AT104" s="52">
        <f t="shared" si="291"/>
        <v>-941199.7861606623</v>
      </c>
      <c r="AU104" s="52">
        <f t="shared" si="291"/>
        <v>0</v>
      </c>
      <c r="AV104" s="52">
        <f t="shared" si="291"/>
        <v>0</v>
      </c>
      <c r="AW104" s="52">
        <f t="shared" si="291"/>
        <v>0</v>
      </c>
      <c r="AX104" s="52">
        <f t="shared" si="291"/>
        <v>0</v>
      </c>
      <c r="AY104" s="52">
        <f t="shared" si="291"/>
        <v>0</v>
      </c>
      <c r="AZ104" s="52">
        <f t="shared" si="291"/>
        <v>-591307.58136530721</v>
      </c>
      <c r="BA104" s="52">
        <f t="shared" si="291"/>
        <v>0</v>
      </c>
      <c r="BB104" s="52">
        <f t="shared" si="291"/>
        <v>0</v>
      </c>
      <c r="BC104" s="52">
        <f t="shared" si="291"/>
        <v>0</v>
      </c>
      <c r="BD104" s="52">
        <f t="shared" si="291"/>
        <v>0</v>
      </c>
      <c r="BE104" s="52">
        <f t="shared" si="291"/>
        <v>0</v>
      </c>
      <c r="BF104" s="52">
        <f t="shared" si="291"/>
        <v>0</v>
      </c>
      <c r="BG104" s="52">
        <f t="shared" si="291"/>
        <v>0</v>
      </c>
      <c r="BH104" s="52">
        <f t="shared" si="291"/>
        <v>0</v>
      </c>
      <c r="BI104" s="52">
        <f t="shared" si="291"/>
        <v>0</v>
      </c>
      <c r="BJ104" s="52">
        <f t="shared" si="291"/>
        <v>0</v>
      </c>
      <c r="BK104" s="52">
        <f t="shared" si="291"/>
        <v>0</v>
      </c>
      <c r="BL104" s="52">
        <f t="shared" si="291"/>
        <v>0</v>
      </c>
      <c r="BM104" s="52">
        <f t="shared" si="291"/>
        <v>0</v>
      </c>
      <c r="BN104" s="52">
        <f t="shared" si="291"/>
        <v>0</v>
      </c>
      <c r="BO104" s="52">
        <f t="shared" si="291"/>
        <v>0</v>
      </c>
      <c r="BP104" s="52">
        <f t="shared" si="291"/>
        <v>0</v>
      </c>
      <c r="BQ104" s="52">
        <f t="shared" si="291"/>
        <v>0</v>
      </c>
      <c r="BR104" s="52">
        <f t="shared" si="291"/>
        <v>0</v>
      </c>
      <c r="BS104" s="52">
        <f t="shared" ref="BS104:CK104" si="292">-BS112</f>
        <v>0</v>
      </c>
      <c r="BT104" s="52">
        <f t="shared" si="292"/>
        <v>0</v>
      </c>
      <c r="BU104" s="52">
        <f t="shared" si="292"/>
        <v>0</v>
      </c>
      <c r="BV104" s="52">
        <f t="shared" si="292"/>
        <v>0</v>
      </c>
      <c r="BW104" s="52">
        <f t="shared" si="292"/>
        <v>0</v>
      </c>
      <c r="BX104" s="52">
        <f t="shared" si="292"/>
        <v>0</v>
      </c>
      <c r="BY104" s="52">
        <f t="shared" si="292"/>
        <v>0</v>
      </c>
      <c r="BZ104" s="52">
        <f t="shared" si="292"/>
        <v>0</v>
      </c>
      <c r="CA104" s="52">
        <f t="shared" si="292"/>
        <v>0</v>
      </c>
      <c r="CB104" s="52">
        <f t="shared" si="292"/>
        <v>0</v>
      </c>
      <c r="CC104" s="52">
        <f t="shared" si="292"/>
        <v>0</v>
      </c>
      <c r="CD104" s="52">
        <f t="shared" si="292"/>
        <v>0</v>
      </c>
      <c r="CE104" s="52">
        <f t="shared" si="292"/>
        <v>0</v>
      </c>
      <c r="CF104" s="52">
        <f t="shared" si="292"/>
        <v>0</v>
      </c>
      <c r="CG104" s="52">
        <f t="shared" si="292"/>
        <v>0</v>
      </c>
      <c r="CH104" s="52">
        <f t="shared" si="292"/>
        <v>0</v>
      </c>
      <c r="CI104" s="52">
        <f t="shared" si="292"/>
        <v>0</v>
      </c>
      <c r="CJ104" s="52">
        <f t="shared" si="292"/>
        <v>0</v>
      </c>
      <c r="CK104" s="52">
        <f t="shared" si="292"/>
        <v>0</v>
      </c>
    </row>
    <row r="105" spans="2:89" outlineLevel="1" x14ac:dyDescent="0.25">
      <c r="C105" s="66" t="s">
        <v>138</v>
      </c>
      <c r="D105" s="13" t="s">
        <v>24</v>
      </c>
      <c r="F105" s="56">
        <f>SUM(F103:F104)</f>
        <v>-8963439.4061929006</v>
      </c>
      <c r="G105" s="56">
        <f t="shared" ref="G105:BR105" si="293">SUM(G103:G104)</f>
        <v>2788820.292015709</v>
      </c>
      <c r="H105" s="56">
        <f t="shared" si="293"/>
        <v>2042922.4273272539</v>
      </c>
      <c r="I105" s="56">
        <f t="shared" si="293"/>
        <v>-4941119.4676008793</v>
      </c>
      <c r="J105" s="56">
        <f t="shared" si="293"/>
        <v>-5706039.4521962702</v>
      </c>
      <c r="K105" s="56">
        <f t="shared" si="293"/>
        <v>-12965246.226588443</v>
      </c>
      <c r="L105" s="56">
        <f t="shared" si="293"/>
        <v>-10276698.156953398</v>
      </c>
      <c r="M105" s="56">
        <f t="shared" si="293"/>
        <v>-2825681.5343172997</v>
      </c>
      <c r="N105" s="56">
        <f t="shared" si="293"/>
        <v>-1309542.159044059</v>
      </c>
      <c r="O105" s="56">
        <f t="shared" si="293"/>
        <v>-2074787.0037881937</v>
      </c>
      <c r="P105" s="56">
        <f t="shared" si="293"/>
        <v>-4920009.6689692084</v>
      </c>
      <c r="Q105" s="56">
        <f t="shared" si="293"/>
        <v>-7992912.4166666558</v>
      </c>
      <c r="R105" s="56">
        <f t="shared" si="293"/>
        <v>-4940299.3729317272</v>
      </c>
      <c r="S105" s="56">
        <f t="shared" si="293"/>
        <v>-5719325.3135213042</v>
      </c>
      <c r="T105" s="56">
        <f t="shared" si="293"/>
        <v>-274685.5361350216</v>
      </c>
      <c r="U105" s="56">
        <f t="shared" si="293"/>
        <v>-275251.3433651533</v>
      </c>
      <c r="V105" s="56">
        <f t="shared" si="293"/>
        <v>-1823039.5954454616</v>
      </c>
      <c r="W105" s="56">
        <f t="shared" si="293"/>
        <v>-1051590.6075811889</v>
      </c>
      <c r="X105" s="56">
        <f t="shared" si="293"/>
        <v>-7143400.5498359762</v>
      </c>
      <c r="Y105" s="56">
        <f t="shared" si="293"/>
        <v>-4822911.7033853801</v>
      </c>
      <c r="Z105" s="56">
        <f t="shared" si="293"/>
        <v>-4832846.1118382607</v>
      </c>
      <c r="AA105" s="56">
        <f t="shared" si="293"/>
        <v>-6406023.158277492</v>
      </c>
      <c r="AB105" s="56">
        <f t="shared" si="293"/>
        <v>-5635997.4388919473</v>
      </c>
      <c r="AC105" s="56">
        <f t="shared" si="293"/>
        <v>-5647606.6708333166</v>
      </c>
      <c r="AD105" s="56">
        <f t="shared" si="293"/>
        <v>-9591494.8946395367</v>
      </c>
      <c r="AE105" s="56">
        <f t="shared" si="293"/>
        <v>-5670896.9233242171</v>
      </c>
      <c r="AF105" s="56">
        <f t="shared" si="293"/>
        <v>31438539.005090404</v>
      </c>
      <c r="AG105" s="56">
        <f t="shared" si="293"/>
        <v>-11298634.706720982</v>
      </c>
      <c r="AH105" s="56">
        <f t="shared" si="293"/>
        <v>-10528957.138607381</v>
      </c>
      <c r="AI105" s="56">
        <f t="shared" si="293"/>
        <v>-9756060.8116871659</v>
      </c>
      <c r="AJ105" s="56">
        <f t="shared" si="293"/>
        <v>-9776156.6995978691</v>
      </c>
      <c r="AK105" s="56">
        <f t="shared" si="293"/>
        <v>-10594155.034761699</v>
      </c>
      <c r="AL105" s="56">
        <f t="shared" si="293"/>
        <v>-12214986.291849883</v>
      </c>
      <c r="AM105" s="56">
        <f t="shared" si="293"/>
        <v>38678909.426730983</v>
      </c>
      <c r="AN105" s="56">
        <f t="shared" si="293"/>
        <v>-9856955.0471606888</v>
      </c>
      <c r="AO105" s="56">
        <f t="shared" si="293"/>
        <v>-9877258.7606770415</v>
      </c>
      <c r="AP105" s="56">
        <f t="shared" si="293"/>
        <v>-9091492.0053756032</v>
      </c>
      <c r="AQ105" s="56">
        <f t="shared" si="293"/>
        <v>-9110218.9903552588</v>
      </c>
      <c r="AR105" s="56">
        <f t="shared" si="293"/>
        <v>-9128984.5498578046</v>
      </c>
      <c r="AS105" s="56">
        <f t="shared" si="293"/>
        <v>-9147788.7633404359</v>
      </c>
      <c r="AT105" s="56">
        <f t="shared" si="293"/>
        <v>46765465.696845531</v>
      </c>
      <c r="AU105" s="56">
        <f t="shared" si="293"/>
        <v>0</v>
      </c>
      <c r="AV105" s="56">
        <f t="shared" si="293"/>
        <v>0</v>
      </c>
      <c r="AW105" s="56">
        <f t="shared" si="293"/>
        <v>0</v>
      </c>
      <c r="AX105" s="56">
        <f t="shared" si="293"/>
        <v>0</v>
      </c>
      <c r="AY105" s="56">
        <f t="shared" si="293"/>
        <v>0</v>
      </c>
      <c r="AZ105" s="56">
        <f t="shared" si="293"/>
        <v>190325930.85536596</v>
      </c>
      <c r="BA105" s="56">
        <f t="shared" si="293"/>
        <v>0</v>
      </c>
      <c r="BB105" s="56">
        <f t="shared" si="293"/>
        <v>0</v>
      </c>
      <c r="BC105" s="56">
        <f t="shared" si="293"/>
        <v>0</v>
      </c>
      <c r="BD105" s="56">
        <f t="shared" si="293"/>
        <v>0</v>
      </c>
      <c r="BE105" s="56">
        <f t="shared" si="293"/>
        <v>0</v>
      </c>
      <c r="BF105" s="56">
        <f t="shared" si="293"/>
        <v>0</v>
      </c>
      <c r="BG105" s="56">
        <f t="shared" si="293"/>
        <v>0</v>
      </c>
      <c r="BH105" s="56">
        <f t="shared" si="293"/>
        <v>0</v>
      </c>
      <c r="BI105" s="56">
        <f t="shared" si="293"/>
        <v>0</v>
      </c>
      <c r="BJ105" s="56">
        <f t="shared" si="293"/>
        <v>0</v>
      </c>
      <c r="BK105" s="56">
        <f t="shared" si="293"/>
        <v>0</v>
      </c>
      <c r="BL105" s="56">
        <f t="shared" si="293"/>
        <v>0</v>
      </c>
      <c r="BM105" s="56">
        <f t="shared" si="293"/>
        <v>0</v>
      </c>
      <c r="BN105" s="56">
        <f t="shared" si="293"/>
        <v>0</v>
      </c>
      <c r="BO105" s="56">
        <f t="shared" si="293"/>
        <v>0</v>
      </c>
      <c r="BP105" s="56">
        <f t="shared" si="293"/>
        <v>0</v>
      </c>
      <c r="BQ105" s="56">
        <f t="shared" si="293"/>
        <v>0</v>
      </c>
      <c r="BR105" s="56">
        <f t="shared" si="293"/>
        <v>0</v>
      </c>
      <c r="BS105" s="56">
        <f t="shared" ref="BS105:CK105" si="294">SUM(BS103:BS104)</f>
        <v>0</v>
      </c>
      <c r="BT105" s="56">
        <f t="shared" si="294"/>
        <v>0</v>
      </c>
      <c r="BU105" s="56">
        <f t="shared" si="294"/>
        <v>0</v>
      </c>
      <c r="BV105" s="56">
        <f t="shared" si="294"/>
        <v>0</v>
      </c>
      <c r="BW105" s="56">
        <f t="shared" si="294"/>
        <v>0</v>
      </c>
      <c r="BX105" s="56">
        <f t="shared" si="294"/>
        <v>0</v>
      </c>
      <c r="BY105" s="56">
        <f t="shared" si="294"/>
        <v>0</v>
      </c>
      <c r="BZ105" s="56">
        <f t="shared" si="294"/>
        <v>0</v>
      </c>
      <c r="CA105" s="56">
        <f t="shared" si="294"/>
        <v>0</v>
      </c>
      <c r="CB105" s="56">
        <f t="shared" si="294"/>
        <v>0</v>
      </c>
      <c r="CC105" s="56">
        <f t="shared" si="294"/>
        <v>0</v>
      </c>
      <c r="CD105" s="56">
        <f t="shared" si="294"/>
        <v>0</v>
      </c>
      <c r="CE105" s="56">
        <f t="shared" si="294"/>
        <v>0</v>
      </c>
      <c r="CF105" s="56">
        <f t="shared" si="294"/>
        <v>0</v>
      </c>
      <c r="CG105" s="56">
        <f t="shared" si="294"/>
        <v>0</v>
      </c>
      <c r="CH105" s="56">
        <f t="shared" si="294"/>
        <v>0</v>
      </c>
      <c r="CI105" s="56">
        <f t="shared" si="294"/>
        <v>0</v>
      </c>
      <c r="CJ105" s="56">
        <f t="shared" si="294"/>
        <v>0</v>
      </c>
      <c r="CK105" s="56">
        <f t="shared" si="294"/>
        <v>0</v>
      </c>
    </row>
    <row r="107" spans="2:89" x14ac:dyDescent="0.25">
      <c r="B107" s="4" t="s">
        <v>91</v>
      </c>
      <c r="C107" s="4"/>
      <c r="D107" s="5" t="str">
        <f>+Assumptions!$D$5</f>
        <v>Units:</v>
      </c>
      <c r="E107" s="4"/>
      <c r="F107" s="108">
        <f>$F$36</f>
        <v>43131</v>
      </c>
      <c r="G107" s="108">
        <f>$G$36</f>
        <v>43159</v>
      </c>
      <c r="H107" s="108">
        <f>$H$36</f>
        <v>43190</v>
      </c>
      <c r="I107" s="108">
        <f>$I$36</f>
        <v>43220</v>
      </c>
      <c r="J107" s="108">
        <f>$J$36</f>
        <v>43251</v>
      </c>
      <c r="K107" s="108">
        <f>$K$36</f>
        <v>43281</v>
      </c>
      <c r="L107" s="108">
        <f>$L$36</f>
        <v>43312</v>
      </c>
      <c r="M107" s="108">
        <f>$M$36</f>
        <v>43343</v>
      </c>
      <c r="N107" s="108">
        <f>$N$36</f>
        <v>43373</v>
      </c>
      <c r="O107" s="108">
        <f>$O$36</f>
        <v>43404</v>
      </c>
      <c r="P107" s="108">
        <f>$P$36</f>
        <v>43434</v>
      </c>
      <c r="Q107" s="108">
        <f>$Q$36</f>
        <v>43465</v>
      </c>
      <c r="R107" s="108">
        <f>$R$36</f>
        <v>43496</v>
      </c>
      <c r="S107" s="108">
        <f>$S$36</f>
        <v>43524</v>
      </c>
      <c r="T107" s="108">
        <f>$T$36</f>
        <v>43555</v>
      </c>
      <c r="U107" s="108">
        <f>$U$36</f>
        <v>43585</v>
      </c>
      <c r="V107" s="108">
        <f>$V$36</f>
        <v>43616</v>
      </c>
      <c r="W107" s="108">
        <f>$W$36</f>
        <v>43646</v>
      </c>
      <c r="X107" s="108">
        <f>$X$36</f>
        <v>43677</v>
      </c>
      <c r="Y107" s="108">
        <f>$Y$36</f>
        <v>43708</v>
      </c>
      <c r="Z107" s="108">
        <f>$Z$36</f>
        <v>43738</v>
      </c>
      <c r="AA107" s="108">
        <f>$AA$36</f>
        <v>43769</v>
      </c>
      <c r="AB107" s="108">
        <f>$AB$36</f>
        <v>43799</v>
      </c>
      <c r="AC107" s="108">
        <f>$AC$36</f>
        <v>43830</v>
      </c>
      <c r="AD107" s="108">
        <f>$AD$36</f>
        <v>43861</v>
      </c>
      <c r="AE107" s="108">
        <f>$AE$36</f>
        <v>43890</v>
      </c>
      <c r="AF107" s="108">
        <f>$AF$36</f>
        <v>43921</v>
      </c>
      <c r="AG107" s="108">
        <f>$AG$36</f>
        <v>43951</v>
      </c>
      <c r="AH107" s="108">
        <f>$AH$36</f>
        <v>43982</v>
      </c>
      <c r="AI107" s="108">
        <f>$AI$36</f>
        <v>44012</v>
      </c>
      <c r="AJ107" s="108">
        <f>$AJ$36</f>
        <v>44043</v>
      </c>
      <c r="AK107" s="108">
        <f>$AK$36</f>
        <v>44074</v>
      </c>
      <c r="AL107" s="108">
        <f>$AL$36</f>
        <v>44104</v>
      </c>
      <c r="AM107" s="108">
        <f>$AM$36</f>
        <v>44135</v>
      </c>
      <c r="AN107" s="108">
        <f>$AN$36</f>
        <v>44165</v>
      </c>
      <c r="AO107" s="108">
        <f>$AO$36</f>
        <v>44196</v>
      </c>
      <c r="AP107" s="108">
        <f>$AP$36</f>
        <v>44227</v>
      </c>
      <c r="AQ107" s="108">
        <f>$AQ$36</f>
        <v>44255</v>
      </c>
      <c r="AR107" s="108">
        <f>$AR$36</f>
        <v>44286</v>
      </c>
      <c r="AS107" s="108">
        <f>$AS$36</f>
        <v>44316</v>
      </c>
      <c r="AT107" s="108">
        <f>$AT$36</f>
        <v>44347</v>
      </c>
      <c r="AU107" s="108">
        <f>$AU$36</f>
        <v>44377</v>
      </c>
      <c r="AV107" s="108">
        <f>$AV$36</f>
        <v>44408</v>
      </c>
      <c r="AW107" s="108">
        <f>$AW$36</f>
        <v>44439</v>
      </c>
      <c r="AX107" s="108">
        <f>$AX$36</f>
        <v>44469</v>
      </c>
      <c r="AY107" s="108">
        <f>$AY$36</f>
        <v>44500</v>
      </c>
      <c r="AZ107" s="108">
        <f>$AZ$36</f>
        <v>44530</v>
      </c>
      <c r="BA107" s="108">
        <f>$BA$36</f>
        <v>44561</v>
      </c>
      <c r="BB107" s="108">
        <f>$BB$36</f>
        <v>44592</v>
      </c>
      <c r="BC107" s="108">
        <f>$BC$36</f>
        <v>44620</v>
      </c>
      <c r="BD107" s="108">
        <f>$BD$36</f>
        <v>44651</v>
      </c>
      <c r="BE107" s="108">
        <f>$BE$36</f>
        <v>44681</v>
      </c>
      <c r="BF107" s="108">
        <f>$BF$36</f>
        <v>44712</v>
      </c>
      <c r="BG107" s="108">
        <f>$BG$36</f>
        <v>44742</v>
      </c>
      <c r="BH107" s="108">
        <f>$BH$36</f>
        <v>44773</v>
      </c>
      <c r="BI107" s="108">
        <f>$BI$36</f>
        <v>44804</v>
      </c>
      <c r="BJ107" s="108">
        <f>$BJ$36</f>
        <v>44834</v>
      </c>
      <c r="BK107" s="108">
        <f>$BK$36</f>
        <v>44865</v>
      </c>
      <c r="BL107" s="108">
        <f>$BL$36</f>
        <v>44895</v>
      </c>
      <c r="BM107" s="108">
        <f>$BM$36</f>
        <v>44926</v>
      </c>
      <c r="BN107" s="108">
        <f>$BN$36</f>
        <v>44957</v>
      </c>
      <c r="BO107" s="108">
        <f>$BO$36</f>
        <v>44985</v>
      </c>
      <c r="BP107" s="108">
        <f>$BP$36</f>
        <v>45016</v>
      </c>
      <c r="BQ107" s="108">
        <f>$BQ$36</f>
        <v>45046</v>
      </c>
      <c r="BR107" s="108">
        <f>$BR$36</f>
        <v>45077</v>
      </c>
      <c r="BS107" s="108">
        <f>$BS$36</f>
        <v>45107</v>
      </c>
      <c r="BT107" s="108">
        <f>$BT$36</f>
        <v>45138</v>
      </c>
      <c r="BU107" s="108">
        <f>$BU$36</f>
        <v>45169</v>
      </c>
      <c r="BV107" s="108">
        <f>$BV$36</f>
        <v>45199</v>
      </c>
      <c r="BW107" s="108">
        <f>$BW$36</f>
        <v>45230</v>
      </c>
      <c r="BX107" s="108">
        <f>$BX$36</f>
        <v>45260</v>
      </c>
      <c r="BY107" s="108">
        <f>$BY$36</f>
        <v>45291</v>
      </c>
      <c r="BZ107" s="108">
        <f>$BZ$36</f>
        <v>45322</v>
      </c>
      <c r="CA107" s="108">
        <f>$CA$36</f>
        <v>45351</v>
      </c>
      <c r="CB107" s="108">
        <f>$CB$36</f>
        <v>45382</v>
      </c>
      <c r="CC107" s="108">
        <f>$CC$36</f>
        <v>45412</v>
      </c>
      <c r="CD107" s="108">
        <f>$CD$36</f>
        <v>45443</v>
      </c>
      <c r="CE107" s="108">
        <f>$CE$36</f>
        <v>45473</v>
      </c>
      <c r="CF107" s="108">
        <f>$CF$36</f>
        <v>45504</v>
      </c>
      <c r="CG107" s="108">
        <f>$CG$36</f>
        <v>45535</v>
      </c>
      <c r="CH107" s="108">
        <f>$CH$36</f>
        <v>45565</v>
      </c>
      <c r="CI107" s="108">
        <f>$CI$36</f>
        <v>45596</v>
      </c>
      <c r="CJ107" s="108">
        <f>$CJ$36</f>
        <v>45626</v>
      </c>
      <c r="CK107" s="108">
        <f>$CK$36</f>
        <v>45657</v>
      </c>
    </row>
    <row r="108" spans="2:89" outlineLevel="1" x14ac:dyDescent="0.25">
      <c r="L108" s="58"/>
    </row>
    <row r="109" spans="2:89" outlineLevel="1" x14ac:dyDescent="0.25">
      <c r="C109" s="122" t="s">
        <v>175</v>
      </c>
      <c r="D109" s="91" t="s">
        <v>5</v>
      </c>
      <c r="F109" s="110">
        <f t="shared" ref="F109:AK109" si="295">(1+Constr_Loan_Interest)^(1/Months)-1</f>
        <v>7.9741404289037643E-3</v>
      </c>
      <c r="G109" s="110">
        <f t="shared" si="295"/>
        <v>7.9741404289037643E-3</v>
      </c>
      <c r="H109" s="110">
        <f t="shared" si="295"/>
        <v>7.9741404289037643E-3</v>
      </c>
      <c r="I109" s="110">
        <f t="shared" si="295"/>
        <v>7.9741404289037643E-3</v>
      </c>
      <c r="J109" s="110">
        <f t="shared" si="295"/>
        <v>7.9741404289037643E-3</v>
      </c>
      <c r="K109" s="110">
        <f t="shared" si="295"/>
        <v>7.9741404289037643E-3</v>
      </c>
      <c r="L109" s="110">
        <f t="shared" si="295"/>
        <v>7.9741404289037643E-3</v>
      </c>
      <c r="M109" s="110">
        <f t="shared" si="295"/>
        <v>7.9741404289037643E-3</v>
      </c>
      <c r="N109" s="110">
        <f t="shared" si="295"/>
        <v>7.9741404289037643E-3</v>
      </c>
      <c r="O109" s="110">
        <f t="shared" si="295"/>
        <v>7.9741404289037643E-3</v>
      </c>
      <c r="P109" s="110">
        <f t="shared" si="295"/>
        <v>7.9741404289037643E-3</v>
      </c>
      <c r="Q109" s="110">
        <f t="shared" si="295"/>
        <v>7.9741404289037643E-3</v>
      </c>
      <c r="R109" s="110">
        <f t="shared" si="295"/>
        <v>7.9741404289037643E-3</v>
      </c>
      <c r="S109" s="110">
        <f t="shared" si="295"/>
        <v>7.9741404289037643E-3</v>
      </c>
      <c r="T109" s="110">
        <f t="shared" si="295"/>
        <v>7.9741404289037643E-3</v>
      </c>
      <c r="U109" s="110">
        <f t="shared" si="295"/>
        <v>7.9741404289037643E-3</v>
      </c>
      <c r="V109" s="110">
        <f t="shared" si="295"/>
        <v>7.9741404289037643E-3</v>
      </c>
      <c r="W109" s="110">
        <f t="shared" si="295"/>
        <v>7.9741404289037643E-3</v>
      </c>
      <c r="X109" s="110">
        <f t="shared" si="295"/>
        <v>7.9741404289037643E-3</v>
      </c>
      <c r="Y109" s="110">
        <f t="shared" si="295"/>
        <v>7.9741404289037643E-3</v>
      </c>
      <c r="Z109" s="110">
        <f t="shared" si="295"/>
        <v>7.9741404289037643E-3</v>
      </c>
      <c r="AA109" s="110">
        <f t="shared" si="295"/>
        <v>7.9741404289037643E-3</v>
      </c>
      <c r="AB109" s="110">
        <f t="shared" si="295"/>
        <v>7.9741404289037643E-3</v>
      </c>
      <c r="AC109" s="110">
        <f t="shared" si="295"/>
        <v>7.9741404289037643E-3</v>
      </c>
      <c r="AD109" s="110">
        <f t="shared" si="295"/>
        <v>7.9741404289037643E-3</v>
      </c>
      <c r="AE109" s="110">
        <f t="shared" si="295"/>
        <v>7.9741404289037643E-3</v>
      </c>
      <c r="AF109" s="110">
        <f t="shared" si="295"/>
        <v>7.9741404289037643E-3</v>
      </c>
      <c r="AG109" s="110">
        <f t="shared" si="295"/>
        <v>7.9741404289037643E-3</v>
      </c>
      <c r="AH109" s="110">
        <f t="shared" si="295"/>
        <v>7.9741404289037643E-3</v>
      </c>
      <c r="AI109" s="110">
        <f t="shared" si="295"/>
        <v>7.9741404289037643E-3</v>
      </c>
      <c r="AJ109" s="110">
        <f t="shared" si="295"/>
        <v>7.9741404289037643E-3</v>
      </c>
      <c r="AK109" s="110">
        <f t="shared" si="295"/>
        <v>7.9741404289037643E-3</v>
      </c>
      <c r="AL109" s="110">
        <f t="shared" ref="AL109:BQ109" si="296">(1+Constr_Loan_Interest)^(1/Months)-1</f>
        <v>7.9741404289037643E-3</v>
      </c>
      <c r="AM109" s="110">
        <f t="shared" si="296"/>
        <v>7.9741404289037643E-3</v>
      </c>
      <c r="AN109" s="110">
        <f t="shared" si="296"/>
        <v>7.9741404289037643E-3</v>
      </c>
      <c r="AO109" s="110">
        <f t="shared" si="296"/>
        <v>7.9741404289037643E-3</v>
      </c>
      <c r="AP109" s="110">
        <f t="shared" si="296"/>
        <v>7.9741404289037643E-3</v>
      </c>
      <c r="AQ109" s="110">
        <f t="shared" si="296"/>
        <v>7.9741404289037643E-3</v>
      </c>
      <c r="AR109" s="110">
        <f t="shared" si="296"/>
        <v>7.9741404289037643E-3</v>
      </c>
      <c r="AS109" s="110">
        <f t="shared" si="296"/>
        <v>7.9741404289037643E-3</v>
      </c>
      <c r="AT109" s="110">
        <f t="shared" si="296"/>
        <v>7.9741404289037643E-3</v>
      </c>
      <c r="AU109" s="110">
        <f t="shared" si="296"/>
        <v>7.9741404289037643E-3</v>
      </c>
      <c r="AV109" s="110">
        <f t="shared" si="296"/>
        <v>7.9741404289037643E-3</v>
      </c>
      <c r="AW109" s="110">
        <f t="shared" si="296"/>
        <v>7.9741404289037643E-3</v>
      </c>
      <c r="AX109" s="110">
        <f t="shared" si="296"/>
        <v>7.9741404289037643E-3</v>
      </c>
      <c r="AY109" s="110">
        <f t="shared" si="296"/>
        <v>7.9741404289037643E-3</v>
      </c>
      <c r="AZ109" s="110">
        <f t="shared" si="296"/>
        <v>7.9741404289037643E-3</v>
      </c>
      <c r="BA109" s="110">
        <f t="shared" si="296"/>
        <v>7.9741404289037643E-3</v>
      </c>
      <c r="BB109" s="110">
        <f t="shared" si="296"/>
        <v>7.9741404289037643E-3</v>
      </c>
      <c r="BC109" s="110">
        <f t="shared" si="296"/>
        <v>7.9741404289037643E-3</v>
      </c>
      <c r="BD109" s="110">
        <f t="shared" si="296"/>
        <v>7.9741404289037643E-3</v>
      </c>
      <c r="BE109" s="110">
        <f t="shared" si="296"/>
        <v>7.9741404289037643E-3</v>
      </c>
      <c r="BF109" s="110">
        <f t="shared" si="296"/>
        <v>7.9741404289037643E-3</v>
      </c>
      <c r="BG109" s="110">
        <f t="shared" si="296"/>
        <v>7.9741404289037643E-3</v>
      </c>
      <c r="BH109" s="110">
        <f t="shared" si="296"/>
        <v>7.9741404289037643E-3</v>
      </c>
      <c r="BI109" s="110">
        <f t="shared" si="296"/>
        <v>7.9741404289037643E-3</v>
      </c>
      <c r="BJ109" s="110">
        <f t="shared" si="296"/>
        <v>7.9741404289037643E-3</v>
      </c>
      <c r="BK109" s="110">
        <f t="shared" si="296"/>
        <v>7.9741404289037643E-3</v>
      </c>
      <c r="BL109" s="110">
        <f t="shared" si="296"/>
        <v>7.9741404289037643E-3</v>
      </c>
      <c r="BM109" s="110">
        <f t="shared" si="296"/>
        <v>7.9741404289037643E-3</v>
      </c>
      <c r="BN109" s="110">
        <f t="shared" si="296"/>
        <v>7.9741404289037643E-3</v>
      </c>
      <c r="BO109" s="110">
        <f t="shared" si="296"/>
        <v>7.9741404289037643E-3</v>
      </c>
      <c r="BP109" s="110">
        <f t="shared" si="296"/>
        <v>7.9741404289037643E-3</v>
      </c>
      <c r="BQ109" s="110">
        <f t="shared" si="296"/>
        <v>7.9741404289037643E-3</v>
      </c>
      <c r="BR109" s="110">
        <f t="shared" ref="BR109:CK109" si="297">(1+Constr_Loan_Interest)^(1/Months)-1</f>
        <v>7.9741404289037643E-3</v>
      </c>
      <c r="BS109" s="110">
        <f t="shared" si="297"/>
        <v>7.9741404289037643E-3</v>
      </c>
      <c r="BT109" s="110">
        <f t="shared" si="297"/>
        <v>7.9741404289037643E-3</v>
      </c>
      <c r="BU109" s="110">
        <f t="shared" si="297"/>
        <v>7.9741404289037643E-3</v>
      </c>
      <c r="BV109" s="110">
        <f t="shared" si="297"/>
        <v>7.9741404289037643E-3</v>
      </c>
      <c r="BW109" s="110">
        <f t="shared" si="297"/>
        <v>7.9741404289037643E-3</v>
      </c>
      <c r="BX109" s="110">
        <f t="shared" si="297"/>
        <v>7.9741404289037643E-3</v>
      </c>
      <c r="BY109" s="110">
        <f t="shared" si="297"/>
        <v>7.9741404289037643E-3</v>
      </c>
      <c r="BZ109" s="110">
        <f t="shared" si="297"/>
        <v>7.9741404289037643E-3</v>
      </c>
      <c r="CA109" s="110">
        <f t="shared" si="297"/>
        <v>7.9741404289037643E-3</v>
      </c>
      <c r="CB109" s="110">
        <f t="shared" si="297"/>
        <v>7.9741404289037643E-3</v>
      </c>
      <c r="CC109" s="110">
        <f t="shared" si="297"/>
        <v>7.9741404289037643E-3</v>
      </c>
      <c r="CD109" s="110">
        <f t="shared" si="297"/>
        <v>7.9741404289037643E-3</v>
      </c>
      <c r="CE109" s="110">
        <f t="shared" si="297"/>
        <v>7.9741404289037643E-3</v>
      </c>
      <c r="CF109" s="110">
        <f t="shared" si="297"/>
        <v>7.9741404289037643E-3</v>
      </c>
      <c r="CG109" s="110">
        <f t="shared" si="297"/>
        <v>7.9741404289037643E-3</v>
      </c>
      <c r="CH109" s="110">
        <f t="shared" si="297"/>
        <v>7.9741404289037643E-3</v>
      </c>
      <c r="CI109" s="110">
        <f t="shared" si="297"/>
        <v>7.9741404289037643E-3</v>
      </c>
      <c r="CJ109" s="110">
        <f t="shared" si="297"/>
        <v>7.9741404289037643E-3</v>
      </c>
      <c r="CK109" s="110">
        <f t="shared" si="297"/>
        <v>7.9741404289037643E-3</v>
      </c>
    </row>
    <row r="110" spans="2:89" outlineLevel="1" x14ac:dyDescent="0.25">
      <c r="L110" s="58"/>
    </row>
    <row r="111" spans="2:89" outlineLevel="1" x14ac:dyDescent="0.25">
      <c r="C111" s="2" t="s">
        <v>93</v>
      </c>
      <c r="D111" s="13" t="s">
        <v>24</v>
      </c>
      <c r="E111" s="38"/>
      <c r="F111" s="44">
        <f>+E126*F109</f>
        <v>0</v>
      </c>
      <c r="G111" s="44">
        <f t="shared" ref="G111:BR111" si="298">+F126*G109</f>
        <v>0</v>
      </c>
      <c r="H111" s="44">
        <f t="shared" si="298"/>
        <v>0</v>
      </c>
      <c r="I111" s="44">
        <f t="shared" si="298"/>
        <v>0</v>
      </c>
      <c r="J111" s="44">
        <f t="shared" si="298"/>
        <v>0</v>
      </c>
      <c r="K111" s="44">
        <f t="shared" si="298"/>
        <v>0</v>
      </c>
      <c r="L111" s="44">
        <f t="shared" si="298"/>
        <v>0</v>
      </c>
      <c r="M111" s="44">
        <f t="shared" si="298"/>
        <v>0</v>
      </c>
      <c r="N111" s="44">
        <f t="shared" si="298"/>
        <v>0</v>
      </c>
      <c r="O111" s="44">
        <f t="shared" si="298"/>
        <v>0</v>
      </c>
      <c r="P111" s="44">
        <f t="shared" si="298"/>
        <v>0</v>
      </c>
      <c r="Q111" s="44">
        <f t="shared" si="298"/>
        <v>0</v>
      </c>
      <c r="R111" s="44">
        <f t="shared" si="298"/>
        <v>0</v>
      </c>
      <c r="S111" s="44">
        <f t="shared" si="298"/>
        <v>0</v>
      </c>
      <c r="T111" s="44">
        <f t="shared" si="298"/>
        <v>45606.703208602928</v>
      </c>
      <c r="U111" s="44">
        <f t="shared" si="298"/>
        <v>48160.758503417048</v>
      </c>
      <c r="V111" s="44">
        <f t="shared" si="298"/>
        <v>50739.692020123955</v>
      </c>
      <c r="W111" s="44">
        <f t="shared" si="298"/>
        <v>65681.471191145771</v>
      </c>
      <c r="X111" s="44">
        <f t="shared" si="298"/>
        <v>74590.755644569595</v>
      </c>
      <c r="Y111" s="44">
        <f t="shared" si="298"/>
        <v>132148.03192907787</v>
      </c>
      <c r="Z111" s="44">
        <f t="shared" si="298"/>
        <v>171660.37409208209</v>
      </c>
      <c r="AA111" s="44">
        <f t="shared" si="298"/>
        <v>211567.01158825035</v>
      </c>
      <c r="AB111" s="44">
        <f t="shared" si="298"/>
        <v>264336.6049036929</v>
      </c>
      <c r="AC111" s="44">
        <f t="shared" si="298"/>
        <v>311386.69714636094</v>
      </c>
      <c r="AD111" s="44">
        <f t="shared" si="298"/>
        <v>358904.54707753711</v>
      </c>
      <c r="AE111" s="44">
        <f t="shared" si="298"/>
        <v>438250.42954947468</v>
      </c>
      <c r="AF111" s="44">
        <f t="shared" si="298"/>
        <v>486965.62844215526</v>
      </c>
      <c r="AG111" s="44">
        <f t="shared" si="298"/>
        <v>236270.30353599595</v>
      </c>
      <c r="AH111" s="44">
        <f t="shared" si="298"/>
        <v>328251.25592185068</v>
      </c>
      <c r="AI111" s="44">
        <f t="shared" si="298"/>
        <v>414828.1603256996</v>
      </c>
      <c r="AJ111" s="44">
        <f t="shared" si="298"/>
        <v>495932.25727531879</v>
      </c>
      <c r="AK111" s="44">
        <f t="shared" si="298"/>
        <v>577843.33711561712</v>
      </c>
      <c r="AL111" s="44">
        <f t="shared" si="298"/>
        <v>666930.42100445111</v>
      </c>
      <c r="AM111" s="44">
        <f t="shared" si="298"/>
        <v>769652.63386619382</v>
      </c>
      <c r="AN111" s="44">
        <f t="shared" si="298"/>
        <v>461221.57846059138</v>
      </c>
      <c r="AO111" s="44">
        <f t="shared" si="298"/>
        <v>543500.16784352786</v>
      </c>
      <c r="AP111" s="44">
        <f t="shared" si="298"/>
        <v>626596.76291530358</v>
      </c>
      <c r="AQ111" s="44">
        <f t="shared" si="298"/>
        <v>704090.16745420767</v>
      </c>
      <c r="AR111" s="44">
        <f t="shared" si="298"/>
        <v>782350.84689125651</v>
      </c>
      <c r="AS111" s="44">
        <f t="shared" si="298"/>
        <v>861385.2271828982</v>
      </c>
      <c r="AT111" s="44">
        <f t="shared" si="298"/>
        <v>941199.7861606623</v>
      </c>
      <c r="AU111" s="44">
        <f t="shared" si="298"/>
        <v>568285.39547093411</v>
      </c>
      <c r="AV111" s="44">
        <f t="shared" si="298"/>
        <v>572816.98301811446</v>
      </c>
      <c r="AW111" s="44">
        <f t="shared" si="298"/>
        <v>577384.70608076197</v>
      </c>
      <c r="AX111" s="44">
        <f t="shared" si="298"/>
        <v>581988.85280855128</v>
      </c>
      <c r="AY111" s="44">
        <f t="shared" si="298"/>
        <v>586629.71364890318</v>
      </c>
      <c r="AZ111" s="44">
        <f t="shared" si="298"/>
        <v>591307.58136530721</v>
      </c>
      <c r="BA111" s="44">
        <f t="shared" si="298"/>
        <v>0</v>
      </c>
      <c r="BB111" s="44">
        <f t="shared" si="298"/>
        <v>0</v>
      </c>
      <c r="BC111" s="44">
        <f t="shared" si="298"/>
        <v>0</v>
      </c>
      <c r="BD111" s="44">
        <f t="shared" si="298"/>
        <v>0</v>
      </c>
      <c r="BE111" s="44">
        <f t="shared" si="298"/>
        <v>0</v>
      </c>
      <c r="BF111" s="44">
        <f t="shared" si="298"/>
        <v>0</v>
      </c>
      <c r="BG111" s="44">
        <f t="shared" si="298"/>
        <v>0</v>
      </c>
      <c r="BH111" s="44">
        <f t="shared" si="298"/>
        <v>0</v>
      </c>
      <c r="BI111" s="44">
        <f t="shared" si="298"/>
        <v>0</v>
      </c>
      <c r="BJ111" s="44">
        <f t="shared" si="298"/>
        <v>0</v>
      </c>
      <c r="BK111" s="44">
        <f t="shared" si="298"/>
        <v>0</v>
      </c>
      <c r="BL111" s="44">
        <f t="shared" si="298"/>
        <v>0</v>
      </c>
      <c r="BM111" s="44">
        <f t="shared" si="298"/>
        <v>0</v>
      </c>
      <c r="BN111" s="44">
        <f t="shared" si="298"/>
        <v>0</v>
      </c>
      <c r="BO111" s="44">
        <f t="shared" si="298"/>
        <v>0</v>
      </c>
      <c r="BP111" s="44">
        <f t="shared" si="298"/>
        <v>0</v>
      </c>
      <c r="BQ111" s="44">
        <f t="shared" si="298"/>
        <v>0</v>
      </c>
      <c r="BR111" s="44">
        <f t="shared" si="298"/>
        <v>0</v>
      </c>
      <c r="BS111" s="44">
        <f t="shared" ref="BS111:CK111" si="299">+BR126*BS109</f>
        <v>0</v>
      </c>
      <c r="BT111" s="44">
        <f t="shared" si="299"/>
        <v>0</v>
      </c>
      <c r="BU111" s="44">
        <f t="shared" si="299"/>
        <v>0</v>
      </c>
      <c r="BV111" s="44">
        <f t="shared" si="299"/>
        <v>0</v>
      </c>
      <c r="BW111" s="44">
        <f t="shared" si="299"/>
        <v>0</v>
      </c>
      <c r="BX111" s="44">
        <f t="shared" si="299"/>
        <v>0</v>
      </c>
      <c r="BY111" s="44">
        <f t="shared" si="299"/>
        <v>0</v>
      </c>
      <c r="BZ111" s="44">
        <f t="shared" si="299"/>
        <v>0</v>
      </c>
      <c r="CA111" s="44">
        <f t="shared" si="299"/>
        <v>0</v>
      </c>
      <c r="CB111" s="44">
        <f t="shared" si="299"/>
        <v>0</v>
      </c>
      <c r="CC111" s="44">
        <f t="shared" si="299"/>
        <v>0</v>
      </c>
      <c r="CD111" s="44">
        <f t="shared" si="299"/>
        <v>0</v>
      </c>
      <c r="CE111" s="44">
        <f t="shared" si="299"/>
        <v>0</v>
      </c>
      <c r="CF111" s="44">
        <f t="shared" si="299"/>
        <v>0</v>
      </c>
      <c r="CG111" s="44">
        <f t="shared" si="299"/>
        <v>0</v>
      </c>
      <c r="CH111" s="44">
        <f t="shared" si="299"/>
        <v>0</v>
      </c>
      <c r="CI111" s="44">
        <f t="shared" si="299"/>
        <v>0</v>
      </c>
      <c r="CJ111" s="44">
        <f t="shared" si="299"/>
        <v>0</v>
      </c>
      <c r="CK111" s="44">
        <f t="shared" si="299"/>
        <v>0</v>
      </c>
    </row>
    <row r="112" spans="2:89" outlineLevel="1" x14ac:dyDescent="0.25">
      <c r="C112" s="2" t="s">
        <v>95</v>
      </c>
      <c r="D112" s="13" t="s">
        <v>24</v>
      </c>
      <c r="E112" s="38"/>
      <c r="F112" s="68">
        <f>MIN(F111,MAX(F103,0))</f>
        <v>0</v>
      </c>
      <c r="G112" s="68">
        <f t="shared" ref="G112:BR112" si="300">MIN(G111,MAX(G103,0))</f>
        <v>0</v>
      </c>
      <c r="H112" s="68">
        <f t="shared" si="300"/>
        <v>0</v>
      </c>
      <c r="I112" s="68">
        <f t="shared" si="300"/>
        <v>0</v>
      </c>
      <c r="J112" s="68">
        <f t="shared" si="300"/>
        <v>0</v>
      </c>
      <c r="K112" s="68">
        <f t="shared" si="300"/>
        <v>0</v>
      </c>
      <c r="L112" s="68">
        <f t="shared" si="300"/>
        <v>0</v>
      </c>
      <c r="M112" s="68">
        <f t="shared" si="300"/>
        <v>0</v>
      </c>
      <c r="N112" s="68">
        <f t="shared" si="300"/>
        <v>0</v>
      </c>
      <c r="O112" s="68">
        <f t="shared" si="300"/>
        <v>0</v>
      </c>
      <c r="P112" s="68">
        <f t="shared" si="300"/>
        <v>0</v>
      </c>
      <c r="Q112" s="68">
        <f t="shared" si="300"/>
        <v>0</v>
      </c>
      <c r="R112" s="68">
        <f t="shared" si="300"/>
        <v>0</v>
      </c>
      <c r="S112" s="68">
        <f t="shared" si="300"/>
        <v>0</v>
      </c>
      <c r="T112" s="68">
        <f t="shared" si="300"/>
        <v>0</v>
      </c>
      <c r="U112" s="68">
        <f t="shared" si="300"/>
        <v>0</v>
      </c>
      <c r="V112" s="68">
        <f t="shared" si="300"/>
        <v>0</v>
      </c>
      <c r="W112" s="68">
        <f t="shared" si="300"/>
        <v>0</v>
      </c>
      <c r="X112" s="68">
        <f t="shared" si="300"/>
        <v>0</v>
      </c>
      <c r="Y112" s="68">
        <f t="shared" si="300"/>
        <v>0</v>
      </c>
      <c r="Z112" s="68">
        <f t="shared" si="300"/>
        <v>0</v>
      </c>
      <c r="AA112" s="68">
        <f t="shared" si="300"/>
        <v>0</v>
      </c>
      <c r="AB112" s="68">
        <f t="shared" si="300"/>
        <v>0</v>
      </c>
      <c r="AC112" s="68">
        <f t="shared" si="300"/>
        <v>0</v>
      </c>
      <c r="AD112" s="68">
        <f t="shared" si="300"/>
        <v>0</v>
      </c>
      <c r="AE112" s="68">
        <f t="shared" si="300"/>
        <v>0</v>
      </c>
      <c r="AF112" s="68">
        <f t="shared" si="300"/>
        <v>486965.62844215526</v>
      </c>
      <c r="AG112" s="68">
        <f t="shared" si="300"/>
        <v>0</v>
      </c>
      <c r="AH112" s="68">
        <f t="shared" si="300"/>
        <v>0</v>
      </c>
      <c r="AI112" s="68">
        <f t="shared" si="300"/>
        <v>0</v>
      </c>
      <c r="AJ112" s="68">
        <f t="shared" si="300"/>
        <v>0</v>
      </c>
      <c r="AK112" s="68">
        <f t="shared" si="300"/>
        <v>0</v>
      </c>
      <c r="AL112" s="68">
        <f t="shared" si="300"/>
        <v>0</v>
      </c>
      <c r="AM112" s="68">
        <f t="shared" si="300"/>
        <v>769652.63386619382</v>
      </c>
      <c r="AN112" s="68">
        <f t="shared" si="300"/>
        <v>0</v>
      </c>
      <c r="AO112" s="68">
        <f t="shared" si="300"/>
        <v>0</v>
      </c>
      <c r="AP112" s="68">
        <f t="shared" si="300"/>
        <v>0</v>
      </c>
      <c r="AQ112" s="68">
        <f t="shared" si="300"/>
        <v>0</v>
      </c>
      <c r="AR112" s="68">
        <f t="shared" si="300"/>
        <v>0</v>
      </c>
      <c r="AS112" s="68">
        <f t="shared" si="300"/>
        <v>0</v>
      </c>
      <c r="AT112" s="68">
        <f t="shared" si="300"/>
        <v>941199.7861606623</v>
      </c>
      <c r="AU112" s="68">
        <f t="shared" si="300"/>
        <v>0</v>
      </c>
      <c r="AV112" s="68">
        <f t="shared" si="300"/>
        <v>0</v>
      </c>
      <c r="AW112" s="68">
        <f t="shared" si="300"/>
        <v>0</v>
      </c>
      <c r="AX112" s="68">
        <f t="shared" si="300"/>
        <v>0</v>
      </c>
      <c r="AY112" s="68">
        <f t="shared" si="300"/>
        <v>0</v>
      </c>
      <c r="AZ112" s="68">
        <f t="shared" si="300"/>
        <v>591307.58136530721</v>
      </c>
      <c r="BA112" s="68">
        <f t="shared" si="300"/>
        <v>0</v>
      </c>
      <c r="BB112" s="68">
        <f t="shared" si="300"/>
        <v>0</v>
      </c>
      <c r="BC112" s="68">
        <f t="shared" si="300"/>
        <v>0</v>
      </c>
      <c r="BD112" s="68">
        <f t="shared" si="300"/>
        <v>0</v>
      </c>
      <c r="BE112" s="68">
        <f t="shared" si="300"/>
        <v>0</v>
      </c>
      <c r="BF112" s="68">
        <f t="shared" si="300"/>
        <v>0</v>
      </c>
      <c r="BG112" s="68">
        <f t="shared" si="300"/>
        <v>0</v>
      </c>
      <c r="BH112" s="68">
        <f t="shared" si="300"/>
        <v>0</v>
      </c>
      <c r="BI112" s="68">
        <f t="shared" si="300"/>
        <v>0</v>
      </c>
      <c r="BJ112" s="68">
        <f t="shared" si="300"/>
        <v>0</v>
      </c>
      <c r="BK112" s="68">
        <f t="shared" si="300"/>
        <v>0</v>
      </c>
      <c r="BL112" s="68">
        <f t="shared" si="300"/>
        <v>0</v>
      </c>
      <c r="BM112" s="68">
        <f t="shared" si="300"/>
        <v>0</v>
      </c>
      <c r="BN112" s="68">
        <f t="shared" si="300"/>
        <v>0</v>
      </c>
      <c r="BO112" s="68">
        <f t="shared" si="300"/>
        <v>0</v>
      </c>
      <c r="BP112" s="68">
        <f t="shared" si="300"/>
        <v>0</v>
      </c>
      <c r="BQ112" s="68">
        <f t="shared" si="300"/>
        <v>0</v>
      </c>
      <c r="BR112" s="68">
        <f t="shared" si="300"/>
        <v>0</v>
      </c>
      <c r="BS112" s="68">
        <f t="shared" ref="BS112:CK112" si="301">MIN(BS111,MAX(BS103,0))</f>
        <v>0</v>
      </c>
      <c r="BT112" s="68">
        <f t="shared" si="301"/>
        <v>0</v>
      </c>
      <c r="BU112" s="68">
        <f t="shared" si="301"/>
        <v>0</v>
      </c>
      <c r="BV112" s="68">
        <f t="shared" si="301"/>
        <v>0</v>
      </c>
      <c r="BW112" s="68">
        <f t="shared" si="301"/>
        <v>0</v>
      </c>
      <c r="BX112" s="68">
        <f t="shared" si="301"/>
        <v>0</v>
      </c>
      <c r="BY112" s="68">
        <f t="shared" si="301"/>
        <v>0</v>
      </c>
      <c r="BZ112" s="68">
        <f t="shared" si="301"/>
        <v>0</v>
      </c>
      <c r="CA112" s="68">
        <f t="shared" si="301"/>
        <v>0</v>
      </c>
      <c r="CB112" s="68">
        <f t="shared" si="301"/>
        <v>0</v>
      </c>
      <c r="CC112" s="68">
        <f t="shared" si="301"/>
        <v>0</v>
      </c>
      <c r="CD112" s="68">
        <f t="shared" si="301"/>
        <v>0</v>
      </c>
      <c r="CE112" s="68">
        <f t="shared" si="301"/>
        <v>0</v>
      </c>
      <c r="CF112" s="68">
        <f t="shared" si="301"/>
        <v>0</v>
      </c>
      <c r="CG112" s="68">
        <f t="shared" si="301"/>
        <v>0</v>
      </c>
      <c r="CH112" s="68">
        <f t="shared" si="301"/>
        <v>0</v>
      </c>
      <c r="CI112" s="68">
        <f t="shared" si="301"/>
        <v>0</v>
      </c>
      <c r="CJ112" s="68">
        <f t="shared" si="301"/>
        <v>0</v>
      </c>
      <c r="CK112" s="68">
        <f t="shared" si="301"/>
        <v>0</v>
      </c>
    </row>
    <row r="113" spans="3:89" outlineLevel="1" x14ac:dyDescent="0.25">
      <c r="C113" s="2" t="s">
        <v>96</v>
      </c>
      <c r="D113" s="13" t="s">
        <v>24</v>
      </c>
      <c r="E113" s="38"/>
      <c r="F113" s="68">
        <f>+F111-F112</f>
        <v>0</v>
      </c>
      <c r="G113" s="68">
        <f t="shared" ref="G113:BR113" si="302">+G111-G112</f>
        <v>0</v>
      </c>
      <c r="H113" s="68">
        <f t="shared" si="302"/>
        <v>0</v>
      </c>
      <c r="I113" s="68">
        <f t="shared" si="302"/>
        <v>0</v>
      </c>
      <c r="J113" s="68">
        <f t="shared" si="302"/>
        <v>0</v>
      </c>
      <c r="K113" s="68">
        <f t="shared" si="302"/>
        <v>0</v>
      </c>
      <c r="L113" s="68">
        <f t="shared" si="302"/>
        <v>0</v>
      </c>
      <c r="M113" s="68">
        <f t="shared" si="302"/>
        <v>0</v>
      </c>
      <c r="N113" s="68">
        <f t="shared" si="302"/>
        <v>0</v>
      </c>
      <c r="O113" s="68">
        <f t="shared" si="302"/>
        <v>0</v>
      </c>
      <c r="P113" s="68">
        <f t="shared" si="302"/>
        <v>0</v>
      </c>
      <c r="Q113" s="68">
        <f t="shared" si="302"/>
        <v>0</v>
      </c>
      <c r="R113" s="68">
        <f t="shared" si="302"/>
        <v>0</v>
      </c>
      <c r="S113" s="68">
        <f t="shared" si="302"/>
        <v>0</v>
      </c>
      <c r="T113" s="68">
        <f t="shared" si="302"/>
        <v>45606.703208602928</v>
      </c>
      <c r="U113" s="68">
        <f t="shared" si="302"/>
        <v>48160.758503417048</v>
      </c>
      <c r="V113" s="68">
        <f t="shared" si="302"/>
        <v>50739.692020123955</v>
      </c>
      <c r="W113" s="68">
        <f t="shared" si="302"/>
        <v>65681.471191145771</v>
      </c>
      <c r="X113" s="68">
        <f t="shared" si="302"/>
        <v>74590.755644569595</v>
      </c>
      <c r="Y113" s="68">
        <f t="shared" si="302"/>
        <v>132148.03192907787</v>
      </c>
      <c r="Z113" s="68">
        <f t="shared" si="302"/>
        <v>171660.37409208209</v>
      </c>
      <c r="AA113" s="68">
        <f t="shared" si="302"/>
        <v>211567.01158825035</v>
      </c>
      <c r="AB113" s="68">
        <f t="shared" si="302"/>
        <v>264336.6049036929</v>
      </c>
      <c r="AC113" s="68">
        <f t="shared" si="302"/>
        <v>311386.69714636094</v>
      </c>
      <c r="AD113" s="68">
        <f t="shared" si="302"/>
        <v>358904.54707753711</v>
      </c>
      <c r="AE113" s="68">
        <f t="shared" si="302"/>
        <v>438250.42954947468</v>
      </c>
      <c r="AF113" s="68">
        <f t="shared" si="302"/>
        <v>0</v>
      </c>
      <c r="AG113" s="68">
        <f t="shared" si="302"/>
        <v>236270.30353599595</v>
      </c>
      <c r="AH113" s="68">
        <f t="shared" si="302"/>
        <v>328251.25592185068</v>
      </c>
      <c r="AI113" s="68">
        <f t="shared" si="302"/>
        <v>414828.1603256996</v>
      </c>
      <c r="AJ113" s="68">
        <f t="shared" si="302"/>
        <v>495932.25727531879</v>
      </c>
      <c r="AK113" s="68">
        <f t="shared" si="302"/>
        <v>577843.33711561712</v>
      </c>
      <c r="AL113" s="68">
        <f t="shared" si="302"/>
        <v>666930.42100445111</v>
      </c>
      <c r="AM113" s="68">
        <f t="shared" si="302"/>
        <v>0</v>
      </c>
      <c r="AN113" s="68">
        <f t="shared" si="302"/>
        <v>461221.57846059138</v>
      </c>
      <c r="AO113" s="68">
        <f t="shared" si="302"/>
        <v>543500.16784352786</v>
      </c>
      <c r="AP113" s="68">
        <f t="shared" si="302"/>
        <v>626596.76291530358</v>
      </c>
      <c r="AQ113" s="68">
        <f t="shared" si="302"/>
        <v>704090.16745420767</v>
      </c>
      <c r="AR113" s="68">
        <f t="shared" si="302"/>
        <v>782350.84689125651</v>
      </c>
      <c r="AS113" s="68">
        <f t="shared" si="302"/>
        <v>861385.2271828982</v>
      </c>
      <c r="AT113" s="68">
        <f t="shared" si="302"/>
        <v>0</v>
      </c>
      <c r="AU113" s="68">
        <f t="shared" si="302"/>
        <v>568285.39547093411</v>
      </c>
      <c r="AV113" s="68">
        <f t="shared" si="302"/>
        <v>572816.98301811446</v>
      </c>
      <c r="AW113" s="68">
        <f t="shared" si="302"/>
        <v>577384.70608076197</v>
      </c>
      <c r="AX113" s="68">
        <f t="shared" si="302"/>
        <v>581988.85280855128</v>
      </c>
      <c r="AY113" s="68">
        <f t="shared" si="302"/>
        <v>586629.71364890318</v>
      </c>
      <c r="AZ113" s="68">
        <f t="shared" si="302"/>
        <v>0</v>
      </c>
      <c r="BA113" s="68">
        <f t="shared" si="302"/>
        <v>0</v>
      </c>
      <c r="BB113" s="68">
        <f t="shared" si="302"/>
        <v>0</v>
      </c>
      <c r="BC113" s="68">
        <f t="shared" si="302"/>
        <v>0</v>
      </c>
      <c r="BD113" s="68">
        <f t="shared" si="302"/>
        <v>0</v>
      </c>
      <c r="BE113" s="68">
        <f t="shared" si="302"/>
        <v>0</v>
      </c>
      <c r="BF113" s="68">
        <f t="shared" si="302"/>
        <v>0</v>
      </c>
      <c r="BG113" s="68">
        <f t="shared" si="302"/>
        <v>0</v>
      </c>
      <c r="BH113" s="68">
        <f t="shared" si="302"/>
        <v>0</v>
      </c>
      <c r="BI113" s="68">
        <f t="shared" si="302"/>
        <v>0</v>
      </c>
      <c r="BJ113" s="68">
        <f t="shared" si="302"/>
        <v>0</v>
      </c>
      <c r="BK113" s="68">
        <f t="shared" si="302"/>
        <v>0</v>
      </c>
      <c r="BL113" s="68">
        <f t="shared" si="302"/>
        <v>0</v>
      </c>
      <c r="BM113" s="68">
        <f t="shared" si="302"/>
        <v>0</v>
      </c>
      <c r="BN113" s="68">
        <f t="shared" si="302"/>
        <v>0</v>
      </c>
      <c r="BO113" s="68">
        <f t="shared" si="302"/>
        <v>0</v>
      </c>
      <c r="BP113" s="68">
        <f t="shared" si="302"/>
        <v>0</v>
      </c>
      <c r="BQ113" s="68">
        <f t="shared" si="302"/>
        <v>0</v>
      </c>
      <c r="BR113" s="68">
        <f t="shared" si="302"/>
        <v>0</v>
      </c>
      <c r="BS113" s="68">
        <f t="shared" ref="BS113:CK113" si="303">+BS111-BS112</f>
        <v>0</v>
      </c>
      <c r="BT113" s="68">
        <f t="shared" si="303"/>
        <v>0</v>
      </c>
      <c r="BU113" s="68">
        <f t="shared" si="303"/>
        <v>0</v>
      </c>
      <c r="BV113" s="68">
        <f t="shared" si="303"/>
        <v>0</v>
      </c>
      <c r="BW113" s="68">
        <f t="shared" si="303"/>
        <v>0</v>
      </c>
      <c r="BX113" s="68">
        <f t="shared" si="303"/>
        <v>0</v>
      </c>
      <c r="BY113" s="68">
        <f t="shared" si="303"/>
        <v>0</v>
      </c>
      <c r="BZ113" s="68">
        <f t="shared" si="303"/>
        <v>0</v>
      </c>
      <c r="CA113" s="68">
        <f t="shared" si="303"/>
        <v>0</v>
      </c>
      <c r="CB113" s="68">
        <f t="shared" si="303"/>
        <v>0</v>
      </c>
      <c r="CC113" s="68">
        <f t="shared" si="303"/>
        <v>0</v>
      </c>
      <c r="CD113" s="68">
        <f t="shared" si="303"/>
        <v>0</v>
      </c>
      <c r="CE113" s="68">
        <f t="shared" si="303"/>
        <v>0</v>
      </c>
      <c r="CF113" s="68">
        <f t="shared" si="303"/>
        <v>0</v>
      </c>
      <c r="CG113" s="68">
        <f t="shared" si="303"/>
        <v>0</v>
      </c>
      <c r="CH113" s="68">
        <f t="shared" si="303"/>
        <v>0</v>
      </c>
      <c r="CI113" s="68">
        <f t="shared" si="303"/>
        <v>0</v>
      </c>
      <c r="CJ113" s="68">
        <f t="shared" si="303"/>
        <v>0</v>
      </c>
      <c r="CK113" s="68">
        <f t="shared" si="303"/>
        <v>0</v>
      </c>
    </row>
    <row r="114" spans="3:89" outlineLevel="1" x14ac:dyDescent="0.25">
      <c r="C114" s="38"/>
      <c r="K114" s="58"/>
    </row>
    <row r="115" spans="3:89" outlineLevel="1" x14ac:dyDescent="0.25">
      <c r="C115" s="66" t="s">
        <v>85</v>
      </c>
      <c r="E115" s="57"/>
      <c r="K115" s="58"/>
    </row>
    <row r="116" spans="3:89" outlineLevel="1" x14ac:dyDescent="0.25">
      <c r="C116" s="123" t="s">
        <v>176</v>
      </c>
      <c r="D116" s="13" t="s">
        <v>24</v>
      </c>
      <c r="E116" s="38"/>
      <c r="F116" s="133">
        <f t="shared" ref="F116:AK116" si="304">IF(AND(F$103&lt;0,F$40&lt;Pct_Units_Sold_Before_Loans),-F$103*Developer_Equity_Pct,0)+IF(F$39=Post_Constr_Phase_End,MAX(E$126+F$113-F$105,0),0)*Developer_Equity_Pct</f>
        <v>1792687.8812385798</v>
      </c>
      <c r="G116" s="68">
        <f t="shared" si="304"/>
        <v>0</v>
      </c>
      <c r="H116" s="68">
        <f t="shared" si="304"/>
        <v>0</v>
      </c>
      <c r="I116" s="68">
        <f t="shared" si="304"/>
        <v>988223.8935201756</v>
      </c>
      <c r="J116" s="68">
        <f t="shared" si="304"/>
        <v>1141207.8904392538</v>
      </c>
      <c r="K116" s="68">
        <f t="shared" si="304"/>
        <v>2593049.2453176882</v>
      </c>
      <c r="L116" s="68">
        <f t="shared" si="304"/>
        <v>2055339.6313906792</v>
      </c>
      <c r="M116" s="68">
        <f t="shared" si="304"/>
        <v>565136.30686345987</v>
      </c>
      <c r="N116" s="68">
        <f t="shared" si="304"/>
        <v>261908.43180881173</v>
      </c>
      <c r="O116" s="68">
        <f t="shared" si="304"/>
        <v>414957.40075763862</v>
      </c>
      <c r="P116" s="68">
        <f t="shared" si="304"/>
        <v>984001.93379384151</v>
      </c>
      <c r="Q116" s="68">
        <f t="shared" si="304"/>
        <v>1598582.4833333308</v>
      </c>
      <c r="R116" s="68">
        <f t="shared" si="304"/>
        <v>988059.87458634528</v>
      </c>
      <c r="S116" s="68">
        <f t="shared" si="304"/>
        <v>0</v>
      </c>
      <c r="T116" s="68">
        <f t="shared" si="304"/>
        <v>0</v>
      </c>
      <c r="U116" s="68">
        <f t="shared" si="304"/>
        <v>0</v>
      </c>
      <c r="V116" s="68">
        <f t="shared" si="304"/>
        <v>0</v>
      </c>
      <c r="W116" s="68">
        <f t="shared" si="304"/>
        <v>0</v>
      </c>
      <c r="X116" s="68">
        <f t="shared" si="304"/>
        <v>0</v>
      </c>
      <c r="Y116" s="68">
        <f t="shared" si="304"/>
        <v>0</v>
      </c>
      <c r="Z116" s="68">
        <f t="shared" si="304"/>
        <v>0</v>
      </c>
      <c r="AA116" s="68">
        <f t="shared" si="304"/>
        <v>0</v>
      </c>
      <c r="AB116" s="68">
        <f t="shared" si="304"/>
        <v>0</v>
      </c>
      <c r="AC116" s="68">
        <f t="shared" si="304"/>
        <v>0</v>
      </c>
      <c r="AD116" s="68">
        <f t="shared" si="304"/>
        <v>0</v>
      </c>
      <c r="AE116" s="68">
        <f t="shared" si="304"/>
        <v>0</v>
      </c>
      <c r="AF116" s="68">
        <f t="shared" si="304"/>
        <v>0</v>
      </c>
      <c r="AG116" s="68">
        <f t="shared" si="304"/>
        <v>0</v>
      </c>
      <c r="AH116" s="68">
        <f t="shared" si="304"/>
        <v>0</v>
      </c>
      <c r="AI116" s="68">
        <f t="shared" si="304"/>
        <v>0</v>
      </c>
      <c r="AJ116" s="68">
        <f t="shared" si="304"/>
        <v>0</v>
      </c>
      <c r="AK116" s="68">
        <f t="shared" si="304"/>
        <v>0</v>
      </c>
      <c r="AL116" s="68">
        <f t="shared" ref="AL116:BQ116" si="305">IF(AND(AL$103&lt;0,AL$40&lt;Pct_Units_Sold_Before_Loans),-AL$103*Developer_Equity_Pct,0)+IF(AL$39=Post_Constr_Phase_End,MAX(AK$126+AL$113-AL$105,0),0)*Developer_Equity_Pct</f>
        <v>0</v>
      </c>
      <c r="AM116" s="68">
        <f t="shared" si="305"/>
        <v>0</v>
      </c>
      <c r="AN116" s="68">
        <f t="shared" si="305"/>
        <v>0</v>
      </c>
      <c r="AO116" s="68">
        <f t="shared" si="305"/>
        <v>0</v>
      </c>
      <c r="AP116" s="68">
        <f t="shared" si="305"/>
        <v>0</v>
      </c>
      <c r="AQ116" s="68">
        <f t="shared" si="305"/>
        <v>0</v>
      </c>
      <c r="AR116" s="68">
        <f t="shared" si="305"/>
        <v>0</v>
      </c>
      <c r="AS116" s="68">
        <f t="shared" si="305"/>
        <v>0</v>
      </c>
      <c r="AT116" s="68">
        <f t="shared" si="305"/>
        <v>0</v>
      </c>
      <c r="AU116" s="68">
        <f t="shared" si="305"/>
        <v>0</v>
      </c>
      <c r="AV116" s="68">
        <f t="shared" si="305"/>
        <v>0</v>
      </c>
      <c r="AW116" s="68">
        <f t="shared" si="305"/>
        <v>0</v>
      </c>
      <c r="AX116" s="68">
        <f t="shared" si="305"/>
        <v>0</v>
      </c>
      <c r="AY116" s="68">
        <f t="shared" si="305"/>
        <v>0</v>
      </c>
      <c r="AZ116" s="68">
        <f t="shared" si="305"/>
        <v>0</v>
      </c>
      <c r="BA116" s="68">
        <f t="shared" si="305"/>
        <v>0</v>
      </c>
      <c r="BB116" s="68">
        <f t="shared" si="305"/>
        <v>0</v>
      </c>
      <c r="BC116" s="68">
        <f t="shared" si="305"/>
        <v>0</v>
      </c>
      <c r="BD116" s="68">
        <f t="shared" si="305"/>
        <v>0</v>
      </c>
      <c r="BE116" s="68">
        <f t="shared" si="305"/>
        <v>0</v>
      </c>
      <c r="BF116" s="68">
        <f t="shared" si="305"/>
        <v>0</v>
      </c>
      <c r="BG116" s="68">
        <f t="shared" si="305"/>
        <v>0</v>
      </c>
      <c r="BH116" s="68">
        <f t="shared" si="305"/>
        <v>0</v>
      </c>
      <c r="BI116" s="68">
        <f t="shared" si="305"/>
        <v>0</v>
      </c>
      <c r="BJ116" s="68">
        <f t="shared" si="305"/>
        <v>0</v>
      </c>
      <c r="BK116" s="68">
        <f t="shared" si="305"/>
        <v>0</v>
      </c>
      <c r="BL116" s="68">
        <f t="shared" si="305"/>
        <v>0</v>
      </c>
      <c r="BM116" s="68">
        <f t="shared" si="305"/>
        <v>0</v>
      </c>
      <c r="BN116" s="68">
        <f t="shared" si="305"/>
        <v>0</v>
      </c>
      <c r="BO116" s="68">
        <f t="shared" si="305"/>
        <v>0</v>
      </c>
      <c r="BP116" s="68">
        <f t="shared" si="305"/>
        <v>0</v>
      </c>
      <c r="BQ116" s="68">
        <f t="shared" si="305"/>
        <v>0</v>
      </c>
      <c r="BR116" s="68">
        <f t="shared" ref="BR116:CK116" si="306">IF(AND(BR$103&lt;0,BR$40&lt;Pct_Units_Sold_Before_Loans),-BR$103*Developer_Equity_Pct,0)+IF(BR$39=Post_Constr_Phase_End,MAX(BQ$126+BR$113-BR$105,0),0)*Developer_Equity_Pct</f>
        <v>0</v>
      </c>
      <c r="BS116" s="68">
        <f t="shared" si="306"/>
        <v>0</v>
      </c>
      <c r="BT116" s="68">
        <f t="shared" si="306"/>
        <v>0</v>
      </c>
      <c r="BU116" s="68">
        <f t="shared" si="306"/>
        <v>0</v>
      </c>
      <c r="BV116" s="68">
        <f t="shared" si="306"/>
        <v>0</v>
      </c>
      <c r="BW116" s="68">
        <f t="shared" si="306"/>
        <v>0</v>
      </c>
      <c r="BX116" s="68">
        <f t="shared" si="306"/>
        <v>0</v>
      </c>
      <c r="BY116" s="68">
        <f t="shared" si="306"/>
        <v>0</v>
      </c>
      <c r="BZ116" s="68">
        <f t="shared" si="306"/>
        <v>0</v>
      </c>
      <c r="CA116" s="68">
        <f t="shared" si="306"/>
        <v>0</v>
      </c>
      <c r="CB116" s="68">
        <f t="shared" si="306"/>
        <v>0</v>
      </c>
      <c r="CC116" s="68">
        <f t="shared" si="306"/>
        <v>0</v>
      </c>
      <c r="CD116" s="68">
        <f t="shared" si="306"/>
        <v>0</v>
      </c>
      <c r="CE116" s="68">
        <f t="shared" si="306"/>
        <v>0</v>
      </c>
      <c r="CF116" s="68">
        <f t="shared" si="306"/>
        <v>0</v>
      </c>
      <c r="CG116" s="68">
        <f t="shared" si="306"/>
        <v>0</v>
      </c>
      <c r="CH116" s="68">
        <f t="shared" si="306"/>
        <v>0</v>
      </c>
      <c r="CI116" s="68">
        <f t="shared" si="306"/>
        <v>0</v>
      </c>
      <c r="CJ116" s="68">
        <f t="shared" si="306"/>
        <v>0</v>
      </c>
      <c r="CK116" s="68">
        <f t="shared" si="306"/>
        <v>0</v>
      </c>
    </row>
    <row r="117" spans="3:89" outlineLevel="1" x14ac:dyDescent="0.25">
      <c r="C117" s="123" t="s">
        <v>177</v>
      </c>
      <c r="D117" s="13" t="s">
        <v>24</v>
      </c>
      <c r="E117" s="38"/>
      <c r="F117" s="133">
        <f t="shared" ref="F117:AK117" si="307">IF(AND(F$103&lt;0,F$40&lt;Pct_Units_Sold_Before_Loans),-F$103*Investor_Equity_Pct,0)+IF(F$39=Post_Constr_Phase_End,MAX(E$126+F$113-F$105,0),0)*Investor_Equity_Pct</f>
        <v>7170751.5249543209</v>
      </c>
      <c r="G117" s="68">
        <f t="shared" si="307"/>
        <v>0</v>
      </c>
      <c r="H117" s="68">
        <f t="shared" si="307"/>
        <v>0</v>
      </c>
      <c r="I117" s="68">
        <f t="shared" si="307"/>
        <v>3952895.5740807038</v>
      </c>
      <c r="J117" s="68">
        <f t="shared" si="307"/>
        <v>4564831.561757016</v>
      </c>
      <c r="K117" s="68">
        <f t="shared" si="307"/>
        <v>10372196.981270755</v>
      </c>
      <c r="L117" s="68">
        <f t="shared" si="307"/>
        <v>8221358.5255627185</v>
      </c>
      <c r="M117" s="68">
        <f t="shared" si="307"/>
        <v>2260545.22745384</v>
      </c>
      <c r="N117" s="68">
        <f t="shared" si="307"/>
        <v>1047633.7272352473</v>
      </c>
      <c r="O117" s="68">
        <f t="shared" si="307"/>
        <v>1659829.603030555</v>
      </c>
      <c r="P117" s="68">
        <f t="shared" si="307"/>
        <v>3936007.735175367</v>
      </c>
      <c r="Q117" s="68">
        <f t="shared" si="307"/>
        <v>6394329.9333333252</v>
      </c>
      <c r="R117" s="68">
        <f t="shared" si="307"/>
        <v>3952239.498345382</v>
      </c>
      <c r="S117" s="68">
        <f t="shared" si="307"/>
        <v>0</v>
      </c>
      <c r="T117" s="68">
        <f t="shared" si="307"/>
        <v>0</v>
      </c>
      <c r="U117" s="68">
        <f t="shared" si="307"/>
        <v>0</v>
      </c>
      <c r="V117" s="68">
        <f t="shared" si="307"/>
        <v>0</v>
      </c>
      <c r="W117" s="68">
        <f t="shared" si="307"/>
        <v>0</v>
      </c>
      <c r="X117" s="68">
        <f t="shared" si="307"/>
        <v>0</v>
      </c>
      <c r="Y117" s="68">
        <f t="shared" si="307"/>
        <v>0</v>
      </c>
      <c r="Z117" s="68">
        <f t="shared" si="307"/>
        <v>0</v>
      </c>
      <c r="AA117" s="68">
        <f t="shared" si="307"/>
        <v>0</v>
      </c>
      <c r="AB117" s="68">
        <f t="shared" si="307"/>
        <v>0</v>
      </c>
      <c r="AC117" s="68">
        <f t="shared" si="307"/>
        <v>0</v>
      </c>
      <c r="AD117" s="68">
        <f t="shared" si="307"/>
        <v>0</v>
      </c>
      <c r="AE117" s="68">
        <f t="shared" si="307"/>
        <v>0</v>
      </c>
      <c r="AF117" s="68">
        <f t="shared" si="307"/>
        <v>0</v>
      </c>
      <c r="AG117" s="68">
        <f t="shared" si="307"/>
        <v>0</v>
      </c>
      <c r="AH117" s="68">
        <f t="shared" si="307"/>
        <v>0</v>
      </c>
      <c r="AI117" s="68">
        <f t="shared" si="307"/>
        <v>0</v>
      </c>
      <c r="AJ117" s="68">
        <f t="shared" si="307"/>
        <v>0</v>
      </c>
      <c r="AK117" s="68">
        <f t="shared" si="307"/>
        <v>0</v>
      </c>
      <c r="AL117" s="68">
        <f t="shared" ref="AL117:BQ117" si="308">IF(AND(AL$103&lt;0,AL$40&lt;Pct_Units_Sold_Before_Loans),-AL$103*Investor_Equity_Pct,0)+IF(AL$39=Post_Constr_Phase_End,MAX(AK$126+AL$113-AL$105,0),0)*Investor_Equity_Pct</f>
        <v>0</v>
      </c>
      <c r="AM117" s="68">
        <f t="shared" si="308"/>
        <v>0</v>
      </c>
      <c r="AN117" s="68">
        <f t="shared" si="308"/>
        <v>0</v>
      </c>
      <c r="AO117" s="68">
        <f t="shared" si="308"/>
        <v>0</v>
      </c>
      <c r="AP117" s="68">
        <f t="shared" si="308"/>
        <v>0</v>
      </c>
      <c r="AQ117" s="68">
        <f t="shared" si="308"/>
        <v>0</v>
      </c>
      <c r="AR117" s="68">
        <f t="shared" si="308"/>
        <v>0</v>
      </c>
      <c r="AS117" s="68">
        <f t="shared" si="308"/>
        <v>0</v>
      </c>
      <c r="AT117" s="68">
        <f t="shared" si="308"/>
        <v>0</v>
      </c>
      <c r="AU117" s="68">
        <f t="shared" si="308"/>
        <v>0</v>
      </c>
      <c r="AV117" s="68">
        <f t="shared" si="308"/>
        <v>0</v>
      </c>
      <c r="AW117" s="68">
        <f t="shared" si="308"/>
        <v>0</v>
      </c>
      <c r="AX117" s="68">
        <f t="shared" si="308"/>
        <v>0</v>
      </c>
      <c r="AY117" s="68">
        <f t="shared" si="308"/>
        <v>0</v>
      </c>
      <c r="AZ117" s="68">
        <f t="shared" si="308"/>
        <v>0</v>
      </c>
      <c r="BA117" s="68">
        <f t="shared" si="308"/>
        <v>0</v>
      </c>
      <c r="BB117" s="68">
        <f t="shared" si="308"/>
        <v>0</v>
      </c>
      <c r="BC117" s="68">
        <f t="shared" si="308"/>
        <v>0</v>
      </c>
      <c r="BD117" s="68">
        <f t="shared" si="308"/>
        <v>0</v>
      </c>
      <c r="BE117" s="68">
        <f t="shared" si="308"/>
        <v>0</v>
      </c>
      <c r="BF117" s="68">
        <f t="shared" si="308"/>
        <v>0</v>
      </c>
      <c r="BG117" s="68">
        <f t="shared" si="308"/>
        <v>0</v>
      </c>
      <c r="BH117" s="68">
        <f t="shared" si="308"/>
        <v>0</v>
      </c>
      <c r="BI117" s="68">
        <f t="shared" si="308"/>
        <v>0</v>
      </c>
      <c r="BJ117" s="68">
        <f t="shared" si="308"/>
        <v>0</v>
      </c>
      <c r="BK117" s="68">
        <f t="shared" si="308"/>
        <v>0</v>
      </c>
      <c r="BL117" s="68">
        <f t="shared" si="308"/>
        <v>0</v>
      </c>
      <c r="BM117" s="68">
        <f t="shared" si="308"/>
        <v>0</v>
      </c>
      <c r="BN117" s="68">
        <f t="shared" si="308"/>
        <v>0</v>
      </c>
      <c r="BO117" s="68">
        <f t="shared" si="308"/>
        <v>0</v>
      </c>
      <c r="BP117" s="68">
        <f t="shared" si="308"/>
        <v>0</v>
      </c>
      <c r="BQ117" s="68">
        <f t="shared" si="308"/>
        <v>0</v>
      </c>
      <c r="BR117" s="68">
        <f t="shared" ref="BR117:CK117" si="309">IF(AND(BR$103&lt;0,BR$40&lt;Pct_Units_Sold_Before_Loans),-BR$103*Investor_Equity_Pct,0)+IF(BR$39=Post_Constr_Phase_End,MAX(BQ$126+BR$113-BR$105,0),0)*Investor_Equity_Pct</f>
        <v>0</v>
      </c>
      <c r="BS117" s="68">
        <f t="shared" si="309"/>
        <v>0</v>
      </c>
      <c r="BT117" s="68">
        <f t="shared" si="309"/>
        <v>0</v>
      </c>
      <c r="BU117" s="68">
        <f t="shared" si="309"/>
        <v>0</v>
      </c>
      <c r="BV117" s="68">
        <f t="shared" si="309"/>
        <v>0</v>
      </c>
      <c r="BW117" s="68">
        <f t="shared" si="309"/>
        <v>0</v>
      </c>
      <c r="BX117" s="68">
        <f t="shared" si="309"/>
        <v>0</v>
      </c>
      <c r="BY117" s="68">
        <f t="shared" si="309"/>
        <v>0</v>
      </c>
      <c r="BZ117" s="68">
        <f t="shared" si="309"/>
        <v>0</v>
      </c>
      <c r="CA117" s="68">
        <f t="shared" si="309"/>
        <v>0</v>
      </c>
      <c r="CB117" s="68">
        <f t="shared" si="309"/>
        <v>0</v>
      </c>
      <c r="CC117" s="68">
        <f t="shared" si="309"/>
        <v>0</v>
      </c>
      <c r="CD117" s="68">
        <f t="shared" si="309"/>
        <v>0</v>
      </c>
      <c r="CE117" s="68">
        <f t="shared" si="309"/>
        <v>0</v>
      </c>
      <c r="CF117" s="68">
        <f t="shared" si="309"/>
        <v>0</v>
      </c>
      <c r="CG117" s="68">
        <f t="shared" si="309"/>
        <v>0</v>
      </c>
      <c r="CH117" s="68">
        <f t="shared" si="309"/>
        <v>0</v>
      </c>
      <c r="CI117" s="68">
        <f t="shared" si="309"/>
        <v>0</v>
      </c>
      <c r="CJ117" s="68">
        <f t="shared" si="309"/>
        <v>0</v>
      </c>
      <c r="CK117" s="68">
        <f t="shared" si="309"/>
        <v>0</v>
      </c>
    </row>
    <row r="118" spans="3:89" outlineLevel="1" x14ac:dyDescent="0.25">
      <c r="C118" s="124" t="s">
        <v>178</v>
      </c>
      <c r="D118" s="50" t="s">
        <v>24</v>
      </c>
      <c r="E118" s="52"/>
      <c r="F118" s="68">
        <f t="shared" ref="F118:AK118" si="310">IF(AND(F$103&lt;0,F$40&gt;=Pct_Units_Sold_Before_Loans,F$39&lt;Post_Constr_Phase_End),-F$103,0)</f>
        <v>0</v>
      </c>
      <c r="G118" s="68">
        <f t="shared" si="310"/>
        <v>0</v>
      </c>
      <c r="H118" s="68">
        <f t="shared" si="310"/>
        <v>0</v>
      </c>
      <c r="I118" s="68">
        <f t="shared" si="310"/>
        <v>0</v>
      </c>
      <c r="J118" s="68">
        <f t="shared" si="310"/>
        <v>0</v>
      </c>
      <c r="K118" s="68">
        <f t="shared" si="310"/>
        <v>0</v>
      </c>
      <c r="L118" s="68">
        <f t="shared" si="310"/>
        <v>0</v>
      </c>
      <c r="M118" s="68">
        <f t="shared" si="310"/>
        <v>0</v>
      </c>
      <c r="N118" s="68">
        <f t="shared" si="310"/>
        <v>0</v>
      </c>
      <c r="O118" s="68">
        <f t="shared" si="310"/>
        <v>0</v>
      </c>
      <c r="P118" s="68">
        <f t="shared" si="310"/>
        <v>0</v>
      </c>
      <c r="Q118" s="68">
        <f t="shared" si="310"/>
        <v>0</v>
      </c>
      <c r="R118" s="68">
        <f t="shared" si="310"/>
        <v>0</v>
      </c>
      <c r="S118" s="68">
        <f t="shared" si="310"/>
        <v>5719325.3135213042</v>
      </c>
      <c r="T118" s="68">
        <f t="shared" si="310"/>
        <v>274685.5361350216</v>
      </c>
      <c r="U118" s="68">
        <f t="shared" si="310"/>
        <v>275251.3433651533</v>
      </c>
      <c r="V118" s="68">
        <f t="shared" si="310"/>
        <v>1823039.5954454616</v>
      </c>
      <c r="W118" s="68">
        <f t="shared" si="310"/>
        <v>1051590.6075811889</v>
      </c>
      <c r="X118" s="68">
        <f t="shared" si="310"/>
        <v>7143400.5498359762</v>
      </c>
      <c r="Y118" s="68">
        <f t="shared" si="310"/>
        <v>4822911.7033853801</v>
      </c>
      <c r="Z118" s="68">
        <f t="shared" si="310"/>
        <v>4832846.1118382607</v>
      </c>
      <c r="AA118" s="68">
        <f t="shared" si="310"/>
        <v>6406023.158277492</v>
      </c>
      <c r="AB118" s="68">
        <f t="shared" si="310"/>
        <v>5635997.4388919473</v>
      </c>
      <c r="AC118" s="68">
        <f t="shared" si="310"/>
        <v>5647606.6708333166</v>
      </c>
      <c r="AD118" s="68">
        <f t="shared" si="310"/>
        <v>9591494.8946395367</v>
      </c>
      <c r="AE118" s="68">
        <f t="shared" si="310"/>
        <v>5670896.9233242171</v>
      </c>
      <c r="AF118" s="68">
        <f t="shared" si="310"/>
        <v>0</v>
      </c>
      <c r="AG118" s="68">
        <f t="shared" si="310"/>
        <v>11298634.706720982</v>
      </c>
      <c r="AH118" s="68">
        <f t="shared" si="310"/>
        <v>10528957.138607381</v>
      </c>
      <c r="AI118" s="68">
        <f t="shared" si="310"/>
        <v>9756060.8116871659</v>
      </c>
      <c r="AJ118" s="68">
        <f t="shared" si="310"/>
        <v>9776156.6995978691</v>
      </c>
      <c r="AK118" s="68">
        <f t="shared" si="310"/>
        <v>10594155.034761699</v>
      </c>
      <c r="AL118" s="68">
        <f t="shared" ref="AL118:BQ118" si="311">IF(AND(AL$103&lt;0,AL$40&gt;=Pct_Units_Sold_Before_Loans,AL$39&lt;Post_Constr_Phase_End),-AL$103,0)</f>
        <v>12214986.291849883</v>
      </c>
      <c r="AM118" s="68">
        <f t="shared" si="311"/>
        <v>0</v>
      </c>
      <c r="AN118" s="68">
        <f t="shared" si="311"/>
        <v>9856955.0471606888</v>
      </c>
      <c r="AO118" s="68">
        <f t="shared" si="311"/>
        <v>9877258.7606770415</v>
      </c>
      <c r="AP118" s="68">
        <f t="shared" si="311"/>
        <v>9091492.0053756032</v>
      </c>
      <c r="AQ118" s="68">
        <f t="shared" si="311"/>
        <v>9110218.9903552588</v>
      </c>
      <c r="AR118" s="68">
        <f t="shared" si="311"/>
        <v>9128984.5498578046</v>
      </c>
      <c r="AS118" s="68">
        <f t="shared" si="311"/>
        <v>9147788.7633404359</v>
      </c>
      <c r="AT118" s="68">
        <f t="shared" si="311"/>
        <v>0</v>
      </c>
      <c r="AU118" s="68">
        <f t="shared" si="311"/>
        <v>0</v>
      </c>
      <c r="AV118" s="68">
        <f t="shared" si="311"/>
        <v>0</v>
      </c>
      <c r="AW118" s="68">
        <f t="shared" si="311"/>
        <v>0</v>
      </c>
      <c r="AX118" s="68">
        <f t="shared" si="311"/>
        <v>0</v>
      </c>
      <c r="AY118" s="68">
        <f t="shared" si="311"/>
        <v>0</v>
      </c>
      <c r="AZ118" s="68">
        <f t="shared" si="311"/>
        <v>0</v>
      </c>
      <c r="BA118" s="68">
        <f t="shared" si="311"/>
        <v>0</v>
      </c>
      <c r="BB118" s="68">
        <f t="shared" si="311"/>
        <v>0</v>
      </c>
      <c r="BC118" s="68">
        <f t="shared" si="311"/>
        <v>0</v>
      </c>
      <c r="BD118" s="68">
        <f t="shared" si="311"/>
        <v>0</v>
      </c>
      <c r="BE118" s="68">
        <f t="shared" si="311"/>
        <v>0</v>
      </c>
      <c r="BF118" s="68">
        <f t="shared" si="311"/>
        <v>0</v>
      </c>
      <c r="BG118" s="68">
        <f t="shared" si="311"/>
        <v>0</v>
      </c>
      <c r="BH118" s="68">
        <f t="shared" si="311"/>
        <v>0</v>
      </c>
      <c r="BI118" s="68">
        <f t="shared" si="311"/>
        <v>0</v>
      </c>
      <c r="BJ118" s="68">
        <f t="shared" si="311"/>
        <v>0</v>
      </c>
      <c r="BK118" s="68">
        <f t="shared" si="311"/>
        <v>0</v>
      </c>
      <c r="BL118" s="68">
        <f t="shared" si="311"/>
        <v>0</v>
      </c>
      <c r="BM118" s="68">
        <f t="shared" si="311"/>
        <v>0</v>
      </c>
      <c r="BN118" s="68">
        <f t="shared" si="311"/>
        <v>0</v>
      </c>
      <c r="BO118" s="68">
        <f t="shared" si="311"/>
        <v>0</v>
      </c>
      <c r="BP118" s="68">
        <f t="shared" si="311"/>
        <v>0</v>
      </c>
      <c r="BQ118" s="68">
        <f t="shared" si="311"/>
        <v>0</v>
      </c>
      <c r="BR118" s="68">
        <f t="shared" ref="BR118:CK118" si="312">IF(AND(BR$103&lt;0,BR$40&gt;=Pct_Units_Sold_Before_Loans,BR$39&lt;Post_Constr_Phase_End),-BR$103,0)</f>
        <v>0</v>
      </c>
      <c r="BS118" s="68">
        <f t="shared" si="312"/>
        <v>0</v>
      </c>
      <c r="BT118" s="68">
        <f t="shared" si="312"/>
        <v>0</v>
      </c>
      <c r="BU118" s="68">
        <f t="shared" si="312"/>
        <v>0</v>
      </c>
      <c r="BV118" s="68">
        <f t="shared" si="312"/>
        <v>0</v>
      </c>
      <c r="BW118" s="68">
        <f t="shared" si="312"/>
        <v>0</v>
      </c>
      <c r="BX118" s="68">
        <f t="shared" si="312"/>
        <v>0</v>
      </c>
      <c r="BY118" s="68">
        <f t="shared" si="312"/>
        <v>0</v>
      </c>
      <c r="BZ118" s="68">
        <f t="shared" si="312"/>
        <v>0</v>
      </c>
      <c r="CA118" s="68">
        <f t="shared" si="312"/>
        <v>0</v>
      </c>
      <c r="CB118" s="68">
        <f t="shared" si="312"/>
        <v>0</v>
      </c>
      <c r="CC118" s="68">
        <f t="shared" si="312"/>
        <v>0</v>
      </c>
      <c r="CD118" s="68">
        <f t="shared" si="312"/>
        <v>0</v>
      </c>
      <c r="CE118" s="68">
        <f t="shared" si="312"/>
        <v>0</v>
      </c>
      <c r="CF118" s="68">
        <f t="shared" si="312"/>
        <v>0</v>
      </c>
      <c r="CG118" s="68">
        <f t="shared" si="312"/>
        <v>0</v>
      </c>
      <c r="CH118" s="68">
        <f t="shared" si="312"/>
        <v>0</v>
      </c>
      <c r="CI118" s="68">
        <f t="shared" si="312"/>
        <v>0</v>
      </c>
      <c r="CJ118" s="68">
        <f t="shared" si="312"/>
        <v>0</v>
      </c>
      <c r="CK118" s="68">
        <f t="shared" si="312"/>
        <v>0</v>
      </c>
    </row>
    <row r="119" spans="3:89" outlineLevel="1" x14ac:dyDescent="0.25">
      <c r="C119" s="76" t="s">
        <v>89</v>
      </c>
      <c r="D119" s="13" t="s">
        <v>24</v>
      </c>
      <c r="E119" s="38"/>
      <c r="F119" s="71">
        <f>SUM(F116:F118)</f>
        <v>8963439.4061929006</v>
      </c>
      <c r="G119" s="71">
        <f t="shared" ref="G119:BR119" si="313">SUM(G116:G118)</f>
        <v>0</v>
      </c>
      <c r="H119" s="71">
        <f t="shared" si="313"/>
        <v>0</v>
      </c>
      <c r="I119" s="71">
        <f t="shared" si="313"/>
        <v>4941119.4676008793</v>
      </c>
      <c r="J119" s="71">
        <f t="shared" si="313"/>
        <v>5706039.4521962702</v>
      </c>
      <c r="K119" s="71">
        <f t="shared" si="313"/>
        <v>12965246.226588443</v>
      </c>
      <c r="L119" s="71">
        <f t="shared" si="313"/>
        <v>10276698.156953398</v>
      </c>
      <c r="M119" s="71">
        <f t="shared" si="313"/>
        <v>2825681.5343172997</v>
      </c>
      <c r="N119" s="71">
        <f t="shared" si="313"/>
        <v>1309542.159044059</v>
      </c>
      <c r="O119" s="71">
        <f t="shared" si="313"/>
        <v>2074787.0037881937</v>
      </c>
      <c r="P119" s="71">
        <f t="shared" si="313"/>
        <v>4920009.6689692084</v>
      </c>
      <c r="Q119" s="71">
        <f t="shared" si="313"/>
        <v>7992912.4166666558</v>
      </c>
      <c r="R119" s="71">
        <f t="shared" si="313"/>
        <v>4940299.3729317272</v>
      </c>
      <c r="S119" s="71">
        <f t="shared" si="313"/>
        <v>5719325.3135213042</v>
      </c>
      <c r="T119" s="71">
        <f t="shared" si="313"/>
        <v>274685.5361350216</v>
      </c>
      <c r="U119" s="71">
        <f t="shared" si="313"/>
        <v>275251.3433651533</v>
      </c>
      <c r="V119" s="71">
        <f t="shared" si="313"/>
        <v>1823039.5954454616</v>
      </c>
      <c r="W119" s="71">
        <f t="shared" si="313"/>
        <v>1051590.6075811889</v>
      </c>
      <c r="X119" s="71">
        <f t="shared" si="313"/>
        <v>7143400.5498359762</v>
      </c>
      <c r="Y119" s="71">
        <f t="shared" si="313"/>
        <v>4822911.7033853801</v>
      </c>
      <c r="Z119" s="71">
        <f t="shared" si="313"/>
        <v>4832846.1118382607</v>
      </c>
      <c r="AA119" s="71">
        <f t="shared" si="313"/>
        <v>6406023.158277492</v>
      </c>
      <c r="AB119" s="71">
        <f t="shared" si="313"/>
        <v>5635997.4388919473</v>
      </c>
      <c r="AC119" s="71">
        <f t="shared" si="313"/>
        <v>5647606.6708333166</v>
      </c>
      <c r="AD119" s="71">
        <f t="shared" si="313"/>
        <v>9591494.8946395367</v>
      </c>
      <c r="AE119" s="71">
        <f t="shared" si="313"/>
        <v>5670896.9233242171</v>
      </c>
      <c r="AF119" s="71">
        <f t="shared" si="313"/>
        <v>0</v>
      </c>
      <c r="AG119" s="71">
        <f t="shared" si="313"/>
        <v>11298634.706720982</v>
      </c>
      <c r="AH119" s="71">
        <f t="shared" si="313"/>
        <v>10528957.138607381</v>
      </c>
      <c r="AI119" s="71">
        <f t="shared" si="313"/>
        <v>9756060.8116871659</v>
      </c>
      <c r="AJ119" s="71">
        <f t="shared" si="313"/>
        <v>9776156.6995978691</v>
      </c>
      <c r="AK119" s="71">
        <f t="shared" si="313"/>
        <v>10594155.034761699</v>
      </c>
      <c r="AL119" s="71">
        <f t="shared" si="313"/>
        <v>12214986.291849883</v>
      </c>
      <c r="AM119" s="71">
        <f t="shared" si="313"/>
        <v>0</v>
      </c>
      <c r="AN119" s="71">
        <f t="shared" si="313"/>
        <v>9856955.0471606888</v>
      </c>
      <c r="AO119" s="71">
        <f t="shared" si="313"/>
        <v>9877258.7606770415</v>
      </c>
      <c r="AP119" s="71">
        <f t="shared" si="313"/>
        <v>9091492.0053756032</v>
      </c>
      <c r="AQ119" s="71">
        <f t="shared" si="313"/>
        <v>9110218.9903552588</v>
      </c>
      <c r="AR119" s="71">
        <f t="shared" si="313"/>
        <v>9128984.5498578046</v>
      </c>
      <c r="AS119" s="71">
        <f t="shared" si="313"/>
        <v>9147788.7633404359</v>
      </c>
      <c r="AT119" s="71">
        <f t="shared" si="313"/>
        <v>0</v>
      </c>
      <c r="AU119" s="71">
        <f t="shared" si="313"/>
        <v>0</v>
      </c>
      <c r="AV119" s="71">
        <f t="shared" si="313"/>
        <v>0</v>
      </c>
      <c r="AW119" s="71">
        <f t="shared" si="313"/>
        <v>0</v>
      </c>
      <c r="AX119" s="71">
        <f t="shared" si="313"/>
        <v>0</v>
      </c>
      <c r="AY119" s="71">
        <f t="shared" si="313"/>
        <v>0</v>
      </c>
      <c r="AZ119" s="71">
        <f t="shared" si="313"/>
        <v>0</v>
      </c>
      <c r="BA119" s="71">
        <f t="shared" si="313"/>
        <v>0</v>
      </c>
      <c r="BB119" s="71">
        <f t="shared" si="313"/>
        <v>0</v>
      </c>
      <c r="BC119" s="71">
        <f t="shared" si="313"/>
        <v>0</v>
      </c>
      <c r="BD119" s="71">
        <f t="shared" si="313"/>
        <v>0</v>
      </c>
      <c r="BE119" s="71">
        <f t="shared" si="313"/>
        <v>0</v>
      </c>
      <c r="BF119" s="71">
        <f t="shared" si="313"/>
        <v>0</v>
      </c>
      <c r="BG119" s="71">
        <f t="shared" si="313"/>
        <v>0</v>
      </c>
      <c r="BH119" s="71">
        <f t="shared" si="313"/>
        <v>0</v>
      </c>
      <c r="BI119" s="71">
        <f t="shared" si="313"/>
        <v>0</v>
      </c>
      <c r="BJ119" s="71">
        <f t="shared" si="313"/>
        <v>0</v>
      </c>
      <c r="BK119" s="71">
        <f t="shared" si="313"/>
        <v>0</v>
      </c>
      <c r="BL119" s="71">
        <f t="shared" si="313"/>
        <v>0</v>
      </c>
      <c r="BM119" s="71">
        <f t="shared" si="313"/>
        <v>0</v>
      </c>
      <c r="BN119" s="71">
        <f t="shared" si="313"/>
        <v>0</v>
      </c>
      <c r="BO119" s="71">
        <f t="shared" si="313"/>
        <v>0</v>
      </c>
      <c r="BP119" s="71">
        <f t="shared" si="313"/>
        <v>0</v>
      </c>
      <c r="BQ119" s="71">
        <f t="shared" si="313"/>
        <v>0</v>
      </c>
      <c r="BR119" s="71">
        <f t="shared" si="313"/>
        <v>0</v>
      </c>
      <c r="BS119" s="71">
        <f t="shared" ref="BS119:CK119" si="314">SUM(BS116:BS118)</f>
        <v>0</v>
      </c>
      <c r="BT119" s="71">
        <f t="shared" si="314"/>
        <v>0</v>
      </c>
      <c r="BU119" s="71">
        <f t="shared" si="314"/>
        <v>0</v>
      </c>
      <c r="BV119" s="71">
        <f t="shared" si="314"/>
        <v>0</v>
      </c>
      <c r="BW119" s="71">
        <f t="shared" si="314"/>
        <v>0</v>
      </c>
      <c r="BX119" s="71">
        <f t="shared" si="314"/>
        <v>0</v>
      </c>
      <c r="BY119" s="71">
        <f t="shared" si="314"/>
        <v>0</v>
      </c>
      <c r="BZ119" s="71">
        <f t="shared" si="314"/>
        <v>0</v>
      </c>
      <c r="CA119" s="71">
        <f t="shared" si="314"/>
        <v>0</v>
      </c>
      <c r="CB119" s="71">
        <f t="shared" si="314"/>
        <v>0</v>
      </c>
      <c r="CC119" s="71">
        <f t="shared" si="314"/>
        <v>0</v>
      </c>
      <c r="CD119" s="71">
        <f t="shared" si="314"/>
        <v>0</v>
      </c>
      <c r="CE119" s="71">
        <f t="shared" si="314"/>
        <v>0</v>
      </c>
      <c r="CF119" s="71">
        <f t="shared" si="314"/>
        <v>0</v>
      </c>
      <c r="CG119" s="71">
        <f t="shared" si="314"/>
        <v>0</v>
      </c>
      <c r="CH119" s="71">
        <f t="shared" si="314"/>
        <v>0</v>
      </c>
      <c r="CI119" s="71">
        <f t="shared" si="314"/>
        <v>0</v>
      </c>
      <c r="CJ119" s="71">
        <f t="shared" si="314"/>
        <v>0</v>
      </c>
      <c r="CK119" s="71">
        <f t="shared" si="314"/>
        <v>0</v>
      </c>
    </row>
    <row r="120" spans="3:89" outlineLevel="1" x14ac:dyDescent="0.25">
      <c r="C120" s="38"/>
      <c r="E120" s="57"/>
      <c r="K120" s="58"/>
    </row>
    <row r="121" spans="3:89" outlineLevel="1" x14ac:dyDescent="0.25">
      <c r="C121" s="66" t="s">
        <v>90</v>
      </c>
      <c r="D121" s="13" t="s">
        <v>24</v>
      </c>
      <c r="F121" s="72">
        <f>+F105+F119</f>
        <v>0</v>
      </c>
      <c r="G121" s="72">
        <f t="shared" ref="G121:BR121" si="315">+G105+G119</f>
        <v>2788820.292015709</v>
      </c>
      <c r="H121" s="72">
        <f t="shared" si="315"/>
        <v>2042922.4273272539</v>
      </c>
      <c r="I121" s="72">
        <f t="shared" si="315"/>
        <v>0</v>
      </c>
      <c r="J121" s="72">
        <f t="shared" si="315"/>
        <v>0</v>
      </c>
      <c r="K121" s="72">
        <f t="shared" si="315"/>
        <v>0</v>
      </c>
      <c r="L121" s="72">
        <f t="shared" si="315"/>
        <v>0</v>
      </c>
      <c r="M121" s="72">
        <f t="shared" si="315"/>
        <v>0</v>
      </c>
      <c r="N121" s="72">
        <f t="shared" si="315"/>
        <v>0</v>
      </c>
      <c r="O121" s="72">
        <f t="shared" si="315"/>
        <v>0</v>
      </c>
      <c r="P121" s="72">
        <f t="shared" si="315"/>
        <v>0</v>
      </c>
      <c r="Q121" s="72">
        <f t="shared" si="315"/>
        <v>0</v>
      </c>
      <c r="R121" s="72">
        <f t="shared" si="315"/>
        <v>0</v>
      </c>
      <c r="S121" s="72">
        <f t="shared" si="315"/>
        <v>0</v>
      </c>
      <c r="T121" s="72">
        <f t="shared" si="315"/>
        <v>0</v>
      </c>
      <c r="U121" s="72">
        <f t="shared" si="315"/>
        <v>0</v>
      </c>
      <c r="V121" s="72">
        <f t="shared" si="315"/>
        <v>0</v>
      </c>
      <c r="W121" s="72">
        <f t="shared" si="315"/>
        <v>0</v>
      </c>
      <c r="X121" s="72">
        <f t="shared" si="315"/>
        <v>0</v>
      </c>
      <c r="Y121" s="72">
        <f t="shared" si="315"/>
        <v>0</v>
      </c>
      <c r="Z121" s="72">
        <f t="shared" si="315"/>
        <v>0</v>
      </c>
      <c r="AA121" s="72">
        <f t="shared" si="315"/>
        <v>0</v>
      </c>
      <c r="AB121" s="72">
        <f t="shared" si="315"/>
        <v>0</v>
      </c>
      <c r="AC121" s="72">
        <f t="shared" si="315"/>
        <v>0</v>
      </c>
      <c r="AD121" s="72">
        <f t="shared" si="315"/>
        <v>0</v>
      </c>
      <c r="AE121" s="72">
        <f t="shared" si="315"/>
        <v>0</v>
      </c>
      <c r="AF121" s="72">
        <f t="shared" si="315"/>
        <v>31438539.005090404</v>
      </c>
      <c r="AG121" s="72">
        <f t="shared" si="315"/>
        <v>0</v>
      </c>
      <c r="AH121" s="72">
        <f t="shared" si="315"/>
        <v>0</v>
      </c>
      <c r="AI121" s="72">
        <f t="shared" si="315"/>
        <v>0</v>
      </c>
      <c r="AJ121" s="72">
        <f t="shared" si="315"/>
        <v>0</v>
      </c>
      <c r="AK121" s="72">
        <f t="shared" si="315"/>
        <v>0</v>
      </c>
      <c r="AL121" s="72">
        <f t="shared" si="315"/>
        <v>0</v>
      </c>
      <c r="AM121" s="72">
        <f t="shared" si="315"/>
        <v>38678909.426730983</v>
      </c>
      <c r="AN121" s="72">
        <f t="shared" si="315"/>
        <v>0</v>
      </c>
      <c r="AO121" s="72">
        <f t="shared" si="315"/>
        <v>0</v>
      </c>
      <c r="AP121" s="72">
        <f t="shared" si="315"/>
        <v>0</v>
      </c>
      <c r="AQ121" s="72">
        <f t="shared" si="315"/>
        <v>0</v>
      </c>
      <c r="AR121" s="72">
        <f t="shared" si="315"/>
        <v>0</v>
      </c>
      <c r="AS121" s="72">
        <f t="shared" si="315"/>
        <v>0</v>
      </c>
      <c r="AT121" s="72">
        <f t="shared" si="315"/>
        <v>46765465.696845531</v>
      </c>
      <c r="AU121" s="72">
        <f t="shared" si="315"/>
        <v>0</v>
      </c>
      <c r="AV121" s="72">
        <f t="shared" si="315"/>
        <v>0</v>
      </c>
      <c r="AW121" s="72">
        <f t="shared" si="315"/>
        <v>0</v>
      </c>
      <c r="AX121" s="72">
        <f t="shared" si="315"/>
        <v>0</v>
      </c>
      <c r="AY121" s="72">
        <f t="shared" si="315"/>
        <v>0</v>
      </c>
      <c r="AZ121" s="72">
        <f t="shared" si="315"/>
        <v>190325930.85536596</v>
      </c>
      <c r="BA121" s="72">
        <f t="shared" si="315"/>
        <v>0</v>
      </c>
      <c r="BB121" s="72">
        <f t="shared" si="315"/>
        <v>0</v>
      </c>
      <c r="BC121" s="72">
        <f t="shared" si="315"/>
        <v>0</v>
      </c>
      <c r="BD121" s="72">
        <f t="shared" si="315"/>
        <v>0</v>
      </c>
      <c r="BE121" s="72">
        <f t="shared" si="315"/>
        <v>0</v>
      </c>
      <c r="BF121" s="72">
        <f t="shared" si="315"/>
        <v>0</v>
      </c>
      <c r="BG121" s="72">
        <f t="shared" si="315"/>
        <v>0</v>
      </c>
      <c r="BH121" s="72">
        <f t="shared" si="315"/>
        <v>0</v>
      </c>
      <c r="BI121" s="72">
        <f t="shared" si="315"/>
        <v>0</v>
      </c>
      <c r="BJ121" s="72">
        <f t="shared" si="315"/>
        <v>0</v>
      </c>
      <c r="BK121" s="72">
        <f t="shared" si="315"/>
        <v>0</v>
      </c>
      <c r="BL121" s="72">
        <f t="shared" si="315"/>
        <v>0</v>
      </c>
      <c r="BM121" s="72">
        <f t="shared" si="315"/>
        <v>0</v>
      </c>
      <c r="BN121" s="72">
        <f t="shared" si="315"/>
        <v>0</v>
      </c>
      <c r="BO121" s="72">
        <f t="shared" si="315"/>
        <v>0</v>
      </c>
      <c r="BP121" s="72">
        <f t="shared" si="315"/>
        <v>0</v>
      </c>
      <c r="BQ121" s="72">
        <f t="shared" si="315"/>
        <v>0</v>
      </c>
      <c r="BR121" s="72">
        <f t="shared" si="315"/>
        <v>0</v>
      </c>
      <c r="BS121" s="72">
        <f t="shared" ref="BS121:CK121" si="316">+BS105+BS119</f>
        <v>0</v>
      </c>
      <c r="BT121" s="72">
        <f t="shared" si="316"/>
        <v>0</v>
      </c>
      <c r="BU121" s="72">
        <f t="shared" si="316"/>
        <v>0</v>
      </c>
      <c r="BV121" s="72">
        <f t="shared" si="316"/>
        <v>0</v>
      </c>
      <c r="BW121" s="72">
        <f t="shared" si="316"/>
        <v>0</v>
      </c>
      <c r="BX121" s="72">
        <f t="shared" si="316"/>
        <v>0</v>
      </c>
      <c r="BY121" s="72">
        <f t="shared" si="316"/>
        <v>0</v>
      </c>
      <c r="BZ121" s="72">
        <f t="shared" si="316"/>
        <v>0</v>
      </c>
      <c r="CA121" s="72">
        <f t="shared" si="316"/>
        <v>0</v>
      </c>
      <c r="CB121" s="72">
        <f t="shared" si="316"/>
        <v>0</v>
      </c>
      <c r="CC121" s="72">
        <f t="shared" si="316"/>
        <v>0</v>
      </c>
      <c r="CD121" s="72">
        <f t="shared" si="316"/>
        <v>0</v>
      </c>
      <c r="CE121" s="72">
        <f t="shared" si="316"/>
        <v>0</v>
      </c>
      <c r="CF121" s="72">
        <f t="shared" si="316"/>
        <v>0</v>
      </c>
      <c r="CG121" s="72">
        <f t="shared" si="316"/>
        <v>0</v>
      </c>
      <c r="CH121" s="72">
        <f t="shared" si="316"/>
        <v>0</v>
      </c>
      <c r="CI121" s="72">
        <f t="shared" si="316"/>
        <v>0</v>
      </c>
      <c r="CJ121" s="72">
        <f t="shared" si="316"/>
        <v>0</v>
      </c>
      <c r="CK121" s="72">
        <f t="shared" si="316"/>
        <v>0</v>
      </c>
    </row>
    <row r="122" spans="3:89" outlineLevel="1" x14ac:dyDescent="0.25">
      <c r="C122" s="38"/>
      <c r="K122" s="58"/>
    </row>
    <row r="123" spans="3:89" outlineLevel="1" x14ac:dyDescent="0.25">
      <c r="C123" s="66" t="s">
        <v>92</v>
      </c>
      <c r="K123" s="58"/>
    </row>
    <row r="124" spans="3:89" outlineLevel="1" x14ac:dyDescent="0.25">
      <c r="C124" s="123" t="s">
        <v>176</v>
      </c>
      <c r="D124" s="13" t="s">
        <v>24</v>
      </c>
      <c r="F124" s="68">
        <f>+E124+F116</f>
        <v>1792687.8812385798</v>
      </c>
      <c r="G124" s="68">
        <f t="shared" ref="G124:BR124" si="317">+F124+G116</f>
        <v>1792687.8812385798</v>
      </c>
      <c r="H124" s="68">
        <f t="shared" si="317"/>
        <v>1792687.8812385798</v>
      </c>
      <c r="I124" s="68">
        <f t="shared" si="317"/>
        <v>2780911.7747587552</v>
      </c>
      <c r="J124" s="68">
        <f t="shared" si="317"/>
        <v>3922119.665198009</v>
      </c>
      <c r="K124" s="68">
        <f t="shared" si="317"/>
        <v>6515168.9105156977</v>
      </c>
      <c r="L124" s="68">
        <f t="shared" si="317"/>
        <v>8570508.5419063773</v>
      </c>
      <c r="M124" s="68">
        <f t="shared" si="317"/>
        <v>9135644.848769838</v>
      </c>
      <c r="N124" s="68">
        <f t="shared" si="317"/>
        <v>9397553.2805786505</v>
      </c>
      <c r="O124" s="68">
        <f t="shared" si="317"/>
        <v>9812510.6813362893</v>
      </c>
      <c r="P124" s="68">
        <f t="shared" si="317"/>
        <v>10796512.61513013</v>
      </c>
      <c r="Q124" s="68">
        <f t="shared" si="317"/>
        <v>12395095.098463461</v>
      </c>
      <c r="R124" s="68">
        <f t="shared" si="317"/>
        <v>13383154.973049806</v>
      </c>
      <c r="S124" s="68">
        <f t="shared" si="317"/>
        <v>13383154.973049806</v>
      </c>
      <c r="T124" s="68">
        <f t="shared" si="317"/>
        <v>13383154.973049806</v>
      </c>
      <c r="U124" s="68">
        <f t="shared" si="317"/>
        <v>13383154.973049806</v>
      </c>
      <c r="V124" s="68">
        <f t="shared" si="317"/>
        <v>13383154.973049806</v>
      </c>
      <c r="W124" s="68">
        <f t="shared" si="317"/>
        <v>13383154.973049806</v>
      </c>
      <c r="X124" s="68">
        <f t="shared" si="317"/>
        <v>13383154.973049806</v>
      </c>
      <c r="Y124" s="68">
        <f t="shared" si="317"/>
        <v>13383154.973049806</v>
      </c>
      <c r="Z124" s="68">
        <f t="shared" si="317"/>
        <v>13383154.973049806</v>
      </c>
      <c r="AA124" s="68">
        <f t="shared" si="317"/>
        <v>13383154.973049806</v>
      </c>
      <c r="AB124" s="68">
        <f t="shared" si="317"/>
        <v>13383154.973049806</v>
      </c>
      <c r="AC124" s="68">
        <f t="shared" si="317"/>
        <v>13383154.973049806</v>
      </c>
      <c r="AD124" s="68">
        <f t="shared" si="317"/>
        <v>13383154.973049806</v>
      </c>
      <c r="AE124" s="68">
        <f t="shared" si="317"/>
        <v>13383154.973049806</v>
      </c>
      <c r="AF124" s="68">
        <f t="shared" si="317"/>
        <v>13383154.973049806</v>
      </c>
      <c r="AG124" s="68">
        <f t="shared" si="317"/>
        <v>13383154.973049806</v>
      </c>
      <c r="AH124" s="68">
        <f t="shared" si="317"/>
        <v>13383154.973049806</v>
      </c>
      <c r="AI124" s="68">
        <f t="shared" si="317"/>
        <v>13383154.973049806</v>
      </c>
      <c r="AJ124" s="68">
        <f t="shared" si="317"/>
        <v>13383154.973049806</v>
      </c>
      <c r="AK124" s="68">
        <f t="shared" si="317"/>
        <v>13383154.973049806</v>
      </c>
      <c r="AL124" s="68">
        <f t="shared" si="317"/>
        <v>13383154.973049806</v>
      </c>
      <c r="AM124" s="68">
        <f t="shared" si="317"/>
        <v>13383154.973049806</v>
      </c>
      <c r="AN124" s="68">
        <f t="shared" si="317"/>
        <v>13383154.973049806</v>
      </c>
      <c r="AO124" s="68">
        <f t="shared" si="317"/>
        <v>13383154.973049806</v>
      </c>
      <c r="AP124" s="68">
        <f t="shared" si="317"/>
        <v>13383154.973049806</v>
      </c>
      <c r="AQ124" s="68">
        <f t="shared" si="317"/>
        <v>13383154.973049806</v>
      </c>
      <c r="AR124" s="68">
        <f t="shared" si="317"/>
        <v>13383154.973049806</v>
      </c>
      <c r="AS124" s="68">
        <f t="shared" si="317"/>
        <v>13383154.973049806</v>
      </c>
      <c r="AT124" s="68">
        <f t="shared" si="317"/>
        <v>13383154.973049806</v>
      </c>
      <c r="AU124" s="68">
        <f t="shared" si="317"/>
        <v>13383154.973049806</v>
      </c>
      <c r="AV124" s="68">
        <f t="shared" si="317"/>
        <v>13383154.973049806</v>
      </c>
      <c r="AW124" s="68">
        <f t="shared" si="317"/>
        <v>13383154.973049806</v>
      </c>
      <c r="AX124" s="68">
        <f t="shared" si="317"/>
        <v>13383154.973049806</v>
      </c>
      <c r="AY124" s="68">
        <f t="shared" si="317"/>
        <v>13383154.973049806</v>
      </c>
      <c r="AZ124" s="68">
        <f t="shared" si="317"/>
        <v>13383154.973049806</v>
      </c>
      <c r="BA124" s="68">
        <f t="shared" si="317"/>
        <v>13383154.973049806</v>
      </c>
      <c r="BB124" s="68">
        <f t="shared" si="317"/>
        <v>13383154.973049806</v>
      </c>
      <c r="BC124" s="68">
        <f t="shared" si="317"/>
        <v>13383154.973049806</v>
      </c>
      <c r="BD124" s="68">
        <f t="shared" si="317"/>
        <v>13383154.973049806</v>
      </c>
      <c r="BE124" s="68">
        <f t="shared" si="317"/>
        <v>13383154.973049806</v>
      </c>
      <c r="BF124" s="68">
        <f t="shared" si="317"/>
        <v>13383154.973049806</v>
      </c>
      <c r="BG124" s="68">
        <f t="shared" si="317"/>
        <v>13383154.973049806</v>
      </c>
      <c r="BH124" s="68">
        <f t="shared" si="317"/>
        <v>13383154.973049806</v>
      </c>
      <c r="BI124" s="68">
        <f t="shared" si="317"/>
        <v>13383154.973049806</v>
      </c>
      <c r="BJ124" s="68">
        <f t="shared" si="317"/>
        <v>13383154.973049806</v>
      </c>
      <c r="BK124" s="68">
        <f t="shared" si="317"/>
        <v>13383154.973049806</v>
      </c>
      <c r="BL124" s="68">
        <f t="shared" si="317"/>
        <v>13383154.973049806</v>
      </c>
      <c r="BM124" s="68">
        <f t="shared" si="317"/>
        <v>13383154.973049806</v>
      </c>
      <c r="BN124" s="68">
        <f t="shared" si="317"/>
        <v>13383154.973049806</v>
      </c>
      <c r="BO124" s="68">
        <f t="shared" si="317"/>
        <v>13383154.973049806</v>
      </c>
      <c r="BP124" s="68">
        <f t="shared" si="317"/>
        <v>13383154.973049806</v>
      </c>
      <c r="BQ124" s="68">
        <f t="shared" si="317"/>
        <v>13383154.973049806</v>
      </c>
      <c r="BR124" s="68">
        <f t="shared" si="317"/>
        <v>13383154.973049806</v>
      </c>
      <c r="BS124" s="68">
        <f t="shared" ref="BS124:CK124" si="318">+BR124+BS116</f>
        <v>13383154.973049806</v>
      </c>
      <c r="BT124" s="68">
        <f t="shared" si="318"/>
        <v>13383154.973049806</v>
      </c>
      <c r="BU124" s="68">
        <f t="shared" si="318"/>
        <v>13383154.973049806</v>
      </c>
      <c r="BV124" s="68">
        <f t="shared" si="318"/>
        <v>13383154.973049806</v>
      </c>
      <c r="BW124" s="68">
        <f t="shared" si="318"/>
        <v>13383154.973049806</v>
      </c>
      <c r="BX124" s="68">
        <f t="shared" si="318"/>
        <v>13383154.973049806</v>
      </c>
      <c r="BY124" s="68">
        <f t="shared" si="318"/>
        <v>13383154.973049806</v>
      </c>
      <c r="BZ124" s="68">
        <f t="shared" si="318"/>
        <v>13383154.973049806</v>
      </c>
      <c r="CA124" s="68">
        <f t="shared" si="318"/>
        <v>13383154.973049806</v>
      </c>
      <c r="CB124" s="68">
        <f t="shared" si="318"/>
        <v>13383154.973049806</v>
      </c>
      <c r="CC124" s="68">
        <f t="shared" si="318"/>
        <v>13383154.973049806</v>
      </c>
      <c r="CD124" s="68">
        <f t="shared" si="318"/>
        <v>13383154.973049806</v>
      </c>
      <c r="CE124" s="68">
        <f t="shared" si="318"/>
        <v>13383154.973049806</v>
      </c>
      <c r="CF124" s="68">
        <f t="shared" si="318"/>
        <v>13383154.973049806</v>
      </c>
      <c r="CG124" s="68">
        <f t="shared" si="318"/>
        <v>13383154.973049806</v>
      </c>
      <c r="CH124" s="68">
        <f t="shared" si="318"/>
        <v>13383154.973049806</v>
      </c>
      <c r="CI124" s="68">
        <f t="shared" si="318"/>
        <v>13383154.973049806</v>
      </c>
      <c r="CJ124" s="68">
        <f t="shared" si="318"/>
        <v>13383154.973049806</v>
      </c>
      <c r="CK124" s="68">
        <f t="shared" si="318"/>
        <v>13383154.973049806</v>
      </c>
    </row>
    <row r="125" spans="3:89" outlineLevel="1" x14ac:dyDescent="0.25">
      <c r="C125" s="123" t="s">
        <v>177</v>
      </c>
      <c r="D125" s="13" t="s">
        <v>24</v>
      </c>
      <c r="F125" s="68">
        <f>+E125+F117</f>
        <v>7170751.5249543209</v>
      </c>
      <c r="G125" s="68">
        <f t="shared" ref="G125:BR125" si="319">+F125+G117</f>
        <v>7170751.5249543209</v>
      </c>
      <c r="H125" s="68">
        <f t="shared" si="319"/>
        <v>7170751.5249543209</v>
      </c>
      <c r="I125" s="68">
        <f t="shared" si="319"/>
        <v>11123647.099035025</v>
      </c>
      <c r="J125" s="68">
        <f t="shared" si="319"/>
        <v>15688478.660792042</v>
      </c>
      <c r="K125" s="68">
        <f t="shared" si="319"/>
        <v>26060675.642062798</v>
      </c>
      <c r="L125" s="68">
        <f t="shared" si="319"/>
        <v>34282034.167625517</v>
      </c>
      <c r="M125" s="68">
        <f t="shared" si="319"/>
        <v>36542579.395079359</v>
      </c>
      <c r="N125" s="68">
        <f t="shared" si="319"/>
        <v>37590213.12231461</v>
      </c>
      <c r="O125" s="68">
        <f t="shared" si="319"/>
        <v>39250042.725345165</v>
      </c>
      <c r="P125" s="68">
        <f t="shared" si="319"/>
        <v>43186050.460520528</v>
      </c>
      <c r="Q125" s="68">
        <f t="shared" si="319"/>
        <v>49580380.393853851</v>
      </c>
      <c r="R125" s="68">
        <f t="shared" si="319"/>
        <v>53532619.892199233</v>
      </c>
      <c r="S125" s="68">
        <f t="shared" si="319"/>
        <v>53532619.892199233</v>
      </c>
      <c r="T125" s="68">
        <f t="shared" si="319"/>
        <v>53532619.892199233</v>
      </c>
      <c r="U125" s="68">
        <f t="shared" si="319"/>
        <v>53532619.892199233</v>
      </c>
      <c r="V125" s="68">
        <f t="shared" si="319"/>
        <v>53532619.892199233</v>
      </c>
      <c r="W125" s="68">
        <f t="shared" si="319"/>
        <v>53532619.892199233</v>
      </c>
      <c r="X125" s="68">
        <f t="shared" si="319"/>
        <v>53532619.892199233</v>
      </c>
      <c r="Y125" s="68">
        <f t="shared" si="319"/>
        <v>53532619.892199233</v>
      </c>
      <c r="Z125" s="68">
        <f t="shared" si="319"/>
        <v>53532619.892199233</v>
      </c>
      <c r="AA125" s="68">
        <f t="shared" si="319"/>
        <v>53532619.892199233</v>
      </c>
      <c r="AB125" s="68">
        <f t="shared" si="319"/>
        <v>53532619.892199233</v>
      </c>
      <c r="AC125" s="68">
        <f t="shared" si="319"/>
        <v>53532619.892199233</v>
      </c>
      <c r="AD125" s="68">
        <f t="shared" si="319"/>
        <v>53532619.892199233</v>
      </c>
      <c r="AE125" s="68">
        <f t="shared" si="319"/>
        <v>53532619.892199233</v>
      </c>
      <c r="AF125" s="68">
        <f t="shared" si="319"/>
        <v>53532619.892199233</v>
      </c>
      <c r="AG125" s="68">
        <f t="shared" si="319"/>
        <v>53532619.892199233</v>
      </c>
      <c r="AH125" s="68">
        <f t="shared" si="319"/>
        <v>53532619.892199233</v>
      </c>
      <c r="AI125" s="68">
        <f t="shared" si="319"/>
        <v>53532619.892199233</v>
      </c>
      <c r="AJ125" s="68">
        <f t="shared" si="319"/>
        <v>53532619.892199233</v>
      </c>
      <c r="AK125" s="68">
        <f t="shared" si="319"/>
        <v>53532619.892199233</v>
      </c>
      <c r="AL125" s="68">
        <f t="shared" si="319"/>
        <v>53532619.892199233</v>
      </c>
      <c r="AM125" s="68">
        <f t="shared" si="319"/>
        <v>53532619.892199233</v>
      </c>
      <c r="AN125" s="68">
        <f t="shared" si="319"/>
        <v>53532619.892199233</v>
      </c>
      <c r="AO125" s="68">
        <f t="shared" si="319"/>
        <v>53532619.892199233</v>
      </c>
      <c r="AP125" s="68">
        <f t="shared" si="319"/>
        <v>53532619.892199233</v>
      </c>
      <c r="AQ125" s="68">
        <f t="shared" si="319"/>
        <v>53532619.892199233</v>
      </c>
      <c r="AR125" s="68">
        <f t="shared" si="319"/>
        <v>53532619.892199233</v>
      </c>
      <c r="AS125" s="68">
        <f t="shared" si="319"/>
        <v>53532619.892199233</v>
      </c>
      <c r="AT125" s="68">
        <f t="shared" si="319"/>
        <v>53532619.892199233</v>
      </c>
      <c r="AU125" s="68">
        <f t="shared" si="319"/>
        <v>53532619.892199233</v>
      </c>
      <c r="AV125" s="68">
        <f t="shared" si="319"/>
        <v>53532619.892199233</v>
      </c>
      <c r="AW125" s="68">
        <f t="shared" si="319"/>
        <v>53532619.892199233</v>
      </c>
      <c r="AX125" s="68">
        <f t="shared" si="319"/>
        <v>53532619.892199233</v>
      </c>
      <c r="AY125" s="68">
        <f t="shared" si="319"/>
        <v>53532619.892199233</v>
      </c>
      <c r="AZ125" s="68">
        <f t="shared" si="319"/>
        <v>53532619.892199233</v>
      </c>
      <c r="BA125" s="68">
        <f t="shared" si="319"/>
        <v>53532619.892199233</v>
      </c>
      <c r="BB125" s="68">
        <f t="shared" si="319"/>
        <v>53532619.892199233</v>
      </c>
      <c r="BC125" s="68">
        <f t="shared" si="319"/>
        <v>53532619.892199233</v>
      </c>
      <c r="BD125" s="68">
        <f t="shared" si="319"/>
        <v>53532619.892199233</v>
      </c>
      <c r="BE125" s="68">
        <f t="shared" si="319"/>
        <v>53532619.892199233</v>
      </c>
      <c r="BF125" s="68">
        <f t="shared" si="319"/>
        <v>53532619.892199233</v>
      </c>
      <c r="BG125" s="68">
        <f t="shared" si="319"/>
        <v>53532619.892199233</v>
      </c>
      <c r="BH125" s="68">
        <f t="shared" si="319"/>
        <v>53532619.892199233</v>
      </c>
      <c r="BI125" s="68">
        <f t="shared" si="319"/>
        <v>53532619.892199233</v>
      </c>
      <c r="BJ125" s="68">
        <f t="shared" si="319"/>
        <v>53532619.892199233</v>
      </c>
      <c r="BK125" s="68">
        <f t="shared" si="319"/>
        <v>53532619.892199233</v>
      </c>
      <c r="BL125" s="68">
        <f t="shared" si="319"/>
        <v>53532619.892199233</v>
      </c>
      <c r="BM125" s="68">
        <f t="shared" si="319"/>
        <v>53532619.892199233</v>
      </c>
      <c r="BN125" s="68">
        <f t="shared" si="319"/>
        <v>53532619.892199233</v>
      </c>
      <c r="BO125" s="68">
        <f t="shared" si="319"/>
        <v>53532619.892199233</v>
      </c>
      <c r="BP125" s="68">
        <f t="shared" si="319"/>
        <v>53532619.892199233</v>
      </c>
      <c r="BQ125" s="68">
        <f t="shared" si="319"/>
        <v>53532619.892199233</v>
      </c>
      <c r="BR125" s="68">
        <f t="shared" si="319"/>
        <v>53532619.892199233</v>
      </c>
      <c r="BS125" s="68">
        <f t="shared" ref="BS125:CK125" si="320">+BR125+BS117</f>
        <v>53532619.892199233</v>
      </c>
      <c r="BT125" s="68">
        <f t="shared" si="320"/>
        <v>53532619.892199233</v>
      </c>
      <c r="BU125" s="68">
        <f t="shared" si="320"/>
        <v>53532619.892199233</v>
      </c>
      <c r="BV125" s="68">
        <f t="shared" si="320"/>
        <v>53532619.892199233</v>
      </c>
      <c r="BW125" s="68">
        <f t="shared" si="320"/>
        <v>53532619.892199233</v>
      </c>
      <c r="BX125" s="68">
        <f t="shared" si="320"/>
        <v>53532619.892199233</v>
      </c>
      <c r="BY125" s="68">
        <f t="shared" si="320"/>
        <v>53532619.892199233</v>
      </c>
      <c r="BZ125" s="68">
        <f t="shared" si="320"/>
        <v>53532619.892199233</v>
      </c>
      <c r="CA125" s="68">
        <f t="shared" si="320"/>
        <v>53532619.892199233</v>
      </c>
      <c r="CB125" s="68">
        <f t="shared" si="320"/>
        <v>53532619.892199233</v>
      </c>
      <c r="CC125" s="68">
        <f t="shared" si="320"/>
        <v>53532619.892199233</v>
      </c>
      <c r="CD125" s="68">
        <f t="shared" si="320"/>
        <v>53532619.892199233</v>
      </c>
      <c r="CE125" s="68">
        <f t="shared" si="320"/>
        <v>53532619.892199233</v>
      </c>
      <c r="CF125" s="68">
        <f t="shared" si="320"/>
        <v>53532619.892199233</v>
      </c>
      <c r="CG125" s="68">
        <f t="shared" si="320"/>
        <v>53532619.892199233</v>
      </c>
      <c r="CH125" s="68">
        <f t="shared" si="320"/>
        <v>53532619.892199233</v>
      </c>
      <c r="CI125" s="68">
        <f t="shared" si="320"/>
        <v>53532619.892199233</v>
      </c>
      <c r="CJ125" s="68">
        <f t="shared" si="320"/>
        <v>53532619.892199233</v>
      </c>
      <c r="CK125" s="68">
        <f t="shared" si="320"/>
        <v>53532619.892199233</v>
      </c>
    </row>
    <row r="126" spans="3:89" outlineLevel="1" x14ac:dyDescent="0.25">
      <c r="C126" s="124" t="s">
        <v>178</v>
      </c>
      <c r="D126" s="50" t="s">
        <v>24</v>
      </c>
      <c r="E126" s="101"/>
      <c r="F126" s="68">
        <f>+E126+F118+F113+F129</f>
        <v>0</v>
      </c>
      <c r="G126" s="68">
        <f t="shared" ref="G126:BR126" si="321">+F126+G118+G113+G129</f>
        <v>0</v>
      </c>
      <c r="H126" s="68">
        <f t="shared" si="321"/>
        <v>0</v>
      </c>
      <c r="I126" s="68">
        <f t="shared" si="321"/>
        <v>0</v>
      </c>
      <c r="J126" s="68">
        <f t="shared" si="321"/>
        <v>0</v>
      </c>
      <c r="K126" s="68">
        <f t="shared" si="321"/>
        <v>0</v>
      </c>
      <c r="L126" s="68">
        <f t="shared" si="321"/>
        <v>0</v>
      </c>
      <c r="M126" s="68">
        <f t="shared" si="321"/>
        <v>0</v>
      </c>
      <c r="N126" s="68">
        <f t="shared" si="321"/>
        <v>0</v>
      </c>
      <c r="O126" s="68">
        <f t="shared" si="321"/>
        <v>0</v>
      </c>
      <c r="P126" s="68">
        <f t="shared" si="321"/>
        <v>0</v>
      </c>
      <c r="Q126" s="68">
        <f t="shared" si="321"/>
        <v>0</v>
      </c>
      <c r="R126" s="68">
        <f t="shared" si="321"/>
        <v>0</v>
      </c>
      <c r="S126" s="68">
        <f t="shared" si="321"/>
        <v>5719325.3135213042</v>
      </c>
      <c r="T126" s="68">
        <f t="shared" si="321"/>
        <v>6039617.5528649287</v>
      </c>
      <c r="U126" s="68">
        <f t="shared" si="321"/>
        <v>6363029.6547334995</v>
      </c>
      <c r="V126" s="68">
        <f t="shared" si="321"/>
        <v>8236808.9421990849</v>
      </c>
      <c r="W126" s="68">
        <f t="shared" si="321"/>
        <v>9354081.0209714193</v>
      </c>
      <c r="X126" s="68">
        <f t="shared" si="321"/>
        <v>16572072.326451965</v>
      </c>
      <c r="Y126" s="68">
        <f t="shared" si="321"/>
        <v>21527132.061766423</v>
      </c>
      <c r="Z126" s="68">
        <f t="shared" si="321"/>
        <v>26531638.547696766</v>
      </c>
      <c r="AA126" s="68">
        <f t="shared" si="321"/>
        <v>33149228.717562508</v>
      </c>
      <c r="AB126" s="68">
        <f t="shared" si="321"/>
        <v>39049562.761358149</v>
      </c>
      <c r="AC126" s="68">
        <f t="shared" si="321"/>
        <v>45008556.129337832</v>
      </c>
      <c r="AD126" s="68">
        <f t="shared" si="321"/>
        <v>54958955.571054906</v>
      </c>
      <c r="AE126" s="68">
        <f t="shared" si="321"/>
        <v>61068102.923928604</v>
      </c>
      <c r="AF126" s="68">
        <f t="shared" si="321"/>
        <v>29629563.918838199</v>
      </c>
      <c r="AG126" s="68">
        <f t="shared" si="321"/>
        <v>41164468.929095179</v>
      </c>
      <c r="AH126" s="68">
        <f t="shared" si="321"/>
        <v>52021677.32362441</v>
      </c>
      <c r="AI126" s="68">
        <f t="shared" si="321"/>
        <v>62192566.295637272</v>
      </c>
      <c r="AJ126" s="68">
        <f t="shared" si="321"/>
        <v>72464655.252510458</v>
      </c>
      <c r="AK126" s="68">
        <f t="shared" si="321"/>
        <v>83636653.624387771</v>
      </c>
      <c r="AL126" s="68">
        <f t="shared" si="321"/>
        <v>96518570.337242097</v>
      </c>
      <c r="AM126" s="68">
        <f t="shared" si="321"/>
        <v>57839660.910511114</v>
      </c>
      <c r="AN126" s="68">
        <f t="shared" si="321"/>
        <v>68157837.536132395</v>
      </c>
      <c r="AO126" s="68">
        <f t="shared" si="321"/>
        <v>78578596.464652956</v>
      </c>
      <c r="AP126" s="68">
        <f t="shared" si="321"/>
        <v>88296685.232943863</v>
      </c>
      <c r="AQ126" s="68">
        <f t="shared" si="321"/>
        <v>98110994.390753329</v>
      </c>
      <c r="AR126" s="68">
        <f t="shared" si="321"/>
        <v>108022329.78750239</v>
      </c>
      <c r="AS126" s="68">
        <f t="shared" si="321"/>
        <v>118031503.77802572</v>
      </c>
      <c r="AT126" s="68">
        <f t="shared" si="321"/>
        <v>71266038.081180185</v>
      </c>
      <c r="AU126" s="68">
        <f t="shared" si="321"/>
        <v>71834323.476651117</v>
      </c>
      <c r="AV126" s="68">
        <f t="shared" si="321"/>
        <v>72407140.459669232</v>
      </c>
      <c r="AW126" s="68">
        <f t="shared" si="321"/>
        <v>72984525.165749997</v>
      </c>
      <c r="AX126" s="68">
        <f t="shared" si="321"/>
        <v>73566514.018558547</v>
      </c>
      <c r="AY126" s="68">
        <f t="shared" si="321"/>
        <v>74153143.732207447</v>
      </c>
      <c r="AZ126" s="68">
        <f t="shared" si="321"/>
        <v>0</v>
      </c>
      <c r="BA126" s="68">
        <f t="shared" si="321"/>
        <v>0</v>
      </c>
      <c r="BB126" s="68">
        <f t="shared" si="321"/>
        <v>0</v>
      </c>
      <c r="BC126" s="68">
        <f t="shared" si="321"/>
        <v>0</v>
      </c>
      <c r="BD126" s="68">
        <f t="shared" si="321"/>
        <v>0</v>
      </c>
      <c r="BE126" s="68">
        <f t="shared" si="321"/>
        <v>0</v>
      </c>
      <c r="BF126" s="68">
        <f t="shared" si="321"/>
        <v>0</v>
      </c>
      <c r="BG126" s="68">
        <f t="shared" si="321"/>
        <v>0</v>
      </c>
      <c r="BH126" s="68">
        <f t="shared" si="321"/>
        <v>0</v>
      </c>
      <c r="BI126" s="68">
        <f t="shared" si="321"/>
        <v>0</v>
      </c>
      <c r="BJ126" s="68">
        <f t="shared" si="321"/>
        <v>0</v>
      </c>
      <c r="BK126" s="68">
        <f t="shared" si="321"/>
        <v>0</v>
      </c>
      <c r="BL126" s="68">
        <f t="shared" si="321"/>
        <v>0</v>
      </c>
      <c r="BM126" s="68">
        <f t="shared" si="321"/>
        <v>0</v>
      </c>
      <c r="BN126" s="68">
        <f t="shared" si="321"/>
        <v>0</v>
      </c>
      <c r="BO126" s="68">
        <f t="shared" si="321"/>
        <v>0</v>
      </c>
      <c r="BP126" s="68">
        <f t="shared" si="321"/>
        <v>0</v>
      </c>
      <c r="BQ126" s="68">
        <f t="shared" si="321"/>
        <v>0</v>
      </c>
      <c r="BR126" s="68">
        <f t="shared" si="321"/>
        <v>0</v>
      </c>
      <c r="BS126" s="68">
        <f t="shared" ref="BS126:CK126" si="322">+BR126+BS118+BS113+BS129</f>
        <v>0</v>
      </c>
      <c r="BT126" s="68">
        <f t="shared" si="322"/>
        <v>0</v>
      </c>
      <c r="BU126" s="68">
        <f t="shared" si="322"/>
        <v>0</v>
      </c>
      <c r="BV126" s="68">
        <f t="shared" si="322"/>
        <v>0</v>
      </c>
      <c r="BW126" s="68">
        <f t="shared" si="322"/>
        <v>0</v>
      </c>
      <c r="BX126" s="68">
        <f t="shared" si="322"/>
        <v>0</v>
      </c>
      <c r="BY126" s="68">
        <f t="shared" si="322"/>
        <v>0</v>
      </c>
      <c r="BZ126" s="68">
        <f t="shared" si="322"/>
        <v>0</v>
      </c>
      <c r="CA126" s="68">
        <f t="shared" si="322"/>
        <v>0</v>
      </c>
      <c r="CB126" s="68">
        <f t="shared" si="322"/>
        <v>0</v>
      </c>
      <c r="CC126" s="68">
        <f t="shared" si="322"/>
        <v>0</v>
      </c>
      <c r="CD126" s="68">
        <f t="shared" si="322"/>
        <v>0</v>
      </c>
      <c r="CE126" s="68">
        <f t="shared" si="322"/>
        <v>0</v>
      </c>
      <c r="CF126" s="68">
        <f t="shared" si="322"/>
        <v>0</v>
      </c>
      <c r="CG126" s="68">
        <f t="shared" si="322"/>
        <v>0</v>
      </c>
      <c r="CH126" s="68">
        <f t="shared" si="322"/>
        <v>0</v>
      </c>
      <c r="CI126" s="68">
        <f t="shared" si="322"/>
        <v>0</v>
      </c>
      <c r="CJ126" s="68">
        <f t="shared" si="322"/>
        <v>0</v>
      </c>
      <c r="CK126" s="68">
        <f t="shared" si="322"/>
        <v>0</v>
      </c>
    </row>
    <row r="127" spans="3:89" outlineLevel="1" x14ac:dyDescent="0.25">
      <c r="C127" s="102" t="s">
        <v>132</v>
      </c>
      <c r="D127" s="13" t="s">
        <v>24</v>
      </c>
      <c r="F127" s="71">
        <f>SUM(F124:F126)</f>
        <v>8963439.4061929006</v>
      </c>
      <c r="G127" s="71">
        <f t="shared" ref="G127:BR127" si="323">SUM(G124:G126)</f>
        <v>8963439.4061929006</v>
      </c>
      <c r="H127" s="71">
        <f t="shared" si="323"/>
        <v>8963439.4061929006</v>
      </c>
      <c r="I127" s="71">
        <f t="shared" si="323"/>
        <v>13904558.873793781</v>
      </c>
      <c r="J127" s="71">
        <f t="shared" si="323"/>
        <v>19610598.325990051</v>
      </c>
      <c r="K127" s="71">
        <f t="shared" si="323"/>
        <v>32575844.552578494</v>
      </c>
      <c r="L127" s="71">
        <f t="shared" si="323"/>
        <v>42852542.709531896</v>
      </c>
      <c r="M127" s="71">
        <f t="shared" si="323"/>
        <v>45678224.243849196</v>
      </c>
      <c r="N127" s="71">
        <f t="shared" si="323"/>
        <v>46987766.40289326</v>
      </c>
      <c r="O127" s="71">
        <f t="shared" si="323"/>
        <v>49062553.406681456</v>
      </c>
      <c r="P127" s="71">
        <f t="shared" si="323"/>
        <v>53982563.075650662</v>
      </c>
      <c r="Q127" s="71">
        <f t="shared" si="323"/>
        <v>61975475.492317311</v>
      </c>
      <c r="R127" s="71">
        <f t="shared" si="323"/>
        <v>66915774.865249038</v>
      </c>
      <c r="S127" s="71">
        <f t="shared" si="323"/>
        <v>72635100.178770348</v>
      </c>
      <c r="T127" s="71">
        <f t="shared" si="323"/>
        <v>72955392.418113962</v>
      </c>
      <c r="U127" s="71">
        <f t="shared" si="323"/>
        <v>73278804.519982532</v>
      </c>
      <c r="V127" s="71">
        <f t="shared" si="323"/>
        <v>75152583.807448119</v>
      </c>
      <c r="W127" s="71">
        <f t="shared" si="323"/>
        <v>76269855.886220455</v>
      </c>
      <c r="X127" s="71">
        <f t="shared" si="323"/>
        <v>83487847.191700995</v>
      </c>
      <c r="Y127" s="71">
        <f t="shared" si="323"/>
        <v>88442906.927015454</v>
      </c>
      <c r="Z127" s="71">
        <f t="shared" si="323"/>
        <v>93447413.412945807</v>
      </c>
      <c r="AA127" s="71">
        <f t="shared" si="323"/>
        <v>100065003.58281155</v>
      </c>
      <c r="AB127" s="71">
        <f t="shared" si="323"/>
        <v>105965337.62660718</v>
      </c>
      <c r="AC127" s="71">
        <f t="shared" si="323"/>
        <v>111924330.99458687</v>
      </c>
      <c r="AD127" s="71">
        <f t="shared" si="323"/>
        <v>121874730.43630394</v>
      </c>
      <c r="AE127" s="71">
        <f t="shared" si="323"/>
        <v>127983877.78917764</v>
      </c>
      <c r="AF127" s="71">
        <f t="shared" si="323"/>
        <v>96545338.784087241</v>
      </c>
      <c r="AG127" s="71">
        <f t="shared" si="323"/>
        <v>108080243.79434422</v>
      </c>
      <c r="AH127" s="71">
        <f t="shared" si="323"/>
        <v>118937452.18887344</v>
      </c>
      <c r="AI127" s="71">
        <f t="shared" si="323"/>
        <v>129108341.16088632</v>
      </c>
      <c r="AJ127" s="71">
        <f t="shared" si="323"/>
        <v>139380430.1177595</v>
      </c>
      <c r="AK127" s="71">
        <f t="shared" si="323"/>
        <v>150552428.48963681</v>
      </c>
      <c r="AL127" s="71">
        <f t="shared" si="323"/>
        <v>163434345.20249113</v>
      </c>
      <c r="AM127" s="71">
        <f t="shared" si="323"/>
        <v>124755435.77576014</v>
      </c>
      <c r="AN127" s="71">
        <f t="shared" si="323"/>
        <v>135073612.40138143</v>
      </c>
      <c r="AO127" s="71">
        <f t="shared" si="323"/>
        <v>145494371.32990199</v>
      </c>
      <c r="AP127" s="71">
        <f t="shared" si="323"/>
        <v>155212460.0981929</v>
      </c>
      <c r="AQ127" s="71">
        <f t="shared" si="323"/>
        <v>165026769.25600237</v>
      </c>
      <c r="AR127" s="71">
        <f t="shared" si="323"/>
        <v>174938104.65275145</v>
      </c>
      <c r="AS127" s="71">
        <f t="shared" si="323"/>
        <v>184947278.64327475</v>
      </c>
      <c r="AT127" s="71">
        <f t="shared" si="323"/>
        <v>138181812.94642922</v>
      </c>
      <c r="AU127" s="71">
        <f t="shared" si="323"/>
        <v>138750098.34190017</v>
      </c>
      <c r="AV127" s="71">
        <f t="shared" si="323"/>
        <v>139322915.32491827</v>
      </c>
      <c r="AW127" s="71">
        <f t="shared" si="323"/>
        <v>139900300.03099903</v>
      </c>
      <c r="AX127" s="71">
        <f t="shared" si="323"/>
        <v>140482288.8838076</v>
      </c>
      <c r="AY127" s="71">
        <f t="shared" si="323"/>
        <v>141068918.59745649</v>
      </c>
      <c r="AZ127" s="71">
        <f t="shared" si="323"/>
        <v>66915774.865249038</v>
      </c>
      <c r="BA127" s="71">
        <f t="shared" si="323"/>
        <v>66915774.865249038</v>
      </c>
      <c r="BB127" s="71">
        <f t="shared" si="323"/>
        <v>66915774.865249038</v>
      </c>
      <c r="BC127" s="71">
        <f t="shared" si="323"/>
        <v>66915774.865249038</v>
      </c>
      <c r="BD127" s="71">
        <f t="shared" si="323"/>
        <v>66915774.865249038</v>
      </c>
      <c r="BE127" s="71">
        <f t="shared" si="323"/>
        <v>66915774.865249038</v>
      </c>
      <c r="BF127" s="71">
        <f t="shared" si="323"/>
        <v>66915774.865249038</v>
      </c>
      <c r="BG127" s="71">
        <f t="shared" si="323"/>
        <v>66915774.865249038</v>
      </c>
      <c r="BH127" s="71">
        <f t="shared" si="323"/>
        <v>66915774.865249038</v>
      </c>
      <c r="BI127" s="71">
        <f t="shared" si="323"/>
        <v>66915774.865249038</v>
      </c>
      <c r="BJ127" s="71">
        <f t="shared" si="323"/>
        <v>66915774.865249038</v>
      </c>
      <c r="BK127" s="71">
        <f t="shared" si="323"/>
        <v>66915774.865249038</v>
      </c>
      <c r="BL127" s="71">
        <f t="shared" si="323"/>
        <v>66915774.865249038</v>
      </c>
      <c r="BM127" s="71">
        <f t="shared" si="323"/>
        <v>66915774.865249038</v>
      </c>
      <c r="BN127" s="71">
        <f t="shared" si="323"/>
        <v>66915774.865249038</v>
      </c>
      <c r="BO127" s="71">
        <f t="shared" si="323"/>
        <v>66915774.865249038</v>
      </c>
      <c r="BP127" s="71">
        <f t="shared" si="323"/>
        <v>66915774.865249038</v>
      </c>
      <c r="BQ127" s="71">
        <f t="shared" si="323"/>
        <v>66915774.865249038</v>
      </c>
      <c r="BR127" s="71">
        <f t="shared" si="323"/>
        <v>66915774.865249038</v>
      </c>
      <c r="BS127" s="71">
        <f t="shared" ref="BS127:CK127" si="324">SUM(BS124:BS126)</f>
        <v>66915774.865249038</v>
      </c>
      <c r="BT127" s="71">
        <f t="shared" si="324"/>
        <v>66915774.865249038</v>
      </c>
      <c r="BU127" s="71">
        <f t="shared" si="324"/>
        <v>66915774.865249038</v>
      </c>
      <c r="BV127" s="71">
        <f t="shared" si="324"/>
        <v>66915774.865249038</v>
      </c>
      <c r="BW127" s="71">
        <f t="shared" si="324"/>
        <v>66915774.865249038</v>
      </c>
      <c r="BX127" s="71">
        <f t="shared" si="324"/>
        <v>66915774.865249038</v>
      </c>
      <c r="BY127" s="71">
        <f t="shared" si="324"/>
        <v>66915774.865249038</v>
      </c>
      <c r="BZ127" s="71">
        <f t="shared" si="324"/>
        <v>66915774.865249038</v>
      </c>
      <c r="CA127" s="71">
        <f t="shared" si="324"/>
        <v>66915774.865249038</v>
      </c>
      <c r="CB127" s="71">
        <f t="shared" si="324"/>
        <v>66915774.865249038</v>
      </c>
      <c r="CC127" s="71">
        <f t="shared" si="324"/>
        <v>66915774.865249038</v>
      </c>
      <c r="CD127" s="71">
        <f t="shared" si="324"/>
        <v>66915774.865249038</v>
      </c>
      <c r="CE127" s="71">
        <f t="shared" si="324"/>
        <v>66915774.865249038</v>
      </c>
      <c r="CF127" s="71">
        <f t="shared" si="324"/>
        <v>66915774.865249038</v>
      </c>
      <c r="CG127" s="71">
        <f t="shared" si="324"/>
        <v>66915774.865249038</v>
      </c>
      <c r="CH127" s="71">
        <f t="shared" si="324"/>
        <v>66915774.865249038</v>
      </c>
      <c r="CI127" s="71">
        <f t="shared" si="324"/>
        <v>66915774.865249038</v>
      </c>
      <c r="CJ127" s="71">
        <f t="shared" si="324"/>
        <v>66915774.865249038</v>
      </c>
      <c r="CK127" s="71">
        <f t="shared" si="324"/>
        <v>66915774.865249038</v>
      </c>
    </row>
    <row r="128" spans="3:89" outlineLevel="1" x14ac:dyDescent="0.25">
      <c r="C128" s="38"/>
      <c r="K128" s="58"/>
    </row>
    <row r="129" spans="2:89" outlineLevel="1" x14ac:dyDescent="0.25">
      <c r="C129" s="102" t="s">
        <v>139</v>
      </c>
      <c r="D129" s="13" t="s">
        <v>24</v>
      </c>
      <c r="E129" s="38"/>
      <c r="F129" s="72">
        <f>-MIN(E126+F113,F121)</f>
        <v>0</v>
      </c>
      <c r="G129" s="72">
        <f t="shared" ref="G129:BR129" si="325">-MIN(F126+G113,G121)</f>
        <v>0</v>
      </c>
      <c r="H129" s="72">
        <f t="shared" si="325"/>
        <v>0</v>
      </c>
      <c r="I129" s="72">
        <f t="shared" si="325"/>
        <v>0</v>
      </c>
      <c r="J129" s="72">
        <f t="shared" si="325"/>
        <v>0</v>
      </c>
      <c r="K129" s="72">
        <f t="shared" si="325"/>
        <v>0</v>
      </c>
      <c r="L129" s="72">
        <f t="shared" si="325"/>
        <v>0</v>
      </c>
      <c r="M129" s="72">
        <f t="shared" si="325"/>
        <v>0</v>
      </c>
      <c r="N129" s="72">
        <f t="shared" si="325"/>
        <v>0</v>
      </c>
      <c r="O129" s="72">
        <f t="shared" si="325"/>
        <v>0</v>
      </c>
      <c r="P129" s="72">
        <f t="shared" si="325"/>
        <v>0</v>
      </c>
      <c r="Q129" s="72">
        <f t="shared" si="325"/>
        <v>0</v>
      </c>
      <c r="R129" s="72">
        <f t="shared" si="325"/>
        <v>0</v>
      </c>
      <c r="S129" s="72">
        <f t="shared" si="325"/>
        <v>0</v>
      </c>
      <c r="T129" s="72">
        <f t="shared" si="325"/>
        <v>0</v>
      </c>
      <c r="U129" s="72">
        <f t="shared" si="325"/>
        <v>0</v>
      </c>
      <c r="V129" s="72">
        <f t="shared" si="325"/>
        <v>0</v>
      </c>
      <c r="W129" s="72">
        <f t="shared" si="325"/>
        <v>0</v>
      </c>
      <c r="X129" s="72">
        <f t="shared" si="325"/>
        <v>0</v>
      </c>
      <c r="Y129" s="72">
        <f t="shared" si="325"/>
        <v>0</v>
      </c>
      <c r="Z129" s="72">
        <f t="shared" si="325"/>
        <v>0</v>
      </c>
      <c r="AA129" s="72">
        <f t="shared" si="325"/>
        <v>0</v>
      </c>
      <c r="AB129" s="72">
        <f t="shared" si="325"/>
        <v>0</v>
      </c>
      <c r="AC129" s="72">
        <f t="shared" si="325"/>
        <v>0</v>
      </c>
      <c r="AD129" s="72">
        <f t="shared" si="325"/>
        <v>0</v>
      </c>
      <c r="AE129" s="72">
        <f t="shared" si="325"/>
        <v>0</v>
      </c>
      <c r="AF129" s="72">
        <f t="shared" si="325"/>
        <v>-31438539.005090404</v>
      </c>
      <c r="AG129" s="72">
        <f t="shared" si="325"/>
        <v>0</v>
      </c>
      <c r="AH129" s="72">
        <f t="shared" si="325"/>
        <v>0</v>
      </c>
      <c r="AI129" s="72">
        <f t="shared" si="325"/>
        <v>0</v>
      </c>
      <c r="AJ129" s="72">
        <f t="shared" si="325"/>
        <v>0</v>
      </c>
      <c r="AK129" s="72">
        <f t="shared" si="325"/>
        <v>0</v>
      </c>
      <c r="AL129" s="72">
        <f t="shared" si="325"/>
        <v>0</v>
      </c>
      <c r="AM129" s="72">
        <f t="shared" si="325"/>
        <v>-38678909.426730983</v>
      </c>
      <c r="AN129" s="72">
        <f t="shared" si="325"/>
        <v>0</v>
      </c>
      <c r="AO129" s="72">
        <f t="shared" si="325"/>
        <v>0</v>
      </c>
      <c r="AP129" s="72">
        <f t="shared" si="325"/>
        <v>0</v>
      </c>
      <c r="AQ129" s="72">
        <f t="shared" si="325"/>
        <v>0</v>
      </c>
      <c r="AR129" s="72">
        <f t="shared" si="325"/>
        <v>0</v>
      </c>
      <c r="AS129" s="72">
        <f t="shared" si="325"/>
        <v>0</v>
      </c>
      <c r="AT129" s="72">
        <f t="shared" si="325"/>
        <v>-46765465.696845531</v>
      </c>
      <c r="AU129" s="72">
        <f t="shared" si="325"/>
        <v>0</v>
      </c>
      <c r="AV129" s="72">
        <f t="shared" si="325"/>
        <v>0</v>
      </c>
      <c r="AW129" s="72">
        <f t="shared" si="325"/>
        <v>0</v>
      </c>
      <c r="AX129" s="72">
        <f t="shared" si="325"/>
        <v>0</v>
      </c>
      <c r="AY129" s="72">
        <f t="shared" si="325"/>
        <v>0</v>
      </c>
      <c r="AZ129" s="72">
        <f t="shared" si="325"/>
        <v>-74153143.732207447</v>
      </c>
      <c r="BA129" s="72">
        <f t="shared" si="325"/>
        <v>0</v>
      </c>
      <c r="BB129" s="72">
        <f t="shared" si="325"/>
        <v>0</v>
      </c>
      <c r="BC129" s="72">
        <f t="shared" si="325"/>
        <v>0</v>
      </c>
      <c r="BD129" s="72">
        <f t="shared" si="325"/>
        <v>0</v>
      </c>
      <c r="BE129" s="72">
        <f t="shared" si="325"/>
        <v>0</v>
      </c>
      <c r="BF129" s="72">
        <f t="shared" si="325"/>
        <v>0</v>
      </c>
      <c r="BG129" s="72">
        <f t="shared" si="325"/>
        <v>0</v>
      </c>
      <c r="BH129" s="72">
        <f t="shared" si="325"/>
        <v>0</v>
      </c>
      <c r="BI129" s="72">
        <f t="shared" si="325"/>
        <v>0</v>
      </c>
      <c r="BJ129" s="72">
        <f t="shared" si="325"/>
        <v>0</v>
      </c>
      <c r="BK129" s="72">
        <f t="shared" si="325"/>
        <v>0</v>
      </c>
      <c r="BL129" s="72">
        <f t="shared" si="325"/>
        <v>0</v>
      </c>
      <c r="BM129" s="72">
        <f t="shared" si="325"/>
        <v>0</v>
      </c>
      <c r="BN129" s="72">
        <f t="shared" si="325"/>
        <v>0</v>
      </c>
      <c r="BO129" s="72">
        <f t="shared" si="325"/>
        <v>0</v>
      </c>
      <c r="BP129" s="72">
        <f t="shared" si="325"/>
        <v>0</v>
      </c>
      <c r="BQ129" s="72">
        <f t="shared" si="325"/>
        <v>0</v>
      </c>
      <c r="BR129" s="72">
        <f t="shared" si="325"/>
        <v>0</v>
      </c>
      <c r="BS129" s="72">
        <f t="shared" ref="BS129:CK129" si="326">-MIN(BR126+BS113,BS121)</f>
        <v>0</v>
      </c>
      <c r="BT129" s="72">
        <f t="shared" si="326"/>
        <v>0</v>
      </c>
      <c r="BU129" s="72">
        <f t="shared" si="326"/>
        <v>0</v>
      </c>
      <c r="BV129" s="72">
        <f t="shared" si="326"/>
        <v>0</v>
      </c>
      <c r="BW129" s="72">
        <f t="shared" si="326"/>
        <v>0</v>
      </c>
      <c r="BX129" s="72">
        <f t="shared" si="326"/>
        <v>0</v>
      </c>
      <c r="BY129" s="72">
        <f t="shared" si="326"/>
        <v>0</v>
      </c>
      <c r="BZ129" s="72">
        <f t="shared" si="326"/>
        <v>0</v>
      </c>
      <c r="CA129" s="72">
        <f t="shared" si="326"/>
        <v>0</v>
      </c>
      <c r="CB129" s="72">
        <f t="shared" si="326"/>
        <v>0</v>
      </c>
      <c r="CC129" s="72">
        <f t="shared" si="326"/>
        <v>0</v>
      </c>
      <c r="CD129" s="72">
        <f t="shared" si="326"/>
        <v>0</v>
      </c>
      <c r="CE129" s="72">
        <f t="shared" si="326"/>
        <v>0</v>
      </c>
      <c r="CF129" s="72">
        <f t="shared" si="326"/>
        <v>0</v>
      </c>
      <c r="CG129" s="72">
        <f t="shared" si="326"/>
        <v>0</v>
      </c>
      <c r="CH129" s="72">
        <f t="shared" si="326"/>
        <v>0</v>
      </c>
      <c r="CI129" s="72">
        <f t="shared" si="326"/>
        <v>0</v>
      </c>
      <c r="CJ129" s="72">
        <f t="shared" si="326"/>
        <v>0</v>
      </c>
      <c r="CK129" s="72">
        <f t="shared" si="326"/>
        <v>0</v>
      </c>
    </row>
    <row r="130" spans="2:89" outlineLevel="1" x14ac:dyDescent="0.25">
      <c r="C130" s="38"/>
      <c r="K130" s="58"/>
    </row>
    <row r="131" spans="2:89" outlineLevel="1" x14ac:dyDescent="0.25">
      <c r="C131" s="66" t="s">
        <v>102</v>
      </c>
      <c r="D131" s="13" t="s">
        <v>24</v>
      </c>
      <c r="E131" s="38"/>
      <c r="F131" s="56">
        <f>+F121+F129</f>
        <v>0</v>
      </c>
      <c r="G131" s="56">
        <f t="shared" ref="G131:BR131" si="327">+G121+G129</f>
        <v>2788820.292015709</v>
      </c>
      <c r="H131" s="56">
        <f t="shared" si="327"/>
        <v>2042922.4273272539</v>
      </c>
      <c r="I131" s="56">
        <f t="shared" si="327"/>
        <v>0</v>
      </c>
      <c r="J131" s="56">
        <f t="shared" si="327"/>
        <v>0</v>
      </c>
      <c r="K131" s="56">
        <f t="shared" si="327"/>
        <v>0</v>
      </c>
      <c r="L131" s="56">
        <f t="shared" si="327"/>
        <v>0</v>
      </c>
      <c r="M131" s="56">
        <f t="shared" si="327"/>
        <v>0</v>
      </c>
      <c r="N131" s="56">
        <f t="shared" si="327"/>
        <v>0</v>
      </c>
      <c r="O131" s="56">
        <f t="shared" si="327"/>
        <v>0</v>
      </c>
      <c r="P131" s="56">
        <f t="shared" si="327"/>
        <v>0</v>
      </c>
      <c r="Q131" s="56">
        <f t="shared" si="327"/>
        <v>0</v>
      </c>
      <c r="R131" s="56">
        <f t="shared" si="327"/>
        <v>0</v>
      </c>
      <c r="S131" s="56">
        <f t="shared" si="327"/>
        <v>0</v>
      </c>
      <c r="T131" s="56">
        <f t="shared" si="327"/>
        <v>0</v>
      </c>
      <c r="U131" s="56">
        <f t="shared" si="327"/>
        <v>0</v>
      </c>
      <c r="V131" s="56">
        <f t="shared" si="327"/>
        <v>0</v>
      </c>
      <c r="W131" s="56">
        <f t="shared" si="327"/>
        <v>0</v>
      </c>
      <c r="X131" s="56">
        <f t="shared" si="327"/>
        <v>0</v>
      </c>
      <c r="Y131" s="56">
        <f t="shared" si="327"/>
        <v>0</v>
      </c>
      <c r="Z131" s="56">
        <f t="shared" si="327"/>
        <v>0</v>
      </c>
      <c r="AA131" s="56">
        <f t="shared" si="327"/>
        <v>0</v>
      </c>
      <c r="AB131" s="56">
        <f t="shared" si="327"/>
        <v>0</v>
      </c>
      <c r="AC131" s="56">
        <f t="shared" si="327"/>
        <v>0</v>
      </c>
      <c r="AD131" s="56">
        <f t="shared" si="327"/>
        <v>0</v>
      </c>
      <c r="AE131" s="56">
        <f t="shared" si="327"/>
        <v>0</v>
      </c>
      <c r="AF131" s="56">
        <f t="shared" si="327"/>
        <v>0</v>
      </c>
      <c r="AG131" s="56">
        <f t="shared" si="327"/>
        <v>0</v>
      </c>
      <c r="AH131" s="56">
        <f t="shared" si="327"/>
        <v>0</v>
      </c>
      <c r="AI131" s="56">
        <f t="shared" si="327"/>
        <v>0</v>
      </c>
      <c r="AJ131" s="56">
        <f t="shared" si="327"/>
        <v>0</v>
      </c>
      <c r="AK131" s="56">
        <f t="shared" si="327"/>
        <v>0</v>
      </c>
      <c r="AL131" s="56">
        <f t="shared" si="327"/>
        <v>0</v>
      </c>
      <c r="AM131" s="56">
        <f t="shared" si="327"/>
        <v>0</v>
      </c>
      <c r="AN131" s="56">
        <f t="shared" si="327"/>
        <v>0</v>
      </c>
      <c r="AO131" s="56">
        <f t="shared" si="327"/>
        <v>0</v>
      </c>
      <c r="AP131" s="56">
        <f t="shared" si="327"/>
        <v>0</v>
      </c>
      <c r="AQ131" s="56">
        <f t="shared" si="327"/>
        <v>0</v>
      </c>
      <c r="AR131" s="56">
        <f t="shared" si="327"/>
        <v>0</v>
      </c>
      <c r="AS131" s="56">
        <f t="shared" si="327"/>
        <v>0</v>
      </c>
      <c r="AT131" s="56">
        <f t="shared" si="327"/>
        <v>0</v>
      </c>
      <c r="AU131" s="56">
        <f t="shared" si="327"/>
        <v>0</v>
      </c>
      <c r="AV131" s="56">
        <f t="shared" si="327"/>
        <v>0</v>
      </c>
      <c r="AW131" s="56">
        <f t="shared" si="327"/>
        <v>0</v>
      </c>
      <c r="AX131" s="56">
        <f t="shared" si="327"/>
        <v>0</v>
      </c>
      <c r="AY131" s="56">
        <f t="shared" si="327"/>
        <v>0</v>
      </c>
      <c r="AZ131" s="56">
        <f t="shared" si="327"/>
        <v>116172787.12315851</v>
      </c>
      <c r="BA131" s="56">
        <f t="shared" si="327"/>
        <v>0</v>
      </c>
      <c r="BB131" s="56">
        <f t="shared" si="327"/>
        <v>0</v>
      </c>
      <c r="BC131" s="56">
        <f t="shared" si="327"/>
        <v>0</v>
      </c>
      <c r="BD131" s="56">
        <f t="shared" si="327"/>
        <v>0</v>
      </c>
      <c r="BE131" s="56">
        <f t="shared" si="327"/>
        <v>0</v>
      </c>
      <c r="BF131" s="56">
        <f t="shared" si="327"/>
        <v>0</v>
      </c>
      <c r="BG131" s="56">
        <f t="shared" si="327"/>
        <v>0</v>
      </c>
      <c r="BH131" s="56">
        <f t="shared" si="327"/>
        <v>0</v>
      </c>
      <c r="BI131" s="56">
        <f t="shared" si="327"/>
        <v>0</v>
      </c>
      <c r="BJ131" s="56">
        <f t="shared" si="327"/>
        <v>0</v>
      </c>
      <c r="BK131" s="56">
        <f t="shared" si="327"/>
        <v>0</v>
      </c>
      <c r="BL131" s="56">
        <f t="shared" si="327"/>
        <v>0</v>
      </c>
      <c r="BM131" s="56">
        <f t="shared" si="327"/>
        <v>0</v>
      </c>
      <c r="BN131" s="56">
        <f t="shared" si="327"/>
        <v>0</v>
      </c>
      <c r="BO131" s="56">
        <f t="shared" si="327"/>
        <v>0</v>
      </c>
      <c r="BP131" s="56">
        <f t="shared" si="327"/>
        <v>0</v>
      </c>
      <c r="BQ131" s="56">
        <f t="shared" si="327"/>
        <v>0</v>
      </c>
      <c r="BR131" s="56">
        <f t="shared" si="327"/>
        <v>0</v>
      </c>
      <c r="BS131" s="56">
        <f t="shared" ref="BS131:CK131" si="328">+BS121+BS129</f>
        <v>0</v>
      </c>
      <c r="BT131" s="56">
        <f t="shared" si="328"/>
        <v>0</v>
      </c>
      <c r="BU131" s="56">
        <f t="shared" si="328"/>
        <v>0</v>
      </c>
      <c r="BV131" s="56">
        <f t="shared" si="328"/>
        <v>0</v>
      </c>
      <c r="BW131" s="56">
        <f t="shared" si="328"/>
        <v>0</v>
      </c>
      <c r="BX131" s="56">
        <f t="shared" si="328"/>
        <v>0</v>
      </c>
      <c r="BY131" s="56">
        <f t="shared" si="328"/>
        <v>0</v>
      </c>
      <c r="BZ131" s="56">
        <f t="shared" si="328"/>
        <v>0</v>
      </c>
      <c r="CA131" s="56">
        <f t="shared" si="328"/>
        <v>0</v>
      </c>
      <c r="CB131" s="56">
        <f t="shared" si="328"/>
        <v>0</v>
      </c>
      <c r="CC131" s="56">
        <f t="shared" si="328"/>
        <v>0</v>
      </c>
      <c r="CD131" s="56">
        <f t="shared" si="328"/>
        <v>0</v>
      </c>
      <c r="CE131" s="56">
        <f t="shared" si="328"/>
        <v>0</v>
      </c>
      <c r="CF131" s="56">
        <f t="shared" si="328"/>
        <v>0</v>
      </c>
      <c r="CG131" s="56">
        <f t="shared" si="328"/>
        <v>0</v>
      </c>
      <c r="CH131" s="56">
        <f t="shared" si="328"/>
        <v>0</v>
      </c>
      <c r="CI131" s="56">
        <f t="shared" si="328"/>
        <v>0</v>
      </c>
      <c r="CJ131" s="56">
        <f t="shared" si="328"/>
        <v>0</v>
      </c>
      <c r="CK131" s="56">
        <f t="shared" si="328"/>
        <v>0</v>
      </c>
    </row>
    <row r="133" spans="2:89" x14ac:dyDescent="0.25">
      <c r="B133" s="4" t="s">
        <v>97</v>
      </c>
      <c r="C133" s="4"/>
      <c r="D133" s="5" t="str">
        <f>+Assumptions!$D$5</f>
        <v>Units:</v>
      </c>
      <c r="E133" s="4"/>
      <c r="F133" s="108">
        <f>$F$36</f>
        <v>43131</v>
      </c>
      <c r="G133" s="108">
        <f>$G$36</f>
        <v>43159</v>
      </c>
      <c r="H133" s="108">
        <f>$H$36</f>
        <v>43190</v>
      </c>
      <c r="I133" s="108">
        <f>$I$36</f>
        <v>43220</v>
      </c>
      <c r="J133" s="108">
        <f>$J$36</f>
        <v>43251</v>
      </c>
      <c r="K133" s="108">
        <f>$K$36</f>
        <v>43281</v>
      </c>
      <c r="L133" s="108">
        <f>$L$36</f>
        <v>43312</v>
      </c>
      <c r="M133" s="108">
        <f>$M$36</f>
        <v>43343</v>
      </c>
      <c r="N133" s="108">
        <f>$N$36</f>
        <v>43373</v>
      </c>
      <c r="O133" s="108">
        <f>$O$36</f>
        <v>43404</v>
      </c>
      <c r="P133" s="108">
        <f>$P$36</f>
        <v>43434</v>
      </c>
      <c r="Q133" s="108">
        <f>$Q$36</f>
        <v>43465</v>
      </c>
      <c r="R133" s="108">
        <f>$R$36</f>
        <v>43496</v>
      </c>
      <c r="S133" s="108">
        <f>$S$36</f>
        <v>43524</v>
      </c>
      <c r="T133" s="108">
        <f>$T$36</f>
        <v>43555</v>
      </c>
      <c r="U133" s="108">
        <f>$U$36</f>
        <v>43585</v>
      </c>
      <c r="V133" s="108">
        <f>$V$36</f>
        <v>43616</v>
      </c>
      <c r="W133" s="108">
        <f>$W$36</f>
        <v>43646</v>
      </c>
      <c r="X133" s="108">
        <f>$X$36</f>
        <v>43677</v>
      </c>
      <c r="Y133" s="108">
        <f>$Y$36</f>
        <v>43708</v>
      </c>
      <c r="Z133" s="108">
        <f>$Z$36</f>
        <v>43738</v>
      </c>
      <c r="AA133" s="108">
        <f>$AA$36</f>
        <v>43769</v>
      </c>
      <c r="AB133" s="108">
        <f>$AB$36</f>
        <v>43799</v>
      </c>
      <c r="AC133" s="108">
        <f>$AC$36</f>
        <v>43830</v>
      </c>
      <c r="AD133" s="108">
        <f>$AD$36</f>
        <v>43861</v>
      </c>
      <c r="AE133" s="108">
        <f>$AE$36</f>
        <v>43890</v>
      </c>
      <c r="AF133" s="108">
        <f>$AF$36</f>
        <v>43921</v>
      </c>
      <c r="AG133" s="108">
        <f>$AG$36</f>
        <v>43951</v>
      </c>
      <c r="AH133" s="108">
        <f>$AH$36</f>
        <v>43982</v>
      </c>
      <c r="AI133" s="108">
        <f>$AI$36</f>
        <v>44012</v>
      </c>
      <c r="AJ133" s="108">
        <f>$AJ$36</f>
        <v>44043</v>
      </c>
      <c r="AK133" s="108">
        <f>$AK$36</f>
        <v>44074</v>
      </c>
      <c r="AL133" s="108">
        <f>$AL$36</f>
        <v>44104</v>
      </c>
      <c r="AM133" s="108">
        <f>$AM$36</f>
        <v>44135</v>
      </c>
      <c r="AN133" s="108">
        <f>$AN$36</f>
        <v>44165</v>
      </c>
      <c r="AO133" s="108">
        <f>$AO$36</f>
        <v>44196</v>
      </c>
      <c r="AP133" s="108">
        <f>$AP$36</f>
        <v>44227</v>
      </c>
      <c r="AQ133" s="108">
        <f>$AQ$36</f>
        <v>44255</v>
      </c>
      <c r="AR133" s="108">
        <f>$AR$36</f>
        <v>44286</v>
      </c>
      <c r="AS133" s="108">
        <f>$AS$36</f>
        <v>44316</v>
      </c>
      <c r="AT133" s="108">
        <f>$AT$36</f>
        <v>44347</v>
      </c>
      <c r="AU133" s="108">
        <f>$AU$36</f>
        <v>44377</v>
      </c>
      <c r="AV133" s="108">
        <f>$AV$36</f>
        <v>44408</v>
      </c>
      <c r="AW133" s="108">
        <f>$AW$36</f>
        <v>44439</v>
      </c>
      <c r="AX133" s="108">
        <f>$AX$36</f>
        <v>44469</v>
      </c>
      <c r="AY133" s="108">
        <f>$AY$36</f>
        <v>44500</v>
      </c>
      <c r="AZ133" s="108">
        <f>$AZ$36</f>
        <v>44530</v>
      </c>
      <c r="BA133" s="108">
        <f>$BA$36</f>
        <v>44561</v>
      </c>
      <c r="BB133" s="108">
        <f>$BB$36</f>
        <v>44592</v>
      </c>
      <c r="BC133" s="108">
        <f>$BC$36</f>
        <v>44620</v>
      </c>
      <c r="BD133" s="108">
        <f>$BD$36</f>
        <v>44651</v>
      </c>
      <c r="BE133" s="108">
        <f>$BE$36</f>
        <v>44681</v>
      </c>
      <c r="BF133" s="108">
        <f>$BF$36</f>
        <v>44712</v>
      </c>
      <c r="BG133" s="108">
        <f>$BG$36</f>
        <v>44742</v>
      </c>
      <c r="BH133" s="108">
        <f>$BH$36</f>
        <v>44773</v>
      </c>
      <c r="BI133" s="108">
        <f>$BI$36</f>
        <v>44804</v>
      </c>
      <c r="BJ133" s="108">
        <f>$BJ$36</f>
        <v>44834</v>
      </c>
      <c r="BK133" s="108">
        <f>$BK$36</f>
        <v>44865</v>
      </c>
      <c r="BL133" s="108">
        <f>$BL$36</f>
        <v>44895</v>
      </c>
      <c r="BM133" s="108">
        <f>$BM$36</f>
        <v>44926</v>
      </c>
      <c r="BN133" s="108">
        <f>$BN$36</f>
        <v>44957</v>
      </c>
      <c r="BO133" s="108">
        <f>$BO$36</f>
        <v>44985</v>
      </c>
      <c r="BP133" s="108">
        <f>$BP$36</f>
        <v>45016</v>
      </c>
      <c r="BQ133" s="108">
        <f>$BQ$36</f>
        <v>45046</v>
      </c>
      <c r="BR133" s="108">
        <f>$BR$36</f>
        <v>45077</v>
      </c>
      <c r="BS133" s="108">
        <f>$BS$36</f>
        <v>45107</v>
      </c>
      <c r="BT133" s="108">
        <f>$BT$36</f>
        <v>45138</v>
      </c>
      <c r="BU133" s="108">
        <f>$BU$36</f>
        <v>45169</v>
      </c>
      <c r="BV133" s="108">
        <f>$BV$36</f>
        <v>45199</v>
      </c>
      <c r="BW133" s="108">
        <f>$BW$36</f>
        <v>45230</v>
      </c>
      <c r="BX133" s="108">
        <f>$BX$36</f>
        <v>45260</v>
      </c>
      <c r="BY133" s="108">
        <f>$BY$36</f>
        <v>45291</v>
      </c>
      <c r="BZ133" s="108">
        <f>$BZ$36</f>
        <v>45322</v>
      </c>
      <c r="CA133" s="108">
        <f>$CA$36</f>
        <v>45351</v>
      </c>
      <c r="CB133" s="108">
        <f>$CB$36</f>
        <v>45382</v>
      </c>
      <c r="CC133" s="108">
        <f>$CC$36</f>
        <v>45412</v>
      </c>
      <c r="CD133" s="108">
        <f>$CD$36</f>
        <v>45443</v>
      </c>
      <c r="CE133" s="108">
        <f>$CE$36</f>
        <v>45473</v>
      </c>
      <c r="CF133" s="108">
        <f>$CF$36</f>
        <v>45504</v>
      </c>
      <c r="CG133" s="108">
        <f>$CG$36</f>
        <v>45535</v>
      </c>
      <c r="CH133" s="108">
        <f>$CH$36</f>
        <v>45565</v>
      </c>
      <c r="CI133" s="108">
        <f>$CI$36</f>
        <v>45596</v>
      </c>
      <c r="CJ133" s="108">
        <f>$CJ$36</f>
        <v>45626</v>
      </c>
      <c r="CK133" s="108">
        <f>$CK$36</f>
        <v>45657</v>
      </c>
    </row>
    <row r="134" spans="2:89" outlineLevel="1" x14ac:dyDescent="0.25">
      <c r="L134" s="58"/>
    </row>
    <row r="135" spans="2:89" outlineLevel="1" x14ac:dyDescent="0.25">
      <c r="C135" s="103" t="s">
        <v>103</v>
      </c>
      <c r="K135" s="58"/>
    </row>
    <row r="136" spans="2:89" outlineLevel="1" x14ac:dyDescent="0.25">
      <c r="C136" s="123" t="s">
        <v>186</v>
      </c>
      <c r="D136" s="13" t="s">
        <v>24</v>
      </c>
      <c r="F136" s="44">
        <f>-F116-F117</f>
        <v>-8963439.4061929006</v>
      </c>
      <c r="G136" s="44">
        <f t="shared" ref="G136:BR136" si="329">-G116-G117</f>
        <v>0</v>
      </c>
      <c r="H136" s="44">
        <f t="shared" si="329"/>
        <v>0</v>
      </c>
      <c r="I136" s="44">
        <f t="shared" si="329"/>
        <v>-4941119.4676008793</v>
      </c>
      <c r="J136" s="44">
        <f t="shared" si="329"/>
        <v>-5706039.4521962702</v>
      </c>
      <c r="K136" s="44">
        <f t="shared" si="329"/>
        <v>-12965246.226588443</v>
      </c>
      <c r="L136" s="44">
        <f t="shared" si="329"/>
        <v>-10276698.156953398</v>
      </c>
      <c r="M136" s="44">
        <f t="shared" si="329"/>
        <v>-2825681.5343172997</v>
      </c>
      <c r="N136" s="44">
        <f t="shared" si="329"/>
        <v>-1309542.159044059</v>
      </c>
      <c r="O136" s="44">
        <f t="shared" si="329"/>
        <v>-2074787.0037881937</v>
      </c>
      <c r="P136" s="44">
        <f t="shared" si="329"/>
        <v>-4920009.6689692084</v>
      </c>
      <c r="Q136" s="44">
        <f t="shared" si="329"/>
        <v>-7992912.4166666558</v>
      </c>
      <c r="R136" s="44">
        <f t="shared" si="329"/>
        <v>-4940299.3729317272</v>
      </c>
      <c r="S136" s="44">
        <f t="shared" si="329"/>
        <v>0</v>
      </c>
      <c r="T136" s="44">
        <f t="shared" si="329"/>
        <v>0</v>
      </c>
      <c r="U136" s="44">
        <f t="shared" si="329"/>
        <v>0</v>
      </c>
      <c r="V136" s="44">
        <f t="shared" si="329"/>
        <v>0</v>
      </c>
      <c r="W136" s="44">
        <f t="shared" si="329"/>
        <v>0</v>
      </c>
      <c r="X136" s="44">
        <f t="shared" si="329"/>
        <v>0</v>
      </c>
      <c r="Y136" s="44">
        <f t="shared" si="329"/>
        <v>0</v>
      </c>
      <c r="Z136" s="44">
        <f t="shared" si="329"/>
        <v>0</v>
      </c>
      <c r="AA136" s="44">
        <f t="shared" si="329"/>
        <v>0</v>
      </c>
      <c r="AB136" s="44">
        <f t="shared" si="329"/>
        <v>0</v>
      </c>
      <c r="AC136" s="44">
        <f t="shared" si="329"/>
        <v>0</v>
      </c>
      <c r="AD136" s="44">
        <f t="shared" si="329"/>
        <v>0</v>
      </c>
      <c r="AE136" s="44">
        <f t="shared" si="329"/>
        <v>0</v>
      </c>
      <c r="AF136" s="44">
        <f t="shared" si="329"/>
        <v>0</v>
      </c>
      <c r="AG136" s="44">
        <f t="shared" si="329"/>
        <v>0</v>
      </c>
      <c r="AH136" s="44">
        <f t="shared" si="329"/>
        <v>0</v>
      </c>
      <c r="AI136" s="44">
        <f t="shared" si="329"/>
        <v>0</v>
      </c>
      <c r="AJ136" s="44">
        <f t="shared" si="329"/>
        <v>0</v>
      </c>
      <c r="AK136" s="44">
        <f t="shared" si="329"/>
        <v>0</v>
      </c>
      <c r="AL136" s="44">
        <f t="shared" si="329"/>
        <v>0</v>
      </c>
      <c r="AM136" s="44">
        <f t="shared" si="329"/>
        <v>0</v>
      </c>
      <c r="AN136" s="44">
        <f t="shared" si="329"/>
        <v>0</v>
      </c>
      <c r="AO136" s="44">
        <f t="shared" si="329"/>
        <v>0</v>
      </c>
      <c r="AP136" s="44">
        <f t="shared" si="329"/>
        <v>0</v>
      </c>
      <c r="AQ136" s="44">
        <f t="shared" si="329"/>
        <v>0</v>
      </c>
      <c r="AR136" s="44">
        <f t="shared" si="329"/>
        <v>0</v>
      </c>
      <c r="AS136" s="44">
        <f t="shared" si="329"/>
        <v>0</v>
      </c>
      <c r="AT136" s="44">
        <f t="shared" si="329"/>
        <v>0</v>
      </c>
      <c r="AU136" s="44">
        <f t="shared" si="329"/>
        <v>0</v>
      </c>
      <c r="AV136" s="44">
        <f t="shared" si="329"/>
        <v>0</v>
      </c>
      <c r="AW136" s="44">
        <f t="shared" si="329"/>
        <v>0</v>
      </c>
      <c r="AX136" s="44">
        <f t="shared" si="329"/>
        <v>0</v>
      </c>
      <c r="AY136" s="44">
        <f t="shared" si="329"/>
        <v>0</v>
      </c>
      <c r="AZ136" s="44">
        <f t="shared" si="329"/>
        <v>0</v>
      </c>
      <c r="BA136" s="44">
        <f t="shared" si="329"/>
        <v>0</v>
      </c>
      <c r="BB136" s="44">
        <f t="shared" si="329"/>
        <v>0</v>
      </c>
      <c r="BC136" s="44">
        <f t="shared" si="329"/>
        <v>0</v>
      </c>
      <c r="BD136" s="44">
        <f t="shared" si="329"/>
        <v>0</v>
      </c>
      <c r="BE136" s="44">
        <f t="shared" si="329"/>
        <v>0</v>
      </c>
      <c r="BF136" s="44">
        <f t="shared" si="329"/>
        <v>0</v>
      </c>
      <c r="BG136" s="44">
        <f t="shared" si="329"/>
        <v>0</v>
      </c>
      <c r="BH136" s="44">
        <f t="shared" si="329"/>
        <v>0</v>
      </c>
      <c r="BI136" s="44">
        <f t="shared" si="329"/>
        <v>0</v>
      </c>
      <c r="BJ136" s="44">
        <f t="shared" si="329"/>
        <v>0</v>
      </c>
      <c r="BK136" s="44">
        <f t="shared" si="329"/>
        <v>0</v>
      </c>
      <c r="BL136" s="44">
        <f t="shared" si="329"/>
        <v>0</v>
      </c>
      <c r="BM136" s="44">
        <f t="shared" si="329"/>
        <v>0</v>
      </c>
      <c r="BN136" s="44">
        <f t="shared" si="329"/>
        <v>0</v>
      </c>
      <c r="BO136" s="44">
        <f t="shared" si="329"/>
        <v>0</v>
      </c>
      <c r="BP136" s="44">
        <f t="shared" si="329"/>
        <v>0</v>
      </c>
      <c r="BQ136" s="44">
        <f t="shared" si="329"/>
        <v>0</v>
      </c>
      <c r="BR136" s="44">
        <f t="shared" si="329"/>
        <v>0</v>
      </c>
      <c r="BS136" s="44">
        <f t="shared" ref="BS136:CK136" si="330">-BS116-BS117</f>
        <v>0</v>
      </c>
      <c r="BT136" s="44">
        <f t="shared" si="330"/>
        <v>0</v>
      </c>
      <c r="BU136" s="44">
        <f t="shared" si="330"/>
        <v>0</v>
      </c>
      <c r="BV136" s="44">
        <f t="shared" si="330"/>
        <v>0</v>
      </c>
      <c r="BW136" s="44">
        <f t="shared" si="330"/>
        <v>0</v>
      </c>
      <c r="BX136" s="44">
        <f t="shared" si="330"/>
        <v>0</v>
      </c>
      <c r="BY136" s="44">
        <f t="shared" si="330"/>
        <v>0</v>
      </c>
      <c r="BZ136" s="44">
        <f t="shared" si="330"/>
        <v>0</v>
      </c>
      <c r="CA136" s="44">
        <f t="shared" si="330"/>
        <v>0</v>
      </c>
      <c r="CB136" s="44">
        <f t="shared" si="330"/>
        <v>0</v>
      </c>
      <c r="CC136" s="44">
        <f t="shared" si="330"/>
        <v>0</v>
      </c>
      <c r="CD136" s="44">
        <f t="shared" si="330"/>
        <v>0</v>
      </c>
      <c r="CE136" s="44">
        <f t="shared" si="330"/>
        <v>0</v>
      </c>
      <c r="CF136" s="44">
        <f t="shared" si="330"/>
        <v>0</v>
      </c>
      <c r="CG136" s="44">
        <f t="shared" si="330"/>
        <v>0</v>
      </c>
      <c r="CH136" s="44">
        <f t="shared" si="330"/>
        <v>0</v>
      </c>
      <c r="CI136" s="44">
        <f t="shared" si="330"/>
        <v>0</v>
      </c>
      <c r="CJ136" s="44">
        <f t="shared" si="330"/>
        <v>0</v>
      </c>
      <c r="CK136" s="44">
        <f t="shared" si="330"/>
        <v>0</v>
      </c>
    </row>
    <row r="137" spans="2:89" outlineLevel="1" x14ac:dyDescent="0.25">
      <c r="C137" s="124" t="s">
        <v>187</v>
      </c>
      <c r="D137" s="50" t="s">
        <v>24</v>
      </c>
      <c r="E137" s="101"/>
      <c r="F137" s="52">
        <f>+F131</f>
        <v>0</v>
      </c>
      <c r="G137" s="52">
        <f t="shared" ref="G137:BR137" si="331">+G131</f>
        <v>2788820.292015709</v>
      </c>
      <c r="H137" s="52">
        <f t="shared" si="331"/>
        <v>2042922.4273272539</v>
      </c>
      <c r="I137" s="52">
        <f t="shared" si="331"/>
        <v>0</v>
      </c>
      <c r="J137" s="52">
        <f t="shared" si="331"/>
        <v>0</v>
      </c>
      <c r="K137" s="52">
        <f t="shared" si="331"/>
        <v>0</v>
      </c>
      <c r="L137" s="52">
        <f t="shared" si="331"/>
        <v>0</v>
      </c>
      <c r="M137" s="52">
        <f t="shared" si="331"/>
        <v>0</v>
      </c>
      <c r="N137" s="52">
        <f t="shared" si="331"/>
        <v>0</v>
      </c>
      <c r="O137" s="52">
        <f t="shared" si="331"/>
        <v>0</v>
      </c>
      <c r="P137" s="52">
        <f t="shared" si="331"/>
        <v>0</v>
      </c>
      <c r="Q137" s="52">
        <f t="shared" si="331"/>
        <v>0</v>
      </c>
      <c r="R137" s="52">
        <f t="shared" si="331"/>
        <v>0</v>
      </c>
      <c r="S137" s="52">
        <f t="shared" si="331"/>
        <v>0</v>
      </c>
      <c r="T137" s="52">
        <f t="shared" si="331"/>
        <v>0</v>
      </c>
      <c r="U137" s="52">
        <f t="shared" si="331"/>
        <v>0</v>
      </c>
      <c r="V137" s="52">
        <f t="shared" si="331"/>
        <v>0</v>
      </c>
      <c r="W137" s="52">
        <f t="shared" si="331"/>
        <v>0</v>
      </c>
      <c r="X137" s="52">
        <f t="shared" si="331"/>
        <v>0</v>
      </c>
      <c r="Y137" s="52">
        <f t="shared" si="331"/>
        <v>0</v>
      </c>
      <c r="Z137" s="52">
        <f t="shared" si="331"/>
        <v>0</v>
      </c>
      <c r="AA137" s="52">
        <f t="shared" si="331"/>
        <v>0</v>
      </c>
      <c r="AB137" s="52">
        <f t="shared" si="331"/>
        <v>0</v>
      </c>
      <c r="AC137" s="52">
        <f t="shared" si="331"/>
        <v>0</v>
      </c>
      <c r="AD137" s="52">
        <f t="shared" si="331"/>
        <v>0</v>
      </c>
      <c r="AE137" s="52">
        <f t="shared" si="331"/>
        <v>0</v>
      </c>
      <c r="AF137" s="52">
        <f t="shared" si="331"/>
        <v>0</v>
      </c>
      <c r="AG137" s="52">
        <f t="shared" si="331"/>
        <v>0</v>
      </c>
      <c r="AH137" s="52">
        <f t="shared" si="331"/>
        <v>0</v>
      </c>
      <c r="AI137" s="52">
        <f t="shared" si="331"/>
        <v>0</v>
      </c>
      <c r="AJ137" s="52">
        <f t="shared" si="331"/>
        <v>0</v>
      </c>
      <c r="AK137" s="52">
        <f t="shared" si="331"/>
        <v>0</v>
      </c>
      <c r="AL137" s="52">
        <f t="shared" si="331"/>
        <v>0</v>
      </c>
      <c r="AM137" s="52">
        <f t="shared" si="331"/>
        <v>0</v>
      </c>
      <c r="AN137" s="52">
        <f t="shared" si="331"/>
        <v>0</v>
      </c>
      <c r="AO137" s="52">
        <f t="shared" si="331"/>
        <v>0</v>
      </c>
      <c r="AP137" s="52">
        <f t="shared" si="331"/>
        <v>0</v>
      </c>
      <c r="AQ137" s="52">
        <f t="shared" si="331"/>
        <v>0</v>
      </c>
      <c r="AR137" s="52">
        <f t="shared" si="331"/>
        <v>0</v>
      </c>
      <c r="AS137" s="52">
        <f t="shared" si="331"/>
        <v>0</v>
      </c>
      <c r="AT137" s="52">
        <f t="shared" si="331"/>
        <v>0</v>
      </c>
      <c r="AU137" s="52">
        <f t="shared" si="331"/>
        <v>0</v>
      </c>
      <c r="AV137" s="52">
        <f t="shared" si="331"/>
        <v>0</v>
      </c>
      <c r="AW137" s="52">
        <f t="shared" si="331"/>
        <v>0</v>
      </c>
      <c r="AX137" s="52">
        <f t="shared" si="331"/>
        <v>0</v>
      </c>
      <c r="AY137" s="52">
        <f t="shared" si="331"/>
        <v>0</v>
      </c>
      <c r="AZ137" s="52">
        <f t="shared" si="331"/>
        <v>116172787.12315851</v>
      </c>
      <c r="BA137" s="52">
        <f t="shared" si="331"/>
        <v>0</v>
      </c>
      <c r="BB137" s="52">
        <f t="shared" si="331"/>
        <v>0</v>
      </c>
      <c r="BC137" s="52">
        <f t="shared" si="331"/>
        <v>0</v>
      </c>
      <c r="BD137" s="52">
        <f t="shared" si="331"/>
        <v>0</v>
      </c>
      <c r="BE137" s="52">
        <f t="shared" si="331"/>
        <v>0</v>
      </c>
      <c r="BF137" s="52">
        <f t="shared" si="331"/>
        <v>0</v>
      </c>
      <c r="BG137" s="52">
        <f t="shared" si="331"/>
        <v>0</v>
      </c>
      <c r="BH137" s="52">
        <f t="shared" si="331"/>
        <v>0</v>
      </c>
      <c r="BI137" s="52">
        <f t="shared" si="331"/>
        <v>0</v>
      </c>
      <c r="BJ137" s="52">
        <f t="shared" si="331"/>
        <v>0</v>
      </c>
      <c r="BK137" s="52">
        <f t="shared" si="331"/>
        <v>0</v>
      </c>
      <c r="BL137" s="52">
        <f t="shared" si="331"/>
        <v>0</v>
      </c>
      <c r="BM137" s="52">
        <f t="shared" si="331"/>
        <v>0</v>
      </c>
      <c r="BN137" s="52">
        <f t="shared" si="331"/>
        <v>0</v>
      </c>
      <c r="BO137" s="52">
        <f t="shared" si="331"/>
        <v>0</v>
      </c>
      <c r="BP137" s="52">
        <f t="shared" si="331"/>
        <v>0</v>
      </c>
      <c r="BQ137" s="52">
        <f t="shared" si="331"/>
        <v>0</v>
      </c>
      <c r="BR137" s="52">
        <f t="shared" si="331"/>
        <v>0</v>
      </c>
      <c r="BS137" s="52">
        <f t="shared" ref="BS137:CK137" si="332">+BS131</f>
        <v>0</v>
      </c>
      <c r="BT137" s="52">
        <f t="shared" si="332"/>
        <v>0</v>
      </c>
      <c r="BU137" s="52">
        <f t="shared" si="332"/>
        <v>0</v>
      </c>
      <c r="BV137" s="52">
        <f t="shared" si="332"/>
        <v>0</v>
      </c>
      <c r="BW137" s="52">
        <f t="shared" si="332"/>
        <v>0</v>
      </c>
      <c r="BX137" s="52">
        <f t="shared" si="332"/>
        <v>0</v>
      </c>
      <c r="BY137" s="52">
        <f t="shared" si="332"/>
        <v>0</v>
      </c>
      <c r="BZ137" s="52">
        <f t="shared" si="332"/>
        <v>0</v>
      </c>
      <c r="CA137" s="52">
        <f t="shared" si="332"/>
        <v>0</v>
      </c>
      <c r="CB137" s="52">
        <f t="shared" si="332"/>
        <v>0</v>
      </c>
      <c r="CC137" s="52">
        <f t="shared" si="332"/>
        <v>0</v>
      </c>
      <c r="CD137" s="52">
        <f t="shared" si="332"/>
        <v>0</v>
      </c>
      <c r="CE137" s="52">
        <f t="shared" si="332"/>
        <v>0</v>
      </c>
      <c r="CF137" s="52">
        <f t="shared" si="332"/>
        <v>0</v>
      </c>
      <c r="CG137" s="52">
        <f t="shared" si="332"/>
        <v>0</v>
      </c>
      <c r="CH137" s="52">
        <f t="shared" si="332"/>
        <v>0</v>
      </c>
      <c r="CI137" s="52">
        <f t="shared" si="332"/>
        <v>0</v>
      </c>
      <c r="CJ137" s="52">
        <f t="shared" si="332"/>
        <v>0</v>
      </c>
      <c r="CK137" s="52">
        <f t="shared" si="332"/>
        <v>0</v>
      </c>
    </row>
    <row r="138" spans="2:89" outlineLevel="1" x14ac:dyDescent="0.25">
      <c r="C138" s="104" t="s">
        <v>105</v>
      </c>
      <c r="D138" s="13" t="s">
        <v>24</v>
      </c>
      <c r="E138" s="38"/>
      <c r="F138" s="72">
        <f>SUM(F136:F137)</f>
        <v>-8963439.4061929006</v>
      </c>
      <c r="G138" s="72">
        <f t="shared" ref="G138" si="333">SUM(G136:G137)</f>
        <v>2788820.292015709</v>
      </c>
      <c r="H138" s="72">
        <f t="shared" ref="H138" si="334">SUM(H136:H137)</f>
        <v>2042922.4273272539</v>
      </c>
      <c r="I138" s="72">
        <f t="shared" ref="I138" si="335">SUM(I136:I137)</f>
        <v>-4941119.4676008793</v>
      </c>
      <c r="J138" s="72">
        <f t="shared" ref="J138" si="336">SUM(J136:J137)</f>
        <v>-5706039.4521962702</v>
      </c>
      <c r="K138" s="72">
        <f t="shared" ref="K138" si="337">SUM(K136:K137)</f>
        <v>-12965246.226588443</v>
      </c>
      <c r="L138" s="72">
        <f t="shared" ref="L138" si="338">SUM(L136:L137)</f>
        <v>-10276698.156953398</v>
      </c>
      <c r="M138" s="72">
        <f t="shared" ref="M138" si="339">SUM(M136:M137)</f>
        <v>-2825681.5343172997</v>
      </c>
      <c r="N138" s="72">
        <f t="shared" ref="N138" si="340">SUM(N136:N137)</f>
        <v>-1309542.159044059</v>
      </c>
      <c r="O138" s="72">
        <f t="shared" ref="O138" si="341">SUM(O136:O137)</f>
        <v>-2074787.0037881937</v>
      </c>
      <c r="P138" s="72">
        <f t="shared" ref="P138" si="342">SUM(P136:P137)</f>
        <v>-4920009.6689692084</v>
      </c>
      <c r="Q138" s="72">
        <f t="shared" ref="Q138" si="343">SUM(Q136:Q137)</f>
        <v>-7992912.4166666558</v>
      </c>
      <c r="R138" s="72">
        <f t="shared" ref="R138" si="344">SUM(R136:R137)</f>
        <v>-4940299.3729317272</v>
      </c>
      <c r="S138" s="72">
        <f t="shared" ref="S138" si="345">SUM(S136:S137)</f>
        <v>0</v>
      </c>
      <c r="T138" s="72">
        <f t="shared" ref="T138" si="346">SUM(T136:T137)</f>
        <v>0</v>
      </c>
      <c r="U138" s="72">
        <f t="shared" ref="U138" si="347">SUM(U136:U137)</f>
        <v>0</v>
      </c>
      <c r="V138" s="72">
        <f t="shared" ref="V138" si="348">SUM(V136:V137)</f>
        <v>0</v>
      </c>
      <c r="W138" s="72">
        <f t="shared" ref="W138" si="349">SUM(W136:W137)</f>
        <v>0</v>
      </c>
      <c r="X138" s="72">
        <f t="shared" ref="X138" si="350">SUM(X136:X137)</f>
        <v>0</v>
      </c>
      <c r="Y138" s="72">
        <f t="shared" ref="Y138" si="351">SUM(Y136:Y137)</f>
        <v>0</v>
      </c>
      <c r="Z138" s="72">
        <f t="shared" ref="Z138" si="352">SUM(Z136:Z137)</f>
        <v>0</v>
      </c>
      <c r="AA138" s="72">
        <f t="shared" ref="AA138" si="353">SUM(AA136:AA137)</f>
        <v>0</v>
      </c>
      <c r="AB138" s="72">
        <f t="shared" ref="AB138" si="354">SUM(AB136:AB137)</f>
        <v>0</v>
      </c>
      <c r="AC138" s="72">
        <f t="shared" ref="AC138" si="355">SUM(AC136:AC137)</f>
        <v>0</v>
      </c>
      <c r="AD138" s="72">
        <f t="shared" ref="AD138" si="356">SUM(AD136:AD137)</f>
        <v>0</v>
      </c>
      <c r="AE138" s="72">
        <f t="shared" ref="AE138" si="357">SUM(AE136:AE137)</f>
        <v>0</v>
      </c>
      <c r="AF138" s="72">
        <f t="shared" ref="AF138" si="358">SUM(AF136:AF137)</f>
        <v>0</v>
      </c>
      <c r="AG138" s="72">
        <f t="shared" ref="AG138" si="359">SUM(AG136:AG137)</f>
        <v>0</v>
      </c>
      <c r="AH138" s="72">
        <f t="shared" ref="AH138" si="360">SUM(AH136:AH137)</f>
        <v>0</v>
      </c>
      <c r="AI138" s="72">
        <f t="shared" ref="AI138" si="361">SUM(AI136:AI137)</f>
        <v>0</v>
      </c>
      <c r="AJ138" s="72">
        <f t="shared" ref="AJ138" si="362">SUM(AJ136:AJ137)</f>
        <v>0</v>
      </c>
      <c r="AK138" s="72">
        <f t="shared" ref="AK138" si="363">SUM(AK136:AK137)</f>
        <v>0</v>
      </c>
      <c r="AL138" s="72">
        <f t="shared" ref="AL138" si="364">SUM(AL136:AL137)</f>
        <v>0</v>
      </c>
      <c r="AM138" s="72">
        <f t="shared" ref="AM138" si="365">SUM(AM136:AM137)</f>
        <v>0</v>
      </c>
      <c r="AN138" s="72">
        <f t="shared" ref="AN138" si="366">SUM(AN136:AN137)</f>
        <v>0</v>
      </c>
      <c r="AO138" s="72">
        <f t="shared" ref="AO138" si="367">SUM(AO136:AO137)</f>
        <v>0</v>
      </c>
      <c r="AP138" s="72">
        <f t="shared" ref="AP138" si="368">SUM(AP136:AP137)</f>
        <v>0</v>
      </c>
      <c r="AQ138" s="72">
        <f t="shared" ref="AQ138" si="369">SUM(AQ136:AQ137)</f>
        <v>0</v>
      </c>
      <c r="AR138" s="72">
        <f t="shared" ref="AR138" si="370">SUM(AR136:AR137)</f>
        <v>0</v>
      </c>
      <c r="AS138" s="72">
        <f t="shared" ref="AS138" si="371">SUM(AS136:AS137)</f>
        <v>0</v>
      </c>
      <c r="AT138" s="72">
        <f t="shared" ref="AT138" si="372">SUM(AT136:AT137)</f>
        <v>0</v>
      </c>
      <c r="AU138" s="72">
        <f t="shared" ref="AU138" si="373">SUM(AU136:AU137)</f>
        <v>0</v>
      </c>
      <c r="AV138" s="72">
        <f t="shared" ref="AV138" si="374">SUM(AV136:AV137)</f>
        <v>0</v>
      </c>
      <c r="AW138" s="72">
        <f t="shared" ref="AW138" si="375">SUM(AW136:AW137)</f>
        <v>0</v>
      </c>
      <c r="AX138" s="72">
        <f t="shared" ref="AX138" si="376">SUM(AX136:AX137)</f>
        <v>0</v>
      </c>
      <c r="AY138" s="72">
        <f t="shared" ref="AY138" si="377">SUM(AY136:AY137)</f>
        <v>0</v>
      </c>
      <c r="AZ138" s="72">
        <f t="shared" ref="AZ138" si="378">SUM(AZ136:AZ137)</f>
        <v>116172787.12315851</v>
      </c>
      <c r="BA138" s="72">
        <f t="shared" ref="BA138" si="379">SUM(BA136:BA137)</f>
        <v>0</v>
      </c>
      <c r="BB138" s="72">
        <f t="shared" ref="BB138" si="380">SUM(BB136:BB137)</f>
        <v>0</v>
      </c>
      <c r="BC138" s="72">
        <f t="shared" ref="BC138" si="381">SUM(BC136:BC137)</f>
        <v>0</v>
      </c>
      <c r="BD138" s="72">
        <f t="shared" ref="BD138" si="382">SUM(BD136:BD137)</f>
        <v>0</v>
      </c>
      <c r="BE138" s="72">
        <f t="shared" ref="BE138" si="383">SUM(BE136:BE137)</f>
        <v>0</v>
      </c>
      <c r="BF138" s="72">
        <f t="shared" ref="BF138" si="384">SUM(BF136:BF137)</f>
        <v>0</v>
      </c>
      <c r="BG138" s="72">
        <f t="shared" ref="BG138" si="385">SUM(BG136:BG137)</f>
        <v>0</v>
      </c>
      <c r="BH138" s="72">
        <f t="shared" ref="BH138" si="386">SUM(BH136:BH137)</f>
        <v>0</v>
      </c>
      <c r="BI138" s="72">
        <f t="shared" ref="BI138" si="387">SUM(BI136:BI137)</f>
        <v>0</v>
      </c>
      <c r="BJ138" s="72">
        <f t="shared" ref="BJ138" si="388">SUM(BJ136:BJ137)</f>
        <v>0</v>
      </c>
      <c r="BK138" s="72">
        <f t="shared" ref="BK138" si="389">SUM(BK136:BK137)</f>
        <v>0</v>
      </c>
      <c r="BL138" s="72">
        <f t="shared" ref="BL138" si="390">SUM(BL136:BL137)</f>
        <v>0</v>
      </c>
      <c r="BM138" s="72">
        <f t="shared" ref="BM138" si="391">SUM(BM136:BM137)</f>
        <v>0</v>
      </c>
      <c r="BN138" s="72">
        <f t="shared" ref="BN138" si="392">SUM(BN136:BN137)</f>
        <v>0</v>
      </c>
      <c r="BO138" s="72">
        <f t="shared" ref="BO138" si="393">SUM(BO136:BO137)</f>
        <v>0</v>
      </c>
      <c r="BP138" s="72">
        <f t="shared" ref="BP138" si="394">SUM(BP136:BP137)</f>
        <v>0</v>
      </c>
      <c r="BQ138" s="72">
        <f t="shared" ref="BQ138" si="395">SUM(BQ136:BQ137)</f>
        <v>0</v>
      </c>
      <c r="BR138" s="72">
        <f t="shared" ref="BR138" si="396">SUM(BR136:BR137)</f>
        <v>0</v>
      </c>
      <c r="BS138" s="72">
        <f t="shared" ref="BS138" si="397">SUM(BS136:BS137)</f>
        <v>0</v>
      </c>
      <c r="BT138" s="72">
        <f t="shared" ref="BT138" si="398">SUM(BT136:BT137)</f>
        <v>0</v>
      </c>
      <c r="BU138" s="72">
        <f t="shared" ref="BU138" si="399">SUM(BU136:BU137)</f>
        <v>0</v>
      </c>
      <c r="BV138" s="72">
        <f t="shared" ref="BV138" si="400">SUM(BV136:BV137)</f>
        <v>0</v>
      </c>
      <c r="BW138" s="72">
        <f t="shared" ref="BW138" si="401">SUM(BW136:BW137)</f>
        <v>0</v>
      </c>
      <c r="BX138" s="72">
        <f t="shared" ref="BX138" si="402">SUM(BX136:BX137)</f>
        <v>0</v>
      </c>
      <c r="BY138" s="72">
        <f t="shared" ref="BY138" si="403">SUM(BY136:BY137)</f>
        <v>0</v>
      </c>
      <c r="BZ138" s="72">
        <f t="shared" ref="BZ138" si="404">SUM(BZ136:BZ137)</f>
        <v>0</v>
      </c>
      <c r="CA138" s="72">
        <f t="shared" ref="CA138" si="405">SUM(CA136:CA137)</f>
        <v>0</v>
      </c>
      <c r="CB138" s="72">
        <f t="shared" ref="CB138" si="406">SUM(CB136:CB137)</f>
        <v>0</v>
      </c>
      <c r="CC138" s="72">
        <f t="shared" ref="CC138" si="407">SUM(CC136:CC137)</f>
        <v>0</v>
      </c>
      <c r="CD138" s="72">
        <f t="shared" ref="CD138" si="408">SUM(CD136:CD137)</f>
        <v>0</v>
      </c>
      <c r="CE138" s="72">
        <f t="shared" ref="CE138" si="409">SUM(CE136:CE137)</f>
        <v>0</v>
      </c>
      <c r="CF138" s="72">
        <f t="shared" ref="CF138" si="410">SUM(CF136:CF137)</f>
        <v>0</v>
      </c>
      <c r="CG138" s="72">
        <f t="shared" ref="CG138" si="411">SUM(CG136:CG137)</f>
        <v>0</v>
      </c>
      <c r="CH138" s="72">
        <f t="shared" ref="CH138" si="412">SUM(CH136:CH137)</f>
        <v>0</v>
      </c>
      <c r="CI138" s="72">
        <f t="shared" ref="CI138" si="413">SUM(CI136:CI137)</f>
        <v>0</v>
      </c>
      <c r="CJ138" s="72">
        <f t="shared" ref="CJ138" si="414">SUM(CJ136:CJ137)</f>
        <v>0</v>
      </c>
      <c r="CK138" s="72">
        <f t="shared" ref="CK138" si="415">SUM(CK136:CK137)</f>
        <v>0</v>
      </c>
    </row>
    <row r="139" spans="2:89" outlineLevel="1" x14ac:dyDescent="0.25">
      <c r="C139" s="38"/>
      <c r="K139" s="58"/>
    </row>
    <row r="140" spans="2:89" outlineLevel="1" x14ac:dyDescent="0.25">
      <c r="C140" s="34" t="str">
        <f>"Investors - Preferred Return of "&amp;TEXT(LP_Pref,"0.0x")&amp;" Invested Equity:"</f>
        <v>Investors - Preferred Return of 1.0x Invested Equity:</v>
      </c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</row>
    <row r="141" spans="2:89" outlineLevel="1" x14ac:dyDescent="0.25">
      <c r="C141" s="123" t="s">
        <v>190</v>
      </c>
      <c r="D141" s="13" t="s">
        <v>24</v>
      </c>
      <c r="F141" s="105">
        <v>0</v>
      </c>
      <c r="G141" s="38">
        <f>+F145</f>
        <v>7170751.5249543209</v>
      </c>
      <c r="H141" s="38">
        <f t="shared" ref="H141:BS141" si="416">+G145</f>
        <v>4381931.2329386119</v>
      </c>
      <c r="I141" s="38">
        <f t="shared" si="416"/>
        <v>2339008.805611358</v>
      </c>
      <c r="J141" s="38">
        <f t="shared" si="416"/>
        <v>6291904.3796920618</v>
      </c>
      <c r="K141" s="38">
        <f t="shared" si="416"/>
        <v>10856735.941449078</v>
      </c>
      <c r="L141" s="38">
        <f t="shared" si="416"/>
        <v>21228932.922719833</v>
      </c>
      <c r="M141" s="38">
        <f t="shared" si="416"/>
        <v>29450291.448282551</v>
      </c>
      <c r="N141" s="38">
        <f t="shared" si="416"/>
        <v>31710836.67573639</v>
      </c>
      <c r="O141" s="38">
        <f t="shared" si="416"/>
        <v>32758470.402971637</v>
      </c>
      <c r="P141" s="38">
        <f t="shared" si="416"/>
        <v>34418300.006002188</v>
      </c>
      <c r="Q141" s="38">
        <f t="shared" si="416"/>
        <v>38354307.741177551</v>
      </c>
      <c r="R141" s="38">
        <f t="shared" si="416"/>
        <v>44748637.674510874</v>
      </c>
      <c r="S141" s="38">
        <f t="shared" si="416"/>
        <v>48700877.172856256</v>
      </c>
      <c r="T141" s="38">
        <f t="shared" si="416"/>
        <v>48700877.172856256</v>
      </c>
      <c r="U141" s="38">
        <f t="shared" si="416"/>
        <v>48700877.172856256</v>
      </c>
      <c r="V141" s="38">
        <f t="shared" si="416"/>
        <v>48700877.172856256</v>
      </c>
      <c r="W141" s="38">
        <f t="shared" si="416"/>
        <v>48700877.172856256</v>
      </c>
      <c r="X141" s="38">
        <f t="shared" si="416"/>
        <v>48700877.172856256</v>
      </c>
      <c r="Y141" s="38">
        <f t="shared" si="416"/>
        <v>48700877.172856256</v>
      </c>
      <c r="Z141" s="38">
        <f t="shared" si="416"/>
        <v>48700877.172856256</v>
      </c>
      <c r="AA141" s="38">
        <f t="shared" si="416"/>
        <v>48700877.172856256</v>
      </c>
      <c r="AB141" s="38">
        <f t="shared" si="416"/>
        <v>48700877.172856256</v>
      </c>
      <c r="AC141" s="38">
        <f t="shared" si="416"/>
        <v>48700877.172856256</v>
      </c>
      <c r="AD141" s="38">
        <f t="shared" si="416"/>
        <v>48700877.172856256</v>
      </c>
      <c r="AE141" s="38">
        <f t="shared" si="416"/>
        <v>48700877.172856256</v>
      </c>
      <c r="AF141" s="38">
        <f t="shared" si="416"/>
        <v>48700877.172856256</v>
      </c>
      <c r="AG141" s="38">
        <f t="shared" si="416"/>
        <v>48700877.172856256</v>
      </c>
      <c r="AH141" s="38">
        <f t="shared" si="416"/>
        <v>48700877.172856256</v>
      </c>
      <c r="AI141" s="38">
        <f t="shared" si="416"/>
        <v>48700877.172856256</v>
      </c>
      <c r="AJ141" s="38">
        <f t="shared" si="416"/>
        <v>48700877.172856256</v>
      </c>
      <c r="AK141" s="38">
        <f t="shared" si="416"/>
        <v>48700877.172856256</v>
      </c>
      <c r="AL141" s="38">
        <f t="shared" si="416"/>
        <v>48700877.172856256</v>
      </c>
      <c r="AM141" s="38">
        <f t="shared" si="416"/>
        <v>48700877.172856256</v>
      </c>
      <c r="AN141" s="38">
        <f t="shared" si="416"/>
        <v>48700877.172856256</v>
      </c>
      <c r="AO141" s="38">
        <f t="shared" si="416"/>
        <v>48700877.172856256</v>
      </c>
      <c r="AP141" s="38">
        <f t="shared" si="416"/>
        <v>48700877.172856256</v>
      </c>
      <c r="AQ141" s="38">
        <f t="shared" si="416"/>
        <v>48700877.172856256</v>
      </c>
      <c r="AR141" s="38">
        <f t="shared" si="416"/>
        <v>48700877.172856256</v>
      </c>
      <c r="AS141" s="38">
        <f t="shared" si="416"/>
        <v>48700877.172856256</v>
      </c>
      <c r="AT141" s="38">
        <f t="shared" si="416"/>
        <v>48700877.172856256</v>
      </c>
      <c r="AU141" s="38">
        <f t="shared" si="416"/>
        <v>48700877.172856256</v>
      </c>
      <c r="AV141" s="38">
        <f t="shared" si="416"/>
        <v>48700877.172856256</v>
      </c>
      <c r="AW141" s="38">
        <f t="shared" si="416"/>
        <v>48700877.172856256</v>
      </c>
      <c r="AX141" s="38">
        <f t="shared" si="416"/>
        <v>48700877.172856256</v>
      </c>
      <c r="AY141" s="38">
        <f t="shared" si="416"/>
        <v>48700877.172856256</v>
      </c>
      <c r="AZ141" s="38">
        <f t="shared" si="416"/>
        <v>48700877.172856256</v>
      </c>
      <c r="BA141" s="38">
        <f t="shared" si="416"/>
        <v>0</v>
      </c>
      <c r="BB141" s="38">
        <f t="shared" si="416"/>
        <v>0</v>
      </c>
      <c r="BC141" s="38">
        <f t="shared" si="416"/>
        <v>0</v>
      </c>
      <c r="BD141" s="38">
        <f t="shared" si="416"/>
        <v>0</v>
      </c>
      <c r="BE141" s="38">
        <f t="shared" si="416"/>
        <v>0</v>
      </c>
      <c r="BF141" s="38">
        <f t="shared" si="416"/>
        <v>0</v>
      </c>
      <c r="BG141" s="38">
        <f t="shared" si="416"/>
        <v>0</v>
      </c>
      <c r="BH141" s="38">
        <f t="shared" si="416"/>
        <v>0</v>
      </c>
      <c r="BI141" s="38">
        <f t="shared" si="416"/>
        <v>0</v>
      </c>
      <c r="BJ141" s="38">
        <f t="shared" si="416"/>
        <v>0</v>
      </c>
      <c r="BK141" s="38">
        <f t="shared" si="416"/>
        <v>0</v>
      </c>
      <c r="BL141" s="38">
        <f t="shared" si="416"/>
        <v>0</v>
      </c>
      <c r="BM141" s="38">
        <f t="shared" si="416"/>
        <v>0</v>
      </c>
      <c r="BN141" s="38">
        <f t="shared" si="416"/>
        <v>0</v>
      </c>
      <c r="BO141" s="38">
        <f t="shared" si="416"/>
        <v>0</v>
      </c>
      <c r="BP141" s="38">
        <f t="shared" si="416"/>
        <v>0</v>
      </c>
      <c r="BQ141" s="38">
        <f t="shared" si="416"/>
        <v>0</v>
      </c>
      <c r="BR141" s="38">
        <f t="shared" si="416"/>
        <v>0</v>
      </c>
      <c r="BS141" s="38">
        <f t="shared" si="416"/>
        <v>0</v>
      </c>
      <c r="BT141" s="38">
        <f t="shared" ref="BT141:CK141" si="417">+BS145</f>
        <v>0</v>
      </c>
      <c r="BU141" s="38">
        <f t="shared" si="417"/>
        <v>0</v>
      </c>
      <c r="BV141" s="38">
        <f t="shared" si="417"/>
        <v>0</v>
      </c>
      <c r="BW141" s="38">
        <f t="shared" si="417"/>
        <v>0</v>
      </c>
      <c r="BX141" s="38">
        <f t="shared" si="417"/>
        <v>0</v>
      </c>
      <c r="BY141" s="38">
        <f t="shared" si="417"/>
        <v>0</v>
      </c>
      <c r="BZ141" s="38">
        <f t="shared" si="417"/>
        <v>0</v>
      </c>
      <c r="CA141" s="38">
        <f t="shared" si="417"/>
        <v>0</v>
      </c>
      <c r="CB141" s="38">
        <f t="shared" si="417"/>
        <v>0</v>
      </c>
      <c r="CC141" s="38">
        <f t="shared" si="417"/>
        <v>0</v>
      </c>
      <c r="CD141" s="38">
        <f t="shared" si="417"/>
        <v>0</v>
      </c>
      <c r="CE141" s="38">
        <f t="shared" si="417"/>
        <v>0</v>
      </c>
      <c r="CF141" s="38">
        <f t="shared" si="417"/>
        <v>0</v>
      </c>
      <c r="CG141" s="38">
        <f t="shared" si="417"/>
        <v>0</v>
      </c>
      <c r="CH141" s="38">
        <f t="shared" si="417"/>
        <v>0</v>
      </c>
      <c r="CI141" s="38">
        <f t="shared" si="417"/>
        <v>0</v>
      </c>
      <c r="CJ141" s="38">
        <f t="shared" si="417"/>
        <v>0</v>
      </c>
      <c r="CK141" s="38">
        <f t="shared" si="417"/>
        <v>0</v>
      </c>
    </row>
    <row r="142" spans="2:89" outlineLevel="1" x14ac:dyDescent="0.25">
      <c r="C142" s="123" t="s">
        <v>191</v>
      </c>
      <c r="D142" s="13" t="s">
        <v>24</v>
      </c>
      <c r="F142" s="38">
        <f>+F117</f>
        <v>7170751.5249543209</v>
      </c>
      <c r="G142" s="38">
        <f t="shared" ref="G142:BR142" si="418">+G117</f>
        <v>0</v>
      </c>
      <c r="H142" s="38">
        <f t="shared" si="418"/>
        <v>0</v>
      </c>
      <c r="I142" s="38">
        <f t="shared" si="418"/>
        <v>3952895.5740807038</v>
      </c>
      <c r="J142" s="38">
        <f t="shared" si="418"/>
        <v>4564831.561757016</v>
      </c>
      <c r="K142" s="38">
        <f t="shared" si="418"/>
        <v>10372196.981270755</v>
      </c>
      <c r="L142" s="38">
        <f t="shared" si="418"/>
        <v>8221358.5255627185</v>
      </c>
      <c r="M142" s="38">
        <f t="shared" si="418"/>
        <v>2260545.22745384</v>
      </c>
      <c r="N142" s="38">
        <f t="shared" si="418"/>
        <v>1047633.7272352473</v>
      </c>
      <c r="O142" s="38">
        <f t="shared" si="418"/>
        <v>1659829.603030555</v>
      </c>
      <c r="P142" s="38">
        <f t="shared" si="418"/>
        <v>3936007.735175367</v>
      </c>
      <c r="Q142" s="38">
        <f t="shared" si="418"/>
        <v>6394329.9333333252</v>
      </c>
      <c r="R142" s="38">
        <f t="shared" si="418"/>
        <v>3952239.498345382</v>
      </c>
      <c r="S142" s="38">
        <f t="shared" si="418"/>
        <v>0</v>
      </c>
      <c r="T142" s="38">
        <f t="shared" si="418"/>
        <v>0</v>
      </c>
      <c r="U142" s="38">
        <f t="shared" si="418"/>
        <v>0</v>
      </c>
      <c r="V142" s="38">
        <f t="shared" si="418"/>
        <v>0</v>
      </c>
      <c r="W142" s="38">
        <f t="shared" si="418"/>
        <v>0</v>
      </c>
      <c r="X142" s="38">
        <f t="shared" si="418"/>
        <v>0</v>
      </c>
      <c r="Y142" s="38">
        <f t="shared" si="418"/>
        <v>0</v>
      </c>
      <c r="Z142" s="38">
        <f t="shared" si="418"/>
        <v>0</v>
      </c>
      <c r="AA142" s="38">
        <f t="shared" si="418"/>
        <v>0</v>
      </c>
      <c r="AB142" s="38">
        <f t="shared" si="418"/>
        <v>0</v>
      </c>
      <c r="AC142" s="38">
        <f t="shared" si="418"/>
        <v>0</v>
      </c>
      <c r="AD142" s="38">
        <f t="shared" si="418"/>
        <v>0</v>
      </c>
      <c r="AE142" s="38">
        <f t="shared" si="418"/>
        <v>0</v>
      </c>
      <c r="AF142" s="38">
        <f t="shared" si="418"/>
        <v>0</v>
      </c>
      <c r="AG142" s="38">
        <f t="shared" si="418"/>
        <v>0</v>
      </c>
      <c r="AH142" s="38">
        <f t="shared" si="418"/>
        <v>0</v>
      </c>
      <c r="AI142" s="38">
        <f t="shared" si="418"/>
        <v>0</v>
      </c>
      <c r="AJ142" s="38">
        <f t="shared" si="418"/>
        <v>0</v>
      </c>
      <c r="AK142" s="38">
        <f t="shared" si="418"/>
        <v>0</v>
      </c>
      <c r="AL142" s="38">
        <f t="shared" si="418"/>
        <v>0</v>
      </c>
      <c r="AM142" s="38">
        <f t="shared" si="418"/>
        <v>0</v>
      </c>
      <c r="AN142" s="38">
        <f t="shared" si="418"/>
        <v>0</v>
      </c>
      <c r="AO142" s="38">
        <f t="shared" si="418"/>
        <v>0</v>
      </c>
      <c r="AP142" s="38">
        <f t="shared" si="418"/>
        <v>0</v>
      </c>
      <c r="AQ142" s="38">
        <f t="shared" si="418"/>
        <v>0</v>
      </c>
      <c r="AR142" s="38">
        <f t="shared" si="418"/>
        <v>0</v>
      </c>
      <c r="AS142" s="38">
        <f t="shared" si="418"/>
        <v>0</v>
      </c>
      <c r="AT142" s="38">
        <f t="shared" si="418"/>
        <v>0</v>
      </c>
      <c r="AU142" s="38">
        <f t="shared" si="418"/>
        <v>0</v>
      </c>
      <c r="AV142" s="38">
        <f t="shared" si="418"/>
        <v>0</v>
      </c>
      <c r="AW142" s="38">
        <f t="shared" si="418"/>
        <v>0</v>
      </c>
      <c r="AX142" s="38">
        <f t="shared" si="418"/>
        <v>0</v>
      </c>
      <c r="AY142" s="38">
        <f t="shared" si="418"/>
        <v>0</v>
      </c>
      <c r="AZ142" s="38">
        <f t="shared" si="418"/>
        <v>0</v>
      </c>
      <c r="BA142" s="38">
        <f t="shared" si="418"/>
        <v>0</v>
      </c>
      <c r="BB142" s="38">
        <f t="shared" si="418"/>
        <v>0</v>
      </c>
      <c r="BC142" s="38">
        <f t="shared" si="418"/>
        <v>0</v>
      </c>
      <c r="BD142" s="38">
        <f t="shared" si="418"/>
        <v>0</v>
      </c>
      <c r="BE142" s="38">
        <f t="shared" si="418"/>
        <v>0</v>
      </c>
      <c r="BF142" s="38">
        <f t="shared" si="418"/>
        <v>0</v>
      </c>
      <c r="BG142" s="38">
        <f t="shared" si="418"/>
        <v>0</v>
      </c>
      <c r="BH142" s="38">
        <f t="shared" si="418"/>
        <v>0</v>
      </c>
      <c r="BI142" s="38">
        <f t="shared" si="418"/>
        <v>0</v>
      </c>
      <c r="BJ142" s="38">
        <f t="shared" si="418"/>
        <v>0</v>
      </c>
      <c r="BK142" s="38">
        <f t="shared" si="418"/>
        <v>0</v>
      </c>
      <c r="BL142" s="38">
        <f t="shared" si="418"/>
        <v>0</v>
      </c>
      <c r="BM142" s="38">
        <f t="shared" si="418"/>
        <v>0</v>
      </c>
      <c r="BN142" s="38">
        <f t="shared" si="418"/>
        <v>0</v>
      </c>
      <c r="BO142" s="38">
        <f t="shared" si="418"/>
        <v>0</v>
      </c>
      <c r="BP142" s="38">
        <f t="shared" si="418"/>
        <v>0</v>
      </c>
      <c r="BQ142" s="38">
        <f t="shared" si="418"/>
        <v>0</v>
      </c>
      <c r="BR142" s="38">
        <f t="shared" si="418"/>
        <v>0</v>
      </c>
      <c r="BS142" s="38">
        <f t="shared" ref="BS142:CK142" si="419">+BS117</f>
        <v>0</v>
      </c>
      <c r="BT142" s="38">
        <f t="shared" si="419"/>
        <v>0</v>
      </c>
      <c r="BU142" s="38">
        <f t="shared" si="419"/>
        <v>0</v>
      </c>
      <c r="BV142" s="38">
        <f t="shared" si="419"/>
        <v>0</v>
      </c>
      <c r="BW142" s="38">
        <f t="shared" si="419"/>
        <v>0</v>
      </c>
      <c r="BX142" s="38">
        <f t="shared" si="419"/>
        <v>0</v>
      </c>
      <c r="BY142" s="38">
        <f t="shared" si="419"/>
        <v>0</v>
      </c>
      <c r="BZ142" s="38">
        <f t="shared" si="419"/>
        <v>0</v>
      </c>
      <c r="CA142" s="38">
        <f t="shared" si="419"/>
        <v>0</v>
      </c>
      <c r="CB142" s="38">
        <f t="shared" si="419"/>
        <v>0</v>
      </c>
      <c r="CC142" s="38">
        <f t="shared" si="419"/>
        <v>0</v>
      </c>
      <c r="CD142" s="38">
        <f t="shared" si="419"/>
        <v>0</v>
      </c>
      <c r="CE142" s="38">
        <f t="shared" si="419"/>
        <v>0</v>
      </c>
      <c r="CF142" s="38">
        <f t="shared" si="419"/>
        <v>0</v>
      </c>
      <c r="CG142" s="38">
        <f t="shared" si="419"/>
        <v>0</v>
      </c>
      <c r="CH142" s="38">
        <f t="shared" si="419"/>
        <v>0</v>
      </c>
      <c r="CI142" s="38">
        <f t="shared" si="419"/>
        <v>0</v>
      </c>
      <c r="CJ142" s="38">
        <f t="shared" si="419"/>
        <v>0</v>
      </c>
      <c r="CK142" s="38">
        <f t="shared" si="419"/>
        <v>0</v>
      </c>
    </row>
    <row r="143" spans="2:89" outlineLevel="1" x14ac:dyDescent="0.25">
      <c r="C143" s="127" t="s">
        <v>192</v>
      </c>
      <c r="D143" s="13" t="s">
        <v>24</v>
      </c>
      <c r="E143" s="128">
        <f>LP_Pref</f>
        <v>1</v>
      </c>
      <c r="F143" s="38">
        <f>+F142*($E143-1)</f>
        <v>0</v>
      </c>
      <c r="G143" s="38">
        <f t="shared" ref="G143" si="420">+G142*($E143-1)</f>
        <v>0</v>
      </c>
      <c r="H143" s="38">
        <f t="shared" ref="H143" si="421">+H142*($E143-1)</f>
        <v>0</v>
      </c>
      <c r="I143" s="38">
        <f t="shared" ref="I143" si="422">+I142*($E143-1)</f>
        <v>0</v>
      </c>
      <c r="J143" s="38">
        <f t="shared" ref="J143" si="423">+J142*($E143-1)</f>
        <v>0</v>
      </c>
      <c r="K143" s="38">
        <f t="shared" ref="K143" si="424">+K142*($E143-1)</f>
        <v>0</v>
      </c>
      <c r="L143" s="38">
        <f t="shared" ref="L143" si="425">+L142*($E143-1)</f>
        <v>0</v>
      </c>
      <c r="M143" s="38">
        <f t="shared" ref="M143" si="426">+M142*($E143-1)</f>
        <v>0</v>
      </c>
      <c r="N143" s="38">
        <f t="shared" ref="N143" si="427">+N142*($E143-1)</f>
        <v>0</v>
      </c>
      <c r="O143" s="38">
        <f t="shared" ref="O143" si="428">+O142*($E143-1)</f>
        <v>0</v>
      </c>
      <c r="P143" s="38">
        <f t="shared" ref="P143" si="429">+P142*($E143-1)</f>
        <v>0</v>
      </c>
      <c r="Q143" s="38">
        <f t="shared" ref="Q143" si="430">+Q142*($E143-1)</f>
        <v>0</v>
      </c>
      <c r="R143" s="38">
        <f t="shared" ref="R143" si="431">+R142*($E143-1)</f>
        <v>0</v>
      </c>
      <c r="S143" s="38">
        <f t="shared" ref="S143" si="432">+S142*($E143-1)</f>
        <v>0</v>
      </c>
      <c r="T143" s="38">
        <f t="shared" ref="T143" si="433">+T142*($E143-1)</f>
        <v>0</v>
      </c>
      <c r="U143" s="38">
        <f t="shared" ref="U143" si="434">+U142*($E143-1)</f>
        <v>0</v>
      </c>
      <c r="V143" s="38">
        <f t="shared" ref="V143" si="435">+V142*($E143-1)</f>
        <v>0</v>
      </c>
      <c r="W143" s="38">
        <f t="shared" ref="W143" si="436">+W142*($E143-1)</f>
        <v>0</v>
      </c>
      <c r="X143" s="38">
        <f t="shared" ref="X143" si="437">+X142*($E143-1)</f>
        <v>0</v>
      </c>
      <c r="Y143" s="38">
        <f t="shared" ref="Y143" si="438">+Y142*($E143-1)</f>
        <v>0</v>
      </c>
      <c r="Z143" s="38">
        <f t="shared" ref="Z143" si="439">+Z142*($E143-1)</f>
        <v>0</v>
      </c>
      <c r="AA143" s="38">
        <f t="shared" ref="AA143" si="440">+AA142*($E143-1)</f>
        <v>0</v>
      </c>
      <c r="AB143" s="38">
        <f t="shared" ref="AB143" si="441">+AB142*($E143-1)</f>
        <v>0</v>
      </c>
      <c r="AC143" s="38">
        <f t="shared" ref="AC143" si="442">+AC142*($E143-1)</f>
        <v>0</v>
      </c>
      <c r="AD143" s="38">
        <f t="shared" ref="AD143" si="443">+AD142*($E143-1)</f>
        <v>0</v>
      </c>
      <c r="AE143" s="38">
        <f t="shared" ref="AE143" si="444">+AE142*($E143-1)</f>
        <v>0</v>
      </c>
      <c r="AF143" s="38">
        <f t="shared" ref="AF143" si="445">+AF142*($E143-1)</f>
        <v>0</v>
      </c>
      <c r="AG143" s="38">
        <f t="shared" ref="AG143" si="446">+AG142*($E143-1)</f>
        <v>0</v>
      </c>
      <c r="AH143" s="38">
        <f t="shared" ref="AH143" si="447">+AH142*($E143-1)</f>
        <v>0</v>
      </c>
      <c r="AI143" s="38">
        <f t="shared" ref="AI143" si="448">+AI142*($E143-1)</f>
        <v>0</v>
      </c>
      <c r="AJ143" s="38">
        <f t="shared" ref="AJ143" si="449">+AJ142*($E143-1)</f>
        <v>0</v>
      </c>
      <c r="AK143" s="38">
        <f t="shared" ref="AK143" si="450">+AK142*($E143-1)</f>
        <v>0</v>
      </c>
      <c r="AL143" s="38">
        <f t="shared" ref="AL143" si="451">+AL142*($E143-1)</f>
        <v>0</v>
      </c>
      <c r="AM143" s="38">
        <f t="shared" ref="AM143" si="452">+AM142*($E143-1)</f>
        <v>0</v>
      </c>
      <c r="AN143" s="38">
        <f t="shared" ref="AN143" si="453">+AN142*($E143-1)</f>
        <v>0</v>
      </c>
      <c r="AO143" s="38">
        <f t="shared" ref="AO143" si="454">+AO142*($E143-1)</f>
        <v>0</v>
      </c>
      <c r="AP143" s="38">
        <f t="shared" ref="AP143" si="455">+AP142*($E143-1)</f>
        <v>0</v>
      </c>
      <c r="AQ143" s="38">
        <f t="shared" ref="AQ143" si="456">+AQ142*($E143-1)</f>
        <v>0</v>
      </c>
      <c r="AR143" s="38">
        <f t="shared" ref="AR143" si="457">+AR142*($E143-1)</f>
        <v>0</v>
      </c>
      <c r="AS143" s="38">
        <f t="shared" ref="AS143" si="458">+AS142*($E143-1)</f>
        <v>0</v>
      </c>
      <c r="AT143" s="38">
        <f t="shared" ref="AT143" si="459">+AT142*($E143-1)</f>
        <v>0</v>
      </c>
      <c r="AU143" s="38">
        <f t="shared" ref="AU143" si="460">+AU142*($E143-1)</f>
        <v>0</v>
      </c>
      <c r="AV143" s="38">
        <f t="shared" ref="AV143" si="461">+AV142*($E143-1)</f>
        <v>0</v>
      </c>
      <c r="AW143" s="38">
        <f t="shared" ref="AW143" si="462">+AW142*($E143-1)</f>
        <v>0</v>
      </c>
      <c r="AX143" s="38">
        <f t="shared" ref="AX143" si="463">+AX142*($E143-1)</f>
        <v>0</v>
      </c>
      <c r="AY143" s="38">
        <f t="shared" ref="AY143" si="464">+AY142*($E143-1)</f>
        <v>0</v>
      </c>
      <c r="AZ143" s="38">
        <f t="shared" ref="AZ143" si="465">+AZ142*($E143-1)</f>
        <v>0</v>
      </c>
      <c r="BA143" s="38">
        <f t="shared" ref="BA143" si="466">+BA142*($E143-1)</f>
        <v>0</v>
      </c>
      <c r="BB143" s="38">
        <f t="shared" ref="BB143" si="467">+BB142*($E143-1)</f>
        <v>0</v>
      </c>
      <c r="BC143" s="38">
        <f t="shared" ref="BC143" si="468">+BC142*($E143-1)</f>
        <v>0</v>
      </c>
      <c r="BD143" s="38">
        <f t="shared" ref="BD143" si="469">+BD142*($E143-1)</f>
        <v>0</v>
      </c>
      <c r="BE143" s="38">
        <f t="shared" ref="BE143" si="470">+BE142*($E143-1)</f>
        <v>0</v>
      </c>
      <c r="BF143" s="38">
        <f t="shared" ref="BF143" si="471">+BF142*($E143-1)</f>
        <v>0</v>
      </c>
      <c r="BG143" s="38">
        <f t="shared" ref="BG143" si="472">+BG142*($E143-1)</f>
        <v>0</v>
      </c>
      <c r="BH143" s="38">
        <f t="shared" ref="BH143" si="473">+BH142*($E143-1)</f>
        <v>0</v>
      </c>
      <c r="BI143" s="38">
        <f t="shared" ref="BI143" si="474">+BI142*($E143-1)</f>
        <v>0</v>
      </c>
      <c r="BJ143" s="38">
        <f t="shared" ref="BJ143" si="475">+BJ142*($E143-1)</f>
        <v>0</v>
      </c>
      <c r="BK143" s="38">
        <f t="shared" ref="BK143" si="476">+BK142*($E143-1)</f>
        <v>0</v>
      </c>
      <c r="BL143" s="38">
        <f t="shared" ref="BL143" si="477">+BL142*($E143-1)</f>
        <v>0</v>
      </c>
      <c r="BM143" s="38">
        <f t="shared" ref="BM143" si="478">+BM142*($E143-1)</f>
        <v>0</v>
      </c>
      <c r="BN143" s="38">
        <f t="shared" ref="BN143" si="479">+BN142*($E143-1)</f>
        <v>0</v>
      </c>
      <c r="BO143" s="38">
        <f t="shared" ref="BO143" si="480">+BO142*($E143-1)</f>
        <v>0</v>
      </c>
      <c r="BP143" s="38">
        <f t="shared" ref="BP143" si="481">+BP142*($E143-1)</f>
        <v>0</v>
      </c>
      <c r="BQ143" s="38">
        <f t="shared" ref="BQ143" si="482">+BQ142*($E143-1)</f>
        <v>0</v>
      </c>
      <c r="BR143" s="38">
        <f t="shared" ref="BR143" si="483">+BR142*($E143-1)</f>
        <v>0</v>
      </c>
      <c r="BS143" s="38">
        <f t="shared" ref="BS143" si="484">+BS142*($E143-1)</f>
        <v>0</v>
      </c>
      <c r="BT143" s="38">
        <f t="shared" ref="BT143" si="485">+BT142*($E143-1)</f>
        <v>0</v>
      </c>
      <c r="BU143" s="38">
        <f t="shared" ref="BU143" si="486">+BU142*($E143-1)</f>
        <v>0</v>
      </c>
      <c r="BV143" s="38">
        <f t="shared" ref="BV143" si="487">+BV142*($E143-1)</f>
        <v>0</v>
      </c>
      <c r="BW143" s="38">
        <f t="shared" ref="BW143" si="488">+BW142*($E143-1)</f>
        <v>0</v>
      </c>
      <c r="BX143" s="38">
        <f t="shared" ref="BX143" si="489">+BX142*($E143-1)</f>
        <v>0</v>
      </c>
      <c r="BY143" s="38">
        <f t="shared" ref="BY143" si="490">+BY142*($E143-1)</f>
        <v>0</v>
      </c>
      <c r="BZ143" s="38">
        <f t="shared" ref="BZ143" si="491">+BZ142*($E143-1)</f>
        <v>0</v>
      </c>
      <c r="CA143" s="38">
        <f t="shared" ref="CA143" si="492">+CA142*($E143-1)</f>
        <v>0</v>
      </c>
      <c r="CB143" s="38">
        <f t="shared" ref="CB143" si="493">+CB142*($E143-1)</f>
        <v>0</v>
      </c>
      <c r="CC143" s="38">
        <f t="shared" ref="CC143" si="494">+CC142*($E143-1)</f>
        <v>0</v>
      </c>
      <c r="CD143" s="38">
        <f t="shared" ref="CD143" si="495">+CD142*($E143-1)</f>
        <v>0</v>
      </c>
      <c r="CE143" s="38">
        <f t="shared" ref="CE143" si="496">+CE142*($E143-1)</f>
        <v>0</v>
      </c>
      <c r="CF143" s="38">
        <f t="shared" ref="CF143" si="497">+CF142*($E143-1)</f>
        <v>0</v>
      </c>
      <c r="CG143" s="38">
        <f t="shared" ref="CG143" si="498">+CG142*($E143-1)</f>
        <v>0</v>
      </c>
      <c r="CH143" s="38">
        <f t="shared" ref="CH143" si="499">+CH142*($E143-1)</f>
        <v>0</v>
      </c>
      <c r="CI143" s="38">
        <f t="shared" ref="CI143" si="500">+CI142*($E143-1)</f>
        <v>0</v>
      </c>
      <c r="CJ143" s="38">
        <f t="shared" ref="CJ143" si="501">+CJ142*($E143-1)</f>
        <v>0</v>
      </c>
      <c r="CK143" s="38">
        <f t="shared" ref="CK143" si="502">+CK142*($E143-1)</f>
        <v>0</v>
      </c>
    </row>
    <row r="144" spans="2:89" outlineLevel="1" x14ac:dyDescent="0.25">
      <c r="C144" s="138" t="s">
        <v>209</v>
      </c>
      <c r="D144" s="50" t="s">
        <v>24</v>
      </c>
      <c r="E144" s="101"/>
      <c r="F144" s="52">
        <f>MIN(0,MAX(-(F141+F142+F143),-F138))</f>
        <v>0</v>
      </c>
      <c r="G144" s="52">
        <f t="shared" ref="G144" si="503">MIN(0,MAX(-(G141+G142+G143),-G138))</f>
        <v>-2788820.292015709</v>
      </c>
      <c r="H144" s="52">
        <f t="shared" ref="H144" si="504">MIN(0,MAX(-(H141+H142+H143),-H138))</f>
        <v>-2042922.4273272539</v>
      </c>
      <c r="I144" s="52">
        <f t="shared" ref="I144" si="505">MIN(0,MAX(-(I141+I142+I143),-I138))</f>
        <v>0</v>
      </c>
      <c r="J144" s="52">
        <f t="shared" ref="J144" si="506">MIN(0,MAX(-(J141+J142+J143),-J138))</f>
        <v>0</v>
      </c>
      <c r="K144" s="52">
        <f t="shared" ref="K144" si="507">MIN(0,MAX(-(K141+K142+K143),-K138))</f>
        <v>0</v>
      </c>
      <c r="L144" s="52">
        <f t="shared" ref="L144" si="508">MIN(0,MAX(-(L141+L142+L143),-L138))</f>
        <v>0</v>
      </c>
      <c r="M144" s="52">
        <f t="shared" ref="M144" si="509">MIN(0,MAX(-(M141+M142+M143),-M138))</f>
        <v>0</v>
      </c>
      <c r="N144" s="52">
        <f t="shared" ref="N144" si="510">MIN(0,MAX(-(N141+N142+N143),-N138))</f>
        <v>0</v>
      </c>
      <c r="O144" s="52">
        <f t="shared" ref="O144" si="511">MIN(0,MAX(-(O141+O142+O143),-O138))</f>
        <v>0</v>
      </c>
      <c r="P144" s="52">
        <f t="shared" ref="P144" si="512">MIN(0,MAX(-(P141+P142+P143),-P138))</f>
        <v>0</v>
      </c>
      <c r="Q144" s="52">
        <f t="shared" ref="Q144" si="513">MIN(0,MAX(-(Q141+Q142+Q143),-Q138))</f>
        <v>0</v>
      </c>
      <c r="R144" s="52">
        <f t="shared" ref="R144" si="514">MIN(0,MAX(-(R141+R142+R143),-R138))</f>
        <v>0</v>
      </c>
      <c r="S144" s="52">
        <f t="shared" ref="S144" si="515">MIN(0,MAX(-(S141+S142+S143),-S138))</f>
        <v>0</v>
      </c>
      <c r="T144" s="52">
        <f t="shared" ref="T144" si="516">MIN(0,MAX(-(T141+T142+T143),-T138))</f>
        <v>0</v>
      </c>
      <c r="U144" s="52">
        <f t="shared" ref="U144" si="517">MIN(0,MAX(-(U141+U142+U143),-U138))</f>
        <v>0</v>
      </c>
      <c r="V144" s="52">
        <f t="shared" ref="V144" si="518">MIN(0,MAX(-(V141+V142+V143),-V138))</f>
        <v>0</v>
      </c>
      <c r="W144" s="52">
        <f t="shared" ref="W144" si="519">MIN(0,MAX(-(W141+W142+W143),-W138))</f>
        <v>0</v>
      </c>
      <c r="X144" s="52">
        <f t="shared" ref="X144" si="520">MIN(0,MAX(-(X141+X142+X143),-X138))</f>
        <v>0</v>
      </c>
      <c r="Y144" s="52">
        <f t="shared" ref="Y144" si="521">MIN(0,MAX(-(Y141+Y142+Y143),-Y138))</f>
        <v>0</v>
      </c>
      <c r="Z144" s="52">
        <f t="shared" ref="Z144" si="522">MIN(0,MAX(-(Z141+Z142+Z143),-Z138))</f>
        <v>0</v>
      </c>
      <c r="AA144" s="52">
        <f t="shared" ref="AA144" si="523">MIN(0,MAX(-(AA141+AA142+AA143),-AA138))</f>
        <v>0</v>
      </c>
      <c r="AB144" s="52">
        <f t="shared" ref="AB144" si="524">MIN(0,MAX(-(AB141+AB142+AB143),-AB138))</f>
        <v>0</v>
      </c>
      <c r="AC144" s="52">
        <f t="shared" ref="AC144" si="525">MIN(0,MAX(-(AC141+AC142+AC143),-AC138))</f>
        <v>0</v>
      </c>
      <c r="AD144" s="52">
        <f t="shared" ref="AD144" si="526">MIN(0,MAX(-(AD141+AD142+AD143),-AD138))</f>
        <v>0</v>
      </c>
      <c r="AE144" s="52">
        <f t="shared" ref="AE144" si="527">MIN(0,MAX(-(AE141+AE142+AE143),-AE138))</f>
        <v>0</v>
      </c>
      <c r="AF144" s="52">
        <f t="shared" ref="AF144" si="528">MIN(0,MAX(-(AF141+AF142+AF143),-AF138))</f>
        <v>0</v>
      </c>
      <c r="AG144" s="52">
        <f t="shared" ref="AG144" si="529">MIN(0,MAX(-(AG141+AG142+AG143),-AG138))</f>
        <v>0</v>
      </c>
      <c r="AH144" s="52">
        <f t="shared" ref="AH144" si="530">MIN(0,MAX(-(AH141+AH142+AH143),-AH138))</f>
        <v>0</v>
      </c>
      <c r="AI144" s="52">
        <f t="shared" ref="AI144" si="531">MIN(0,MAX(-(AI141+AI142+AI143),-AI138))</f>
        <v>0</v>
      </c>
      <c r="AJ144" s="52">
        <f t="shared" ref="AJ144" si="532">MIN(0,MAX(-(AJ141+AJ142+AJ143),-AJ138))</f>
        <v>0</v>
      </c>
      <c r="AK144" s="52">
        <f t="shared" ref="AK144" si="533">MIN(0,MAX(-(AK141+AK142+AK143),-AK138))</f>
        <v>0</v>
      </c>
      <c r="AL144" s="52">
        <f t="shared" ref="AL144" si="534">MIN(0,MAX(-(AL141+AL142+AL143),-AL138))</f>
        <v>0</v>
      </c>
      <c r="AM144" s="52">
        <f t="shared" ref="AM144" si="535">MIN(0,MAX(-(AM141+AM142+AM143),-AM138))</f>
        <v>0</v>
      </c>
      <c r="AN144" s="52">
        <f t="shared" ref="AN144" si="536">MIN(0,MAX(-(AN141+AN142+AN143),-AN138))</f>
        <v>0</v>
      </c>
      <c r="AO144" s="52">
        <f t="shared" ref="AO144" si="537">MIN(0,MAX(-(AO141+AO142+AO143),-AO138))</f>
        <v>0</v>
      </c>
      <c r="AP144" s="52">
        <f t="shared" ref="AP144" si="538">MIN(0,MAX(-(AP141+AP142+AP143),-AP138))</f>
        <v>0</v>
      </c>
      <c r="AQ144" s="52">
        <f t="shared" ref="AQ144" si="539">MIN(0,MAX(-(AQ141+AQ142+AQ143),-AQ138))</f>
        <v>0</v>
      </c>
      <c r="AR144" s="52">
        <f t="shared" ref="AR144" si="540">MIN(0,MAX(-(AR141+AR142+AR143),-AR138))</f>
        <v>0</v>
      </c>
      <c r="AS144" s="52">
        <f t="shared" ref="AS144" si="541">MIN(0,MAX(-(AS141+AS142+AS143),-AS138))</f>
        <v>0</v>
      </c>
      <c r="AT144" s="52">
        <f t="shared" ref="AT144" si="542">MIN(0,MAX(-(AT141+AT142+AT143),-AT138))</f>
        <v>0</v>
      </c>
      <c r="AU144" s="52">
        <f t="shared" ref="AU144" si="543">MIN(0,MAX(-(AU141+AU142+AU143),-AU138))</f>
        <v>0</v>
      </c>
      <c r="AV144" s="52">
        <f t="shared" ref="AV144" si="544">MIN(0,MAX(-(AV141+AV142+AV143),-AV138))</f>
        <v>0</v>
      </c>
      <c r="AW144" s="52">
        <f t="shared" ref="AW144" si="545">MIN(0,MAX(-(AW141+AW142+AW143),-AW138))</f>
        <v>0</v>
      </c>
      <c r="AX144" s="52">
        <f t="shared" ref="AX144" si="546">MIN(0,MAX(-(AX141+AX142+AX143),-AX138))</f>
        <v>0</v>
      </c>
      <c r="AY144" s="52">
        <f t="shared" ref="AY144" si="547">MIN(0,MAX(-(AY141+AY142+AY143),-AY138))</f>
        <v>0</v>
      </c>
      <c r="AZ144" s="52">
        <f t="shared" ref="AZ144" si="548">MIN(0,MAX(-(AZ141+AZ142+AZ143),-AZ138))</f>
        <v>-48700877.172856256</v>
      </c>
      <c r="BA144" s="52">
        <f t="shared" ref="BA144" si="549">MIN(0,MAX(-(BA141+BA142+BA143),-BA138))</f>
        <v>0</v>
      </c>
      <c r="BB144" s="52">
        <f t="shared" ref="BB144" si="550">MIN(0,MAX(-(BB141+BB142+BB143),-BB138))</f>
        <v>0</v>
      </c>
      <c r="BC144" s="52">
        <f t="shared" ref="BC144" si="551">MIN(0,MAX(-(BC141+BC142+BC143),-BC138))</f>
        <v>0</v>
      </c>
      <c r="BD144" s="52">
        <f t="shared" ref="BD144" si="552">MIN(0,MAX(-(BD141+BD142+BD143),-BD138))</f>
        <v>0</v>
      </c>
      <c r="BE144" s="52">
        <f t="shared" ref="BE144" si="553">MIN(0,MAX(-(BE141+BE142+BE143),-BE138))</f>
        <v>0</v>
      </c>
      <c r="BF144" s="52">
        <f t="shared" ref="BF144" si="554">MIN(0,MAX(-(BF141+BF142+BF143),-BF138))</f>
        <v>0</v>
      </c>
      <c r="BG144" s="52">
        <f t="shared" ref="BG144" si="555">MIN(0,MAX(-(BG141+BG142+BG143),-BG138))</f>
        <v>0</v>
      </c>
      <c r="BH144" s="52">
        <f t="shared" ref="BH144" si="556">MIN(0,MAX(-(BH141+BH142+BH143),-BH138))</f>
        <v>0</v>
      </c>
      <c r="BI144" s="52">
        <f t="shared" ref="BI144" si="557">MIN(0,MAX(-(BI141+BI142+BI143),-BI138))</f>
        <v>0</v>
      </c>
      <c r="BJ144" s="52">
        <f t="shared" ref="BJ144" si="558">MIN(0,MAX(-(BJ141+BJ142+BJ143),-BJ138))</f>
        <v>0</v>
      </c>
      <c r="BK144" s="52">
        <f t="shared" ref="BK144" si="559">MIN(0,MAX(-(BK141+BK142+BK143),-BK138))</f>
        <v>0</v>
      </c>
      <c r="BL144" s="52">
        <f t="shared" ref="BL144" si="560">MIN(0,MAX(-(BL141+BL142+BL143),-BL138))</f>
        <v>0</v>
      </c>
      <c r="BM144" s="52">
        <f t="shared" ref="BM144" si="561">MIN(0,MAX(-(BM141+BM142+BM143),-BM138))</f>
        <v>0</v>
      </c>
      <c r="BN144" s="52">
        <f t="shared" ref="BN144" si="562">MIN(0,MAX(-(BN141+BN142+BN143),-BN138))</f>
        <v>0</v>
      </c>
      <c r="BO144" s="52">
        <f t="shared" ref="BO144" si="563">MIN(0,MAX(-(BO141+BO142+BO143),-BO138))</f>
        <v>0</v>
      </c>
      <c r="BP144" s="52">
        <f t="shared" ref="BP144" si="564">MIN(0,MAX(-(BP141+BP142+BP143),-BP138))</f>
        <v>0</v>
      </c>
      <c r="BQ144" s="52">
        <f t="shared" ref="BQ144" si="565">MIN(0,MAX(-(BQ141+BQ142+BQ143),-BQ138))</f>
        <v>0</v>
      </c>
      <c r="BR144" s="52">
        <f t="shared" ref="BR144" si="566">MIN(0,MAX(-(BR141+BR142+BR143),-BR138))</f>
        <v>0</v>
      </c>
      <c r="BS144" s="52">
        <f t="shared" ref="BS144" si="567">MIN(0,MAX(-(BS141+BS142+BS143),-BS138))</f>
        <v>0</v>
      </c>
      <c r="BT144" s="52">
        <f t="shared" ref="BT144" si="568">MIN(0,MAX(-(BT141+BT142+BT143),-BT138))</f>
        <v>0</v>
      </c>
      <c r="BU144" s="52">
        <f t="shared" ref="BU144" si="569">MIN(0,MAX(-(BU141+BU142+BU143),-BU138))</f>
        <v>0</v>
      </c>
      <c r="BV144" s="52">
        <f t="shared" ref="BV144" si="570">MIN(0,MAX(-(BV141+BV142+BV143),-BV138))</f>
        <v>0</v>
      </c>
      <c r="BW144" s="52">
        <f t="shared" ref="BW144" si="571">MIN(0,MAX(-(BW141+BW142+BW143),-BW138))</f>
        <v>0</v>
      </c>
      <c r="BX144" s="52">
        <f t="shared" ref="BX144" si="572">MIN(0,MAX(-(BX141+BX142+BX143),-BX138))</f>
        <v>0</v>
      </c>
      <c r="BY144" s="52">
        <f t="shared" ref="BY144" si="573">MIN(0,MAX(-(BY141+BY142+BY143),-BY138))</f>
        <v>0</v>
      </c>
      <c r="BZ144" s="52">
        <f t="shared" ref="BZ144" si="574">MIN(0,MAX(-(BZ141+BZ142+BZ143),-BZ138))</f>
        <v>0</v>
      </c>
      <c r="CA144" s="52">
        <f t="shared" ref="CA144" si="575">MIN(0,MAX(-(CA141+CA142+CA143),-CA138))</f>
        <v>0</v>
      </c>
      <c r="CB144" s="52">
        <f t="shared" ref="CB144" si="576">MIN(0,MAX(-(CB141+CB142+CB143),-CB138))</f>
        <v>0</v>
      </c>
      <c r="CC144" s="52">
        <f t="shared" ref="CC144" si="577">MIN(0,MAX(-(CC141+CC142+CC143),-CC138))</f>
        <v>0</v>
      </c>
      <c r="CD144" s="52">
        <f t="shared" ref="CD144" si="578">MIN(0,MAX(-(CD141+CD142+CD143),-CD138))</f>
        <v>0</v>
      </c>
      <c r="CE144" s="52">
        <f t="shared" ref="CE144" si="579">MIN(0,MAX(-(CE141+CE142+CE143),-CE138))</f>
        <v>0</v>
      </c>
      <c r="CF144" s="52">
        <f t="shared" ref="CF144" si="580">MIN(0,MAX(-(CF141+CF142+CF143),-CF138))</f>
        <v>0</v>
      </c>
      <c r="CG144" s="52">
        <f t="shared" ref="CG144" si="581">MIN(0,MAX(-(CG141+CG142+CG143),-CG138))</f>
        <v>0</v>
      </c>
      <c r="CH144" s="52">
        <f t="shared" ref="CH144" si="582">MIN(0,MAX(-(CH141+CH142+CH143),-CH138))</f>
        <v>0</v>
      </c>
      <c r="CI144" s="52">
        <f t="shared" ref="CI144" si="583">MIN(0,MAX(-(CI141+CI142+CI143),-CI138))</f>
        <v>0</v>
      </c>
      <c r="CJ144" s="52">
        <f t="shared" ref="CJ144" si="584">MIN(0,MAX(-(CJ141+CJ142+CJ143),-CJ138))</f>
        <v>0</v>
      </c>
      <c r="CK144" s="52">
        <f t="shared" ref="CK144" si="585">MIN(0,MAX(-(CK141+CK142+CK143),-CK138))</f>
        <v>0</v>
      </c>
    </row>
    <row r="145" spans="3:89" outlineLevel="1" x14ac:dyDescent="0.25">
      <c r="C145" s="104" t="s">
        <v>101</v>
      </c>
      <c r="D145" s="13" t="s">
        <v>24</v>
      </c>
      <c r="F145" s="72">
        <f>SUM(F141:F144)</f>
        <v>7170751.5249543209</v>
      </c>
      <c r="G145" s="72">
        <f t="shared" ref="G145" si="586">SUM(G141:G144)</f>
        <v>4381931.2329386119</v>
      </c>
      <c r="H145" s="72">
        <f t="shared" ref="H145" si="587">SUM(H141:H144)</f>
        <v>2339008.805611358</v>
      </c>
      <c r="I145" s="72">
        <f t="shared" ref="I145" si="588">SUM(I141:I144)</f>
        <v>6291904.3796920618</v>
      </c>
      <c r="J145" s="72">
        <f t="shared" ref="J145" si="589">SUM(J141:J144)</f>
        <v>10856735.941449078</v>
      </c>
      <c r="K145" s="72">
        <f t="shared" ref="K145" si="590">SUM(K141:K144)</f>
        <v>21228932.922719833</v>
      </c>
      <c r="L145" s="72">
        <f t="shared" ref="L145" si="591">SUM(L141:L144)</f>
        <v>29450291.448282551</v>
      </c>
      <c r="M145" s="72">
        <f t="shared" ref="M145" si="592">SUM(M141:M144)</f>
        <v>31710836.67573639</v>
      </c>
      <c r="N145" s="72">
        <f t="shared" ref="N145" si="593">SUM(N141:N144)</f>
        <v>32758470.402971637</v>
      </c>
      <c r="O145" s="72">
        <f t="shared" ref="O145" si="594">SUM(O141:O144)</f>
        <v>34418300.006002188</v>
      </c>
      <c r="P145" s="72">
        <f t="shared" ref="P145" si="595">SUM(P141:P144)</f>
        <v>38354307.741177551</v>
      </c>
      <c r="Q145" s="72">
        <f t="shared" ref="Q145" si="596">SUM(Q141:Q144)</f>
        <v>44748637.674510874</v>
      </c>
      <c r="R145" s="72">
        <f t="shared" ref="R145" si="597">SUM(R141:R144)</f>
        <v>48700877.172856256</v>
      </c>
      <c r="S145" s="72">
        <f t="shared" ref="S145" si="598">SUM(S141:S144)</f>
        <v>48700877.172856256</v>
      </c>
      <c r="T145" s="72">
        <f t="shared" ref="T145" si="599">SUM(T141:T144)</f>
        <v>48700877.172856256</v>
      </c>
      <c r="U145" s="72">
        <f t="shared" ref="U145" si="600">SUM(U141:U144)</f>
        <v>48700877.172856256</v>
      </c>
      <c r="V145" s="72">
        <f t="shared" ref="V145" si="601">SUM(V141:V144)</f>
        <v>48700877.172856256</v>
      </c>
      <c r="W145" s="72">
        <f t="shared" ref="W145" si="602">SUM(W141:W144)</f>
        <v>48700877.172856256</v>
      </c>
      <c r="X145" s="72">
        <f t="shared" ref="X145" si="603">SUM(X141:X144)</f>
        <v>48700877.172856256</v>
      </c>
      <c r="Y145" s="72">
        <f t="shared" ref="Y145" si="604">SUM(Y141:Y144)</f>
        <v>48700877.172856256</v>
      </c>
      <c r="Z145" s="72">
        <f t="shared" ref="Z145" si="605">SUM(Z141:Z144)</f>
        <v>48700877.172856256</v>
      </c>
      <c r="AA145" s="72">
        <f t="shared" ref="AA145" si="606">SUM(AA141:AA144)</f>
        <v>48700877.172856256</v>
      </c>
      <c r="AB145" s="72">
        <f t="shared" ref="AB145" si="607">SUM(AB141:AB144)</f>
        <v>48700877.172856256</v>
      </c>
      <c r="AC145" s="72">
        <f t="shared" ref="AC145" si="608">SUM(AC141:AC144)</f>
        <v>48700877.172856256</v>
      </c>
      <c r="AD145" s="72">
        <f t="shared" ref="AD145" si="609">SUM(AD141:AD144)</f>
        <v>48700877.172856256</v>
      </c>
      <c r="AE145" s="72">
        <f t="shared" ref="AE145" si="610">SUM(AE141:AE144)</f>
        <v>48700877.172856256</v>
      </c>
      <c r="AF145" s="72">
        <f t="shared" ref="AF145" si="611">SUM(AF141:AF144)</f>
        <v>48700877.172856256</v>
      </c>
      <c r="AG145" s="72">
        <f t="shared" ref="AG145" si="612">SUM(AG141:AG144)</f>
        <v>48700877.172856256</v>
      </c>
      <c r="AH145" s="72">
        <f t="shared" ref="AH145" si="613">SUM(AH141:AH144)</f>
        <v>48700877.172856256</v>
      </c>
      <c r="AI145" s="72">
        <f t="shared" ref="AI145" si="614">SUM(AI141:AI144)</f>
        <v>48700877.172856256</v>
      </c>
      <c r="AJ145" s="72">
        <f t="shared" ref="AJ145" si="615">SUM(AJ141:AJ144)</f>
        <v>48700877.172856256</v>
      </c>
      <c r="AK145" s="72">
        <f t="shared" ref="AK145" si="616">SUM(AK141:AK144)</f>
        <v>48700877.172856256</v>
      </c>
      <c r="AL145" s="72">
        <f t="shared" ref="AL145" si="617">SUM(AL141:AL144)</f>
        <v>48700877.172856256</v>
      </c>
      <c r="AM145" s="72">
        <f t="shared" ref="AM145" si="618">SUM(AM141:AM144)</f>
        <v>48700877.172856256</v>
      </c>
      <c r="AN145" s="72">
        <f t="shared" ref="AN145" si="619">SUM(AN141:AN144)</f>
        <v>48700877.172856256</v>
      </c>
      <c r="AO145" s="72">
        <f t="shared" ref="AO145" si="620">SUM(AO141:AO144)</f>
        <v>48700877.172856256</v>
      </c>
      <c r="AP145" s="72">
        <f t="shared" ref="AP145" si="621">SUM(AP141:AP144)</f>
        <v>48700877.172856256</v>
      </c>
      <c r="AQ145" s="72">
        <f t="shared" ref="AQ145" si="622">SUM(AQ141:AQ144)</f>
        <v>48700877.172856256</v>
      </c>
      <c r="AR145" s="72">
        <f t="shared" ref="AR145" si="623">SUM(AR141:AR144)</f>
        <v>48700877.172856256</v>
      </c>
      <c r="AS145" s="72">
        <f t="shared" ref="AS145" si="624">SUM(AS141:AS144)</f>
        <v>48700877.172856256</v>
      </c>
      <c r="AT145" s="72">
        <f t="shared" ref="AT145" si="625">SUM(AT141:AT144)</f>
        <v>48700877.172856256</v>
      </c>
      <c r="AU145" s="72">
        <f t="shared" ref="AU145" si="626">SUM(AU141:AU144)</f>
        <v>48700877.172856256</v>
      </c>
      <c r="AV145" s="72">
        <f t="shared" ref="AV145" si="627">SUM(AV141:AV144)</f>
        <v>48700877.172856256</v>
      </c>
      <c r="AW145" s="72">
        <f t="shared" ref="AW145" si="628">SUM(AW141:AW144)</f>
        <v>48700877.172856256</v>
      </c>
      <c r="AX145" s="72">
        <f t="shared" ref="AX145" si="629">SUM(AX141:AX144)</f>
        <v>48700877.172856256</v>
      </c>
      <c r="AY145" s="72">
        <f t="shared" ref="AY145" si="630">SUM(AY141:AY144)</f>
        <v>48700877.172856256</v>
      </c>
      <c r="AZ145" s="72">
        <f t="shared" ref="AZ145" si="631">SUM(AZ141:AZ144)</f>
        <v>0</v>
      </c>
      <c r="BA145" s="72">
        <f t="shared" ref="BA145" si="632">SUM(BA141:BA144)</f>
        <v>0</v>
      </c>
      <c r="BB145" s="72">
        <f t="shared" ref="BB145" si="633">SUM(BB141:BB144)</f>
        <v>0</v>
      </c>
      <c r="BC145" s="72">
        <f t="shared" ref="BC145" si="634">SUM(BC141:BC144)</f>
        <v>0</v>
      </c>
      <c r="BD145" s="72">
        <f t="shared" ref="BD145" si="635">SUM(BD141:BD144)</f>
        <v>0</v>
      </c>
      <c r="BE145" s="72">
        <f t="shared" ref="BE145" si="636">SUM(BE141:BE144)</f>
        <v>0</v>
      </c>
      <c r="BF145" s="72">
        <f t="shared" ref="BF145" si="637">SUM(BF141:BF144)</f>
        <v>0</v>
      </c>
      <c r="BG145" s="72">
        <f t="shared" ref="BG145" si="638">SUM(BG141:BG144)</f>
        <v>0</v>
      </c>
      <c r="BH145" s="72">
        <f t="shared" ref="BH145" si="639">SUM(BH141:BH144)</f>
        <v>0</v>
      </c>
      <c r="BI145" s="72">
        <f t="shared" ref="BI145" si="640">SUM(BI141:BI144)</f>
        <v>0</v>
      </c>
      <c r="BJ145" s="72">
        <f t="shared" ref="BJ145" si="641">SUM(BJ141:BJ144)</f>
        <v>0</v>
      </c>
      <c r="BK145" s="72">
        <f t="shared" ref="BK145" si="642">SUM(BK141:BK144)</f>
        <v>0</v>
      </c>
      <c r="BL145" s="72">
        <f t="shared" ref="BL145" si="643">SUM(BL141:BL144)</f>
        <v>0</v>
      </c>
      <c r="BM145" s="72">
        <f t="shared" ref="BM145" si="644">SUM(BM141:BM144)</f>
        <v>0</v>
      </c>
      <c r="BN145" s="72">
        <f t="shared" ref="BN145" si="645">SUM(BN141:BN144)</f>
        <v>0</v>
      </c>
      <c r="BO145" s="72">
        <f t="shared" ref="BO145" si="646">SUM(BO141:BO144)</f>
        <v>0</v>
      </c>
      <c r="BP145" s="72">
        <f t="shared" ref="BP145" si="647">SUM(BP141:BP144)</f>
        <v>0</v>
      </c>
      <c r="BQ145" s="72">
        <f t="shared" ref="BQ145" si="648">SUM(BQ141:BQ144)</f>
        <v>0</v>
      </c>
      <c r="BR145" s="72">
        <f t="shared" ref="BR145" si="649">SUM(BR141:BR144)</f>
        <v>0</v>
      </c>
      <c r="BS145" s="72">
        <f t="shared" ref="BS145" si="650">SUM(BS141:BS144)</f>
        <v>0</v>
      </c>
      <c r="BT145" s="72">
        <f t="shared" ref="BT145" si="651">SUM(BT141:BT144)</f>
        <v>0</v>
      </c>
      <c r="BU145" s="72">
        <f t="shared" ref="BU145" si="652">SUM(BU141:BU144)</f>
        <v>0</v>
      </c>
      <c r="BV145" s="72">
        <f t="shared" ref="BV145" si="653">SUM(BV141:BV144)</f>
        <v>0</v>
      </c>
      <c r="BW145" s="72">
        <f t="shared" ref="BW145" si="654">SUM(BW141:BW144)</f>
        <v>0</v>
      </c>
      <c r="BX145" s="72">
        <f t="shared" ref="BX145" si="655">SUM(BX141:BX144)</f>
        <v>0</v>
      </c>
      <c r="BY145" s="72">
        <f t="shared" ref="BY145" si="656">SUM(BY141:BY144)</f>
        <v>0</v>
      </c>
      <c r="BZ145" s="72">
        <f t="shared" ref="BZ145" si="657">SUM(BZ141:BZ144)</f>
        <v>0</v>
      </c>
      <c r="CA145" s="72">
        <f t="shared" ref="CA145" si="658">SUM(CA141:CA144)</f>
        <v>0</v>
      </c>
      <c r="CB145" s="72">
        <f t="shared" ref="CB145" si="659">SUM(CB141:CB144)</f>
        <v>0</v>
      </c>
      <c r="CC145" s="72">
        <f t="shared" ref="CC145" si="660">SUM(CC141:CC144)</f>
        <v>0</v>
      </c>
      <c r="CD145" s="72">
        <f t="shared" ref="CD145" si="661">SUM(CD141:CD144)</f>
        <v>0</v>
      </c>
      <c r="CE145" s="72">
        <f t="shared" ref="CE145" si="662">SUM(CE141:CE144)</f>
        <v>0</v>
      </c>
      <c r="CF145" s="72">
        <f t="shared" ref="CF145" si="663">SUM(CF141:CF144)</f>
        <v>0</v>
      </c>
      <c r="CG145" s="72">
        <f t="shared" ref="CG145" si="664">SUM(CG141:CG144)</f>
        <v>0</v>
      </c>
      <c r="CH145" s="72">
        <f t="shared" ref="CH145" si="665">SUM(CH141:CH144)</f>
        <v>0</v>
      </c>
      <c r="CI145" s="72">
        <f t="shared" ref="CI145" si="666">SUM(CI141:CI144)</f>
        <v>0</v>
      </c>
      <c r="CJ145" s="72">
        <f t="shared" ref="CJ145" si="667">SUM(CJ141:CJ144)</f>
        <v>0</v>
      </c>
      <c r="CK145" s="72">
        <f t="shared" ref="CK145" si="668">SUM(CK141:CK144)</f>
        <v>0</v>
      </c>
    </row>
    <row r="146" spans="3:89" outlineLevel="1" x14ac:dyDescent="0.25">
      <c r="C146" s="38"/>
    </row>
    <row r="147" spans="3:89" outlineLevel="1" x14ac:dyDescent="0.25">
      <c r="C147" s="66" t="s">
        <v>194</v>
      </c>
      <c r="D147" s="13" t="s">
        <v>24</v>
      </c>
      <c r="F147" s="72">
        <f>MAX(F138+F144,0)</f>
        <v>0</v>
      </c>
      <c r="G147" s="72">
        <f t="shared" ref="G147:BR147" si="669">MAX(G138+G144,0)</f>
        <v>0</v>
      </c>
      <c r="H147" s="72">
        <f t="shared" si="669"/>
        <v>0</v>
      </c>
      <c r="I147" s="72">
        <f t="shared" si="669"/>
        <v>0</v>
      </c>
      <c r="J147" s="72">
        <f t="shared" si="669"/>
        <v>0</v>
      </c>
      <c r="K147" s="72">
        <f t="shared" si="669"/>
        <v>0</v>
      </c>
      <c r="L147" s="72">
        <f t="shared" si="669"/>
        <v>0</v>
      </c>
      <c r="M147" s="72">
        <f t="shared" si="669"/>
        <v>0</v>
      </c>
      <c r="N147" s="72">
        <f t="shared" si="669"/>
        <v>0</v>
      </c>
      <c r="O147" s="72">
        <f t="shared" si="669"/>
        <v>0</v>
      </c>
      <c r="P147" s="72">
        <f t="shared" si="669"/>
        <v>0</v>
      </c>
      <c r="Q147" s="72">
        <f t="shared" si="669"/>
        <v>0</v>
      </c>
      <c r="R147" s="72">
        <f t="shared" si="669"/>
        <v>0</v>
      </c>
      <c r="S147" s="72">
        <f t="shared" si="669"/>
        <v>0</v>
      </c>
      <c r="T147" s="72">
        <f t="shared" si="669"/>
        <v>0</v>
      </c>
      <c r="U147" s="72">
        <f t="shared" si="669"/>
        <v>0</v>
      </c>
      <c r="V147" s="72">
        <f t="shared" si="669"/>
        <v>0</v>
      </c>
      <c r="W147" s="72">
        <f t="shared" si="669"/>
        <v>0</v>
      </c>
      <c r="X147" s="72">
        <f t="shared" si="669"/>
        <v>0</v>
      </c>
      <c r="Y147" s="72">
        <f t="shared" si="669"/>
        <v>0</v>
      </c>
      <c r="Z147" s="72">
        <f t="shared" si="669"/>
        <v>0</v>
      </c>
      <c r="AA147" s="72">
        <f t="shared" si="669"/>
        <v>0</v>
      </c>
      <c r="AB147" s="72">
        <f t="shared" si="669"/>
        <v>0</v>
      </c>
      <c r="AC147" s="72">
        <f t="shared" si="669"/>
        <v>0</v>
      </c>
      <c r="AD147" s="72">
        <f t="shared" si="669"/>
        <v>0</v>
      </c>
      <c r="AE147" s="72">
        <f t="shared" si="669"/>
        <v>0</v>
      </c>
      <c r="AF147" s="72">
        <f t="shared" si="669"/>
        <v>0</v>
      </c>
      <c r="AG147" s="72">
        <f t="shared" si="669"/>
        <v>0</v>
      </c>
      <c r="AH147" s="72">
        <f t="shared" si="669"/>
        <v>0</v>
      </c>
      <c r="AI147" s="72">
        <f t="shared" si="669"/>
        <v>0</v>
      </c>
      <c r="AJ147" s="72">
        <f t="shared" si="669"/>
        <v>0</v>
      </c>
      <c r="AK147" s="72">
        <f t="shared" si="669"/>
        <v>0</v>
      </c>
      <c r="AL147" s="72">
        <f t="shared" si="669"/>
        <v>0</v>
      </c>
      <c r="AM147" s="72">
        <f t="shared" si="669"/>
        <v>0</v>
      </c>
      <c r="AN147" s="72">
        <f t="shared" si="669"/>
        <v>0</v>
      </c>
      <c r="AO147" s="72">
        <f t="shared" si="669"/>
        <v>0</v>
      </c>
      <c r="AP147" s="72">
        <f t="shared" si="669"/>
        <v>0</v>
      </c>
      <c r="AQ147" s="72">
        <f t="shared" si="669"/>
        <v>0</v>
      </c>
      <c r="AR147" s="72">
        <f t="shared" si="669"/>
        <v>0</v>
      </c>
      <c r="AS147" s="72">
        <f t="shared" si="669"/>
        <v>0</v>
      </c>
      <c r="AT147" s="72">
        <f t="shared" si="669"/>
        <v>0</v>
      </c>
      <c r="AU147" s="72">
        <f t="shared" si="669"/>
        <v>0</v>
      </c>
      <c r="AV147" s="72">
        <f t="shared" si="669"/>
        <v>0</v>
      </c>
      <c r="AW147" s="72">
        <f t="shared" si="669"/>
        <v>0</v>
      </c>
      <c r="AX147" s="72">
        <f t="shared" si="669"/>
        <v>0</v>
      </c>
      <c r="AY147" s="72">
        <f t="shared" si="669"/>
        <v>0</v>
      </c>
      <c r="AZ147" s="72">
        <f t="shared" si="669"/>
        <v>67471909.950302258</v>
      </c>
      <c r="BA147" s="72">
        <f t="shared" si="669"/>
        <v>0</v>
      </c>
      <c r="BB147" s="72">
        <f t="shared" si="669"/>
        <v>0</v>
      </c>
      <c r="BC147" s="72">
        <f t="shared" si="669"/>
        <v>0</v>
      </c>
      <c r="BD147" s="72">
        <f t="shared" si="669"/>
        <v>0</v>
      </c>
      <c r="BE147" s="72">
        <f t="shared" si="669"/>
        <v>0</v>
      </c>
      <c r="BF147" s="72">
        <f t="shared" si="669"/>
        <v>0</v>
      </c>
      <c r="BG147" s="72">
        <f t="shared" si="669"/>
        <v>0</v>
      </c>
      <c r="BH147" s="72">
        <f t="shared" si="669"/>
        <v>0</v>
      </c>
      <c r="BI147" s="72">
        <f t="shared" si="669"/>
        <v>0</v>
      </c>
      <c r="BJ147" s="72">
        <f t="shared" si="669"/>
        <v>0</v>
      </c>
      <c r="BK147" s="72">
        <f t="shared" si="669"/>
        <v>0</v>
      </c>
      <c r="BL147" s="72">
        <f t="shared" si="669"/>
        <v>0</v>
      </c>
      <c r="BM147" s="72">
        <f t="shared" si="669"/>
        <v>0</v>
      </c>
      <c r="BN147" s="72">
        <f t="shared" si="669"/>
        <v>0</v>
      </c>
      <c r="BO147" s="72">
        <f t="shared" si="669"/>
        <v>0</v>
      </c>
      <c r="BP147" s="72">
        <f t="shared" si="669"/>
        <v>0</v>
      </c>
      <c r="BQ147" s="72">
        <f t="shared" si="669"/>
        <v>0</v>
      </c>
      <c r="BR147" s="72">
        <f t="shared" si="669"/>
        <v>0</v>
      </c>
      <c r="BS147" s="72">
        <f t="shared" ref="BS147:CK147" si="670">MAX(BS138+BS144,0)</f>
        <v>0</v>
      </c>
      <c r="BT147" s="72">
        <f t="shared" si="670"/>
        <v>0</v>
      </c>
      <c r="BU147" s="72">
        <f t="shared" si="670"/>
        <v>0</v>
      </c>
      <c r="BV147" s="72">
        <f t="shared" si="670"/>
        <v>0</v>
      </c>
      <c r="BW147" s="72">
        <f t="shared" si="670"/>
        <v>0</v>
      </c>
      <c r="BX147" s="72">
        <f t="shared" si="670"/>
        <v>0</v>
      </c>
      <c r="BY147" s="72">
        <f t="shared" si="670"/>
        <v>0</v>
      </c>
      <c r="BZ147" s="72">
        <f t="shared" si="670"/>
        <v>0</v>
      </c>
      <c r="CA147" s="72">
        <f t="shared" si="670"/>
        <v>0</v>
      </c>
      <c r="CB147" s="72">
        <f t="shared" si="670"/>
        <v>0</v>
      </c>
      <c r="CC147" s="72">
        <f t="shared" si="670"/>
        <v>0</v>
      </c>
      <c r="CD147" s="72">
        <f t="shared" si="670"/>
        <v>0</v>
      </c>
      <c r="CE147" s="72">
        <f t="shared" si="670"/>
        <v>0</v>
      </c>
      <c r="CF147" s="72">
        <f t="shared" si="670"/>
        <v>0</v>
      </c>
      <c r="CG147" s="72">
        <f t="shared" si="670"/>
        <v>0</v>
      </c>
      <c r="CH147" s="72">
        <f t="shared" si="670"/>
        <v>0</v>
      </c>
      <c r="CI147" s="72">
        <f t="shared" si="670"/>
        <v>0</v>
      </c>
      <c r="CJ147" s="72">
        <f t="shared" si="670"/>
        <v>0</v>
      </c>
      <c r="CK147" s="72">
        <f t="shared" si="670"/>
        <v>0</v>
      </c>
    </row>
    <row r="148" spans="3:89" outlineLevel="1" x14ac:dyDescent="0.25">
      <c r="C148" s="38"/>
      <c r="K148" s="58"/>
    </row>
    <row r="149" spans="3:89" outlineLevel="1" x14ac:dyDescent="0.25">
      <c r="C149" s="34" t="str">
        <f>"Developers - Catch-Up Return of "&amp;TEXT(Dev_Catch_Up,"0.0x")&amp;" Invested Equity:"</f>
        <v>Developers - Catch-Up Return of 1.0x Invested Equity:</v>
      </c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</row>
    <row r="150" spans="3:89" outlineLevel="1" x14ac:dyDescent="0.25">
      <c r="C150" s="123" t="s">
        <v>190</v>
      </c>
      <c r="D150" s="13" t="s">
        <v>24</v>
      </c>
      <c r="F150" s="105">
        <v>0</v>
      </c>
      <c r="G150" s="38">
        <f>+F154</f>
        <v>1792687.8812385798</v>
      </c>
      <c r="H150" s="38">
        <f t="shared" ref="H150:BS150" si="671">+G154</f>
        <v>1792687.8812385798</v>
      </c>
      <c r="I150" s="38">
        <f t="shared" si="671"/>
        <v>1792687.8812385798</v>
      </c>
      <c r="J150" s="38">
        <f t="shared" si="671"/>
        <v>2780911.7747587552</v>
      </c>
      <c r="K150" s="38">
        <f t="shared" si="671"/>
        <v>3922119.665198009</v>
      </c>
      <c r="L150" s="38">
        <f t="shared" si="671"/>
        <v>6515168.9105156977</v>
      </c>
      <c r="M150" s="38">
        <f t="shared" si="671"/>
        <v>8570508.5419063773</v>
      </c>
      <c r="N150" s="38">
        <f t="shared" si="671"/>
        <v>9135644.848769838</v>
      </c>
      <c r="O150" s="38">
        <f t="shared" si="671"/>
        <v>9397553.2805786505</v>
      </c>
      <c r="P150" s="38">
        <f t="shared" si="671"/>
        <v>9812510.6813362893</v>
      </c>
      <c r="Q150" s="38">
        <f t="shared" si="671"/>
        <v>10796512.61513013</v>
      </c>
      <c r="R150" s="38">
        <f t="shared" si="671"/>
        <v>12395095.098463461</v>
      </c>
      <c r="S150" s="38">
        <f t="shared" si="671"/>
        <v>13383154.973049806</v>
      </c>
      <c r="T150" s="38">
        <f t="shared" si="671"/>
        <v>13383154.973049806</v>
      </c>
      <c r="U150" s="38">
        <f t="shared" si="671"/>
        <v>13383154.973049806</v>
      </c>
      <c r="V150" s="38">
        <f t="shared" si="671"/>
        <v>13383154.973049806</v>
      </c>
      <c r="W150" s="38">
        <f t="shared" si="671"/>
        <v>13383154.973049806</v>
      </c>
      <c r="X150" s="38">
        <f t="shared" si="671"/>
        <v>13383154.973049806</v>
      </c>
      <c r="Y150" s="38">
        <f t="shared" si="671"/>
        <v>13383154.973049806</v>
      </c>
      <c r="Z150" s="38">
        <f t="shared" si="671"/>
        <v>13383154.973049806</v>
      </c>
      <c r="AA150" s="38">
        <f t="shared" si="671"/>
        <v>13383154.973049806</v>
      </c>
      <c r="AB150" s="38">
        <f t="shared" si="671"/>
        <v>13383154.973049806</v>
      </c>
      <c r="AC150" s="38">
        <f t="shared" si="671"/>
        <v>13383154.973049806</v>
      </c>
      <c r="AD150" s="38">
        <f t="shared" si="671"/>
        <v>13383154.973049806</v>
      </c>
      <c r="AE150" s="38">
        <f t="shared" si="671"/>
        <v>13383154.973049806</v>
      </c>
      <c r="AF150" s="38">
        <f t="shared" si="671"/>
        <v>13383154.973049806</v>
      </c>
      <c r="AG150" s="38">
        <f t="shared" si="671"/>
        <v>13383154.973049806</v>
      </c>
      <c r="AH150" s="38">
        <f t="shared" si="671"/>
        <v>13383154.973049806</v>
      </c>
      <c r="AI150" s="38">
        <f t="shared" si="671"/>
        <v>13383154.973049806</v>
      </c>
      <c r="AJ150" s="38">
        <f t="shared" si="671"/>
        <v>13383154.973049806</v>
      </c>
      <c r="AK150" s="38">
        <f t="shared" si="671"/>
        <v>13383154.973049806</v>
      </c>
      <c r="AL150" s="38">
        <f t="shared" si="671"/>
        <v>13383154.973049806</v>
      </c>
      <c r="AM150" s="38">
        <f t="shared" si="671"/>
        <v>13383154.973049806</v>
      </c>
      <c r="AN150" s="38">
        <f t="shared" si="671"/>
        <v>13383154.973049806</v>
      </c>
      <c r="AO150" s="38">
        <f t="shared" si="671"/>
        <v>13383154.973049806</v>
      </c>
      <c r="AP150" s="38">
        <f t="shared" si="671"/>
        <v>13383154.973049806</v>
      </c>
      <c r="AQ150" s="38">
        <f t="shared" si="671"/>
        <v>13383154.973049806</v>
      </c>
      <c r="AR150" s="38">
        <f t="shared" si="671"/>
        <v>13383154.973049806</v>
      </c>
      <c r="AS150" s="38">
        <f t="shared" si="671"/>
        <v>13383154.973049806</v>
      </c>
      <c r="AT150" s="38">
        <f t="shared" si="671"/>
        <v>13383154.973049806</v>
      </c>
      <c r="AU150" s="38">
        <f t="shared" si="671"/>
        <v>13383154.973049806</v>
      </c>
      <c r="AV150" s="38">
        <f t="shared" si="671"/>
        <v>13383154.973049806</v>
      </c>
      <c r="AW150" s="38">
        <f t="shared" si="671"/>
        <v>13383154.973049806</v>
      </c>
      <c r="AX150" s="38">
        <f t="shared" si="671"/>
        <v>13383154.973049806</v>
      </c>
      <c r="AY150" s="38">
        <f t="shared" si="671"/>
        <v>13383154.973049806</v>
      </c>
      <c r="AZ150" s="38">
        <f t="shared" si="671"/>
        <v>13383154.973049806</v>
      </c>
      <c r="BA150" s="38">
        <f t="shared" si="671"/>
        <v>0</v>
      </c>
      <c r="BB150" s="38">
        <f t="shared" si="671"/>
        <v>0</v>
      </c>
      <c r="BC150" s="38">
        <f t="shared" si="671"/>
        <v>0</v>
      </c>
      <c r="BD150" s="38">
        <f t="shared" si="671"/>
        <v>0</v>
      </c>
      <c r="BE150" s="38">
        <f t="shared" si="671"/>
        <v>0</v>
      </c>
      <c r="BF150" s="38">
        <f t="shared" si="671"/>
        <v>0</v>
      </c>
      <c r="BG150" s="38">
        <f t="shared" si="671"/>
        <v>0</v>
      </c>
      <c r="BH150" s="38">
        <f t="shared" si="671"/>
        <v>0</v>
      </c>
      <c r="BI150" s="38">
        <f t="shared" si="671"/>
        <v>0</v>
      </c>
      <c r="BJ150" s="38">
        <f t="shared" si="671"/>
        <v>0</v>
      </c>
      <c r="BK150" s="38">
        <f t="shared" si="671"/>
        <v>0</v>
      </c>
      <c r="BL150" s="38">
        <f t="shared" si="671"/>
        <v>0</v>
      </c>
      <c r="BM150" s="38">
        <f t="shared" si="671"/>
        <v>0</v>
      </c>
      <c r="BN150" s="38">
        <f t="shared" si="671"/>
        <v>0</v>
      </c>
      <c r="BO150" s="38">
        <f t="shared" si="671"/>
        <v>0</v>
      </c>
      <c r="BP150" s="38">
        <f t="shared" si="671"/>
        <v>0</v>
      </c>
      <c r="BQ150" s="38">
        <f t="shared" si="671"/>
        <v>0</v>
      </c>
      <c r="BR150" s="38">
        <f t="shared" si="671"/>
        <v>0</v>
      </c>
      <c r="BS150" s="38">
        <f t="shared" si="671"/>
        <v>0</v>
      </c>
      <c r="BT150" s="38">
        <f t="shared" ref="BT150:CK150" si="672">+BS154</f>
        <v>0</v>
      </c>
      <c r="BU150" s="38">
        <f t="shared" si="672"/>
        <v>0</v>
      </c>
      <c r="BV150" s="38">
        <f t="shared" si="672"/>
        <v>0</v>
      </c>
      <c r="BW150" s="38">
        <f t="shared" si="672"/>
        <v>0</v>
      </c>
      <c r="BX150" s="38">
        <f t="shared" si="672"/>
        <v>0</v>
      </c>
      <c r="BY150" s="38">
        <f t="shared" si="672"/>
        <v>0</v>
      </c>
      <c r="BZ150" s="38">
        <f t="shared" si="672"/>
        <v>0</v>
      </c>
      <c r="CA150" s="38">
        <f t="shared" si="672"/>
        <v>0</v>
      </c>
      <c r="CB150" s="38">
        <f t="shared" si="672"/>
        <v>0</v>
      </c>
      <c r="CC150" s="38">
        <f t="shared" si="672"/>
        <v>0</v>
      </c>
      <c r="CD150" s="38">
        <f t="shared" si="672"/>
        <v>0</v>
      </c>
      <c r="CE150" s="38">
        <f t="shared" si="672"/>
        <v>0</v>
      </c>
      <c r="CF150" s="38">
        <f t="shared" si="672"/>
        <v>0</v>
      </c>
      <c r="CG150" s="38">
        <f t="shared" si="672"/>
        <v>0</v>
      </c>
      <c r="CH150" s="38">
        <f t="shared" si="672"/>
        <v>0</v>
      </c>
      <c r="CI150" s="38">
        <f t="shared" si="672"/>
        <v>0</v>
      </c>
      <c r="CJ150" s="38">
        <f t="shared" si="672"/>
        <v>0</v>
      </c>
      <c r="CK150" s="38">
        <f t="shared" si="672"/>
        <v>0</v>
      </c>
    </row>
    <row r="151" spans="3:89" outlineLevel="1" x14ac:dyDescent="0.25">
      <c r="C151" s="123" t="s">
        <v>191</v>
      </c>
      <c r="D151" s="13" t="s">
        <v>24</v>
      </c>
      <c r="F151" s="38">
        <f>+F116</f>
        <v>1792687.8812385798</v>
      </c>
      <c r="G151" s="38">
        <f t="shared" ref="G151:BR151" si="673">+G116</f>
        <v>0</v>
      </c>
      <c r="H151" s="38">
        <f t="shared" si="673"/>
        <v>0</v>
      </c>
      <c r="I151" s="38">
        <f t="shared" si="673"/>
        <v>988223.8935201756</v>
      </c>
      <c r="J151" s="38">
        <f t="shared" si="673"/>
        <v>1141207.8904392538</v>
      </c>
      <c r="K151" s="38">
        <f t="shared" si="673"/>
        <v>2593049.2453176882</v>
      </c>
      <c r="L151" s="38">
        <f t="shared" si="673"/>
        <v>2055339.6313906792</v>
      </c>
      <c r="M151" s="38">
        <f t="shared" si="673"/>
        <v>565136.30686345987</v>
      </c>
      <c r="N151" s="38">
        <f t="shared" si="673"/>
        <v>261908.43180881173</v>
      </c>
      <c r="O151" s="38">
        <f t="shared" si="673"/>
        <v>414957.40075763862</v>
      </c>
      <c r="P151" s="38">
        <f t="shared" si="673"/>
        <v>984001.93379384151</v>
      </c>
      <c r="Q151" s="38">
        <f t="shared" si="673"/>
        <v>1598582.4833333308</v>
      </c>
      <c r="R151" s="38">
        <f t="shared" si="673"/>
        <v>988059.87458634528</v>
      </c>
      <c r="S151" s="38">
        <f t="shared" si="673"/>
        <v>0</v>
      </c>
      <c r="T151" s="38">
        <f t="shared" si="673"/>
        <v>0</v>
      </c>
      <c r="U151" s="38">
        <f t="shared" si="673"/>
        <v>0</v>
      </c>
      <c r="V151" s="38">
        <f t="shared" si="673"/>
        <v>0</v>
      </c>
      <c r="W151" s="38">
        <f t="shared" si="673"/>
        <v>0</v>
      </c>
      <c r="X151" s="38">
        <f t="shared" si="673"/>
        <v>0</v>
      </c>
      <c r="Y151" s="38">
        <f t="shared" si="673"/>
        <v>0</v>
      </c>
      <c r="Z151" s="38">
        <f t="shared" si="673"/>
        <v>0</v>
      </c>
      <c r="AA151" s="38">
        <f t="shared" si="673"/>
        <v>0</v>
      </c>
      <c r="AB151" s="38">
        <f t="shared" si="673"/>
        <v>0</v>
      </c>
      <c r="AC151" s="38">
        <f t="shared" si="673"/>
        <v>0</v>
      </c>
      <c r="AD151" s="38">
        <f t="shared" si="673"/>
        <v>0</v>
      </c>
      <c r="AE151" s="38">
        <f t="shared" si="673"/>
        <v>0</v>
      </c>
      <c r="AF151" s="38">
        <f t="shared" si="673"/>
        <v>0</v>
      </c>
      <c r="AG151" s="38">
        <f t="shared" si="673"/>
        <v>0</v>
      </c>
      <c r="AH151" s="38">
        <f t="shared" si="673"/>
        <v>0</v>
      </c>
      <c r="AI151" s="38">
        <f t="shared" si="673"/>
        <v>0</v>
      </c>
      <c r="AJ151" s="38">
        <f t="shared" si="673"/>
        <v>0</v>
      </c>
      <c r="AK151" s="38">
        <f t="shared" si="673"/>
        <v>0</v>
      </c>
      <c r="AL151" s="38">
        <f t="shared" si="673"/>
        <v>0</v>
      </c>
      <c r="AM151" s="38">
        <f t="shared" si="673"/>
        <v>0</v>
      </c>
      <c r="AN151" s="38">
        <f t="shared" si="673"/>
        <v>0</v>
      </c>
      <c r="AO151" s="38">
        <f t="shared" si="673"/>
        <v>0</v>
      </c>
      <c r="AP151" s="38">
        <f t="shared" si="673"/>
        <v>0</v>
      </c>
      <c r="AQ151" s="38">
        <f t="shared" si="673"/>
        <v>0</v>
      </c>
      <c r="AR151" s="38">
        <f t="shared" si="673"/>
        <v>0</v>
      </c>
      <c r="AS151" s="38">
        <f t="shared" si="673"/>
        <v>0</v>
      </c>
      <c r="AT151" s="38">
        <f t="shared" si="673"/>
        <v>0</v>
      </c>
      <c r="AU151" s="38">
        <f t="shared" si="673"/>
        <v>0</v>
      </c>
      <c r="AV151" s="38">
        <f t="shared" si="673"/>
        <v>0</v>
      </c>
      <c r="AW151" s="38">
        <f t="shared" si="673"/>
        <v>0</v>
      </c>
      <c r="AX151" s="38">
        <f t="shared" si="673"/>
        <v>0</v>
      </c>
      <c r="AY151" s="38">
        <f t="shared" si="673"/>
        <v>0</v>
      </c>
      <c r="AZ151" s="38">
        <f t="shared" si="673"/>
        <v>0</v>
      </c>
      <c r="BA151" s="38">
        <f t="shared" si="673"/>
        <v>0</v>
      </c>
      <c r="BB151" s="38">
        <f t="shared" si="673"/>
        <v>0</v>
      </c>
      <c r="BC151" s="38">
        <f t="shared" si="673"/>
        <v>0</v>
      </c>
      <c r="BD151" s="38">
        <f t="shared" si="673"/>
        <v>0</v>
      </c>
      <c r="BE151" s="38">
        <f t="shared" si="673"/>
        <v>0</v>
      </c>
      <c r="BF151" s="38">
        <f t="shared" si="673"/>
        <v>0</v>
      </c>
      <c r="BG151" s="38">
        <f t="shared" si="673"/>
        <v>0</v>
      </c>
      <c r="BH151" s="38">
        <f t="shared" si="673"/>
        <v>0</v>
      </c>
      <c r="BI151" s="38">
        <f t="shared" si="673"/>
        <v>0</v>
      </c>
      <c r="BJ151" s="38">
        <f t="shared" si="673"/>
        <v>0</v>
      </c>
      <c r="BK151" s="38">
        <f t="shared" si="673"/>
        <v>0</v>
      </c>
      <c r="BL151" s="38">
        <f t="shared" si="673"/>
        <v>0</v>
      </c>
      <c r="BM151" s="38">
        <f t="shared" si="673"/>
        <v>0</v>
      </c>
      <c r="BN151" s="38">
        <f t="shared" si="673"/>
        <v>0</v>
      </c>
      <c r="BO151" s="38">
        <f t="shared" si="673"/>
        <v>0</v>
      </c>
      <c r="BP151" s="38">
        <f t="shared" si="673"/>
        <v>0</v>
      </c>
      <c r="BQ151" s="38">
        <f t="shared" si="673"/>
        <v>0</v>
      </c>
      <c r="BR151" s="38">
        <f t="shared" si="673"/>
        <v>0</v>
      </c>
      <c r="BS151" s="38">
        <f t="shared" ref="BS151:CK151" si="674">+BS116</f>
        <v>0</v>
      </c>
      <c r="BT151" s="38">
        <f t="shared" si="674"/>
        <v>0</v>
      </c>
      <c r="BU151" s="38">
        <f t="shared" si="674"/>
        <v>0</v>
      </c>
      <c r="BV151" s="38">
        <f t="shared" si="674"/>
        <v>0</v>
      </c>
      <c r="BW151" s="38">
        <f t="shared" si="674"/>
        <v>0</v>
      </c>
      <c r="BX151" s="38">
        <f t="shared" si="674"/>
        <v>0</v>
      </c>
      <c r="BY151" s="38">
        <f t="shared" si="674"/>
        <v>0</v>
      </c>
      <c r="BZ151" s="38">
        <f t="shared" si="674"/>
        <v>0</v>
      </c>
      <c r="CA151" s="38">
        <f t="shared" si="674"/>
        <v>0</v>
      </c>
      <c r="CB151" s="38">
        <f t="shared" si="674"/>
        <v>0</v>
      </c>
      <c r="CC151" s="38">
        <f t="shared" si="674"/>
        <v>0</v>
      </c>
      <c r="CD151" s="38">
        <f t="shared" si="674"/>
        <v>0</v>
      </c>
      <c r="CE151" s="38">
        <f t="shared" si="674"/>
        <v>0</v>
      </c>
      <c r="CF151" s="38">
        <f t="shared" si="674"/>
        <v>0</v>
      </c>
      <c r="CG151" s="38">
        <f t="shared" si="674"/>
        <v>0</v>
      </c>
      <c r="CH151" s="38">
        <f t="shared" si="674"/>
        <v>0</v>
      </c>
      <c r="CI151" s="38">
        <f t="shared" si="674"/>
        <v>0</v>
      </c>
      <c r="CJ151" s="38">
        <f t="shared" si="674"/>
        <v>0</v>
      </c>
      <c r="CK151" s="38">
        <f t="shared" si="674"/>
        <v>0</v>
      </c>
    </row>
    <row r="152" spans="3:89" outlineLevel="1" x14ac:dyDescent="0.25">
      <c r="C152" s="127" t="s">
        <v>192</v>
      </c>
      <c r="D152" s="13" t="s">
        <v>24</v>
      </c>
      <c r="E152" s="128">
        <f>Dev_Catch_Up</f>
        <v>1</v>
      </c>
      <c r="F152" s="38">
        <f>+F151*($E152-1)</f>
        <v>0</v>
      </c>
      <c r="G152" s="38">
        <f t="shared" ref="G152" si="675">+G151*($E152-1)</f>
        <v>0</v>
      </c>
      <c r="H152" s="38">
        <f t="shared" ref="H152" si="676">+H151*($E152-1)</f>
        <v>0</v>
      </c>
      <c r="I152" s="38">
        <f t="shared" ref="I152" si="677">+I151*($E152-1)</f>
        <v>0</v>
      </c>
      <c r="J152" s="38">
        <f t="shared" ref="J152" si="678">+J151*($E152-1)</f>
        <v>0</v>
      </c>
      <c r="K152" s="38">
        <f t="shared" ref="K152" si="679">+K151*($E152-1)</f>
        <v>0</v>
      </c>
      <c r="L152" s="38">
        <f t="shared" ref="L152" si="680">+L151*($E152-1)</f>
        <v>0</v>
      </c>
      <c r="M152" s="38">
        <f t="shared" ref="M152" si="681">+M151*($E152-1)</f>
        <v>0</v>
      </c>
      <c r="N152" s="38">
        <f t="shared" ref="N152" si="682">+N151*($E152-1)</f>
        <v>0</v>
      </c>
      <c r="O152" s="38">
        <f t="shared" ref="O152" si="683">+O151*($E152-1)</f>
        <v>0</v>
      </c>
      <c r="P152" s="38">
        <f t="shared" ref="P152" si="684">+P151*($E152-1)</f>
        <v>0</v>
      </c>
      <c r="Q152" s="38">
        <f t="shared" ref="Q152" si="685">+Q151*($E152-1)</f>
        <v>0</v>
      </c>
      <c r="R152" s="38">
        <f t="shared" ref="R152" si="686">+R151*($E152-1)</f>
        <v>0</v>
      </c>
      <c r="S152" s="38">
        <f t="shared" ref="S152" si="687">+S151*($E152-1)</f>
        <v>0</v>
      </c>
      <c r="T152" s="38">
        <f t="shared" ref="T152" si="688">+T151*($E152-1)</f>
        <v>0</v>
      </c>
      <c r="U152" s="38">
        <f t="shared" ref="U152" si="689">+U151*($E152-1)</f>
        <v>0</v>
      </c>
      <c r="V152" s="38">
        <f t="shared" ref="V152" si="690">+V151*($E152-1)</f>
        <v>0</v>
      </c>
      <c r="W152" s="38">
        <f t="shared" ref="W152" si="691">+W151*($E152-1)</f>
        <v>0</v>
      </c>
      <c r="X152" s="38">
        <f t="shared" ref="X152" si="692">+X151*($E152-1)</f>
        <v>0</v>
      </c>
      <c r="Y152" s="38">
        <f t="shared" ref="Y152" si="693">+Y151*($E152-1)</f>
        <v>0</v>
      </c>
      <c r="Z152" s="38">
        <f t="shared" ref="Z152" si="694">+Z151*($E152-1)</f>
        <v>0</v>
      </c>
      <c r="AA152" s="38">
        <f t="shared" ref="AA152" si="695">+AA151*($E152-1)</f>
        <v>0</v>
      </c>
      <c r="AB152" s="38">
        <f t="shared" ref="AB152" si="696">+AB151*($E152-1)</f>
        <v>0</v>
      </c>
      <c r="AC152" s="38">
        <f t="shared" ref="AC152" si="697">+AC151*($E152-1)</f>
        <v>0</v>
      </c>
      <c r="AD152" s="38">
        <f t="shared" ref="AD152" si="698">+AD151*($E152-1)</f>
        <v>0</v>
      </c>
      <c r="AE152" s="38">
        <f t="shared" ref="AE152" si="699">+AE151*($E152-1)</f>
        <v>0</v>
      </c>
      <c r="AF152" s="38">
        <f t="shared" ref="AF152" si="700">+AF151*($E152-1)</f>
        <v>0</v>
      </c>
      <c r="AG152" s="38">
        <f t="shared" ref="AG152" si="701">+AG151*($E152-1)</f>
        <v>0</v>
      </c>
      <c r="AH152" s="38">
        <f t="shared" ref="AH152" si="702">+AH151*($E152-1)</f>
        <v>0</v>
      </c>
      <c r="AI152" s="38">
        <f t="shared" ref="AI152" si="703">+AI151*($E152-1)</f>
        <v>0</v>
      </c>
      <c r="AJ152" s="38">
        <f t="shared" ref="AJ152" si="704">+AJ151*($E152-1)</f>
        <v>0</v>
      </c>
      <c r="AK152" s="38">
        <f t="shared" ref="AK152" si="705">+AK151*($E152-1)</f>
        <v>0</v>
      </c>
      <c r="AL152" s="38">
        <f t="shared" ref="AL152" si="706">+AL151*($E152-1)</f>
        <v>0</v>
      </c>
      <c r="AM152" s="38">
        <f t="shared" ref="AM152" si="707">+AM151*($E152-1)</f>
        <v>0</v>
      </c>
      <c r="AN152" s="38">
        <f t="shared" ref="AN152" si="708">+AN151*($E152-1)</f>
        <v>0</v>
      </c>
      <c r="AO152" s="38">
        <f t="shared" ref="AO152" si="709">+AO151*($E152-1)</f>
        <v>0</v>
      </c>
      <c r="AP152" s="38">
        <f t="shared" ref="AP152" si="710">+AP151*($E152-1)</f>
        <v>0</v>
      </c>
      <c r="AQ152" s="38">
        <f t="shared" ref="AQ152" si="711">+AQ151*($E152-1)</f>
        <v>0</v>
      </c>
      <c r="AR152" s="38">
        <f t="shared" ref="AR152" si="712">+AR151*($E152-1)</f>
        <v>0</v>
      </c>
      <c r="AS152" s="38">
        <f t="shared" ref="AS152" si="713">+AS151*($E152-1)</f>
        <v>0</v>
      </c>
      <c r="AT152" s="38">
        <f t="shared" ref="AT152" si="714">+AT151*($E152-1)</f>
        <v>0</v>
      </c>
      <c r="AU152" s="38">
        <f t="shared" ref="AU152" si="715">+AU151*($E152-1)</f>
        <v>0</v>
      </c>
      <c r="AV152" s="38">
        <f t="shared" ref="AV152" si="716">+AV151*($E152-1)</f>
        <v>0</v>
      </c>
      <c r="AW152" s="38">
        <f t="shared" ref="AW152" si="717">+AW151*($E152-1)</f>
        <v>0</v>
      </c>
      <c r="AX152" s="38">
        <f t="shared" ref="AX152" si="718">+AX151*($E152-1)</f>
        <v>0</v>
      </c>
      <c r="AY152" s="38">
        <f t="shared" ref="AY152" si="719">+AY151*($E152-1)</f>
        <v>0</v>
      </c>
      <c r="AZ152" s="38">
        <f t="shared" ref="AZ152" si="720">+AZ151*($E152-1)</f>
        <v>0</v>
      </c>
      <c r="BA152" s="38">
        <f t="shared" ref="BA152" si="721">+BA151*($E152-1)</f>
        <v>0</v>
      </c>
      <c r="BB152" s="38">
        <f t="shared" ref="BB152" si="722">+BB151*($E152-1)</f>
        <v>0</v>
      </c>
      <c r="BC152" s="38">
        <f t="shared" ref="BC152" si="723">+BC151*($E152-1)</f>
        <v>0</v>
      </c>
      <c r="BD152" s="38">
        <f t="shared" ref="BD152" si="724">+BD151*($E152-1)</f>
        <v>0</v>
      </c>
      <c r="BE152" s="38">
        <f t="shared" ref="BE152" si="725">+BE151*($E152-1)</f>
        <v>0</v>
      </c>
      <c r="BF152" s="38">
        <f t="shared" ref="BF152" si="726">+BF151*($E152-1)</f>
        <v>0</v>
      </c>
      <c r="BG152" s="38">
        <f t="shared" ref="BG152" si="727">+BG151*($E152-1)</f>
        <v>0</v>
      </c>
      <c r="BH152" s="38">
        <f t="shared" ref="BH152" si="728">+BH151*($E152-1)</f>
        <v>0</v>
      </c>
      <c r="BI152" s="38">
        <f t="shared" ref="BI152" si="729">+BI151*($E152-1)</f>
        <v>0</v>
      </c>
      <c r="BJ152" s="38">
        <f t="shared" ref="BJ152" si="730">+BJ151*($E152-1)</f>
        <v>0</v>
      </c>
      <c r="BK152" s="38">
        <f t="shared" ref="BK152" si="731">+BK151*($E152-1)</f>
        <v>0</v>
      </c>
      <c r="BL152" s="38">
        <f t="shared" ref="BL152" si="732">+BL151*($E152-1)</f>
        <v>0</v>
      </c>
      <c r="BM152" s="38">
        <f t="shared" ref="BM152" si="733">+BM151*($E152-1)</f>
        <v>0</v>
      </c>
      <c r="BN152" s="38">
        <f t="shared" ref="BN152" si="734">+BN151*($E152-1)</f>
        <v>0</v>
      </c>
      <c r="BO152" s="38">
        <f t="shared" ref="BO152" si="735">+BO151*($E152-1)</f>
        <v>0</v>
      </c>
      <c r="BP152" s="38">
        <f t="shared" ref="BP152" si="736">+BP151*($E152-1)</f>
        <v>0</v>
      </c>
      <c r="BQ152" s="38">
        <f t="shared" ref="BQ152" si="737">+BQ151*($E152-1)</f>
        <v>0</v>
      </c>
      <c r="BR152" s="38">
        <f t="shared" ref="BR152" si="738">+BR151*($E152-1)</f>
        <v>0</v>
      </c>
      <c r="BS152" s="38">
        <f t="shared" ref="BS152" si="739">+BS151*($E152-1)</f>
        <v>0</v>
      </c>
      <c r="BT152" s="38">
        <f t="shared" ref="BT152" si="740">+BT151*($E152-1)</f>
        <v>0</v>
      </c>
      <c r="BU152" s="38">
        <f t="shared" ref="BU152" si="741">+BU151*($E152-1)</f>
        <v>0</v>
      </c>
      <c r="BV152" s="38">
        <f t="shared" ref="BV152" si="742">+BV151*($E152-1)</f>
        <v>0</v>
      </c>
      <c r="BW152" s="38">
        <f t="shared" ref="BW152" si="743">+BW151*($E152-1)</f>
        <v>0</v>
      </c>
      <c r="BX152" s="38">
        <f t="shared" ref="BX152" si="744">+BX151*($E152-1)</f>
        <v>0</v>
      </c>
      <c r="BY152" s="38">
        <f t="shared" ref="BY152" si="745">+BY151*($E152-1)</f>
        <v>0</v>
      </c>
      <c r="BZ152" s="38">
        <f t="shared" ref="BZ152" si="746">+BZ151*($E152-1)</f>
        <v>0</v>
      </c>
      <c r="CA152" s="38">
        <f t="shared" ref="CA152" si="747">+CA151*($E152-1)</f>
        <v>0</v>
      </c>
      <c r="CB152" s="38">
        <f t="shared" ref="CB152" si="748">+CB151*($E152-1)</f>
        <v>0</v>
      </c>
      <c r="CC152" s="38">
        <f t="shared" ref="CC152" si="749">+CC151*($E152-1)</f>
        <v>0</v>
      </c>
      <c r="CD152" s="38">
        <f t="shared" ref="CD152" si="750">+CD151*($E152-1)</f>
        <v>0</v>
      </c>
      <c r="CE152" s="38">
        <f t="shared" ref="CE152" si="751">+CE151*($E152-1)</f>
        <v>0</v>
      </c>
      <c r="CF152" s="38">
        <f t="shared" ref="CF152" si="752">+CF151*($E152-1)</f>
        <v>0</v>
      </c>
      <c r="CG152" s="38">
        <f t="shared" ref="CG152" si="753">+CG151*($E152-1)</f>
        <v>0</v>
      </c>
      <c r="CH152" s="38">
        <f t="shared" ref="CH152" si="754">+CH151*($E152-1)</f>
        <v>0</v>
      </c>
      <c r="CI152" s="38">
        <f t="shared" ref="CI152" si="755">+CI151*($E152-1)</f>
        <v>0</v>
      </c>
      <c r="CJ152" s="38">
        <f t="shared" ref="CJ152" si="756">+CJ151*($E152-1)</f>
        <v>0</v>
      </c>
      <c r="CK152" s="38">
        <f t="shared" ref="CK152" si="757">+CK151*($E152-1)</f>
        <v>0</v>
      </c>
    </row>
    <row r="153" spans="3:89" outlineLevel="1" x14ac:dyDescent="0.25">
      <c r="C153" s="124" t="s">
        <v>196</v>
      </c>
      <c r="D153" s="50" t="s">
        <v>24</v>
      </c>
      <c r="E153" s="101"/>
      <c r="F153" s="52">
        <f>MIN(0,MAX(-(F150+F151+F152),-F147))</f>
        <v>0</v>
      </c>
      <c r="G153" s="52">
        <f t="shared" ref="G153" si="758">MIN(0,MAX(-(G150+G151+G152),-G147))</f>
        <v>0</v>
      </c>
      <c r="H153" s="52">
        <f t="shared" ref="H153" si="759">MIN(0,MAX(-(H150+H151+H152),-H147))</f>
        <v>0</v>
      </c>
      <c r="I153" s="52">
        <f t="shared" ref="I153" si="760">MIN(0,MAX(-(I150+I151+I152),-I147))</f>
        <v>0</v>
      </c>
      <c r="J153" s="52">
        <f t="shared" ref="J153" si="761">MIN(0,MAX(-(J150+J151+J152),-J147))</f>
        <v>0</v>
      </c>
      <c r="K153" s="52">
        <f t="shared" ref="K153" si="762">MIN(0,MAX(-(K150+K151+K152),-K147))</f>
        <v>0</v>
      </c>
      <c r="L153" s="52">
        <f t="shared" ref="L153" si="763">MIN(0,MAX(-(L150+L151+L152),-L147))</f>
        <v>0</v>
      </c>
      <c r="M153" s="52">
        <f t="shared" ref="M153" si="764">MIN(0,MAX(-(M150+M151+M152),-M147))</f>
        <v>0</v>
      </c>
      <c r="N153" s="52">
        <f t="shared" ref="N153" si="765">MIN(0,MAX(-(N150+N151+N152),-N147))</f>
        <v>0</v>
      </c>
      <c r="O153" s="52">
        <f t="shared" ref="O153" si="766">MIN(0,MAX(-(O150+O151+O152),-O147))</f>
        <v>0</v>
      </c>
      <c r="P153" s="52">
        <f t="shared" ref="P153" si="767">MIN(0,MAX(-(P150+P151+P152),-P147))</f>
        <v>0</v>
      </c>
      <c r="Q153" s="52">
        <f t="shared" ref="Q153" si="768">MIN(0,MAX(-(Q150+Q151+Q152),-Q147))</f>
        <v>0</v>
      </c>
      <c r="R153" s="52">
        <f t="shared" ref="R153" si="769">MIN(0,MAX(-(R150+R151+R152),-R147))</f>
        <v>0</v>
      </c>
      <c r="S153" s="52">
        <f t="shared" ref="S153" si="770">MIN(0,MAX(-(S150+S151+S152),-S147))</f>
        <v>0</v>
      </c>
      <c r="T153" s="52">
        <f t="shared" ref="T153" si="771">MIN(0,MAX(-(T150+T151+T152),-T147))</f>
        <v>0</v>
      </c>
      <c r="U153" s="52">
        <f t="shared" ref="U153" si="772">MIN(0,MAX(-(U150+U151+U152),-U147))</f>
        <v>0</v>
      </c>
      <c r="V153" s="52">
        <f t="shared" ref="V153" si="773">MIN(0,MAX(-(V150+V151+V152),-V147))</f>
        <v>0</v>
      </c>
      <c r="W153" s="52">
        <f t="shared" ref="W153" si="774">MIN(0,MAX(-(W150+W151+W152),-W147))</f>
        <v>0</v>
      </c>
      <c r="X153" s="52">
        <f t="shared" ref="X153" si="775">MIN(0,MAX(-(X150+X151+X152),-X147))</f>
        <v>0</v>
      </c>
      <c r="Y153" s="52">
        <f t="shared" ref="Y153" si="776">MIN(0,MAX(-(Y150+Y151+Y152),-Y147))</f>
        <v>0</v>
      </c>
      <c r="Z153" s="52">
        <f t="shared" ref="Z153" si="777">MIN(0,MAX(-(Z150+Z151+Z152),-Z147))</f>
        <v>0</v>
      </c>
      <c r="AA153" s="52">
        <f t="shared" ref="AA153" si="778">MIN(0,MAX(-(AA150+AA151+AA152),-AA147))</f>
        <v>0</v>
      </c>
      <c r="AB153" s="52">
        <f t="shared" ref="AB153" si="779">MIN(0,MAX(-(AB150+AB151+AB152),-AB147))</f>
        <v>0</v>
      </c>
      <c r="AC153" s="52">
        <f t="shared" ref="AC153" si="780">MIN(0,MAX(-(AC150+AC151+AC152),-AC147))</f>
        <v>0</v>
      </c>
      <c r="AD153" s="52">
        <f t="shared" ref="AD153" si="781">MIN(0,MAX(-(AD150+AD151+AD152),-AD147))</f>
        <v>0</v>
      </c>
      <c r="AE153" s="52">
        <f t="shared" ref="AE153" si="782">MIN(0,MAX(-(AE150+AE151+AE152),-AE147))</f>
        <v>0</v>
      </c>
      <c r="AF153" s="52">
        <f t="shared" ref="AF153" si="783">MIN(0,MAX(-(AF150+AF151+AF152),-AF147))</f>
        <v>0</v>
      </c>
      <c r="AG153" s="52">
        <f t="shared" ref="AG153" si="784">MIN(0,MAX(-(AG150+AG151+AG152),-AG147))</f>
        <v>0</v>
      </c>
      <c r="AH153" s="52">
        <f t="shared" ref="AH153" si="785">MIN(0,MAX(-(AH150+AH151+AH152),-AH147))</f>
        <v>0</v>
      </c>
      <c r="AI153" s="52">
        <f t="shared" ref="AI153" si="786">MIN(0,MAX(-(AI150+AI151+AI152),-AI147))</f>
        <v>0</v>
      </c>
      <c r="AJ153" s="52">
        <f t="shared" ref="AJ153" si="787">MIN(0,MAX(-(AJ150+AJ151+AJ152),-AJ147))</f>
        <v>0</v>
      </c>
      <c r="AK153" s="52">
        <f t="shared" ref="AK153" si="788">MIN(0,MAX(-(AK150+AK151+AK152),-AK147))</f>
        <v>0</v>
      </c>
      <c r="AL153" s="52">
        <f t="shared" ref="AL153" si="789">MIN(0,MAX(-(AL150+AL151+AL152),-AL147))</f>
        <v>0</v>
      </c>
      <c r="AM153" s="52">
        <f t="shared" ref="AM153" si="790">MIN(0,MAX(-(AM150+AM151+AM152),-AM147))</f>
        <v>0</v>
      </c>
      <c r="AN153" s="52">
        <f t="shared" ref="AN153" si="791">MIN(0,MAX(-(AN150+AN151+AN152),-AN147))</f>
        <v>0</v>
      </c>
      <c r="AO153" s="52">
        <f t="shared" ref="AO153" si="792">MIN(0,MAX(-(AO150+AO151+AO152),-AO147))</f>
        <v>0</v>
      </c>
      <c r="AP153" s="52">
        <f t="shared" ref="AP153" si="793">MIN(0,MAX(-(AP150+AP151+AP152),-AP147))</f>
        <v>0</v>
      </c>
      <c r="AQ153" s="52">
        <f t="shared" ref="AQ153" si="794">MIN(0,MAX(-(AQ150+AQ151+AQ152),-AQ147))</f>
        <v>0</v>
      </c>
      <c r="AR153" s="52">
        <f t="shared" ref="AR153" si="795">MIN(0,MAX(-(AR150+AR151+AR152),-AR147))</f>
        <v>0</v>
      </c>
      <c r="AS153" s="52">
        <f t="shared" ref="AS153" si="796">MIN(0,MAX(-(AS150+AS151+AS152),-AS147))</f>
        <v>0</v>
      </c>
      <c r="AT153" s="52">
        <f t="shared" ref="AT153" si="797">MIN(0,MAX(-(AT150+AT151+AT152),-AT147))</f>
        <v>0</v>
      </c>
      <c r="AU153" s="52">
        <f t="shared" ref="AU153" si="798">MIN(0,MAX(-(AU150+AU151+AU152),-AU147))</f>
        <v>0</v>
      </c>
      <c r="AV153" s="52">
        <f t="shared" ref="AV153" si="799">MIN(0,MAX(-(AV150+AV151+AV152),-AV147))</f>
        <v>0</v>
      </c>
      <c r="AW153" s="52">
        <f t="shared" ref="AW153" si="800">MIN(0,MAX(-(AW150+AW151+AW152),-AW147))</f>
        <v>0</v>
      </c>
      <c r="AX153" s="52">
        <f t="shared" ref="AX153" si="801">MIN(0,MAX(-(AX150+AX151+AX152),-AX147))</f>
        <v>0</v>
      </c>
      <c r="AY153" s="52">
        <f t="shared" ref="AY153" si="802">MIN(0,MAX(-(AY150+AY151+AY152),-AY147))</f>
        <v>0</v>
      </c>
      <c r="AZ153" s="52">
        <f t="shared" ref="AZ153" si="803">MIN(0,MAX(-(AZ150+AZ151+AZ152),-AZ147))</f>
        <v>-13383154.973049806</v>
      </c>
      <c r="BA153" s="52">
        <f t="shared" ref="BA153" si="804">MIN(0,MAX(-(BA150+BA151+BA152),-BA147))</f>
        <v>0</v>
      </c>
      <c r="BB153" s="52">
        <f t="shared" ref="BB153" si="805">MIN(0,MAX(-(BB150+BB151+BB152),-BB147))</f>
        <v>0</v>
      </c>
      <c r="BC153" s="52">
        <f t="shared" ref="BC153" si="806">MIN(0,MAX(-(BC150+BC151+BC152),-BC147))</f>
        <v>0</v>
      </c>
      <c r="BD153" s="52">
        <f t="shared" ref="BD153" si="807">MIN(0,MAX(-(BD150+BD151+BD152),-BD147))</f>
        <v>0</v>
      </c>
      <c r="BE153" s="52">
        <f t="shared" ref="BE153" si="808">MIN(0,MAX(-(BE150+BE151+BE152),-BE147))</f>
        <v>0</v>
      </c>
      <c r="BF153" s="52">
        <f t="shared" ref="BF153" si="809">MIN(0,MAX(-(BF150+BF151+BF152),-BF147))</f>
        <v>0</v>
      </c>
      <c r="BG153" s="52">
        <f t="shared" ref="BG153" si="810">MIN(0,MAX(-(BG150+BG151+BG152),-BG147))</f>
        <v>0</v>
      </c>
      <c r="BH153" s="52">
        <f t="shared" ref="BH153" si="811">MIN(0,MAX(-(BH150+BH151+BH152),-BH147))</f>
        <v>0</v>
      </c>
      <c r="BI153" s="52">
        <f t="shared" ref="BI153" si="812">MIN(0,MAX(-(BI150+BI151+BI152),-BI147))</f>
        <v>0</v>
      </c>
      <c r="BJ153" s="52">
        <f t="shared" ref="BJ153" si="813">MIN(0,MAX(-(BJ150+BJ151+BJ152),-BJ147))</f>
        <v>0</v>
      </c>
      <c r="BK153" s="52">
        <f t="shared" ref="BK153" si="814">MIN(0,MAX(-(BK150+BK151+BK152),-BK147))</f>
        <v>0</v>
      </c>
      <c r="BL153" s="52">
        <f t="shared" ref="BL153" si="815">MIN(0,MAX(-(BL150+BL151+BL152),-BL147))</f>
        <v>0</v>
      </c>
      <c r="BM153" s="52">
        <f t="shared" ref="BM153" si="816">MIN(0,MAX(-(BM150+BM151+BM152),-BM147))</f>
        <v>0</v>
      </c>
      <c r="BN153" s="52">
        <f t="shared" ref="BN153" si="817">MIN(0,MAX(-(BN150+BN151+BN152),-BN147))</f>
        <v>0</v>
      </c>
      <c r="BO153" s="52">
        <f t="shared" ref="BO153" si="818">MIN(0,MAX(-(BO150+BO151+BO152),-BO147))</f>
        <v>0</v>
      </c>
      <c r="BP153" s="52">
        <f t="shared" ref="BP153" si="819">MIN(0,MAX(-(BP150+BP151+BP152),-BP147))</f>
        <v>0</v>
      </c>
      <c r="BQ153" s="52">
        <f t="shared" ref="BQ153" si="820">MIN(0,MAX(-(BQ150+BQ151+BQ152),-BQ147))</f>
        <v>0</v>
      </c>
      <c r="BR153" s="52">
        <f t="shared" ref="BR153" si="821">MIN(0,MAX(-(BR150+BR151+BR152),-BR147))</f>
        <v>0</v>
      </c>
      <c r="BS153" s="52">
        <f t="shared" ref="BS153" si="822">MIN(0,MAX(-(BS150+BS151+BS152),-BS147))</f>
        <v>0</v>
      </c>
      <c r="BT153" s="52">
        <f t="shared" ref="BT153" si="823">MIN(0,MAX(-(BT150+BT151+BT152),-BT147))</f>
        <v>0</v>
      </c>
      <c r="BU153" s="52">
        <f t="shared" ref="BU153" si="824">MIN(0,MAX(-(BU150+BU151+BU152),-BU147))</f>
        <v>0</v>
      </c>
      <c r="BV153" s="52">
        <f t="shared" ref="BV153" si="825">MIN(0,MAX(-(BV150+BV151+BV152),-BV147))</f>
        <v>0</v>
      </c>
      <c r="BW153" s="52">
        <f t="shared" ref="BW153" si="826">MIN(0,MAX(-(BW150+BW151+BW152),-BW147))</f>
        <v>0</v>
      </c>
      <c r="BX153" s="52">
        <f t="shared" ref="BX153" si="827">MIN(0,MAX(-(BX150+BX151+BX152),-BX147))</f>
        <v>0</v>
      </c>
      <c r="BY153" s="52">
        <f t="shared" ref="BY153" si="828">MIN(0,MAX(-(BY150+BY151+BY152),-BY147))</f>
        <v>0</v>
      </c>
      <c r="BZ153" s="52">
        <f t="shared" ref="BZ153" si="829">MIN(0,MAX(-(BZ150+BZ151+BZ152),-BZ147))</f>
        <v>0</v>
      </c>
      <c r="CA153" s="52">
        <f t="shared" ref="CA153" si="830">MIN(0,MAX(-(CA150+CA151+CA152),-CA147))</f>
        <v>0</v>
      </c>
      <c r="CB153" s="52">
        <f t="shared" ref="CB153" si="831">MIN(0,MAX(-(CB150+CB151+CB152),-CB147))</f>
        <v>0</v>
      </c>
      <c r="CC153" s="52">
        <f t="shared" ref="CC153" si="832">MIN(0,MAX(-(CC150+CC151+CC152),-CC147))</f>
        <v>0</v>
      </c>
      <c r="CD153" s="52">
        <f t="shared" ref="CD153" si="833">MIN(0,MAX(-(CD150+CD151+CD152),-CD147))</f>
        <v>0</v>
      </c>
      <c r="CE153" s="52">
        <f t="shared" ref="CE153" si="834">MIN(0,MAX(-(CE150+CE151+CE152),-CE147))</f>
        <v>0</v>
      </c>
      <c r="CF153" s="52">
        <f t="shared" ref="CF153" si="835">MIN(0,MAX(-(CF150+CF151+CF152),-CF147))</f>
        <v>0</v>
      </c>
      <c r="CG153" s="52">
        <f t="shared" ref="CG153" si="836">MIN(0,MAX(-(CG150+CG151+CG152),-CG147))</f>
        <v>0</v>
      </c>
      <c r="CH153" s="52">
        <f t="shared" ref="CH153" si="837">MIN(0,MAX(-(CH150+CH151+CH152),-CH147))</f>
        <v>0</v>
      </c>
      <c r="CI153" s="52">
        <f t="shared" ref="CI153" si="838">MIN(0,MAX(-(CI150+CI151+CI152),-CI147))</f>
        <v>0</v>
      </c>
      <c r="CJ153" s="52">
        <f t="shared" ref="CJ153" si="839">MIN(0,MAX(-(CJ150+CJ151+CJ152),-CJ147))</f>
        <v>0</v>
      </c>
      <c r="CK153" s="52">
        <f t="shared" ref="CK153" si="840">MIN(0,MAX(-(CK150+CK151+CK152),-CK147))</f>
        <v>0</v>
      </c>
    </row>
    <row r="154" spans="3:89" outlineLevel="1" x14ac:dyDescent="0.25">
      <c r="C154" s="104" t="s">
        <v>101</v>
      </c>
      <c r="D154" s="13" t="s">
        <v>24</v>
      </c>
      <c r="F154" s="72">
        <f>SUM(F150:F153)</f>
        <v>1792687.8812385798</v>
      </c>
      <c r="G154" s="72">
        <f t="shared" ref="G154" si="841">SUM(G150:G153)</f>
        <v>1792687.8812385798</v>
      </c>
      <c r="H154" s="72">
        <f t="shared" ref="H154" si="842">SUM(H150:H153)</f>
        <v>1792687.8812385798</v>
      </c>
      <c r="I154" s="72">
        <f t="shared" ref="I154" si="843">SUM(I150:I153)</f>
        <v>2780911.7747587552</v>
      </c>
      <c r="J154" s="72">
        <f t="shared" ref="J154" si="844">SUM(J150:J153)</f>
        <v>3922119.665198009</v>
      </c>
      <c r="K154" s="72">
        <f t="shared" ref="K154" si="845">SUM(K150:K153)</f>
        <v>6515168.9105156977</v>
      </c>
      <c r="L154" s="72">
        <f t="shared" ref="L154" si="846">SUM(L150:L153)</f>
        <v>8570508.5419063773</v>
      </c>
      <c r="M154" s="72">
        <f t="shared" ref="M154" si="847">SUM(M150:M153)</f>
        <v>9135644.848769838</v>
      </c>
      <c r="N154" s="72">
        <f t="shared" ref="N154" si="848">SUM(N150:N153)</f>
        <v>9397553.2805786505</v>
      </c>
      <c r="O154" s="72">
        <f t="shared" ref="O154" si="849">SUM(O150:O153)</f>
        <v>9812510.6813362893</v>
      </c>
      <c r="P154" s="72">
        <f t="shared" ref="P154" si="850">SUM(P150:P153)</f>
        <v>10796512.61513013</v>
      </c>
      <c r="Q154" s="72">
        <f t="shared" ref="Q154" si="851">SUM(Q150:Q153)</f>
        <v>12395095.098463461</v>
      </c>
      <c r="R154" s="72">
        <f t="shared" ref="R154" si="852">SUM(R150:R153)</f>
        <v>13383154.973049806</v>
      </c>
      <c r="S154" s="72">
        <f t="shared" ref="S154" si="853">SUM(S150:S153)</f>
        <v>13383154.973049806</v>
      </c>
      <c r="T154" s="72">
        <f t="shared" ref="T154" si="854">SUM(T150:T153)</f>
        <v>13383154.973049806</v>
      </c>
      <c r="U154" s="72">
        <f t="shared" ref="U154" si="855">SUM(U150:U153)</f>
        <v>13383154.973049806</v>
      </c>
      <c r="V154" s="72">
        <f t="shared" ref="V154" si="856">SUM(V150:V153)</f>
        <v>13383154.973049806</v>
      </c>
      <c r="W154" s="72">
        <f t="shared" ref="W154" si="857">SUM(W150:W153)</f>
        <v>13383154.973049806</v>
      </c>
      <c r="X154" s="72">
        <f t="shared" ref="X154" si="858">SUM(X150:X153)</f>
        <v>13383154.973049806</v>
      </c>
      <c r="Y154" s="72">
        <f t="shared" ref="Y154" si="859">SUM(Y150:Y153)</f>
        <v>13383154.973049806</v>
      </c>
      <c r="Z154" s="72">
        <f t="shared" ref="Z154" si="860">SUM(Z150:Z153)</f>
        <v>13383154.973049806</v>
      </c>
      <c r="AA154" s="72">
        <f t="shared" ref="AA154" si="861">SUM(AA150:AA153)</f>
        <v>13383154.973049806</v>
      </c>
      <c r="AB154" s="72">
        <f t="shared" ref="AB154" si="862">SUM(AB150:AB153)</f>
        <v>13383154.973049806</v>
      </c>
      <c r="AC154" s="72">
        <f t="shared" ref="AC154" si="863">SUM(AC150:AC153)</f>
        <v>13383154.973049806</v>
      </c>
      <c r="AD154" s="72">
        <f t="shared" ref="AD154" si="864">SUM(AD150:AD153)</f>
        <v>13383154.973049806</v>
      </c>
      <c r="AE154" s="72">
        <f t="shared" ref="AE154" si="865">SUM(AE150:AE153)</f>
        <v>13383154.973049806</v>
      </c>
      <c r="AF154" s="72">
        <f t="shared" ref="AF154" si="866">SUM(AF150:AF153)</f>
        <v>13383154.973049806</v>
      </c>
      <c r="AG154" s="72">
        <f t="shared" ref="AG154" si="867">SUM(AG150:AG153)</f>
        <v>13383154.973049806</v>
      </c>
      <c r="AH154" s="72">
        <f t="shared" ref="AH154" si="868">SUM(AH150:AH153)</f>
        <v>13383154.973049806</v>
      </c>
      <c r="AI154" s="72">
        <f t="shared" ref="AI154" si="869">SUM(AI150:AI153)</f>
        <v>13383154.973049806</v>
      </c>
      <c r="AJ154" s="72">
        <f t="shared" ref="AJ154" si="870">SUM(AJ150:AJ153)</f>
        <v>13383154.973049806</v>
      </c>
      <c r="AK154" s="72">
        <f t="shared" ref="AK154" si="871">SUM(AK150:AK153)</f>
        <v>13383154.973049806</v>
      </c>
      <c r="AL154" s="72">
        <f t="shared" ref="AL154" si="872">SUM(AL150:AL153)</f>
        <v>13383154.973049806</v>
      </c>
      <c r="AM154" s="72">
        <f t="shared" ref="AM154" si="873">SUM(AM150:AM153)</f>
        <v>13383154.973049806</v>
      </c>
      <c r="AN154" s="72">
        <f t="shared" ref="AN154" si="874">SUM(AN150:AN153)</f>
        <v>13383154.973049806</v>
      </c>
      <c r="AO154" s="72">
        <f t="shared" ref="AO154" si="875">SUM(AO150:AO153)</f>
        <v>13383154.973049806</v>
      </c>
      <c r="AP154" s="72">
        <f t="shared" ref="AP154" si="876">SUM(AP150:AP153)</f>
        <v>13383154.973049806</v>
      </c>
      <c r="AQ154" s="72">
        <f t="shared" ref="AQ154" si="877">SUM(AQ150:AQ153)</f>
        <v>13383154.973049806</v>
      </c>
      <c r="AR154" s="72">
        <f t="shared" ref="AR154" si="878">SUM(AR150:AR153)</f>
        <v>13383154.973049806</v>
      </c>
      <c r="AS154" s="72">
        <f t="shared" ref="AS154" si="879">SUM(AS150:AS153)</f>
        <v>13383154.973049806</v>
      </c>
      <c r="AT154" s="72">
        <f t="shared" ref="AT154" si="880">SUM(AT150:AT153)</f>
        <v>13383154.973049806</v>
      </c>
      <c r="AU154" s="72">
        <f t="shared" ref="AU154" si="881">SUM(AU150:AU153)</f>
        <v>13383154.973049806</v>
      </c>
      <c r="AV154" s="72">
        <f t="shared" ref="AV154" si="882">SUM(AV150:AV153)</f>
        <v>13383154.973049806</v>
      </c>
      <c r="AW154" s="72">
        <f t="shared" ref="AW154" si="883">SUM(AW150:AW153)</f>
        <v>13383154.973049806</v>
      </c>
      <c r="AX154" s="72">
        <f t="shared" ref="AX154" si="884">SUM(AX150:AX153)</f>
        <v>13383154.973049806</v>
      </c>
      <c r="AY154" s="72">
        <f t="shared" ref="AY154" si="885">SUM(AY150:AY153)</f>
        <v>13383154.973049806</v>
      </c>
      <c r="AZ154" s="72">
        <f t="shared" ref="AZ154" si="886">SUM(AZ150:AZ153)</f>
        <v>0</v>
      </c>
      <c r="BA154" s="72">
        <f t="shared" ref="BA154" si="887">SUM(BA150:BA153)</f>
        <v>0</v>
      </c>
      <c r="BB154" s="72">
        <f t="shared" ref="BB154" si="888">SUM(BB150:BB153)</f>
        <v>0</v>
      </c>
      <c r="BC154" s="72">
        <f t="shared" ref="BC154" si="889">SUM(BC150:BC153)</f>
        <v>0</v>
      </c>
      <c r="BD154" s="72">
        <f t="shared" ref="BD154" si="890">SUM(BD150:BD153)</f>
        <v>0</v>
      </c>
      <c r="BE154" s="72">
        <f t="shared" ref="BE154" si="891">SUM(BE150:BE153)</f>
        <v>0</v>
      </c>
      <c r="BF154" s="72">
        <f t="shared" ref="BF154" si="892">SUM(BF150:BF153)</f>
        <v>0</v>
      </c>
      <c r="BG154" s="72">
        <f t="shared" ref="BG154" si="893">SUM(BG150:BG153)</f>
        <v>0</v>
      </c>
      <c r="BH154" s="72">
        <f t="shared" ref="BH154" si="894">SUM(BH150:BH153)</f>
        <v>0</v>
      </c>
      <c r="BI154" s="72">
        <f t="shared" ref="BI154" si="895">SUM(BI150:BI153)</f>
        <v>0</v>
      </c>
      <c r="BJ154" s="72">
        <f t="shared" ref="BJ154" si="896">SUM(BJ150:BJ153)</f>
        <v>0</v>
      </c>
      <c r="BK154" s="72">
        <f t="shared" ref="BK154" si="897">SUM(BK150:BK153)</f>
        <v>0</v>
      </c>
      <c r="BL154" s="72">
        <f t="shared" ref="BL154" si="898">SUM(BL150:BL153)</f>
        <v>0</v>
      </c>
      <c r="BM154" s="72">
        <f t="shared" ref="BM154" si="899">SUM(BM150:BM153)</f>
        <v>0</v>
      </c>
      <c r="BN154" s="72">
        <f t="shared" ref="BN154" si="900">SUM(BN150:BN153)</f>
        <v>0</v>
      </c>
      <c r="BO154" s="72">
        <f t="shared" ref="BO154" si="901">SUM(BO150:BO153)</f>
        <v>0</v>
      </c>
      <c r="BP154" s="72">
        <f t="shared" ref="BP154" si="902">SUM(BP150:BP153)</f>
        <v>0</v>
      </c>
      <c r="BQ154" s="72">
        <f t="shared" ref="BQ154" si="903">SUM(BQ150:BQ153)</f>
        <v>0</v>
      </c>
      <c r="BR154" s="72">
        <f t="shared" ref="BR154" si="904">SUM(BR150:BR153)</f>
        <v>0</v>
      </c>
      <c r="BS154" s="72">
        <f t="shared" ref="BS154" si="905">SUM(BS150:BS153)</f>
        <v>0</v>
      </c>
      <c r="BT154" s="72">
        <f t="shared" ref="BT154" si="906">SUM(BT150:BT153)</f>
        <v>0</v>
      </c>
      <c r="BU154" s="72">
        <f t="shared" ref="BU154" si="907">SUM(BU150:BU153)</f>
        <v>0</v>
      </c>
      <c r="BV154" s="72">
        <f t="shared" ref="BV154" si="908">SUM(BV150:BV153)</f>
        <v>0</v>
      </c>
      <c r="BW154" s="72">
        <f t="shared" ref="BW154" si="909">SUM(BW150:BW153)</f>
        <v>0</v>
      </c>
      <c r="BX154" s="72">
        <f t="shared" ref="BX154" si="910">SUM(BX150:BX153)</f>
        <v>0</v>
      </c>
      <c r="BY154" s="72">
        <f t="shared" ref="BY154" si="911">SUM(BY150:BY153)</f>
        <v>0</v>
      </c>
      <c r="BZ154" s="72">
        <f t="shared" ref="BZ154" si="912">SUM(BZ150:BZ153)</f>
        <v>0</v>
      </c>
      <c r="CA154" s="72">
        <f t="shared" ref="CA154" si="913">SUM(CA150:CA153)</f>
        <v>0</v>
      </c>
      <c r="CB154" s="72">
        <f t="shared" ref="CB154" si="914">SUM(CB150:CB153)</f>
        <v>0</v>
      </c>
      <c r="CC154" s="72">
        <f t="shared" ref="CC154" si="915">SUM(CC150:CC153)</f>
        <v>0</v>
      </c>
      <c r="CD154" s="72">
        <f t="shared" ref="CD154" si="916">SUM(CD150:CD153)</f>
        <v>0</v>
      </c>
      <c r="CE154" s="72">
        <f t="shared" ref="CE154" si="917">SUM(CE150:CE153)</f>
        <v>0</v>
      </c>
      <c r="CF154" s="72">
        <f t="shared" ref="CF154" si="918">SUM(CF150:CF153)</f>
        <v>0</v>
      </c>
      <c r="CG154" s="72">
        <f t="shared" ref="CG154" si="919">SUM(CG150:CG153)</f>
        <v>0</v>
      </c>
      <c r="CH154" s="72">
        <f t="shared" ref="CH154" si="920">SUM(CH150:CH153)</f>
        <v>0</v>
      </c>
      <c r="CI154" s="72">
        <f t="shared" ref="CI154" si="921">SUM(CI150:CI153)</f>
        <v>0</v>
      </c>
      <c r="CJ154" s="72">
        <f t="shared" ref="CJ154" si="922">SUM(CJ150:CJ153)</f>
        <v>0</v>
      </c>
      <c r="CK154" s="72">
        <f t="shared" ref="CK154" si="923">SUM(CK150:CK153)</f>
        <v>0</v>
      </c>
    </row>
    <row r="155" spans="3:89" outlineLevel="1" x14ac:dyDescent="0.25">
      <c r="C155" s="38"/>
    </row>
    <row r="156" spans="3:89" outlineLevel="1" x14ac:dyDescent="0.25">
      <c r="C156" s="66" t="s">
        <v>195</v>
      </c>
      <c r="D156" s="13" t="s">
        <v>24</v>
      </c>
      <c r="F156" s="72">
        <f>MAX(F147+F153,0)</f>
        <v>0</v>
      </c>
      <c r="G156" s="72">
        <f t="shared" ref="G156:BR156" si="924">MAX(G147+G153,0)</f>
        <v>0</v>
      </c>
      <c r="H156" s="72">
        <f t="shared" si="924"/>
        <v>0</v>
      </c>
      <c r="I156" s="72">
        <f t="shared" si="924"/>
        <v>0</v>
      </c>
      <c r="J156" s="72">
        <f t="shared" si="924"/>
        <v>0</v>
      </c>
      <c r="K156" s="72">
        <f t="shared" si="924"/>
        <v>0</v>
      </c>
      <c r="L156" s="72">
        <f t="shared" si="924"/>
        <v>0</v>
      </c>
      <c r="M156" s="72">
        <f t="shared" si="924"/>
        <v>0</v>
      </c>
      <c r="N156" s="72">
        <f t="shared" si="924"/>
        <v>0</v>
      </c>
      <c r="O156" s="72">
        <f t="shared" si="924"/>
        <v>0</v>
      </c>
      <c r="P156" s="72">
        <f t="shared" si="924"/>
        <v>0</v>
      </c>
      <c r="Q156" s="72">
        <f t="shared" si="924"/>
        <v>0</v>
      </c>
      <c r="R156" s="72">
        <f t="shared" si="924"/>
        <v>0</v>
      </c>
      <c r="S156" s="72">
        <f t="shared" si="924"/>
        <v>0</v>
      </c>
      <c r="T156" s="72">
        <f t="shared" si="924"/>
        <v>0</v>
      </c>
      <c r="U156" s="72">
        <f t="shared" si="924"/>
        <v>0</v>
      </c>
      <c r="V156" s="72">
        <f t="shared" si="924"/>
        <v>0</v>
      </c>
      <c r="W156" s="72">
        <f t="shared" si="924"/>
        <v>0</v>
      </c>
      <c r="X156" s="72">
        <f t="shared" si="924"/>
        <v>0</v>
      </c>
      <c r="Y156" s="72">
        <f t="shared" si="924"/>
        <v>0</v>
      </c>
      <c r="Z156" s="72">
        <f t="shared" si="924"/>
        <v>0</v>
      </c>
      <c r="AA156" s="72">
        <f t="shared" si="924"/>
        <v>0</v>
      </c>
      <c r="AB156" s="72">
        <f t="shared" si="924"/>
        <v>0</v>
      </c>
      <c r="AC156" s="72">
        <f t="shared" si="924"/>
        <v>0</v>
      </c>
      <c r="AD156" s="72">
        <f t="shared" si="924"/>
        <v>0</v>
      </c>
      <c r="AE156" s="72">
        <f t="shared" si="924"/>
        <v>0</v>
      </c>
      <c r="AF156" s="72">
        <f t="shared" si="924"/>
        <v>0</v>
      </c>
      <c r="AG156" s="72">
        <f t="shared" si="924"/>
        <v>0</v>
      </c>
      <c r="AH156" s="72">
        <f t="shared" si="924"/>
        <v>0</v>
      </c>
      <c r="AI156" s="72">
        <f t="shared" si="924"/>
        <v>0</v>
      </c>
      <c r="AJ156" s="72">
        <f t="shared" si="924"/>
        <v>0</v>
      </c>
      <c r="AK156" s="72">
        <f t="shared" si="924"/>
        <v>0</v>
      </c>
      <c r="AL156" s="72">
        <f t="shared" si="924"/>
        <v>0</v>
      </c>
      <c r="AM156" s="72">
        <f t="shared" si="924"/>
        <v>0</v>
      </c>
      <c r="AN156" s="72">
        <f t="shared" si="924"/>
        <v>0</v>
      </c>
      <c r="AO156" s="72">
        <f t="shared" si="924"/>
        <v>0</v>
      </c>
      <c r="AP156" s="72">
        <f t="shared" si="924"/>
        <v>0</v>
      </c>
      <c r="AQ156" s="72">
        <f t="shared" si="924"/>
        <v>0</v>
      </c>
      <c r="AR156" s="72">
        <f t="shared" si="924"/>
        <v>0</v>
      </c>
      <c r="AS156" s="72">
        <f t="shared" si="924"/>
        <v>0</v>
      </c>
      <c r="AT156" s="72">
        <f t="shared" si="924"/>
        <v>0</v>
      </c>
      <c r="AU156" s="72">
        <f t="shared" si="924"/>
        <v>0</v>
      </c>
      <c r="AV156" s="72">
        <f t="shared" si="924"/>
        <v>0</v>
      </c>
      <c r="AW156" s="72">
        <f t="shared" si="924"/>
        <v>0</v>
      </c>
      <c r="AX156" s="72">
        <f t="shared" si="924"/>
        <v>0</v>
      </c>
      <c r="AY156" s="72">
        <f t="shared" si="924"/>
        <v>0</v>
      </c>
      <c r="AZ156" s="72">
        <f t="shared" si="924"/>
        <v>54088754.977252454</v>
      </c>
      <c r="BA156" s="72">
        <f t="shared" si="924"/>
        <v>0</v>
      </c>
      <c r="BB156" s="72">
        <f t="shared" si="924"/>
        <v>0</v>
      </c>
      <c r="BC156" s="72">
        <f t="shared" si="924"/>
        <v>0</v>
      </c>
      <c r="BD156" s="72">
        <f t="shared" si="924"/>
        <v>0</v>
      </c>
      <c r="BE156" s="72">
        <f t="shared" si="924"/>
        <v>0</v>
      </c>
      <c r="BF156" s="72">
        <f t="shared" si="924"/>
        <v>0</v>
      </c>
      <c r="BG156" s="72">
        <f t="shared" si="924"/>
        <v>0</v>
      </c>
      <c r="BH156" s="72">
        <f t="shared" si="924"/>
        <v>0</v>
      </c>
      <c r="BI156" s="72">
        <f t="shared" si="924"/>
        <v>0</v>
      </c>
      <c r="BJ156" s="72">
        <f t="shared" si="924"/>
        <v>0</v>
      </c>
      <c r="BK156" s="72">
        <f t="shared" si="924"/>
        <v>0</v>
      </c>
      <c r="BL156" s="72">
        <f t="shared" si="924"/>
        <v>0</v>
      </c>
      <c r="BM156" s="72">
        <f t="shared" si="924"/>
        <v>0</v>
      </c>
      <c r="BN156" s="72">
        <f t="shared" si="924"/>
        <v>0</v>
      </c>
      <c r="BO156" s="72">
        <f t="shared" si="924"/>
        <v>0</v>
      </c>
      <c r="BP156" s="72">
        <f t="shared" si="924"/>
        <v>0</v>
      </c>
      <c r="BQ156" s="72">
        <f t="shared" si="924"/>
        <v>0</v>
      </c>
      <c r="BR156" s="72">
        <f t="shared" si="924"/>
        <v>0</v>
      </c>
      <c r="BS156" s="72">
        <f t="shared" ref="BS156:CK156" si="925">MAX(BS147+BS153,0)</f>
        <v>0</v>
      </c>
      <c r="BT156" s="72">
        <f t="shared" si="925"/>
        <v>0</v>
      </c>
      <c r="BU156" s="72">
        <f t="shared" si="925"/>
        <v>0</v>
      </c>
      <c r="BV156" s="72">
        <f t="shared" si="925"/>
        <v>0</v>
      </c>
      <c r="BW156" s="72">
        <f t="shared" si="925"/>
        <v>0</v>
      </c>
      <c r="BX156" s="72">
        <f t="shared" si="925"/>
        <v>0</v>
      </c>
      <c r="BY156" s="72">
        <f t="shared" si="925"/>
        <v>0</v>
      </c>
      <c r="BZ156" s="72">
        <f t="shared" si="925"/>
        <v>0</v>
      </c>
      <c r="CA156" s="72">
        <f t="shared" si="925"/>
        <v>0</v>
      </c>
      <c r="CB156" s="72">
        <f t="shared" si="925"/>
        <v>0</v>
      </c>
      <c r="CC156" s="72">
        <f t="shared" si="925"/>
        <v>0</v>
      </c>
      <c r="CD156" s="72">
        <f t="shared" si="925"/>
        <v>0</v>
      </c>
      <c r="CE156" s="72">
        <f t="shared" si="925"/>
        <v>0</v>
      </c>
      <c r="CF156" s="72">
        <f t="shared" si="925"/>
        <v>0</v>
      </c>
      <c r="CG156" s="72">
        <f t="shared" si="925"/>
        <v>0</v>
      </c>
      <c r="CH156" s="72">
        <f t="shared" si="925"/>
        <v>0</v>
      </c>
      <c r="CI156" s="72">
        <f t="shared" si="925"/>
        <v>0</v>
      </c>
      <c r="CJ156" s="72">
        <f t="shared" si="925"/>
        <v>0</v>
      </c>
      <c r="CK156" s="72">
        <f t="shared" si="925"/>
        <v>0</v>
      </c>
    </row>
    <row r="157" spans="3:89" outlineLevel="1" x14ac:dyDescent="0.25">
      <c r="C157" s="38"/>
      <c r="K157" s="58"/>
    </row>
    <row r="158" spans="3:89" outlineLevel="1" x14ac:dyDescent="0.25">
      <c r="C158" s="34" t="str">
        <f>"Tier 1 - "&amp;TEXT(Tier_1_IRR_Min,"0.0x")&amp;" Multiple Up to "&amp;TEXT(Tier_1_IRR_Max,"0.0%")&amp;" IRR:"</f>
        <v>Tier 1 - 1.0x Multiple Up to 20.0% IRR:</v>
      </c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</row>
    <row r="159" spans="3:89" outlineLevel="1" x14ac:dyDescent="0.25">
      <c r="C159" s="123" t="s">
        <v>190</v>
      </c>
      <c r="D159" s="13" t="s">
        <v>24</v>
      </c>
      <c r="F159" s="105">
        <v>0</v>
      </c>
      <c r="G159" s="38">
        <f>+F164</f>
        <v>8963439.4061929006</v>
      </c>
      <c r="H159" s="38">
        <f t="shared" ref="H159:BS159" si="926">+G164</f>
        <v>6311844.6253424305</v>
      </c>
      <c r="I159" s="38">
        <f t="shared" si="926"/>
        <v>4365553.1971057439</v>
      </c>
      <c r="J159" s="38">
        <f t="shared" si="926"/>
        <v>9373506.9725927208</v>
      </c>
      <c r="K159" s="38">
        <f t="shared" si="926"/>
        <v>15223049.853264924</v>
      </c>
      <c r="L159" s="38">
        <f t="shared" si="926"/>
        <v>28421352.912497863</v>
      </c>
      <c r="M159" s="38">
        <f t="shared" si="926"/>
        <v>39133166.933427595</v>
      </c>
      <c r="N159" s="38">
        <f t="shared" si="926"/>
        <v>42557956.532473259</v>
      </c>
      <c r="O159" s="38">
        <f t="shared" si="926"/>
        <v>44519038.471580058</v>
      </c>
      <c r="P159" s="38">
        <f t="shared" si="926"/>
        <v>47275388.381525308</v>
      </c>
      <c r="Q159" s="38">
        <f t="shared" si="926"/>
        <v>52919159.214284807</v>
      </c>
      <c r="R159" s="38">
        <f t="shared" si="926"/>
        <v>61722235.937813133</v>
      </c>
      <c r="S159" s="38">
        <f t="shared" si="926"/>
        <v>67607470.061012253</v>
      </c>
      <c r="T159" s="38">
        <f t="shared" si="926"/>
        <v>68642504.629472777</v>
      </c>
      <c r="U159" s="38">
        <f t="shared" si="926"/>
        <v>69693385.029125348</v>
      </c>
      <c r="V159" s="38">
        <f t="shared" si="926"/>
        <v>70760353.851255149</v>
      </c>
      <c r="W159" s="38">
        <f t="shared" si="926"/>
        <v>71843657.401091486</v>
      </c>
      <c r="X159" s="38">
        <f t="shared" si="926"/>
        <v>72943545.754666284</v>
      </c>
      <c r="Y159" s="38">
        <f t="shared" si="926"/>
        <v>74060272.816543147</v>
      </c>
      <c r="Z159" s="38">
        <f t="shared" si="926"/>
        <v>75194096.378430054</v>
      </c>
      <c r="AA159" s="38">
        <f t="shared" si="926"/>
        <v>76345278.178689569</v>
      </c>
      <c r="AB159" s="38">
        <f t="shared" si="926"/>
        <v>77514083.962759987</v>
      </c>
      <c r="AC159" s="38">
        <f t="shared" si="926"/>
        <v>78700783.544501543</v>
      </c>
      <c r="AD159" s="38">
        <f t="shared" si="926"/>
        <v>79905650.868481815</v>
      </c>
      <c r="AE159" s="38">
        <f t="shared" si="926"/>
        <v>81128964.07321465</v>
      </c>
      <c r="AF159" s="38">
        <f t="shared" si="926"/>
        <v>82371005.555367276</v>
      </c>
      <c r="AG159" s="38">
        <f t="shared" si="926"/>
        <v>83632062.034950361</v>
      </c>
      <c r="AH159" s="38">
        <f t="shared" si="926"/>
        <v>84912424.621506125</v>
      </c>
      <c r="AI159" s="38">
        <f t="shared" si="926"/>
        <v>86212388.881309718</v>
      </c>
      <c r="AJ159" s="38">
        <f t="shared" si="926"/>
        <v>87532254.90559949</v>
      </c>
      <c r="AK159" s="38">
        <f t="shared" si="926"/>
        <v>88872327.379851714</v>
      </c>
      <c r="AL159" s="38">
        <f t="shared" si="926"/>
        <v>90232915.654116005</v>
      </c>
      <c r="AM159" s="38">
        <f t="shared" si="926"/>
        <v>91614333.81442742</v>
      </c>
      <c r="AN159" s="38">
        <f t="shared" si="926"/>
        <v>93016900.755311921</v>
      </c>
      <c r="AO159" s="38">
        <f t="shared" si="926"/>
        <v>94440940.253401786</v>
      </c>
      <c r="AP159" s="38">
        <f t="shared" si="926"/>
        <v>95886781.042178124</v>
      </c>
      <c r="AQ159" s="38">
        <f t="shared" si="926"/>
        <v>97354756.887857541</v>
      </c>
      <c r="AR159" s="38">
        <f t="shared" si="926"/>
        <v>98845206.666440696</v>
      </c>
      <c r="AS159" s="38">
        <f t="shared" si="926"/>
        <v>100358474.4419404</v>
      </c>
      <c r="AT159" s="38">
        <f t="shared" si="926"/>
        <v>101894909.54580732</v>
      </c>
      <c r="AU159" s="38">
        <f t="shared" si="926"/>
        <v>103454866.65757163</v>
      </c>
      <c r="AV159" s="38">
        <f t="shared" si="926"/>
        <v>105038705.88671935</v>
      </c>
      <c r="AW159" s="38">
        <f t="shared" si="926"/>
        <v>106646792.85582201</v>
      </c>
      <c r="AX159" s="38">
        <f t="shared" si="926"/>
        <v>108279498.78493915</v>
      </c>
      <c r="AY159" s="38">
        <f t="shared" si="926"/>
        <v>109937200.57731286</v>
      </c>
      <c r="AZ159" s="38">
        <f t="shared" si="926"/>
        <v>111620280.90637426</v>
      </c>
      <c r="BA159" s="38">
        <f t="shared" si="926"/>
        <v>0</v>
      </c>
      <c r="BB159" s="38">
        <f t="shared" si="926"/>
        <v>0</v>
      </c>
      <c r="BC159" s="38">
        <f t="shared" si="926"/>
        <v>0</v>
      </c>
      <c r="BD159" s="38">
        <f t="shared" si="926"/>
        <v>0</v>
      </c>
      <c r="BE159" s="38">
        <f t="shared" si="926"/>
        <v>0</v>
      </c>
      <c r="BF159" s="38">
        <f t="shared" si="926"/>
        <v>0</v>
      </c>
      <c r="BG159" s="38">
        <f t="shared" si="926"/>
        <v>0</v>
      </c>
      <c r="BH159" s="38">
        <f t="shared" si="926"/>
        <v>0</v>
      </c>
      <c r="BI159" s="38">
        <f t="shared" si="926"/>
        <v>0</v>
      </c>
      <c r="BJ159" s="38">
        <f t="shared" si="926"/>
        <v>0</v>
      </c>
      <c r="BK159" s="38">
        <f t="shared" si="926"/>
        <v>0</v>
      </c>
      <c r="BL159" s="38">
        <f t="shared" si="926"/>
        <v>0</v>
      </c>
      <c r="BM159" s="38">
        <f t="shared" si="926"/>
        <v>0</v>
      </c>
      <c r="BN159" s="38">
        <f t="shared" si="926"/>
        <v>0</v>
      </c>
      <c r="BO159" s="38">
        <f t="shared" si="926"/>
        <v>0</v>
      </c>
      <c r="BP159" s="38">
        <f t="shared" si="926"/>
        <v>0</v>
      </c>
      <c r="BQ159" s="38">
        <f t="shared" si="926"/>
        <v>0</v>
      </c>
      <c r="BR159" s="38">
        <f t="shared" si="926"/>
        <v>0</v>
      </c>
      <c r="BS159" s="38">
        <f t="shared" si="926"/>
        <v>0</v>
      </c>
      <c r="BT159" s="38">
        <f t="shared" ref="BT159:CK159" si="927">+BS164</f>
        <v>0</v>
      </c>
      <c r="BU159" s="38">
        <f t="shared" si="927"/>
        <v>0</v>
      </c>
      <c r="BV159" s="38">
        <f t="shared" si="927"/>
        <v>0</v>
      </c>
      <c r="BW159" s="38">
        <f t="shared" si="927"/>
        <v>0</v>
      </c>
      <c r="BX159" s="38">
        <f t="shared" si="927"/>
        <v>0</v>
      </c>
      <c r="BY159" s="38">
        <f t="shared" si="927"/>
        <v>0</v>
      </c>
      <c r="BZ159" s="38">
        <f t="shared" si="927"/>
        <v>0</v>
      </c>
      <c r="CA159" s="38">
        <f t="shared" si="927"/>
        <v>0</v>
      </c>
      <c r="CB159" s="38">
        <f t="shared" si="927"/>
        <v>0</v>
      </c>
      <c r="CC159" s="38">
        <f t="shared" si="927"/>
        <v>0</v>
      </c>
      <c r="CD159" s="38">
        <f t="shared" si="927"/>
        <v>0</v>
      </c>
      <c r="CE159" s="38">
        <f t="shared" si="927"/>
        <v>0</v>
      </c>
      <c r="CF159" s="38">
        <f t="shared" si="927"/>
        <v>0</v>
      </c>
      <c r="CG159" s="38">
        <f t="shared" si="927"/>
        <v>0</v>
      </c>
      <c r="CH159" s="38">
        <f t="shared" si="927"/>
        <v>0</v>
      </c>
      <c r="CI159" s="38">
        <f t="shared" si="927"/>
        <v>0</v>
      </c>
      <c r="CJ159" s="38">
        <f t="shared" si="927"/>
        <v>0</v>
      </c>
      <c r="CK159" s="38">
        <f t="shared" si="927"/>
        <v>0</v>
      </c>
    </row>
    <row r="160" spans="3:89" outlineLevel="1" x14ac:dyDescent="0.25">
      <c r="C160" s="123" t="s">
        <v>191</v>
      </c>
      <c r="D160" s="13" t="s">
        <v>24</v>
      </c>
      <c r="F160" s="38">
        <f>-F$136</f>
        <v>8963439.4061929006</v>
      </c>
      <c r="G160" s="38">
        <f t="shared" ref="G160:BR160" si="928">-G$136</f>
        <v>0</v>
      </c>
      <c r="H160" s="38">
        <f t="shared" si="928"/>
        <v>0</v>
      </c>
      <c r="I160" s="38">
        <f t="shared" si="928"/>
        <v>4941119.4676008793</v>
      </c>
      <c r="J160" s="38">
        <f t="shared" si="928"/>
        <v>5706039.4521962702</v>
      </c>
      <c r="K160" s="38">
        <f t="shared" si="928"/>
        <v>12965246.226588443</v>
      </c>
      <c r="L160" s="38">
        <f t="shared" si="928"/>
        <v>10276698.156953398</v>
      </c>
      <c r="M160" s="38">
        <f t="shared" si="928"/>
        <v>2825681.5343172997</v>
      </c>
      <c r="N160" s="38">
        <f t="shared" si="928"/>
        <v>1309542.159044059</v>
      </c>
      <c r="O160" s="38">
        <f t="shared" si="928"/>
        <v>2074787.0037881937</v>
      </c>
      <c r="P160" s="38">
        <f t="shared" si="928"/>
        <v>4920009.6689692084</v>
      </c>
      <c r="Q160" s="38">
        <f t="shared" si="928"/>
        <v>7992912.4166666558</v>
      </c>
      <c r="R160" s="38">
        <f t="shared" si="928"/>
        <v>4940299.3729317272</v>
      </c>
      <c r="S160" s="38">
        <f t="shared" si="928"/>
        <v>0</v>
      </c>
      <c r="T160" s="38">
        <f t="shared" si="928"/>
        <v>0</v>
      </c>
      <c r="U160" s="38">
        <f t="shared" si="928"/>
        <v>0</v>
      </c>
      <c r="V160" s="38">
        <f t="shared" si="928"/>
        <v>0</v>
      </c>
      <c r="W160" s="38">
        <f t="shared" si="928"/>
        <v>0</v>
      </c>
      <c r="X160" s="38">
        <f t="shared" si="928"/>
        <v>0</v>
      </c>
      <c r="Y160" s="38">
        <f t="shared" si="928"/>
        <v>0</v>
      </c>
      <c r="Z160" s="38">
        <f t="shared" si="928"/>
        <v>0</v>
      </c>
      <c r="AA160" s="38">
        <f t="shared" si="928"/>
        <v>0</v>
      </c>
      <c r="AB160" s="38">
        <f t="shared" si="928"/>
        <v>0</v>
      </c>
      <c r="AC160" s="38">
        <f t="shared" si="928"/>
        <v>0</v>
      </c>
      <c r="AD160" s="38">
        <f t="shared" si="928"/>
        <v>0</v>
      </c>
      <c r="AE160" s="38">
        <f t="shared" si="928"/>
        <v>0</v>
      </c>
      <c r="AF160" s="38">
        <f t="shared" si="928"/>
        <v>0</v>
      </c>
      <c r="AG160" s="38">
        <f t="shared" si="928"/>
        <v>0</v>
      </c>
      <c r="AH160" s="38">
        <f t="shared" si="928"/>
        <v>0</v>
      </c>
      <c r="AI160" s="38">
        <f t="shared" si="928"/>
        <v>0</v>
      </c>
      <c r="AJ160" s="38">
        <f t="shared" si="928"/>
        <v>0</v>
      </c>
      <c r="AK160" s="38">
        <f t="shared" si="928"/>
        <v>0</v>
      </c>
      <c r="AL160" s="38">
        <f t="shared" si="928"/>
        <v>0</v>
      </c>
      <c r="AM160" s="38">
        <f t="shared" si="928"/>
        <v>0</v>
      </c>
      <c r="AN160" s="38">
        <f t="shared" si="928"/>
        <v>0</v>
      </c>
      <c r="AO160" s="38">
        <f t="shared" si="928"/>
        <v>0</v>
      </c>
      <c r="AP160" s="38">
        <f t="shared" si="928"/>
        <v>0</v>
      </c>
      <c r="AQ160" s="38">
        <f t="shared" si="928"/>
        <v>0</v>
      </c>
      <c r="AR160" s="38">
        <f t="shared" si="928"/>
        <v>0</v>
      </c>
      <c r="AS160" s="38">
        <f t="shared" si="928"/>
        <v>0</v>
      </c>
      <c r="AT160" s="38">
        <f t="shared" si="928"/>
        <v>0</v>
      </c>
      <c r="AU160" s="38">
        <f t="shared" si="928"/>
        <v>0</v>
      </c>
      <c r="AV160" s="38">
        <f t="shared" si="928"/>
        <v>0</v>
      </c>
      <c r="AW160" s="38">
        <f t="shared" si="928"/>
        <v>0</v>
      </c>
      <c r="AX160" s="38">
        <f t="shared" si="928"/>
        <v>0</v>
      </c>
      <c r="AY160" s="38">
        <f t="shared" si="928"/>
        <v>0</v>
      </c>
      <c r="AZ160" s="38">
        <f t="shared" si="928"/>
        <v>0</v>
      </c>
      <c r="BA160" s="38">
        <f t="shared" si="928"/>
        <v>0</v>
      </c>
      <c r="BB160" s="38">
        <f t="shared" si="928"/>
        <v>0</v>
      </c>
      <c r="BC160" s="38">
        <f t="shared" si="928"/>
        <v>0</v>
      </c>
      <c r="BD160" s="38">
        <f t="shared" si="928"/>
        <v>0</v>
      </c>
      <c r="BE160" s="38">
        <f t="shared" si="928"/>
        <v>0</v>
      </c>
      <c r="BF160" s="38">
        <f t="shared" si="928"/>
        <v>0</v>
      </c>
      <c r="BG160" s="38">
        <f t="shared" si="928"/>
        <v>0</v>
      </c>
      <c r="BH160" s="38">
        <f t="shared" si="928"/>
        <v>0</v>
      </c>
      <c r="BI160" s="38">
        <f t="shared" si="928"/>
        <v>0</v>
      </c>
      <c r="BJ160" s="38">
        <f t="shared" si="928"/>
        <v>0</v>
      </c>
      <c r="BK160" s="38">
        <f t="shared" si="928"/>
        <v>0</v>
      </c>
      <c r="BL160" s="38">
        <f t="shared" si="928"/>
        <v>0</v>
      </c>
      <c r="BM160" s="38">
        <f t="shared" si="928"/>
        <v>0</v>
      </c>
      <c r="BN160" s="38">
        <f t="shared" si="928"/>
        <v>0</v>
      </c>
      <c r="BO160" s="38">
        <f t="shared" si="928"/>
        <v>0</v>
      </c>
      <c r="BP160" s="38">
        <f t="shared" si="928"/>
        <v>0</v>
      </c>
      <c r="BQ160" s="38">
        <f t="shared" si="928"/>
        <v>0</v>
      </c>
      <c r="BR160" s="38">
        <f t="shared" si="928"/>
        <v>0</v>
      </c>
      <c r="BS160" s="38">
        <f t="shared" ref="BS160:CK160" si="929">-BS$136</f>
        <v>0</v>
      </c>
      <c r="BT160" s="38">
        <f t="shared" si="929"/>
        <v>0</v>
      </c>
      <c r="BU160" s="38">
        <f t="shared" si="929"/>
        <v>0</v>
      </c>
      <c r="BV160" s="38">
        <f t="shared" si="929"/>
        <v>0</v>
      </c>
      <c r="BW160" s="38">
        <f t="shared" si="929"/>
        <v>0</v>
      </c>
      <c r="BX160" s="38">
        <f t="shared" si="929"/>
        <v>0</v>
      </c>
      <c r="BY160" s="38">
        <f t="shared" si="929"/>
        <v>0</v>
      </c>
      <c r="BZ160" s="38">
        <f t="shared" si="929"/>
        <v>0</v>
      </c>
      <c r="CA160" s="38">
        <f t="shared" si="929"/>
        <v>0</v>
      </c>
      <c r="CB160" s="38">
        <f t="shared" si="929"/>
        <v>0</v>
      </c>
      <c r="CC160" s="38">
        <f t="shared" si="929"/>
        <v>0</v>
      </c>
      <c r="CD160" s="38">
        <f t="shared" si="929"/>
        <v>0</v>
      </c>
      <c r="CE160" s="38">
        <f t="shared" si="929"/>
        <v>0</v>
      </c>
      <c r="CF160" s="38">
        <f t="shared" si="929"/>
        <v>0</v>
      </c>
      <c r="CG160" s="38">
        <f t="shared" si="929"/>
        <v>0</v>
      </c>
      <c r="CH160" s="38">
        <f t="shared" si="929"/>
        <v>0</v>
      </c>
      <c r="CI160" s="38">
        <f t="shared" si="929"/>
        <v>0</v>
      </c>
      <c r="CJ160" s="38">
        <f t="shared" si="929"/>
        <v>0</v>
      </c>
      <c r="CK160" s="38">
        <f t="shared" si="929"/>
        <v>0</v>
      </c>
    </row>
    <row r="161" spans="3:89" outlineLevel="1" x14ac:dyDescent="0.25">
      <c r="C161" s="127" t="s">
        <v>192</v>
      </c>
      <c r="D161" s="13" t="s">
        <v>24</v>
      </c>
      <c r="E161" s="79">
        <f>Tier_1_IRR_Max</f>
        <v>0.2</v>
      </c>
      <c r="F161" s="38">
        <f t="shared" ref="F161:AK161" si="930">+F159*((1+$E161)^(1/Months)-1)</f>
        <v>0</v>
      </c>
      <c r="G161" s="38">
        <f t="shared" si="930"/>
        <v>137225.51116523828</v>
      </c>
      <c r="H161" s="38">
        <f t="shared" si="930"/>
        <v>96630.999090566824</v>
      </c>
      <c r="I161" s="38">
        <f t="shared" si="930"/>
        <v>66834.30788609758</v>
      </c>
      <c r="J161" s="38">
        <f t="shared" si="930"/>
        <v>143503.42847593289</v>
      </c>
      <c r="K161" s="38">
        <f t="shared" si="930"/>
        <v>233056.83264449661</v>
      </c>
      <c r="L161" s="38">
        <f t="shared" si="930"/>
        <v>435115.86397633527</v>
      </c>
      <c r="M161" s="38">
        <f t="shared" si="930"/>
        <v>599108.06472836598</v>
      </c>
      <c r="N161" s="38">
        <f t="shared" si="930"/>
        <v>651539.78006274172</v>
      </c>
      <c r="O161" s="38">
        <f t="shared" si="930"/>
        <v>681562.90615705296</v>
      </c>
      <c r="P161" s="38">
        <f t="shared" si="930"/>
        <v>723761.16379029641</v>
      </c>
      <c r="Q161" s="38">
        <f t="shared" si="930"/>
        <v>810164.30686167139</v>
      </c>
      <c r="R161" s="38">
        <f t="shared" si="930"/>
        <v>944934.75026739854</v>
      </c>
      <c r="S161" s="38">
        <f t="shared" si="930"/>
        <v>1035034.5684605269</v>
      </c>
      <c r="T161" s="38">
        <f t="shared" si="930"/>
        <v>1050880.3996525754</v>
      </c>
      <c r="U161" s="38">
        <f t="shared" si="930"/>
        <v>1066968.8221298021</v>
      </c>
      <c r="V161" s="38">
        <f t="shared" si="930"/>
        <v>1083303.5498363313</v>
      </c>
      <c r="W161" s="38">
        <f t="shared" si="930"/>
        <v>1099888.3535748047</v>
      </c>
      <c r="X161" s="38">
        <f t="shared" si="930"/>
        <v>1116727.061876856</v>
      </c>
      <c r="Y161" s="38">
        <f t="shared" si="930"/>
        <v>1133823.5618869113</v>
      </c>
      <c r="Z161" s="38">
        <f t="shared" si="930"/>
        <v>1151181.8002595189</v>
      </c>
      <c r="AA161" s="38">
        <f t="shared" si="930"/>
        <v>1168805.7840704196</v>
      </c>
      <c r="AB161" s="38">
        <f t="shared" si="930"/>
        <v>1186699.5817415607</v>
      </c>
      <c r="AC161" s="38">
        <f t="shared" si="930"/>
        <v>1204867.3239802765</v>
      </c>
      <c r="AD161" s="38">
        <f t="shared" si="930"/>
        <v>1223313.2047328425</v>
      </c>
      <c r="AE161" s="38">
        <f t="shared" si="930"/>
        <v>1242041.4821526315</v>
      </c>
      <c r="AF161" s="38">
        <f t="shared" si="930"/>
        <v>1261056.4795830895</v>
      </c>
      <c r="AG161" s="38">
        <f t="shared" si="930"/>
        <v>1280362.5865557615</v>
      </c>
      <c r="AH161" s="38">
        <f t="shared" si="930"/>
        <v>1299964.2598035967</v>
      </c>
      <c r="AI161" s="38">
        <f t="shared" si="930"/>
        <v>1319866.0242897647</v>
      </c>
      <c r="AJ161" s="38">
        <f t="shared" si="930"/>
        <v>1340072.4742522263</v>
      </c>
      <c r="AK161" s="38">
        <f t="shared" si="930"/>
        <v>1360588.2742642926</v>
      </c>
      <c r="AL161" s="38">
        <f t="shared" ref="AL161:BQ161" si="931">+AL159*((1+$E161)^(1/Months)-1)</f>
        <v>1381418.1603114218</v>
      </c>
      <c r="AM161" s="38">
        <f t="shared" si="931"/>
        <v>1402566.9408845024</v>
      </c>
      <c r="AN161" s="38">
        <f t="shared" si="931"/>
        <v>1424039.4980898718</v>
      </c>
      <c r="AO161" s="38">
        <f t="shared" si="931"/>
        <v>1445840.7887763306</v>
      </c>
      <c r="AP161" s="38">
        <f t="shared" si="931"/>
        <v>1467975.8456794103</v>
      </c>
      <c r="AQ161" s="38">
        <f t="shared" si="931"/>
        <v>1490449.7785831571</v>
      </c>
      <c r="AR161" s="38">
        <f t="shared" si="931"/>
        <v>1513267.7754997069</v>
      </c>
      <c r="AS161" s="38">
        <f t="shared" si="931"/>
        <v>1536435.1038669134</v>
      </c>
      <c r="AT161" s="38">
        <f t="shared" si="931"/>
        <v>1559957.1117643155</v>
      </c>
      <c r="AU161" s="38">
        <f t="shared" si="931"/>
        <v>1583839.2291477171</v>
      </c>
      <c r="AV161" s="38">
        <f t="shared" si="931"/>
        <v>1608086.9691026709</v>
      </c>
      <c r="AW161" s="38">
        <f t="shared" si="931"/>
        <v>1632705.9291171504</v>
      </c>
      <c r="AX161" s="38">
        <f t="shared" si="931"/>
        <v>1657701.7923737054</v>
      </c>
      <c r="AY161" s="38">
        <f t="shared" si="931"/>
        <v>1683080.3290614022</v>
      </c>
      <c r="AZ161" s="38">
        <f t="shared" si="931"/>
        <v>1708847.3977078456</v>
      </c>
      <c r="BA161" s="38">
        <f t="shared" si="931"/>
        <v>0</v>
      </c>
      <c r="BB161" s="38">
        <f t="shared" si="931"/>
        <v>0</v>
      </c>
      <c r="BC161" s="38">
        <f t="shared" si="931"/>
        <v>0</v>
      </c>
      <c r="BD161" s="38">
        <f t="shared" si="931"/>
        <v>0</v>
      </c>
      <c r="BE161" s="38">
        <f t="shared" si="931"/>
        <v>0</v>
      </c>
      <c r="BF161" s="38">
        <f t="shared" si="931"/>
        <v>0</v>
      </c>
      <c r="BG161" s="38">
        <f t="shared" si="931"/>
        <v>0</v>
      </c>
      <c r="BH161" s="38">
        <f t="shared" si="931"/>
        <v>0</v>
      </c>
      <c r="BI161" s="38">
        <f t="shared" si="931"/>
        <v>0</v>
      </c>
      <c r="BJ161" s="38">
        <f t="shared" si="931"/>
        <v>0</v>
      </c>
      <c r="BK161" s="38">
        <f t="shared" si="931"/>
        <v>0</v>
      </c>
      <c r="BL161" s="38">
        <f t="shared" si="931"/>
        <v>0</v>
      </c>
      <c r="BM161" s="38">
        <f t="shared" si="931"/>
        <v>0</v>
      </c>
      <c r="BN161" s="38">
        <f t="shared" si="931"/>
        <v>0</v>
      </c>
      <c r="BO161" s="38">
        <f t="shared" si="931"/>
        <v>0</v>
      </c>
      <c r="BP161" s="38">
        <f t="shared" si="931"/>
        <v>0</v>
      </c>
      <c r="BQ161" s="38">
        <f t="shared" si="931"/>
        <v>0</v>
      </c>
      <c r="BR161" s="38">
        <f t="shared" ref="BR161:CK161" si="932">+BR159*((1+$E161)^(1/Months)-1)</f>
        <v>0</v>
      </c>
      <c r="BS161" s="38">
        <f t="shared" si="932"/>
        <v>0</v>
      </c>
      <c r="BT161" s="38">
        <f t="shared" si="932"/>
        <v>0</v>
      </c>
      <c r="BU161" s="38">
        <f t="shared" si="932"/>
        <v>0</v>
      </c>
      <c r="BV161" s="38">
        <f t="shared" si="932"/>
        <v>0</v>
      </c>
      <c r="BW161" s="38">
        <f t="shared" si="932"/>
        <v>0</v>
      </c>
      <c r="BX161" s="38">
        <f t="shared" si="932"/>
        <v>0</v>
      </c>
      <c r="BY161" s="38">
        <f t="shared" si="932"/>
        <v>0</v>
      </c>
      <c r="BZ161" s="38">
        <f t="shared" si="932"/>
        <v>0</v>
      </c>
      <c r="CA161" s="38">
        <f t="shared" si="932"/>
        <v>0</v>
      </c>
      <c r="CB161" s="38">
        <f t="shared" si="932"/>
        <v>0</v>
      </c>
      <c r="CC161" s="38">
        <f t="shared" si="932"/>
        <v>0</v>
      </c>
      <c r="CD161" s="38">
        <f t="shared" si="932"/>
        <v>0</v>
      </c>
      <c r="CE161" s="38">
        <f t="shared" si="932"/>
        <v>0</v>
      </c>
      <c r="CF161" s="38">
        <f t="shared" si="932"/>
        <v>0</v>
      </c>
      <c r="CG161" s="38">
        <f t="shared" si="932"/>
        <v>0</v>
      </c>
      <c r="CH161" s="38">
        <f t="shared" si="932"/>
        <v>0</v>
      </c>
      <c r="CI161" s="38">
        <f t="shared" si="932"/>
        <v>0</v>
      </c>
      <c r="CJ161" s="38">
        <f t="shared" si="932"/>
        <v>0</v>
      </c>
      <c r="CK161" s="38">
        <f t="shared" si="932"/>
        <v>0</v>
      </c>
    </row>
    <row r="162" spans="3:89" outlineLevel="1" x14ac:dyDescent="0.25">
      <c r="C162" s="132" t="s">
        <v>199</v>
      </c>
      <c r="D162" s="13" t="s">
        <v>24</v>
      </c>
      <c r="F162" s="38">
        <f>+F144+F153</f>
        <v>0</v>
      </c>
      <c r="G162" s="38">
        <f t="shared" ref="G162:BR162" si="933">+G144+G153</f>
        <v>-2788820.292015709</v>
      </c>
      <c r="H162" s="38">
        <f t="shared" si="933"/>
        <v>-2042922.4273272539</v>
      </c>
      <c r="I162" s="38">
        <f t="shared" si="933"/>
        <v>0</v>
      </c>
      <c r="J162" s="38">
        <f t="shared" si="933"/>
        <v>0</v>
      </c>
      <c r="K162" s="38">
        <f t="shared" si="933"/>
        <v>0</v>
      </c>
      <c r="L162" s="38">
        <f t="shared" si="933"/>
        <v>0</v>
      </c>
      <c r="M162" s="38">
        <f t="shared" si="933"/>
        <v>0</v>
      </c>
      <c r="N162" s="38">
        <f t="shared" si="933"/>
        <v>0</v>
      </c>
      <c r="O162" s="38">
        <f t="shared" si="933"/>
        <v>0</v>
      </c>
      <c r="P162" s="38">
        <f t="shared" si="933"/>
        <v>0</v>
      </c>
      <c r="Q162" s="38">
        <f t="shared" si="933"/>
        <v>0</v>
      </c>
      <c r="R162" s="38">
        <f t="shared" si="933"/>
        <v>0</v>
      </c>
      <c r="S162" s="38">
        <f t="shared" si="933"/>
        <v>0</v>
      </c>
      <c r="T162" s="38">
        <f t="shared" si="933"/>
        <v>0</v>
      </c>
      <c r="U162" s="38">
        <f t="shared" si="933"/>
        <v>0</v>
      </c>
      <c r="V162" s="38">
        <f t="shared" si="933"/>
        <v>0</v>
      </c>
      <c r="W162" s="38">
        <f t="shared" si="933"/>
        <v>0</v>
      </c>
      <c r="X162" s="38">
        <f t="shared" si="933"/>
        <v>0</v>
      </c>
      <c r="Y162" s="38">
        <f t="shared" si="933"/>
        <v>0</v>
      </c>
      <c r="Z162" s="38">
        <f t="shared" si="933"/>
        <v>0</v>
      </c>
      <c r="AA162" s="38">
        <f t="shared" si="933"/>
        <v>0</v>
      </c>
      <c r="AB162" s="38">
        <f t="shared" si="933"/>
        <v>0</v>
      </c>
      <c r="AC162" s="38">
        <f t="shared" si="933"/>
        <v>0</v>
      </c>
      <c r="AD162" s="38">
        <f t="shared" si="933"/>
        <v>0</v>
      </c>
      <c r="AE162" s="38">
        <f t="shared" si="933"/>
        <v>0</v>
      </c>
      <c r="AF162" s="38">
        <f t="shared" si="933"/>
        <v>0</v>
      </c>
      <c r="AG162" s="38">
        <f t="shared" si="933"/>
        <v>0</v>
      </c>
      <c r="AH162" s="38">
        <f t="shared" si="933"/>
        <v>0</v>
      </c>
      <c r="AI162" s="38">
        <f t="shared" si="933"/>
        <v>0</v>
      </c>
      <c r="AJ162" s="38">
        <f t="shared" si="933"/>
        <v>0</v>
      </c>
      <c r="AK162" s="38">
        <f t="shared" si="933"/>
        <v>0</v>
      </c>
      <c r="AL162" s="38">
        <f t="shared" si="933"/>
        <v>0</v>
      </c>
      <c r="AM162" s="38">
        <f t="shared" si="933"/>
        <v>0</v>
      </c>
      <c r="AN162" s="38">
        <f t="shared" si="933"/>
        <v>0</v>
      </c>
      <c r="AO162" s="38">
        <f t="shared" si="933"/>
        <v>0</v>
      </c>
      <c r="AP162" s="38">
        <f t="shared" si="933"/>
        <v>0</v>
      </c>
      <c r="AQ162" s="38">
        <f t="shared" si="933"/>
        <v>0</v>
      </c>
      <c r="AR162" s="38">
        <f t="shared" si="933"/>
        <v>0</v>
      </c>
      <c r="AS162" s="38">
        <f t="shared" si="933"/>
        <v>0</v>
      </c>
      <c r="AT162" s="38">
        <f t="shared" si="933"/>
        <v>0</v>
      </c>
      <c r="AU162" s="38">
        <f t="shared" si="933"/>
        <v>0</v>
      </c>
      <c r="AV162" s="38">
        <f t="shared" si="933"/>
        <v>0</v>
      </c>
      <c r="AW162" s="38">
        <f t="shared" si="933"/>
        <v>0</v>
      </c>
      <c r="AX162" s="38">
        <f t="shared" si="933"/>
        <v>0</v>
      </c>
      <c r="AY162" s="38">
        <f t="shared" si="933"/>
        <v>0</v>
      </c>
      <c r="AZ162" s="38">
        <f t="shared" si="933"/>
        <v>-62084032.145906061</v>
      </c>
      <c r="BA162" s="38">
        <f t="shared" si="933"/>
        <v>0</v>
      </c>
      <c r="BB162" s="38">
        <f t="shared" si="933"/>
        <v>0</v>
      </c>
      <c r="BC162" s="38">
        <f t="shared" si="933"/>
        <v>0</v>
      </c>
      <c r="BD162" s="38">
        <f t="shared" si="933"/>
        <v>0</v>
      </c>
      <c r="BE162" s="38">
        <f t="shared" si="933"/>
        <v>0</v>
      </c>
      <c r="BF162" s="38">
        <f t="shared" si="933"/>
        <v>0</v>
      </c>
      <c r="BG162" s="38">
        <f t="shared" si="933"/>
        <v>0</v>
      </c>
      <c r="BH162" s="38">
        <f t="shared" si="933"/>
        <v>0</v>
      </c>
      <c r="BI162" s="38">
        <f t="shared" si="933"/>
        <v>0</v>
      </c>
      <c r="BJ162" s="38">
        <f t="shared" si="933"/>
        <v>0</v>
      </c>
      <c r="BK162" s="38">
        <f t="shared" si="933"/>
        <v>0</v>
      </c>
      <c r="BL162" s="38">
        <f t="shared" si="933"/>
        <v>0</v>
      </c>
      <c r="BM162" s="38">
        <f t="shared" si="933"/>
        <v>0</v>
      </c>
      <c r="BN162" s="38">
        <f t="shared" si="933"/>
        <v>0</v>
      </c>
      <c r="BO162" s="38">
        <f t="shared" si="933"/>
        <v>0</v>
      </c>
      <c r="BP162" s="38">
        <f t="shared" si="933"/>
        <v>0</v>
      </c>
      <c r="BQ162" s="38">
        <f t="shared" si="933"/>
        <v>0</v>
      </c>
      <c r="BR162" s="38">
        <f t="shared" si="933"/>
        <v>0</v>
      </c>
      <c r="BS162" s="38">
        <f t="shared" ref="BS162:CK162" si="934">+BS144+BS153</f>
        <v>0</v>
      </c>
      <c r="BT162" s="38">
        <f t="shared" si="934"/>
        <v>0</v>
      </c>
      <c r="BU162" s="38">
        <f t="shared" si="934"/>
        <v>0</v>
      </c>
      <c r="BV162" s="38">
        <f t="shared" si="934"/>
        <v>0</v>
      </c>
      <c r="BW162" s="38">
        <f t="shared" si="934"/>
        <v>0</v>
      </c>
      <c r="BX162" s="38">
        <f t="shared" si="934"/>
        <v>0</v>
      </c>
      <c r="BY162" s="38">
        <f t="shared" si="934"/>
        <v>0</v>
      </c>
      <c r="BZ162" s="38">
        <f t="shared" si="934"/>
        <v>0</v>
      </c>
      <c r="CA162" s="38">
        <f t="shared" si="934"/>
        <v>0</v>
      </c>
      <c r="CB162" s="38">
        <f t="shared" si="934"/>
        <v>0</v>
      </c>
      <c r="CC162" s="38">
        <f t="shared" si="934"/>
        <v>0</v>
      </c>
      <c r="CD162" s="38">
        <f t="shared" si="934"/>
        <v>0</v>
      </c>
      <c r="CE162" s="38">
        <f t="shared" si="934"/>
        <v>0</v>
      </c>
      <c r="CF162" s="38">
        <f t="shared" si="934"/>
        <v>0</v>
      </c>
      <c r="CG162" s="38">
        <f t="shared" si="934"/>
        <v>0</v>
      </c>
      <c r="CH162" s="38">
        <f t="shared" si="934"/>
        <v>0</v>
      </c>
      <c r="CI162" s="38">
        <f t="shared" si="934"/>
        <v>0</v>
      </c>
      <c r="CJ162" s="38">
        <f t="shared" si="934"/>
        <v>0</v>
      </c>
      <c r="CK162" s="38">
        <f t="shared" si="934"/>
        <v>0</v>
      </c>
    </row>
    <row r="163" spans="3:89" outlineLevel="1" x14ac:dyDescent="0.25">
      <c r="C163" s="127" t="s">
        <v>193</v>
      </c>
      <c r="D163" s="50" t="s">
        <v>24</v>
      </c>
      <c r="E163" s="101"/>
      <c r="F163" s="52">
        <f>MIN(0,MAX(-(F159+F160+F161+F162),-F156))</f>
        <v>0</v>
      </c>
      <c r="G163" s="52">
        <f t="shared" ref="G163" si="935">MIN(0,MAX(-(G159+G160+G161+G162),-G156))</f>
        <v>0</v>
      </c>
      <c r="H163" s="52">
        <f t="shared" ref="H163" si="936">MIN(0,MAX(-(H159+H160+H161+H162),-H156))</f>
        <v>0</v>
      </c>
      <c r="I163" s="52">
        <f t="shared" ref="I163" si="937">MIN(0,MAX(-(I159+I160+I161+I162),-I156))</f>
        <v>0</v>
      </c>
      <c r="J163" s="52">
        <f t="shared" ref="J163" si="938">MIN(0,MAX(-(J159+J160+J161+J162),-J156))</f>
        <v>0</v>
      </c>
      <c r="K163" s="52">
        <f t="shared" ref="K163" si="939">MIN(0,MAX(-(K159+K160+K161+K162),-K156))</f>
        <v>0</v>
      </c>
      <c r="L163" s="52">
        <f t="shared" ref="L163" si="940">MIN(0,MAX(-(L159+L160+L161+L162),-L156))</f>
        <v>0</v>
      </c>
      <c r="M163" s="52">
        <f t="shared" ref="M163" si="941">MIN(0,MAX(-(M159+M160+M161+M162),-M156))</f>
        <v>0</v>
      </c>
      <c r="N163" s="52">
        <f t="shared" ref="N163" si="942">MIN(0,MAX(-(N159+N160+N161+N162),-N156))</f>
        <v>0</v>
      </c>
      <c r="O163" s="52">
        <f t="shared" ref="O163" si="943">MIN(0,MAX(-(O159+O160+O161+O162),-O156))</f>
        <v>0</v>
      </c>
      <c r="P163" s="52">
        <f t="shared" ref="P163" si="944">MIN(0,MAX(-(P159+P160+P161+P162),-P156))</f>
        <v>0</v>
      </c>
      <c r="Q163" s="52">
        <f t="shared" ref="Q163" si="945">MIN(0,MAX(-(Q159+Q160+Q161+Q162),-Q156))</f>
        <v>0</v>
      </c>
      <c r="R163" s="52">
        <f t="shared" ref="R163" si="946">MIN(0,MAX(-(R159+R160+R161+R162),-R156))</f>
        <v>0</v>
      </c>
      <c r="S163" s="52">
        <f t="shared" ref="S163" si="947">MIN(0,MAX(-(S159+S160+S161+S162),-S156))</f>
        <v>0</v>
      </c>
      <c r="T163" s="52">
        <f t="shared" ref="T163" si="948">MIN(0,MAX(-(T159+T160+T161+T162),-T156))</f>
        <v>0</v>
      </c>
      <c r="U163" s="52">
        <f t="shared" ref="U163" si="949">MIN(0,MAX(-(U159+U160+U161+U162),-U156))</f>
        <v>0</v>
      </c>
      <c r="V163" s="52">
        <f t="shared" ref="V163" si="950">MIN(0,MAX(-(V159+V160+V161+V162),-V156))</f>
        <v>0</v>
      </c>
      <c r="W163" s="52">
        <f t="shared" ref="W163" si="951">MIN(0,MAX(-(W159+W160+W161+W162),-W156))</f>
        <v>0</v>
      </c>
      <c r="X163" s="52">
        <f t="shared" ref="X163" si="952">MIN(0,MAX(-(X159+X160+X161+X162),-X156))</f>
        <v>0</v>
      </c>
      <c r="Y163" s="52">
        <f t="shared" ref="Y163" si="953">MIN(0,MAX(-(Y159+Y160+Y161+Y162),-Y156))</f>
        <v>0</v>
      </c>
      <c r="Z163" s="52">
        <f t="shared" ref="Z163" si="954">MIN(0,MAX(-(Z159+Z160+Z161+Z162),-Z156))</f>
        <v>0</v>
      </c>
      <c r="AA163" s="52">
        <f t="shared" ref="AA163" si="955">MIN(0,MAX(-(AA159+AA160+AA161+AA162),-AA156))</f>
        <v>0</v>
      </c>
      <c r="AB163" s="52">
        <f t="shared" ref="AB163" si="956">MIN(0,MAX(-(AB159+AB160+AB161+AB162),-AB156))</f>
        <v>0</v>
      </c>
      <c r="AC163" s="52">
        <f t="shared" ref="AC163" si="957">MIN(0,MAX(-(AC159+AC160+AC161+AC162),-AC156))</f>
        <v>0</v>
      </c>
      <c r="AD163" s="52">
        <f t="shared" ref="AD163" si="958">MIN(0,MAX(-(AD159+AD160+AD161+AD162),-AD156))</f>
        <v>0</v>
      </c>
      <c r="AE163" s="52">
        <f t="shared" ref="AE163" si="959">MIN(0,MAX(-(AE159+AE160+AE161+AE162),-AE156))</f>
        <v>0</v>
      </c>
      <c r="AF163" s="52">
        <f t="shared" ref="AF163" si="960">MIN(0,MAX(-(AF159+AF160+AF161+AF162),-AF156))</f>
        <v>0</v>
      </c>
      <c r="AG163" s="52">
        <f t="shared" ref="AG163" si="961">MIN(0,MAX(-(AG159+AG160+AG161+AG162),-AG156))</f>
        <v>0</v>
      </c>
      <c r="AH163" s="52">
        <f t="shared" ref="AH163" si="962">MIN(0,MAX(-(AH159+AH160+AH161+AH162),-AH156))</f>
        <v>0</v>
      </c>
      <c r="AI163" s="52">
        <f t="shared" ref="AI163" si="963">MIN(0,MAX(-(AI159+AI160+AI161+AI162),-AI156))</f>
        <v>0</v>
      </c>
      <c r="AJ163" s="52">
        <f t="shared" ref="AJ163" si="964">MIN(0,MAX(-(AJ159+AJ160+AJ161+AJ162),-AJ156))</f>
        <v>0</v>
      </c>
      <c r="AK163" s="52">
        <f t="shared" ref="AK163" si="965">MIN(0,MAX(-(AK159+AK160+AK161+AK162),-AK156))</f>
        <v>0</v>
      </c>
      <c r="AL163" s="52">
        <f t="shared" ref="AL163" si="966">MIN(0,MAX(-(AL159+AL160+AL161+AL162),-AL156))</f>
        <v>0</v>
      </c>
      <c r="AM163" s="52">
        <f t="shared" ref="AM163" si="967">MIN(0,MAX(-(AM159+AM160+AM161+AM162),-AM156))</f>
        <v>0</v>
      </c>
      <c r="AN163" s="52">
        <f t="shared" ref="AN163" si="968">MIN(0,MAX(-(AN159+AN160+AN161+AN162),-AN156))</f>
        <v>0</v>
      </c>
      <c r="AO163" s="52">
        <f t="shared" ref="AO163" si="969">MIN(0,MAX(-(AO159+AO160+AO161+AO162),-AO156))</f>
        <v>0</v>
      </c>
      <c r="AP163" s="52">
        <f t="shared" ref="AP163" si="970">MIN(0,MAX(-(AP159+AP160+AP161+AP162),-AP156))</f>
        <v>0</v>
      </c>
      <c r="AQ163" s="52">
        <f t="shared" ref="AQ163" si="971">MIN(0,MAX(-(AQ159+AQ160+AQ161+AQ162),-AQ156))</f>
        <v>0</v>
      </c>
      <c r="AR163" s="52">
        <f t="shared" ref="AR163" si="972">MIN(0,MAX(-(AR159+AR160+AR161+AR162),-AR156))</f>
        <v>0</v>
      </c>
      <c r="AS163" s="52">
        <f t="shared" ref="AS163" si="973">MIN(0,MAX(-(AS159+AS160+AS161+AS162),-AS156))</f>
        <v>0</v>
      </c>
      <c r="AT163" s="52">
        <f t="shared" ref="AT163" si="974">MIN(0,MAX(-(AT159+AT160+AT161+AT162),-AT156))</f>
        <v>0</v>
      </c>
      <c r="AU163" s="52">
        <f t="shared" ref="AU163" si="975">MIN(0,MAX(-(AU159+AU160+AU161+AU162),-AU156))</f>
        <v>0</v>
      </c>
      <c r="AV163" s="52">
        <f t="shared" ref="AV163" si="976">MIN(0,MAX(-(AV159+AV160+AV161+AV162),-AV156))</f>
        <v>0</v>
      </c>
      <c r="AW163" s="52">
        <f t="shared" ref="AW163" si="977">MIN(0,MAX(-(AW159+AW160+AW161+AW162),-AW156))</f>
        <v>0</v>
      </c>
      <c r="AX163" s="52">
        <f t="shared" ref="AX163" si="978">MIN(0,MAX(-(AX159+AX160+AX161+AX162),-AX156))</f>
        <v>0</v>
      </c>
      <c r="AY163" s="52">
        <f t="shared" ref="AY163" si="979">MIN(0,MAX(-(AY159+AY160+AY161+AY162),-AY156))</f>
        <v>0</v>
      </c>
      <c r="AZ163" s="52">
        <f t="shared" ref="AZ163" si="980">MIN(0,MAX(-(AZ159+AZ160+AZ161+AZ162),-AZ156))</f>
        <v>-51245096.15817605</v>
      </c>
      <c r="BA163" s="52">
        <f t="shared" ref="BA163" si="981">MIN(0,MAX(-(BA159+BA160+BA161+BA162),-BA156))</f>
        <v>0</v>
      </c>
      <c r="BB163" s="52">
        <f t="shared" ref="BB163" si="982">MIN(0,MAX(-(BB159+BB160+BB161+BB162),-BB156))</f>
        <v>0</v>
      </c>
      <c r="BC163" s="52">
        <f t="shared" ref="BC163" si="983">MIN(0,MAX(-(BC159+BC160+BC161+BC162),-BC156))</f>
        <v>0</v>
      </c>
      <c r="BD163" s="52">
        <f t="shared" ref="BD163" si="984">MIN(0,MAX(-(BD159+BD160+BD161+BD162),-BD156))</f>
        <v>0</v>
      </c>
      <c r="BE163" s="52">
        <f t="shared" ref="BE163" si="985">MIN(0,MAX(-(BE159+BE160+BE161+BE162),-BE156))</f>
        <v>0</v>
      </c>
      <c r="BF163" s="52">
        <f t="shared" ref="BF163" si="986">MIN(0,MAX(-(BF159+BF160+BF161+BF162),-BF156))</f>
        <v>0</v>
      </c>
      <c r="BG163" s="52">
        <f t="shared" ref="BG163" si="987">MIN(0,MAX(-(BG159+BG160+BG161+BG162),-BG156))</f>
        <v>0</v>
      </c>
      <c r="BH163" s="52">
        <f t="shared" ref="BH163" si="988">MIN(0,MAX(-(BH159+BH160+BH161+BH162),-BH156))</f>
        <v>0</v>
      </c>
      <c r="BI163" s="52">
        <f t="shared" ref="BI163" si="989">MIN(0,MAX(-(BI159+BI160+BI161+BI162),-BI156))</f>
        <v>0</v>
      </c>
      <c r="BJ163" s="52">
        <f t="shared" ref="BJ163" si="990">MIN(0,MAX(-(BJ159+BJ160+BJ161+BJ162),-BJ156))</f>
        <v>0</v>
      </c>
      <c r="BK163" s="52">
        <f t="shared" ref="BK163" si="991">MIN(0,MAX(-(BK159+BK160+BK161+BK162),-BK156))</f>
        <v>0</v>
      </c>
      <c r="BL163" s="52">
        <f t="shared" ref="BL163" si="992">MIN(0,MAX(-(BL159+BL160+BL161+BL162),-BL156))</f>
        <v>0</v>
      </c>
      <c r="BM163" s="52">
        <f t="shared" ref="BM163" si="993">MIN(0,MAX(-(BM159+BM160+BM161+BM162),-BM156))</f>
        <v>0</v>
      </c>
      <c r="BN163" s="52">
        <f t="shared" ref="BN163" si="994">MIN(0,MAX(-(BN159+BN160+BN161+BN162),-BN156))</f>
        <v>0</v>
      </c>
      <c r="BO163" s="52">
        <f t="shared" ref="BO163" si="995">MIN(0,MAX(-(BO159+BO160+BO161+BO162),-BO156))</f>
        <v>0</v>
      </c>
      <c r="BP163" s="52">
        <f t="shared" ref="BP163" si="996">MIN(0,MAX(-(BP159+BP160+BP161+BP162),-BP156))</f>
        <v>0</v>
      </c>
      <c r="BQ163" s="52">
        <f t="shared" ref="BQ163" si="997">MIN(0,MAX(-(BQ159+BQ160+BQ161+BQ162),-BQ156))</f>
        <v>0</v>
      </c>
      <c r="BR163" s="52">
        <f t="shared" ref="BR163" si="998">MIN(0,MAX(-(BR159+BR160+BR161+BR162),-BR156))</f>
        <v>0</v>
      </c>
      <c r="BS163" s="52">
        <f t="shared" ref="BS163" si="999">MIN(0,MAX(-(BS159+BS160+BS161+BS162),-BS156))</f>
        <v>0</v>
      </c>
      <c r="BT163" s="52">
        <f t="shared" ref="BT163" si="1000">MIN(0,MAX(-(BT159+BT160+BT161+BT162),-BT156))</f>
        <v>0</v>
      </c>
      <c r="BU163" s="52">
        <f t="shared" ref="BU163" si="1001">MIN(0,MAX(-(BU159+BU160+BU161+BU162),-BU156))</f>
        <v>0</v>
      </c>
      <c r="BV163" s="52">
        <f t="shared" ref="BV163" si="1002">MIN(0,MAX(-(BV159+BV160+BV161+BV162),-BV156))</f>
        <v>0</v>
      </c>
      <c r="BW163" s="52">
        <f t="shared" ref="BW163" si="1003">MIN(0,MAX(-(BW159+BW160+BW161+BW162),-BW156))</f>
        <v>0</v>
      </c>
      <c r="BX163" s="52">
        <f t="shared" ref="BX163" si="1004">MIN(0,MAX(-(BX159+BX160+BX161+BX162),-BX156))</f>
        <v>0</v>
      </c>
      <c r="BY163" s="52">
        <f t="shared" ref="BY163" si="1005">MIN(0,MAX(-(BY159+BY160+BY161+BY162),-BY156))</f>
        <v>0</v>
      </c>
      <c r="BZ163" s="52">
        <f t="shared" ref="BZ163" si="1006">MIN(0,MAX(-(BZ159+BZ160+BZ161+BZ162),-BZ156))</f>
        <v>0</v>
      </c>
      <c r="CA163" s="52">
        <f t="shared" ref="CA163" si="1007">MIN(0,MAX(-(CA159+CA160+CA161+CA162),-CA156))</f>
        <v>0</v>
      </c>
      <c r="CB163" s="52">
        <f t="shared" ref="CB163" si="1008">MIN(0,MAX(-(CB159+CB160+CB161+CB162),-CB156))</f>
        <v>0</v>
      </c>
      <c r="CC163" s="52">
        <f t="shared" ref="CC163" si="1009">MIN(0,MAX(-(CC159+CC160+CC161+CC162),-CC156))</f>
        <v>0</v>
      </c>
      <c r="CD163" s="52">
        <f t="shared" ref="CD163" si="1010">MIN(0,MAX(-(CD159+CD160+CD161+CD162),-CD156))</f>
        <v>0</v>
      </c>
      <c r="CE163" s="52">
        <f t="shared" ref="CE163" si="1011">MIN(0,MAX(-(CE159+CE160+CE161+CE162),-CE156))</f>
        <v>0</v>
      </c>
      <c r="CF163" s="52">
        <f t="shared" ref="CF163" si="1012">MIN(0,MAX(-(CF159+CF160+CF161+CF162),-CF156))</f>
        <v>0</v>
      </c>
      <c r="CG163" s="52">
        <f t="shared" ref="CG163" si="1013">MIN(0,MAX(-(CG159+CG160+CG161+CG162),-CG156))</f>
        <v>0</v>
      </c>
      <c r="CH163" s="52">
        <f t="shared" ref="CH163" si="1014">MIN(0,MAX(-(CH159+CH160+CH161+CH162),-CH156))</f>
        <v>0</v>
      </c>
      <c r="CI163" s="52">
        <f t="shared" ref="CI163" si="1015">MIN(0,MAX(-(CI159+CI160+CI161+CI162),-CI156))</f>
        <v>0</v>
      </c>
      <c r="CJ163" s="52">
        <f t="shared" ref="CJ163" si="1016">MIN(0,MAX(-(CJ159+CJ160+CJ161+CJ162),-CJ156))</f>
        <v>0</v>
      </c>
      <c r="CK163" s="52">
        <f t="shared" ref="CK163" si="1017">MIN(0,MAX(-(CK159+CK160+CK161+CK162),-CK156))</f>
        <v>0</v>
      </c>
    </row>
    <row r="164" spans="3:89" outlineLevel="1" x14ac:dyDescent="0.25">
      <c r="C164" s="99" t="s">
        <v>101</v>
      </c>
      <c r="D164" s="13" t="s">
        <v>24</v>
      </c>
      <c r="F164" s="72">
        <f>SUM(F159:F163)</f>
        <v>8963439.4061929006</v>
      </c>
      <c r="G164" s="72">
        <f t="shared" ref="G164" si="1018">SUM(G159:G163)</f>
        <v>6311844.6253424305</v>
      </c>
      <c r="H164" s="72">
        <f t="shared" ref="H164" si="1019">SUM(H159:H163)</f>
        <v>4365553.1971057439</v>
      </c>
      <c r="I164" s="72">
        <f t="shared" ref="I164" si="1020">SUM(I159:I163)</f>
        <v>9373506.9725927208</v>
      </c>
      <c r="J164" s="72">
        <f t="shared" ref="J164" si="1021">SUM(J159:J163)</f>
        <v>15223049.853264924</v>
      </c>
      <c r="K164" s="72">
        <f t="shared" ref="K164" si="1022">SUM(K159:K163)</f>
        <v>28421352.912497863</v>
      </c>
      <c r="L164" s="72">
        <f t="shared" ref="L164" si="1023">SUM(L159:L163)</f>
        <v>39133166.933427595</v>
      </c>
      <c r="M164" s="72">
        <f t="shared" ref="M164" si="1024">SUM(M159:M163)</f>
        <v>42557956.532473259</v>
      </c>
      <c r="N164" s="72">
        <f t="shared" ref="N164" si="1025">SUM(N159:N163)</f>
        <v>44519038.471580058</v>
      </c>
      <c r="O164" s="72">
        <f t="shared" ref="O164" si="1026">SUM(O159:O163)</f>
        <v>47275388.381525308</v>
      </c>
      <c r="P164" s="72">
        <f t="shared" ref="P164" si="1027">SUM(P159:P163)</f>
        <v>52919159.214284807</v>
      </c>
      <c r="Q164" s="72">
        <f t="shared" ref="Q164" si="1028">SUM(Q159:Q163)</f>
        <v>61722235.937813133</v>
      </c>
      <c r="R164" s="72">
        <f t="shared" ref="R164" si="1029">SUM(R159:R163)</f>
        <v>67607470.061012253</v>
      </c>
      <c r="S164" s="72">
        <f t="shared" ref="S164" si="1030">SUM(S159:S163)</f>
        <v>68642504.629472777</v>
      </c>
      <c r="T164" s="72">
        <f t="shared" ref="T164" si="1031">SUM(T159:T163)</f>
        <v>69693385.029125348</v>
      </c>
      <c r="U164" s="72">
        <f t="shared" ref="U164" si="1032">SUM(U159:U163)</f>
        <v>70760353.851255149</v>
      </c>
      <c r="V164" s="72">
        <f t="shared" ref="V164" si="1033">SUM(V159:V163)</f>
        <v>71843657.401091486</v>
      </c>
      <c r="W164" s="72">
        <f t="shared" ref="W164" si="1034">SUM(W159:W163)</f>
        <v>72943545.754666284</v>
      </c>
      <c r="X164" s="72">
        <f t="shared" ref="X164" si="1035">SUM(X159:X163)</f>
        <v>74060272.816543147</v>
      </c>
      <c r="Y164" s="72">
        <f t="shared" ref="Y164" si="1036">SUM(Y159:Y163)</f>
        <v>75194096.378430054</v>
      </c>
      <c r="Z164" s="72">
        <f t="shared" ref="Z164" si="1037">SUM(Z159:Z163)</f>
        <v>76345278.178689569</v>
      </c>
      <c r="AA164" s="72">
        <f t="shared" ref="AA164" si="1038">SUM(AA159:AA163)</f>
        <v>77514083.962759987</v>
      </c>
      <c r="AB164" s="72">
        <f t="shared" ref="AB164" si="1039">SUM(AB159:AB163)</f>
        <v>78700783.544501543</v>
      </c>
      <c r="AC164" s="72">
        <f t="shared" ref="AC164" si="1040">SUM(AC159:AC163)</f>
        <v>79905650.868481815</v>
      </c>
      <c r="AD164" s="72">
        <f t="shared" ref="AD164" si="1041">SUM(AD159:AD163)</f>
        <v>81128964.07321465</v>
      </c>
      <c r="AE164" s="72">
        <f t="shared" ref="AE164" si="1042">SUM(AE159:AE163)</f>
        <v>82371005.555367276</v>
      </c>
      <c r="AF164" s="72">
        <f t="shared" ref="AF164" si="1043">SUM(AF159:AF163)</f>
        <v>83632062.034950361</v>
      </c>
      <c r="AG164" s="72">
        <f t="shared" ref="AG164" si="1044">SUM(AG159:AG163)</f>
        <v>84912424.621506125</v>
      </c>
      <c r="AH164" s="72">
        <f t="shared" ref="AH164" si="1045">SUM(AH159:AH163)</f>
        <v>86212388.881309718</v>
      </c>
      <c r="AI164" s="72">
        <f t="shared" ref="AI164" si="1046">SUM(AI159:AI163)</f>
        <v>87532254.90559949</v>
      </c>
      <c r="AJ164" s="72">
        <f t="shared" ref="AJ164" si="1047">SUM(AJ159:AJ163)</f>
        <v>88872327.379851714</v>
      </c>
      <c r="AK164" s="72">
        <f t="shared" ref="AK164" si="1048">SUM(AK159:AK163)</f>
        <v>90232915.654116005</v>
      </c>
      <c r="AL164" s="72">
        <f t="shared" ref="AL164" si="1049">SUM(AL159:AL163)</f>
        <v>91614333.81442742</v>
      </c>
      <c r="AM164" s="72">
        <f t="shared" ref="AM164" si="1050">SUM(AM159:AM163)</f>
        <v>93016900.755311921</v>
      </c>
      <c r="AN164" s="72">
        <f t="shared" ref="AN164" si="1051">SUM(AN159:AN163)</f>
        <v>94440940.253401786</v>
      </c>
      <c r="AO164" s="72">
        <f t="shared" ref="AO164" si="1052">SUM(AO159:AO163)</f>
        <v>95886781.042178124</v>
      </c>
      <c r="AP164" s="72">
        <f t="shared" ref="AP164" si="1053">SUM(AP159:AP163)</f>
        <v>97354756.887857541</v>
      </c>
      <c r="AQ164" s="72">
        <f t="shared" ref="AQ164" si="1054">SUM(AQ159:AQ163)</f>
        <v>98845206.666440696</v>
      </c>
      <c r="AR164" s="72">
        <f t="shared" ref="AR164" si="1055">SUM(AR159:AR163)</f>
        <v>100358474.4419404</v>
      </c>
      <c r="AS164" s="72">
        <f t="shared" ref="AS164" si="1056">SUM(AS159:AS163)</f>
        <v>101894909.54580732</v>
      </c>
      <c r="AT164" s="72">
        <f t="shared" ref="AT164" si="1057">SUM(AT159:AT163)</f>
        <v>103454866.65757163</v>
      </c>
      <c r="AU164" s="72">
        <f t="shared" ref="AU164" si="1058">SUM(AU159:AU163)</f>
        <v>105038705.88671935</v>
      </c>
      <c r="AV164" s="72">
        <f t="shared" ref="AV164" si="1059">SUM(AV159:AV163)</f>
        <v>106646792.85582201</v>
      </c>
      <c r="AW164" s="72">
        <f t="shared" ref="AW164" si="1060">SUM(AW159:AW163)</f>
        <v>108279498.78493915</v>
      </c>
      <c r="AX164" s="72">
        <f t="shared" ref="AX164" si="1061">SUM(AX159:AX163)</f>
        <v>109937200.57731286</v>
      </c>
      <c r="AY164" s="72">
        <f t="shared" ref="AY164" si="1062">SUM(AY159:AY163)</f>
        <v>111620280.90637426</v>
      </c>
      <c r="AZ164" s="72">
        <f t="shared" ref="AZ164" si="1063">SUM(AZ159:AZ163)</f>
        <v>0</v>
      </c>
      <c r="BA164" s="72">
        <f t="shared" ref="BA164" si="1064">SUM(BA159:BA163)</f>
        <v>0</v>
      </c>
      <c r="BB164" s="72">
        <f t="shared" ref="BB164" si="1065">SUM(BB159:BB163)</f>
        <v>0</v>
      </c>
      <c r="BC164" s="72">
        <f t="shared" ref="BC164" si="1066">SUM(BC159:BC163)</f>
        <v>0</v>
      </c>
      <c r="BD164" s="72">
        <f t="shared" ref="BD164" si="1067">SUM(BD159:BD163)</f>
        <v>0</v>
      </c>
      <c r="BE164" s="72">
        <f t="shared" ref="BE164" si="1068">SUM(BE159:BE163)</f>
        <v>0</v>
      </c>
      <c r="BF164" s="72">
        <f t="shared" ref="BF164" si="1069">SUM(BF159:BF163)</f>
        <v>0</v>
      </c>
      <c r="BG164" s="72">
        <f t="shared" ref="BG164" si="1070">SUM(BG159:BG163)</f>
        <v>0</v>
      </c>
      <c r="BH164" s="72">
        <f t="shared" ref="BH164" si="1071">SUM(BH159:BH163)</f>
        <v>0</v>
      </c>
      <c r="BI164" s="72">
        <f t="shared" ref="BI164" si="1072">SUM(BI159:BI163)</f>
        <v>0</v>
      </c>
      <c r="BJ164" s="72">
        <f t="shared" ref="BJ164" si="1073">SUM(BJ159:BJ163)</f>
        <v>0</v>
      </c>
      <c r="BK164" s="72">
        <f t="shared" ref="BK164" si="1074">SUM(BK159:BK163)</f>
        <v>0</v>
      </c>
      <c r="BL164" s="72">
        <f t="shared" ref="BL164" si="1075">SUM(BL159:BL163)</f>
        <v>0</v>
      </c>
      <c r="BM164" s="72">
        <f t="shared" ref="BM164" si="1076">SUM(BM159:BM163)</f>
        <v>0</v>
      </c>
      <c r="BN164" s="72">
        <f t="shared" ref="BN164" si="1077">SUM(BN159:BN163)</f>
        <v>0</v>
      </c>
      <c r="BO164" s="72">
        <f t="shared" ref="BO164" si="1078">SUM(BO159:BO163)</f>
        <v>0</v>
      </c>
      <c r="BP164" s="72">
        <f t="shared" ref="BP164" si="1079">SUM(BP159:BP163)</f>
        <v>0</v>
      </c>
      <c r="BQ164" s="72">
        <f t="shared" ref="BQ164" si="1080">SUM(BQ159:BQ163)</f>
        <v>0</v>
      </c>
      <c r="BR164" s="72">
        <f t="shared" ref="BR164" si="1081">SUM(BR159:BR163)</f>
        <v>0</v>
      </c>
      <c r="BS164" s="72">
        <f t="shared" ref="BS164" si="1082">SUM(BS159:BS163)</f>
        <v>0</v>
      </c>
      <c r="BT164" s="72">
        <f t="shared" ref="BT164" si="1083">SUM(BT159:BT163)</f>
        <v>0</v>
      </c>
      <c r="BU164" s="72">
        <f t="shared" ref="BU164" si="1084">SUM(BU159:BU163)</f>
        <v>0</v>
      </c>
      <c r="BV164" s="72">
        <f t="shared" ref="BV164" si="1085">SUM(BV159:BV163)</f>
        <v>0</v>
      </c>
      <c r="BW164" s="72">
        <f t="shared" ref="BW164" si="1086">SUM(BW159:BW163)</f>
        <v>0</v>
      </c>
      <c r="BX164" s="72">
        <f t="shared" ref="BX164" si="1087">SUM(BX159:BX163)</f>
        <v>0</v>
      </c>
      <c r="BY164" s="72">
        <f t="shared" ref="BY164" si="1088">SUM(BY159:BY163)</f>
        <v>0</v>
      </c>
      <c r="BZ164" s="72">
        <f t="shared" ref="BZ164" si="1089">SUM(BZ159:BZ163)</f>
        <v>0</v>
      </c>
      <c r="CA164" s="72">
        <f t="shared" ref="CA164" si="1090">SUM(CA159:CA163)</f>
        <v>0</v>
      </c>
      <c r="CB164" s="72">
        <f t="shared" ref="CB164" si="1091">SUM(CB159:CB163)</f>
        <v>0</v>
      </c>
      <c r="CC164" s="72">
        <f t="shared" ref="CC164" si="1092">SUM(CC159:CC163)</f>
        <v>0</v>
      </c>
      <c r="CD164" s="72">
        <f t="shared" ref="CD164" si="1093">SUM(CD159:CD163)</f>
        <v>0</v>
      </c>
      <c r="CE164" s="72">
        <f t="shared" ref="CE164" si="1094">SUM(CE159:CE163)</f>
        <v>0</v>
      </c>
      <c r="CF164" s="72">
        <f t="shared" ref="CF164" si="1095">SUM(CF159:CF163)</f>
        <v>0</v>
      </c>
      <c r="CG164" s="72">
        <f t="shared" ref="CG164" si="1096">SUM(CG159:CG163)</f>
        <v>0</v>
      </c>
      <c r="CH164" s="72">
        <f t="shared" ref="CH164" si="1097">SUM(CH159:CH163)</f>
        <v>0</v>
      </c>
      <c r="CI164" s="72">
        <f t="shared" ref="CI164" si="1098">SUM(CI159:CI163)</f>
        <v>0</v>
      </c>
      <c r="CJ164" s="72">
        <f t="shared" ref="CJ164" si="1099">SUM(CJ159:CJ163)</f>
        <v>0</v>
      </c>
      <c r="CK164" s="72">
        <f t="shared" ref="CK164" si="1100">SUM(CK159:CK163)</f>
        <v>0</v>
      </c>
    </row>
    <row r="165" spans="3:89" outlineLevel="1" x14ac:dyDescent="0.25">
      <c r="C165" s="38"/>
    </row>
    <row r="166" spans="3:89" outlineLevel="1" x14ac:dyDescent="0.25">
      <c r="C166" s="137" t="s">
        <v>106</v>
      </c>
      <c r="D166" s="13" t="s">
        <v>24</v>
      </c>
      <c r="E166" s="79">
        <f>Tier_1_LP_Split</f>
        <v>0.8</v>
      </c>
      <c r="F166" s="38">
        <f>MAX(0,MIN(-(F160+F163),F159+F161)*$E166)</f>
        <v>0</v>
      </c>
      <c r="G166" s="38">
        <f t="shared" ref="G166:BR166" si="1101">MAX(0,MIN(-(G160+G163),G159+G161)*$E166)</f>
        <v>0</v>
      </c>
      <c r="H166" s="38">
        <f t="shared" si="1101"/>
        <v>0</v>
      </c>
      <c r="I166" s="38">
        <f t="shared" si="1101"/>
        <v>0</v>
      </c>
      <c r="J166" s="38">
        <f t="shared" si="1101"/>
        <v>0</v>
      </c>
      <c r="K166" s="38">
        <f t="shared" si="1101"/>
        <v>0</v>
      </c>
      <c r="L166" s="38">
        <f t="shared" si="1101"/>
        <v>0</v>
      </c>
      <c r="M166" s="38">
        <f t="shared" si="1101"/>
        <v>0</v>
      </c>
      <c r="N166" s="38">
        <f t="shared" si="1101"/>
        <v>0</v>
      </c>
      <c r="O166" s="38">
        <f t="shared" si="1101"/>
        <v>0</v>
      </c>
      <c r="P166" s="38">
        <f t="shared" si="1101"/>
        <v>0</v>
      </c>
      <c r="Q166" s="38">
        <f t="shared" si="1101"/>
        <v>0</v>
      </c>
      <c r="R166" s="38">
        <f t="shared" si="1101"/>
        <v>0</v>
      </c>
      <c r="S166" s="38">
        <f t="shared" si="1101"/>
        <v>0</v>
      </c>
      <c r="T166" s="38">
        <f t="shared" si="1101"/>
        <v>0</v>
      </c>
      <c r="U166" s="38">
        <f t="shared" si="1101"/>
        <v>0</v>
      </c>
      <c r="V166" s="38">
        <f t="shared" si="1101"/>
        <v>0</v>
      </c>
      <c r="W166" s="38">
        <f t="shared" si="1101"/>
        <v>0</v>
      </c>
      <c r="X166" s="38">
        <f t="shared" si="1101"/>
        <v>0</v>
      </c>
      <c r="Y166" s="38">
        <f t="shared" si="1101"/>
        <v>0</v>
      </c>
      <c r="Z166" s="38">
        <f t="shared" si="1101"/>
        <v>0</v>
      </c>
      <c r="AA166" s="38">
        <f t="shared" si="1101"/>
        <v>0</v>
      </c>
      <c r="AB166" s="38">
        <f t="shared" si="1101"/>
        <v>0</v>
      </c>
      <c r="AC166" s="38">
        <f t="shared" si="1101"/>
        <v>0</v>
      </c>
      <c r="AD166" s="38">
        <f t="shared" si="1101"/>
        <v>0</v>
      </c>
      <c r="AE166" s="38">
        <f t="shared" si="1101"/>
        <v>0</v>
      </c>
      <c r="AF166" s="38">
        <f t="shared" si="1101"/>
        <v>0</v>
      </c>
      <c r="AG166" s="38">
        <f t="shared" si="1101"/>
        <v>0</v>
      </c>
      <c r="AH166" s="38">
        <f t="shared" si="1101"/>
        <v>0</v>
      </c>
      <c r="AI166" s="38">
        <f t="shared" si="1101"/>
        <v>0</v>
      </c>
      <c r="AJ166" s="38">
        <f t="shared" si="1101"/>
        <v>0</v>
      </c>
      <c r="AK166" s="38">
        <f t="shared" si="1101"/>
        <v>0</v>
      </c>
      <c r="AL166" s="38">
        <f t="shared" si="1101"/>
        <v>0</v>
      </c>
      <c r="AM166" s="38">
        <f t="shared" si="1101"/>
        <v>0</v>
      </c>
      <c r="AN166" s="38">
        <f t="shared" si="1101"/>
        <v>0</v>
      </c>
      <c r="AO166" s="38">
        <f t="shared" si="1101"/>
        <v>0</v>
      </c>
      <c r="AP166" s="38">
        <f t="shared" si="1101"/>
        <v>0</v>
      </c>
      <c r="AQ166" s="38">
        <f t="shared" si="1101"/>
        <v>0</v>
      </c>
      <c r="AR166" s="38">
        <f t="shared" si="1101"/>
        <v>0</v>
      </c>
      <c r="AS166" s="38">
        <f t="shared" si="1101"/>
        <v>0</v>
      </c>
      <c r="AT166" s="38">
        <f t="shared" si="1101"/>
        <v>0</v>
      </c>
      <c r="AU166" s="38">
        <f t="shared" si="1101"/>
        <v>0</v>
      </c>
      <c r="AV166" s="38">
        <f t="shared" si="1101"/>
        <v>0</v>
      </c>
      <c r="AW166" s="38">
        <f t="shared" si="1101"/>
        <v>0</v>
      </c>
      <c r="AX166" s="38">
        <f t="shared" si="1101"/>
        <v>0</v>
      </c>
      <c r="AY166" s="38">
        <f t="shared" si="1101"/>
        <v>0</v>
      </c>
      <c r="AZ166" s="38">
        <f t="shared" si="1101"/>
        <v>40996076.926540844</v>
      </c>
      <c r="BA166" s="38">
        <f t="shared" si="1101"/>
        <v>0</v>
      </c>
      <c r="BB166" s="38">
        <f t="shared" si="1101"/>
        <v>0</v>
      </c>
      <c r="BC166" s="38">
        <f t="shared" si="1101"/>
        <v>0</v>
      </c>
      <c r="BD166" s="38">
        <f t="shared" si="1101"/>
        <v>0</v>
      </c>
      <c r="BE166" s="38">
        <f t="shared" si="1101"/>
        <v>0</v>
      </c>
      <c r="BF166" s="38">
        <f t="shared" si="1101"/>
        <v>0</v>
      </c>
      <c r="BG166" s="38">
        <f t="shared" si="1101"/>
        <v>0</v>
      </c>
      <c r="BH166" s="38">
        <f t="shared" si="1101"/>
        <v>0</v>
      </c>
      <c r="BI166" s="38">
        <f t="shared" si="1101"/>
        <v>0</v>
      </c>
      <c r="BJ166" s="38">
        <f t="shared" si="1101"/>
        <v>0</v>
      </c>
      <c r="BK166" s="38">
        <f t="shared" si="1101"/>
        <v>0</v>
      </c>
      <c r="BL166" s="38">
        <f t="shared" si="1101"/>
        <v>0</v>
      </c>
      <c r="BM166" s="38">
        <f t="shared" si="1101"/>
        <v>0</v>
      </c>
      <c r="BN166" s="38">
        <f t="shared" si="1101"/>
        <v>0</v>
      </c>
      <c r="BO166" s="38">
        <f t="shared" si="1101"/>
        <v>0</v>
      </c>
      <c r="BP166" s="38">
        <f t="shared" si="1101"/>
        <v>0</v>
      </c>
      <c r="BQ166" s="38">
        <f t="shared" si="1101"/>
        <v>0</v>
      </c>
      <c r="BR166" s="38">
        <f t="shared" si="1101"/>
        <v>0</v>
      </c>
      <c r="BS166" s="38">
        <f t="shared" ref="BS166:CK166" si="1102">MAX(0,MIN(-(BS160+BS163),BS159+BS161)*$E166)</f>
        <v>0</v>
      </c>
      <c r="BT166" s="38">
        <f t="shared" si="1102"/>
        <v>0</v>
      </c>
      <c r="BU166" s="38">
        <f t="shared" si="1102"/>
        <v>0</v>
      </c>
      <c r="BV166" s="38">
        <f t="shared" si="1102"/>
        <v>0</v>
      </c>
      <c r="BW166" s="38">
        <f t="shared" si="1102"/>
        <v>0</v>
      </c>
      <c r="BX166" s="38">
        <f t="shared" si="1102"/>
        <v>0</v>
      </c>
      <c r="BY166" s="38">
        <f t="shared" si="1102"/>
        <v>0</v>
      </c>
      <c r="BZ166" s="38">
        <f t="shared" si="1102"/>
        <v>0</v>
      </c>
      <c r="CA166" s="38">
        <f t="shared" si="1102"/>
        <v>0</v>
      </c>
      <c r="CB166" s="38">
        <f t="shared" si="1102"/>
        <v>0</v>
      </c>
      <c r="CC166" s="38">
        <f t="shared" si="1102"/>
        <v>0</v>
      </c>
      <c r="CD166" s="38">
        <f t="shared" si="1102"/>
        <v>0</v>
      </c>
      <c r="CE166" s="38">
        <f t="shared" si="1102"/>
        <v>0</v>
      </c>
      <c r="CF166" s="38">
        <f t="shared" si="1102"/>
        <v>0</v>
      </c>
      <c r="CG166" s="38">
        <f t="shared" si="1102"/>
        <v>0</v>
      </c>
      <c r="CH166" s="38">
        <f t="shared" si="1102"/>
        <v>0</v>
      </c>
      <c r="CI166" s="38">
        <f t="shared" si="1102"/>
        <v>0</v>
      </c>
      <c r="CJ166" s="38">
        <f t="shared" si="1102"/>
        <v>0</v>
      </c>
      <c r="CK166" s="38">
        <f t="shared" si="1102"/>
        <v>0</v>
      </c>
    </row>
    <row r="167" spans="3:89" outlineLevel="1" x14ac:dyDescent="0.25">
      <c r="C167" s="129" t="s">
        <v>107</v>
      </c>
      <c r="D167" s="13" t="s">
        <v>24</v>
      </c>
      <c r="E167" s="79">
        <f>Tier_1_Dev_Split</f>
        <v>0.19999999999999996</v>
      </c>
      <c r="F167" s="38">
        <f>+F166/$E166*$E167</f>
        <v>0</v>
      </c>
      <c r="G167" s="38">
        <f t="shared" ref="G167" si="1103">+G166/$E166*$E167</f>
        <v>0</v>
      </c>
      <c r="H167" s="38">
        <f t="shared" ref="H167" si="1104">+H166/$E166*$E167</f>
        <v>0</v>
      </c>
      <c r="I167" s="38">
        <f t="shared" ref="I167" si="1105">+I166/$E166*$E167</f>
        <v>0</v>
      </c>
      <c r="J167" s="38">
        <f t="shared" ref="J167" si="1106">+J166/$E166*$E167</f>
        <v>0</v>
      </c>
      <c r="K167" s="38">
        <f t="shared" ref="K167" si="1107">+K166/$E166*$E167</f>
        <v>0</v>
      </c>
      <c r="L167" s="38">
        <f t="shared" ref="L167" si="1108">+L166/$E166*$E167</f>
        <v>0</v>
      </c>
      <c r="M167" s="38">
        <f t="shared" ref="M167" si="1109">+M166/$E166*$E167</f>
        <v>0</v>
      </c>
      <c r="N167" s="38">
        <f t="shared" ref="N167" si="1110">+N166/$E166*$E167</f>
        <v>0</v>
      </c>
      <c r="O167" s="38">
        <f t="shared" ref="O167" si="1111">+O166/$E166*$E167</f>
        <v>0</v>
      </c>
      <c r="P167" s="38">
        <f t="shared" ref="P167" si="1112">+P166/$E166*$E167</f>
        <v>0</v>
      </c>
      <c r="Q167" s="38">
        <f t="shared" ref="Q167" si="1113">+Q166/$E166*$E167</f>
        <v>0</v>
      </c>
      <c r="R167" s="38">
        <f t="shared" ref="R167" si="1114">+R166/$E166*$E167</f>
        <v>0</v>
      </c>
      <c r="S167" s="38">
        <f t="shared" ref="S167" si="1115">+S166/$E166*$E167</f>
        <v>0</v>
      </c>
      <c r="T167" s="38">
        <f t="shared" ref="T167" si="1116">+T166/$E166*$E167</f>
        <v>0</v>
      </c>
      <c r="U167" s="38">
        <f t="shared" ref="U167" si="1117">+U166/$E166*$E167</f>
        <v>0</v>
      </c>
      <c r="V167" s="38">
        <f t="shared" ref="V167" si="1118">+V166/$E166*$E167</f>
        <v>0</v>
      </c>
      <c r="W167" s="38">
        <f t="shared" ref="W167" si="1119">+W166/$E166*$E167</f>
        <v>0</v>
      </c>
      <c r="X167" s="38">
        <f t="shared" ref="X167" si="1120">+X166/$E166*$E167</f>
        <v>0</v>
      </c>
      <c r="Y167" s="38">
        <f t="shared" ref="Y167" si="1121">+Y166/$E166*$E167</f>
        <v>0</v>
      </c>
      <c r="Z167" s="38">
        <f t="shared" ref="Z167" si="1122">+Z166/$E166*$E167</f>
        <v>0</v>
      </c>
      <c r="AA167" s="38">
        <f t="shared" ref="AA167" si="1123">+AA166/$E166*$E167</f>
        <v>0</v>
      </c>
      <c r="AB167" s="38">
        <f t="shared" ref="AB167" si="1124">+AB166/$E166*$E167</f>
        <v>0</v>
      </c>
      <c r="AC167" s="38">
        <f t="shared" ref="AC167" si="1125">+AC166/$E166*$E167</f>
        <v>0</v>
      </c>
      <c r="AD167" s="38">
        <f t="shared" ref="AD167" si="1126">+AD166/$E166*$E167</f>
        <v>0</v>
      </c>
      <c r="AE167" s="38">
        <f t="shared" ref="AE167" si="1127">+AE166/$E166*$E167</f>
        <v>0</v>
      </c>
      <c r="AF167" s="38">
        <f t="shared" ref="AF167" si="1128">+AF166/$E166*$E167</f>
        <v>0</v>
      </c>
      <c r="AG167" s="38">
        <f t="shared" ref="AG167" si="1129">+AG166/$E166*$E167</f>
        <v>0</v>
      </c>
      <c r="AH167" s="38">
        <f t="shared" ref="AH167" si="1130">+AH166/$E166*$E167</f>
        <v>0</v>
      </c>
      <c r="AI167" s="38">
        <f t="shared" ref="AI167" si="1131">+AI166/$E166*$E167</f>
        <v>0</v>
      </c>
      <c r="AJ167" s="38">
        <f t="shared" ref="AJ167" si="1132">+AJ166/$E166*$E167</f>
        <v>0</v>
      </c>
      <c r="AK167" s="38">
        <f t="shared" ref="AK167" si="1133">+AK166/$E166*$E167</f>
        <v>0</v>
      </c>
      <c r="AL167" s="38">
        <f t="shared" ref="AL167" si="1134">+AL166/$E166*$E167</f>
        <v>0</v>
      </c>
      <c r="AM167" s="38">
        <f t="shared" ref="AM167" si="1135">+AM166/$E166*$E167</f>
        <v>0</v>
      </c>
      <c r="AN167" s="38">
        <f t="shared" ref="AN167" si="1136">+AN166/$E166*$E167</f>
        <v>0</v>
      </c>
      <c r="AO167" s="38">
        <f t="shared" ref="AO167" si="1137">+AO166/$E166*$E167</f>
        <v>0</v>
      </c>
      <c r="AP167" s="38">
        <f t="shared" ref="AP167" si="1138">+AP166/$E166*$E167</f>
        <v>0</v>
      </c>
      <c r="AQ167" s="38">
        <f t="shared" ref="AQ167" si="1139">+AQ166/$E166*$E167</f>
        <v>0</v>
      </c>
      <c r="AR167" s="38">
        <f t="shared" ref="AR167" si="1140">+AR166/$E166*$E167</f>
        <v>0</v>
      </c>
      <c r="AS167" s="38">
        <f t="shared" ref="AS167" si="1141">+AS166/$E166*$E167</f>
        <v>0</v>
      </c>
      <c r="AT167" s="38">
        <f t="shared" ref="AT167" si="1142">+AT166/$E166*$E167</f>
        <v>0</v>
      </c>
      <c r="AU167" s="38">
        <f t="shared" ref="AU167" si="1143">+AU166/$E166*$E167</f>
        <v>0</v>
      </c>
      <c r="AV167" s="38">
        <f t="shared" ref="AV167" si="1144">+AV166/$E166*$E167</f>
        <v>0</v>
      </c>
      <c r="AW167" s="38">
        <f t="shared" ref="AW167" si="1145">+AW166/$E166*$E167</f>
        <v>0</v>
      </c>
      <c r="AX167" s="38">
        <f t="shared" ref="AX167" si="1146">+AX166/$E166*$E167</f>
        <v>0</v>
      </c>
      <c r="AY167" s="38">
        <f t="shared" ref="AY167" si="1147">+AY166/$E166*$E167</f>
        <v>0</v>
      </c>
      <c r="AZ167" s="38">
        <f t="shared" ref="AZ167" si="1148">+AZ166/$E166*$E167</f>
        <v>10249019.231635207</v>
      </c>
      <c r="BA167" s="38">
        <f t="shared" ref="BA167" si="1149">+BA166/$E166*$E167</f>
        <v>0</v>
      </c>
      <c r="BB167" s="38">
        <f t="shared" ref="BB167" si="1150">+BB166/$E166*$E167</f>
        <v>0</v>
      </c>
      <c r="BC167" s="38">
        <f t="shared" ref="BC167" si="1151">+BC166/$E166*$E167</f>
        <v>0</v>
      </c>
      <c r="BD167" s="38">
        <f t="shared" ref="BD167" si="1152">+BD166/$E166*$E167</f>
        <v>0</v>
      </c>
      <c r="BE167" s="38">
        <f t="shared" ref="BE167" si="1153">+BE166/$E166*$E167</f>
        <v>0</v>
      </c>
      <c r="BF167" s="38">
        <f t="shared" ref="BF167" si="1154">+BF166/$E166*$E167</f>
        <v>0</v>
      </c>
      <c r="BG167" s="38">
        <f t="shared" ref="BG167" si="1155">+BG166/$E166*$E167</f>
        <v>0</v>
      </c>
      <c r="BH167" s="38">
        <f t="shared" ref="BH167" si="1156">+BH166/$E166*$E167</f>
        <v>0</v>
      </c>
      <c r="BI167" s="38">
        <f t="shared" ref="BI167" si="1157">+BI166/$E166*$E167</f>
        <v>0</v>
      </c>
      <c r="BJ167" s="38">
        <f t="shared" ref="BJ167" si="1158">+BJ166/$E166*$E167</f>
        <v>0</v>
      </c>
      <c r="BK167" s="38">
        <f t="shared" ref="BK167" si="1159">+BK166/$E166*$E167</f>
        <v>0</v>
      </c>
      <c r="BL167" s="38">
        <f t="shared" ref="BL167" si="1160">+BL166/$E166*$E167</f>
        <v>0</v>
      </c>
      <c r="BM167" s="38">
        <f t="shared" ref="BM167" si="1161">+BM166/$E166*$E167</f>
        <v>0</v>
      </c>
      <c r="BN167" s="38">
        <f t="shared" ref="BN167" si="1162">+BN166/$E166*$E167</f>
        <v>0</v>
      </c>
      <c r="BO167" s="38">
        <f t="shared" ref="BO167" si="1163">+BO166/$E166*$E167</f>
        <v>0</v>
      </c>
      <c r="BP167" s="38">
        <f t="shared" ref="BP167" si="1164">+BP166/$E166*$E167</f>
        <v>0</v>
      </c>
      <c r="BQ167" s="38">
        <f t="shared" ref="BQ167" si="1165">+BQ166/$E166*$E167</f>
        <v>0</v>
      </c>
      <c r="BR167" s="38">
        <f t="shared" ref="BR167" si="1166">+BR166/$E166*$E167</f>
        <v>0</v>
      </c>
      <c r="BS167" s="38">
        <f t="shared" ref="BS167" si="1167">+BS166/$E166*$E167</f>
        <v>0</v>
      </c>
      <c r="BT167" s="38">
        <f t="shared" ref="BT167" si="1168">+BT166/$E166*$E167</f>
        <v>0</v>
      </c>
      <c r="BU167" s="38">
        <f t="shared" ref="BU167" si="1169">+BU166/$E166*$E167</f>
        <v>0</v>
      </c>
      <c r="BV167" s="38">
        <f t="shared" ref="BV167" si="1170">+BV166/$E166*$E167</f>
        <v>0</v>
      </c>
      <c r="BW167" s="38">
        <f t="shared" ref="BW167" si="1171">+BW166/$E166*$E167</f>
        <v>0</v>
      </c>
      <c r="BX167" s="38">
        <f t="shared" ref="BX167" si="1172">+BX166/$E166*$E167</f>
        <v>0</v>
      </c>
      <c r="BY167" s="38">
        <f t="shared" ref="BY167" si="1173">+BY166/$E166*$E167</f>
        <v>0</v>
      </c>
      <c r="BZ167" s="38">
        <f t="shared" ref="BZ167" si="1174">+BZ166/$E166*$E167</f>
        <v>0</v>
      </c>
      <c r="CA167" s="38">
        <f t="shared" ref="CA167" si="1175">+CA166/$E166*$E167</f>
        <v>0</v>
      </c>
      <c r="CB167" s="38">
        <f t="shared" ref="CB167" si="1176">+CB166/$E166*$E167</f>
        <v>0</v>
      </c>
      <c r="CC167" s="38">
        <f t="shared" ref="CC167" si="1177">+CC166/$E166*$E167</f>
        <v>0</v>
      </c>
      <c r="CD167" s="38">
        <f t="shared" ref="CD167" si="1178">+CD166/$E166*$E167</f>
        <v>0</v>
      </c>
      <c r="CE167" s="38">
        <f t="shared" ref="CE167" si="1179">+CE166/$E166*$E167</f>
        <v>0</v>
      </c>
      <c r="CF167" s="38">
        <f t="shared" ref="CF167" si="1180">+CF166/$E166*$E167</f>
        <v>0</v>
      </c>
      <c r="CG167" s="38">
        <f t="shared" ref="CG167" si="1181">+CG166/$E166*$E167</f>
        <v>0</v>
      </c>
      <c r="CH167" s="38">
        <f t="shared" ref="CH167" si="1182">+CH166/$E166*$E167</f>
        <v>0</v>
      </c>
      <c r="CI167" s="38">
        <f t="shared" ref="CI167" si="1183">+CI166/$E166*$E167</f>
        <v>0</v>
      </c>
      <c r="CJ167" s="38">
        <f t="shared" ref="CJ167" si="1184">+CJ166/$E166*$E167</f>
        <v>0</v>
      </c>
      <c r="CK167" s="38">
        <f t="shared" ref="CK167" si="1185">+CK166/$E166*$E167</f>
        <v>0</v>
      </c>
    </row>
    <row r="168" spans="3:89" outlineLevel="1" x14ac:dyDescent="0.25">
      <c r="C168" s="38"/>
    </row>
    <row r="169" spans="3:89" outlineLevel="1" x14ac:dyDescent="0.25">
      <c r="C169" s="66" t="s">
        <v>200</v>
      </c>
      <c r="D169" s="13" t="s">
        <v>24</v>
      </c>
      <c r="F169" s="72">
        <f>IF(F166&lt;0,0,+F156-SUM(F166:F167))</f>
        <v>0</v>
      </c>
      <c r="G169" s="72">
        <f t="shared" ref="G169:BR169" si="1186">IF(G166&lt;0,0,+G156-SUM(G166:G167))</f>
        <v>0</v>
      </c>
      <c r="H169" s="72">
        <f t="shared" si="1186"/>
        <v>0</v>
      </c>
      <c r="I169" s="72">
        <f t="shared" si="1186"/>
        <v>0</v>
      </c>
      <c r="J169" s="72">
        <f t="shared" si="1186"/>
        <v>0</v>
      </c>
      <c r="K169" s="72">
        <f t="shared" si="1186"/>
        <v>0</v>
      </c>
      <c r="L169" s="72">
        <f t="shared" si="1186"/>
        <v>0</v>
      </c>
      <c r="M169" s="72">
        <f t="shared" si="1186"/>
        <v>0</v>
      </c>
      <c r="N169" s="72">
        <f t="shared" si="1186"/>
        <v>0</v>
      </c>
      <c r="O169" s="72">
        <f t="shared" si="1186"/>
        <v>0</v>
      </c>
      <c r="P169" s="72">
        <f t="shared" si="1186"/>
        <v>0</v>
      </c>
      <c r="Q169" s="72">
        <f t="shared" si="1186"/>
        <v>0</v>
      </c>
      <c r="R169" s="72">
        <f t="shared" si="1186"/>
        <v>0</v>
      </c>
      <c r="S169" s="72">
        <f t="shared" si="1186"/>
        <v>0</v>
      </c>
      <c r="T169" s="72">
        <f t="shared" si="1186"/>
        <v>0</v>
      </c>
      <c r="U169" s="72">
        <f t="shared" si="1186"/>
        <v>0</v>
      </c>
      <c r="V169" s="72">
        <f t="shared" si="1186"/>
        <v>0</v>
      </c>
      <c r="W169" s="72">
        <f t="shared" si="1186"/>
        <v>0</v>
      </c>
      <c r="X169" s="72">
        <f t="shared" si="1186"/>
        <v>0</v>
      </c>
      <c r="Y169" s="72">
        <f t="shared" si="1186"/>
        <v>0</v>
      </c>
      <c r="Z169" s="72">
        <f t="shared" si="1186"/>
        <v>0</v>
      </c>
      <c r="AA169" s="72">
        <f t="shared" si="1186"/>
        <v>0</v>
      </c>
      <c r="AB169" s="72">
        <f t="shared" si="1186"/>
        <v>0</v>
      </c>
      <c r="AC169" s="72">
        <f t="shared" si="1186"/>
        <v>0</v>
      </c>
      <c r="AD169" s="72">
        <f t="shared" si="1186"/>
        <v>0</v>
      </c>
      <c r="AE169" s="72">
        <f t="shared" si="1186"/>
        <v>0</v>
      </c>
      <c r="AF169" s="72">
        <f t="shared" si="1186"/>
        <v>0</v>
      </c>
      <c r="AG169" s="72">
        <f t="shared" si="1186"/>
        <v>0</v>
      </c>
      <c r="AH169" s="72">
        <f t="shared" si="1186"/>
        <v>0</v>
      </c>
      <c r="AI169" s="72">
        <f t="shared" si="1186"/>
        <v>0</v>
      </c>
      <c r="AJ169" s="72">
        <f t="shared" si="1186"/>
        <v>0</v>
      </c>
      <c r="AK169" s="72">
        <f t="shared" si="1186"/>
        <v>0</v>
      </c>
      <c r="AL169" s="72">
        <f t="shared" si="1186"/>
        <v>0</v>
      </c>
      <c r="AM169" s="72">
        <f t="shared" si="1186"/>
        <v>0</v>
      </c>
      <c r="AN169" s="72">
        <f t="shared" si="1186"/>
        <v>0</v>
      </c>
      <c r="AO169" s="72">
        <f t="shared" si="1186"/>
        <v>0</v>
      </c>
      <c r="AP169" s="72">
        <f t="shared" si="1186"/>
        <v>0</v>
      </c>
      <c r="AQ169" s="72">
        <f t="shared" si="1186"/>
        <v>0</v>
      </c>
      <c r="AR169" s="72">
        <f t="shared" si="1186"/>
        <v>0</v>
      </c>
      <c r="AS169" s="72">
        <f t="shared" si="1186"/>
        <v>0</v>
      </c>
      <c r="AT169" s="72">
        <f t="shared" si="1186"/>
        <v>0</v>
      </c>
      <c r="AU169" s="72">
        <f t="shared" si="1186"/>
        <v>0</v>
      </c>
      <c r="AV169" s="72">
        <f t="shared" si="1186"/>
        <v>0</v>
      </c>
      <c r="AW169" s="72">
        <f t="shared" si="1186"/>
        <v>0</v>
      </c>
      <c r="AX169" s="72">
        <f t="shared" si="1186"/>
        <v>0</v>
      </c>
      <c r="AY169" s="72">
        <f t="shared" si="1186"/>
        <v>0</v>
      </c>
      <c r="AZ169" s="72">
        <f t="shared" si="1186"/>
        <v>2843658.819076404</v>
      </c>
      <c r="BA169" s="72">
        <f t="shared" si="1186"/>
        <v>0</v>
      </c>
      <c r="BB169" s="72">
        <f t="shared" si="1186"/>
        <v>0</v>
      </c>
      <c r="BC169" s="72">
        <f t="shared" si="1186"/>
        <v>0</v>
      </c>
      <c r="BD169" s="72">
        <f t="shared" si="1186"/>
        <v>0</v>
      </c>
      <c r="BE169" s="72">
        <f t="shared" si="1186"/>
        <v>0</v>
      </c>
      <c r="BF169" s="72">
        <f t="shared" si="1186"/>
        <v>0</v>
      </c>
      <c r="BG169" s="72">
        <f t="shared" si="1186"/>
        <v>0</v>
      </c>
      <c r="BH169" s="72">
        <f t="shared" si="1186"/>
        <v>0</v>
      </c>
      <c r="BI169" s="72">
        <f t="shared" si="1186"/>
        <v>0</v>
      </c>
      <c r="BJ169" s="72">
        <f t="shared" si="1186"/>
        <v>0</v>
      </c>
      <c r="BK169" s="72">
        <f t="shared" si="1186"/>
        <v>0</v>
      </c>
      <c r="BL169" s="72">
        <f t="shared" si="1186"/>
        <v>0</v>
      </c>
      <c r="BM169" s="72">
        <f t="shared" si="1186"/>
        <v>0</v>
      </c>
      <c r="BN169" s="72">
        <f t="shared" si="1186"/>
        <v>0</v>
      </c>
      <c r="BO169" s="72">
        <f t="shared" si="1186"/>
        <v>0</v>
      </c>
      <c r="BP169" s="72">
        <f t="shared" si="1186"/>
        <v>0</v>
      </c>
      <c r="BQ169" s="72">
        <f t="shared" si="1186"/>
        <v>0</v>
      </c>
      <c r="BR169" s="72">
        <f t="shared" si="1186"/>
        <v>0</v>
      </c>
      <c r="BS169" s="72">
        <f t="shared" ref="BS169:CK169" si="1187">IF(BS166&lt;0,0,+BS156-SUM(BS166:BS167))</f>
        <v>0</v>
      </c>
      <c r="BT169" s="72">
        <f t="shared" si="1187"/>
        <v>0</v>
      </c>
      <c r="BU169" s="72">
        <f t="shared" si="1187"/>
        <v>0</v>
      </c>
      <c r="BV169" s="72">
        <f t="shared" si="1187"/>
        <v>0</v>
      </c>
      <c r="BW169" s="72">
        <f t="shared" si="1187"/>
        <v>0</v>
      </c>
      <c r="BX169" s="72">
        <f t="shared" si="1187"/>
        <v>0</v>
      </c>
      <c r="BY169" s="72">
        <f t="shared" si="1187"/>
        <v>0</v>
      </c>
      <c r="BZ169" s="72">
        <f t="shared" si="1187"/>
        <v>0</v>
      </c>
      <c r="CA169" s="72">
        <f t="shared" si="1187"/>
        <v>0</v>
      </c>
      <c r="CB169" s="72">
        <f t="shared" si="1187"/>
        <v>0</v>
      </c>
      <c r="CC169" s="72">
        <f t="shared" si="1187"/>
        <v>0</v>
      </c>
      <c r="CD169" s="72">
        <f t="shared" si="1187"/>
        <v>0</v>
      </c>
      <c r="CE169" s="72">
        <f t="shared" si="1187"/>
        <v>0</v>
      </c>
      <c r="CF169" s="72">
        <f t="shared" si="1187"/>
        <v>0</v>
      </c>
      <c r="CG169" s="72">
        <f t="shared" si="1187"/>
        <v>0</v>
      </c>
      <c r="CH169" s="72">
        <f t="shared" si="1187"/>
        <v>0</v>
      </c>
      <c r="CI169" s="72">
        <f t="shared" si="1187"/>
        <v>0</v>
      </c>
      <c r="CJ169" s="72">
        <f t="shared" si="1187"/>
        <v>0</v>
      </c>
      <c r="CK169" s="72">
        <f t="shared" si="1187"/>
        <v>0</v>
      </c>
    </row>
    <row r="170" spans="3:89" outlineLevel="1" x14ac:dyDescent="0.25">
      <c r="C170" s="38"/>
      <c r="K170" s="58"/>
    </row>
    <row r="171" spans="3:89" outlineLevel="1" x14ac:dyDescent="0.25">
      <c r="C171" s="34" t="str">
        <f>"Tier 2 - "&amp;TEXT(Tier_2_IRR_Min,"0.0%")&amp;" IRR to "&amp;TEXT(Tier_2_IRR_Max,"0.0x")&amp;" Multiple:"</f>
        <v>Tier 2 - 20.0% IRR to 3.0x Multiple:</v>
      </c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</row>
    <row r="172" spans="3:89" outlineLevel="1" x14ac:dyDescent="0.25">
      <c r="C172" s="123" t="s">
        <v>190</v>
      </c>
      <c r="D172" s="13" t="s">
        <v>24</v>
      </c>
      <c r="F172" s="105">
        <v>0</v>
      </c>
      <c r="G172" s="38">
        <f>+F178</f>
        <v>26890318.218578704</v>
      </c>
      <c r="H172" s="38">
        <f t="shared" ref="H172:BS172" si="1188">+G178</f>
        <v>24101497.926562995</v>
      </c>
      <c r="I172" s="38">
        <f t="shared" si="1188"/>
        <v>22058575.499235742</v>
      </c>
      <c r="J172" s="38">
        <f t="shared" si="1188"/>
        <v>36881933.902038381</v>
      </c>
      <c r="K172" s="38">
        <f t="shared" si="1188"/>
        <v>54000052.258627191</v>
      </c>
      <c r="L172" s="38">
        <f t="shared" si="1188"/>
        <v>92895790.93839252</v>
      </c>
      <c r="M172" s="38">
        <f t="shared" si="1188"/>
        <v>123725885.4092527</v>
      </c>
      <c r="N172" s="38">
        <f t="shared" si="1188"/>
        <v>132202930.0122046</v>
      </c>
      <c r="O172" s="38">
        <f t="shared" si="1188"/>
        <v>136131556.48933679</v>
      </c>
      <c r="P172" s="38">
        <f t="shared" si="1188"/>
        <v>142355917.50070137</v>
      </c>
      <c r="Q172" s="38">
        <f t="shared" si="1188"/>
        <v>157115946.50760901</v>
      </c>
      <c r="R172" s="38">
        <f t="shared" si="1188"/>
        <v>181094683.75760898</v>
      </c>
      <c r="S172" s="38">
        <f t="shared" si="1188"/>
        <v>195915581.87640417</v>
      </c>
      <c r="T172" s="38">
        <f t="shared" si="1188"/>
        <v>195915581.87640417</v>
      </c>
      <c r="U172" s="38">
        <f t="shared" si="1188"/>
        <v>195915581.87640417</v>
      </c>
      <c r="V172" s="38">
        <f t="shared" si="1188"/>
        <v>195915581.87640417</v>
      </c>
      <c r="W172" s="38">
        <f t="shared" si="1188"/>
        <v>195915581.87640417</v>
      </c>
      <c r="X172" s="38">
        <f t="shared" si="1188"/>
        <v>195915581.87640417</v>
      </c>
      <c r="Y172" s="38">
        <f t="shared" si="1188"/>
        <v>195915581.87640417</v>
      </c>
      <c r="Z172" s="38">
        <f t="shared" si="1188"/>
        <v>195915581.87640417</v>
      </c>
      <c r="AA172" s="38">
        <f t="shared" si="1188"/>
        <v>195915581.87640417</v>
      </c>
      <c r="AB172" s="38">
        <f t="shared" si="1188"/>
        <v>195915581.87640417</v>
      </c>
      <c r="AC172" s="38">
        <f t="shared" si="1188"/>
        <v>195915581.87640417</v>
      </c>
      <c r="AD172" s="38">
        <f t="shared" si="1188"/>
        <v>195915581.87640417</v>
      </c>
      <c r="AE172" s="38">
        <f t="shared" si="1188"/>
        <v>195915581.87640417</v>
      </c>
      <c r="AF172" s="38">
        <f t="shared" si="1188"/>
        <v>195915581.87640417</v>
      </c>
      <c r="AG172" s="38">
        <f t="shared" si="1188"/>
        <v>195915581.87640417</v>
      </c>
      <c r="AH172" s="38">
        <f t="shared" si="1188"/>
        <v>195915581.87640417</v>
      </c>
      <c r="AI172" s="38">
        <f t="shared" si="1188"/>
        <v>195915581.87640417</v>
      </c>
      <c r="AJ172" s="38">
        <f t="shared" si="1188"/>
        <v>195915581.87640417</v>
      </c>
      <c r="AK172" s="38">
        <f t="shared" si="1188"/>
        <v>195915581.87640417</v>
      </c>
      <c r="AL172" s="38">
        <f t="shared" si="1188"/>
        <v>195915581.87640417</v>
      </c>
      <c r="AM172" s="38">
        <f t="shared" si="1188"/>
        <v>195915581.87640417</v>
      </c>
      <c r="AN172" s="38">
        <f t="shared" si="1188"/>
        <v>195915581.87640417</v>
      </c>
      <c r="AO172" s="38">
        <f t="shared" si="1188"/>
        <v>195915581.87640417</v>
      </c>
      <c r="AP172" s="38">
        <f t="shared" si="1188"/>
        <v>195915581.87640417</v>
      </c>
      <c r="AQ172" s="38">
        <f t="shared" si="1188"/>
        <v>195915581.87640417</v>
      </c>
      <c r="AR172" s="38">
        <f t="shared" si="1188"/>
        <v>195915581.87640417</v>
      </c>
      <c r="AS172" s="38">
        <f t="shared" si="1188"/>
        <v>195915581.87640417</v>
      </c>
      <c r="AT172" s="38">
        <f t="shared" si="1188"/>
        <v>195915581.87640417</v>
      </c>
      <c r="AU172" s="38">
        <f t="shared" si="1188"/>
        <v>195915581.87640417</v>
      </c>
      <c r="AV172" s="38">
        <f t="shared" si="1188"/>
        <v>195915581.87640417</v>
      </c>
      <c r="AW172" s="38">
        <f t="shared" si="1188"/>
        <v>195915581.87640417</v>
      </c>
      <c r="AX172" s="38">
        <f t="shared" si="1188"/>
        <v>195915581.87640417</v>
      </c>
      <c r="AY172" s="38">
        <f t="shared" si="1188"/>
        <v>195915581.87640417</v>
      </c>
      <c r="AZ172" s="38">
        <f t="shared" si="1188"/>
        <v>195915581.87640417</v>
      </c>
      <c r="BA172" s="38">
        <f t="shared" si="1188"/>
        <v>79742794.753245652</v>
      </c>
      <c r="BB172" s="38">
        <f t="shared" si="1188"/>
        <v>79742794.753245652</v>
      </c>
      <c r="BC172" s="38">
        <f t="shared" si="1188"/>
        <v>79742794.753245652</v>
      </c>
      <c r="BD172" s="38">
        <f t="shared" si="1188"/>
        <v>79742794.753245652</v>
      </c>
      <c r="BE172" s="38">
        <f t="shared" si="1188"/>
        <v>79742794.753245652</v>
      </c>
      <c r="BF172" s="38">
        <f t="shared" si="1188"/>
        <v>79742794.753245652</v>
      </c>
      <c r="BG172" s="38">
        <f t="shared" si="1188"/>
        <v>79742794.753245652</v>
      </c>
      <c r="BH172" s="38">
        <f t="shared" si="1188"/>
        <v>79742794.753245652</v>
      </c>
      <c r="BI172" s="38">
        <f t="shared" si="1188"/>
        <v>79742794.753245652</v>
      </c>
      <c r="BJ172" s="38">
        <f t="shared" si="1188"/>
        <v>79742794.753245652</v>
      </c>
      <c r="BK172" s="38">
        <f t="shared" si="1188"/>
        <v>79742794.753245652</v>
      </c>
      <c r="BL172" s="38">
        <f t="shared" si="1188"/>
        <v>79742794.753245652</v>
      </c>
      <c r="BM172" s="38">
        <f t="shared" si="1188"/>
        <v>79742794.753245652</v>
      </c>
      <c r="BN172" s="38">
        <f t="shared" si="1188"/>
        <v>79742794.753245652</v>
      </c>
      <c r="BO172" s="38">
        <f t="shared" si="1188"/>
        <v>79742794.753245652</v>
      </c>
      <c r="BP172" s="38">
        <f t="shared" si="1188"/>
        <v>79742794.753245652</v>
      </c>
      <c r="BQ172" s="38">
        <f t="shared" si="1188"/>
        <v>79742794.753245652</v>
      </c>
      <c r="BR172" s="38">
        <f t="shared" si="1188"/>
        <v>79742794.753245652</v>
      </c>
      <c r="BS172" s="38">
        <f t="shared" si="1188"/>
        <v>79742794.753245652</v>
      </c>
      <c r="BT172" s="38">
        <f t="shared" ref="BT172:CK172" si="1189">+BS178</f>
        <v>79742794.753245652</v>
      </c>
      <c r="BU172" s="38">
        <f t="shared" si="1189"/>
        <v>79742794.753245652</v>
      </c>
      <c r="BV172" s="38">
        <f t="shared" si="1189"/>
        <v>79742794.753245652</v>
      </c>
      <c r="BW172" s="38">
        <f t="shared" si="1189"/>
        <v>79742794.753245652</v>
      </c>
      <c r="BX172" s="38">
        <f t="shared" si="1189"/>
        <v>79742794.753245652</v>
      </c>
      <c r="BY172" s="38">
        <f t="shared" si="1189"/>
        <v>79742794.753245652</v>
      </c>
      <c r="BZ172" s="38">
        <f t="shared" si="1189"/>
        <v>79742794.753245652</v>
      </c>
      <c r="CA172" s="38">
        <f t="shared" si="1189"/>
        <v>79742794.753245652</v>
      </c>
      <c r="CB172" s="38">
        <f t="shared" si="1189"/>
        <v>79742794.753245652</v>
      </c>
      <c r="CC172" s="38">
        <f t="shared" si="1189"/>
        <v>79742794.753245652</v>
      </c>
      <c r="CD172" s="38">
        <f t="shared" si="1189"/>
        <v>79742794.753245652</v>
      </c>
      <c r="CE172" s="38">
        <f t="shared" si="1189"/>
        <v>79742794.753245652</v>
      </c>
      <c r="CF172" s="38">
        <f t="shared" si="1189"/>
        <v>79742794.753245652</v>
      </c>
      <c r="CG172" s="38">
        <f t="shared" si="1189"/>
        <v>79742794.753245652</v>
      </c>
      <c r="CH172" s="38">
        <f t="shared" si="1189"/>
        <v>79742794.753245652</v>
      </c>
      <c r="CI172" s="38">
        <f t="shared" si="1189"/>
        <v>79742794.753245652</v>
      </c>
      <c r="CJ172" s="38">
        <f t="shared" si="1189"/>
        <v>79742794.753245652</v>
      </c>
      <c r="CK172" s="38">
        <f t="shared" si="1189"/>
        <v>79742794.753245652</v>
      </c>
    </row>
    <row r="173" spans="3:89" outlineLevel="1" x14ac:dyDescent="0.25">
      <c r="C173" s="123" t="s">
        <v>191</v>
      </c>
      <c r="D173" s="13" t="s">
        <v>24</v>
      </c>
      <c r="F173" s="38">
        <f>+F160</f>
        <v>8963439.4061929006</v>
      </c>
      <c r="G173" s="38">
        <f t="shared" ref="G173:BR173" si="1190">+G160</f>
        <v>0</v>
      </c>
      <c r="H173" s="38">
        <f t="shared" si="1190"/>
        <v>0</v>
      </c>
      <c r="I173" s="38">
        <f t="shared" si="1190"/>
        <v>4941119.4676008793</v>
      </c>
      <c r="J173" s="38">
        <f t="shared" si="1190"/>
        <v>5706039.4521962702</v>
      </c>
      <c r="K173" s="38">
        <f t="shared" si="1190"/>
        <v>12965246.226588443</v>
      </c>
      <c r="L173" s="38">
        <f t="shared" si="1190"/>
        <v>10276698.156953398</v>
      </c>
      <c r="M173" s="38">
        <f t="shared" si="1190"/>
        <v>2825681.5343172997</v>
      </c>
      <c r="N173" s="38">
        <f t="shared" si="1190"/>
        <v>1309542.159044059</v>
      </c>
      <c r="O173" s="38">
        <f t="shared" si="1190"/>
        <v>2074787.0037881937</v>
      </c>
      <c r="P173" s="38">
        <f t="shared" si="1190"/>
        <v>4920009.6689692084</v>
      </c>
      <c r="Q173" s="38">
        <f t="shared" si="1190"/>
        <v>7992912.4166666558</v>
      </c>
      <c r="R173" s="38">
        <f t="shared" si="1190"/>
        <v>4940299.3729317272</v>
      </c>
      <c r="S173" s="38">
        <f t="shared" si="1190"/>
        <v>0</v>
      </c>
      <c r="T173" s="38">
        <f t="shared" si="1190"/>
        <v>0</v>
      </c>
      <c r="U173" s="38">
        <f t="shared" si="1190"/>
        <v>0</v>
      </c>
      <c r="V173" s="38">
        <f t="shared" si="1190"/>
        <v>0</v>
      </c>
      <c r="W173" s="38">
        <f t="shared" si="1190"/>
        <v>0</v>
      </c>
      <c r="X173" s="38">
        <f t="shared" si="1190"/>
        <v>0</v>
      </c>
      <c r="Y173" s="38">
        <f t="shared" si="1190"/>
        <v>0</v>
      </c>
      <c r="Z173" s="38">
        <f t="shared" si="1190"/>
        <v>0</v>
      </c>
      <c r="AA173" s="38">
        <f t="shared" si="1190"/>
        <v>0</v>
      </c>
      <c r="AB173" s="38">
        <f t="shared" si="1190"/>
        <v>0</v>
      </c>
      <c r="AC173" s="38">
        <f t="shared" si="1190"/>
        <v>0</v>
      </c>
      <c r="AD173" s="38">
        <f t="shared" si="1190"/>
        <v>0</v>
      </c>
      <c r="AE173" s="38">
        <f t="shared" si="1190"/>
        <v>0</v>
      </c>
      <c r="AF173" s="38">
        <f t="shared" si="1190"/>
        <v>0</v>
      </c>
      <c r="AG173" s="38">
        <f t="shared" si="1190"/>
        <v>0</v>
      </c>
      <c r="AH173" s="38">
        <f t="shared" si="1190"/>
        <v>0</v>
      </c>
      <c r="AI173" s="38">
        <f t="shared" si="1190"/>
        <v>0</v>
      </c>
      <c r="AJ173" s="38">
        <f t="shared" si="1190"/>
        <v>0</v>
      </c>
      <c r="AK173" s="38">
        <f t="shared" si="1190"/>
        <v>0</v>
      </c>
      <c r="AL173" s="38">
        <f t="shared" si="1190"/>
        <v>0</v>
      </c>
      <c r="AM173" s="38">
        <f t="shared" si="1190"/>
        <v>0</v>
      </c>
      <c r="AN173" s="38">
        <f t="shared" si="1190"/>
        <v>0</v>
      </c>
      <c r="AO173" s="38">
        <f t="shared" si="1190"/>
        <v>0</v>
      </c>
      <c r="AP173" s="38">
        <f t="shared" si="1190"/>
        <v>0</v>
      </c>
      <c r="AQ173" s="38">
        <f t="shared" si="1190"/>
        <v>0</v>
      </c>
      <c r="AR173" s="38">
        <f t="shared" si="1190"/>
        <v>0</v>
      </c>
      <c r="AS173" s="38">
        <f t="shared" si="1190"/>
        <v>0</v>
      </c>
      <c r="AT173" s="38">
        <f t="shared" si="1190"/>
        <v>0</v>
      </c>
      <c r="AU173" s="38">
        <f t="shared" si="1190"/>
        <v>0</v>
      </c>
      <c r="AV173" s="38">
        <f t="shared" si="1190"/>
        <v>0</v>
      </c>
      <c r="AW173" s="38">
        <f t="shared" si="1190"/>
        <v>0</v>
      </c>
      <c r="AX173" s="38">
        <f t="shared" si="1190"/>
        <v>0</v>
      </c>
      <c r="AY173" s="38">
        <f t="shared" si="1190"/>
        <v>0</v>
      </c>
      <c r="AZ173" s="38">
        <f t="shared" si="1190"/>
        <v>0</v>
      </c>
      <c r="BA173" s="38">
        <f t="shared" si="1190"/>
        <v>0</v>
      </c>
      <c r="BB173" s="38">
        <f t="shared" si="1190"/>
        <v>0</v>
      </c>
      <c r="BC173" s="38">
        <f t="shared" si="1190"/>
        <v>0</v>
      </c>
      <c r="BD173" s="38">
        <f t="shared" si="1190"/>
        <v>0</v>
      </c>
      <c r="BE173" s="38">
        <f t="shared" si="1190"/>
        <v>0</v>
      </c>
      <c r="BF173" s="38">
        <f t="shared" si="1190"/>
        <v>0</v>
      </c>
      <c r="BG173" s="38">
        <f t="shared" si="1190"/>
        <v>0</v>
      </c>
      <c r="BH173" s="38">
        <f t="shared" si="1190"/>
        <v>0</v>
      </c>
      <c r="BI173" s="38">
        <f t="shared" si="1190"/>
        <v>0</v>
      </c>
      <c r="BJ173" s="38">
        <f t="shared" si="1190"/>
        <v>0</v>
      </c>
      <c r="BK173" s="38">
        <f t="shared" si="1190"/>
        <v>0</v>
      </c>
      <c r="BL173" s="38">
        <f t="shared" si="1190"/>
        <v>0</v>
      </c>
      <c r="BM173" s="38">
        <f t="shared" si="1190"/>
        <v>0</v>
      </c>
      <c r="BN173" s="38">
        <f t="shared" si="1190"/>
        <v>0</v>
      </c>
      <c r="BO173" s="38">
        <f t="shared" si="1190"/>
        <v>0</v>
      </c>
      <c r="BP173" s="38">
        <f t="shared" si="1190"/>
        <v>0</v>
      </c>
      <c r="BQ173" s="38">
        <f t="shared" si="1190"/>
        <v>0</v>
      </c>
      <c r="BR173" s="38">
        <f t="shared" si="1190"/>
        <v>0</v>
      </c>
      <c r="BS173" s="38">
        <f t="shared" ref="BS173:CK173" si="1191">+BS160</f>
        <v>0</v>
      </c>
      <c r="BT173" s="38">
        <f t="shared" si="1191"/>
        <v>0</v>
      </c>
      <c r="BU173" s="38">
        <f t="shared" si="1191"/>
        <v>0</v>
      </c>
      <c r="BV173" s="38">
        <f t="shared" si="1191"/>
        <v>0</v>
      </c>
      <c r="BW173" s="38">
        <f t="shared" si="1191"/>
        <v>0</v>
      </c>
      <c r="BX173" s="38">
        <f t="shared" si="1191"/>
        <v>0</v>
      </c>
      <c r="BY173" s="38">
        <f t="shared" si="1191"/>
        <v>0</v>
      </c>
      <c r="BZ173" s="38">
        <f t="shared" si="1191"/>
        <v>0</v>
      </c>
      <c r="CA173" s="38">
        <f t="shared" si="1191"/>
        <v>0</v>
      </c>
      <c r="CB173" s="38">
        <f t="shared" si="1191"/>
        <v>0</v>
      </c>
      <c r="CC173" s="38">
        <f t="shared" si="1191"/>
        <v>0</v>
      </c>
      <c r="CD173" s="38">
        <f t="shared" si="1191"/>
        <v>0</v>
      </c>
      <c r="CE173" s="38">
        <f t="shared" si="1191"/>
        <v>0</v>
      </c>
      <c r="CF173" s="38">
        <f t="shared" si="1191"/>
        <v>0</v>
      </c>
      <c r="CG173" s="38">
        <f t="shared" si="1191"/>
        <v>0</v>
      </c>
      <c r="CH173" s="38">
        <f t="shared" si="1191"/>
        <v>0</v>
      </c>
      <c r="CI173" s="38">
        <f t="shared" si="1191"/>
        <v>0</v>
      </c>
      <c r="CJ173" s="38">
        <f t="shared" si="1191"/>
        <v>0</v>
      </c>
      <c r="CK173" s="38">
        <f t="shared" si="1191"/>
        <v>0</v>
      </c>
    </row>
    <row r="174" spans="3:89" outlineLevel="1" x14ac:dyDescent="0.25">
      <c r="C174" s="127" t="s">
        <v>192</v>
      </c>
      <c r="D174" s="13" t="s">
        <v>24</v>
      </c>
      <c r="E174" s="128">
        <f>Tier_2_IRR_Max</f>
        <v>3</v>
      </c>
      <c r="F174" s="38">
        <f>+F173*($E174-1)</f>
        <v>17926878.812385801</v>
      </c>
      <c r="G174" s="38">
        <f t="shared" ref="G174" si="1192">+G173*($E174-1)</f>
        <v>0</v>
      </c>
      <c r="H174" s="38">
        <f t="shared" ref="H174" si="1193">+H173*($E174-1)</f>
        <v>0</v>
      </c>
      <c r="I174" s="38">
        <f t="shared" ref="I174" si="1194">+I173*($E174-1)</f>
        <v>9882238.9352017585</v>
      </c>
      <c r="J174" s="38">
        <f t="shared" ref="J174" si="1195">+J173*($E174-1)</f>
        <v>11412078.90439254</v>
      </c>
      <c r="K174" s="38">
        <f t="shared" ref="K174" si="1196">+K173*($E174-1)</f>
        <v>25930492.453176886</v>
      </c>
      <c r="L174" s="38">
        <f t="shared" ref="L174" si="1197">+L173*($E174-1)</f>
        <v>20553396.313906796</v>
      </c>
      <c r="M174" s="38">
        <f t="shared" ref="M174" si="1198">+M173*($E174-1)</f>
        <v>5651363.0686345994</v>
      </c>
      <c r="N174" s="38">
        <f t="shared" ref="N174" si="1199">+N173*($E174-1)</f>
        <v>2619084.318088118</v>
      </c>
      <c r="O174" s="38">
        <f t="shared" ref="O174" si="1200">+O173*($E174-1)</f>
        <v>4149574.0075763874</v>
      </c>
      <c r="P174" s="38">
        <f t="shared" ref="P174" si="1201">+P173*($E174-1)</f>
        <v>9840019.3379384167</v>
      </c>
      <c r="Q174" s="38">
        <f t="shared" ref="Q174" si="1202">+Q173*($E174-1)</f>
        <v>15985824.833333312</v>
      </c>
      <c r="R174" s="38">
        <f t="shared" ref="R174" si="1203">+R173*($E174-1)</f>
        <v>9880598.7458634544</v>
      </c>
      <c r="S174" s="38">
        <f t="shared" ref="S174" si="1204">+S173*($E174-1)</f>
        <v>0</v>
      </c>
      <c r="T174" s="38">
        <f t="shared" ref="T174" si="1205">+T173*($E174-1)</f>
        <v>0</v>
      </c>
      <c r="U174" s="38">
        <f t="shared" ref="U174" si="1206">+U173*($E174-1)</f>
        <v>0</v>
      </c>
      <c r="V174" s="38">
        <f t="shared" ref="V174" si="1207">+V173*($E174-1)</f>
        <v>0</v>
      </c>
      <c r="W174" s="38">
        <f t="shared" ref="W174" si="1208">+W173*($E174-1)</f>
        <v>0</v>
      </c>
      <c r="X174" s="38">
        <f t="shared" ref="X174" si="1209">+X173*($E174-1)</f>
        <v>0</v>
      </c>
      <c r="Y174" s="38">
        <f t="shared" ref="Y174" si="1210">+Y173*($E174-1)</f>
        <v>0</v>
      </c>
      <c r="Z174" s="38">
        <f t="shared" ref="Z174" si="1211">+Z173*($E174-1)</f>
        <v>0</v>
      </c>
      <c r="AA174" s="38">
        <f t="shared" ref="AA174" si="1212">+AA173*($E174-1)</f>
        <v>0</v>
      </c>
      <c r="AB174" s="38">
        <f t="shared" ref="AB174" si="1213">+AB173*($E174-1)</f>
        <v>0</v>
      </c>
      <c r="AC174" s="38">
        <f t="shared" ref="AC174" si="1214">+AC173*($E174-1)</f>
        <v>0</v>
      </c>
      <c r="AD174" s="38">
        <f t="shared" ref="AD174" si="1215">+AD173*($E174-1)</f>
        <v>0</v>
      </c>
      <c r="AE174" s="38">
        <f t="shared" ref="AE174" si="1216">+AE173*($E174-1)</f>
        <v>0</v>
      </c>
      <c r="AF174" s="38">
        <f t="shared" ref="AF174" si="1217">+AF173*($E174-1)</f>
        <v>0</v>
      </c>
      <c r="AG174" s="38">
        <f t="shared" ref="AG174" si="1218">+AG173*($E174-1)</f>
        <v>0</v>
      </c>
      <c r="AH174" s="38">
        <f t="shared" ref="AH174" si="1219">+AH173*($E174-1)</f>
        <v>0</v>
      </c>
      <c r="AI174" s="38">
        <f t="shared" ref="AI174" si="1220">+AI173*($E174-1)</f>
        <v>0</v>
      </c>
      <c r="AJ174" s="38">
        <f t="shared" ref="AJ174" si="1221">+AJ173*($E174-1)</f>
        <v>0</v>
      </c>
      <c r="AK174" s="38">
        <f t="shared" ref="AK174" si="1222">+AK173*($E174-1)</f>
        <v>0</v>
      </c>
      <c r="AL174" s="38">
        <f t="shared" ref="AL174" si="1223">+AL173*($E174-1)</f>
        <v>0</v>
      </c>
      <c r="AM174" s="38">
        <f t="shared" ref="AM174" si="1224">+AM173*($E174-1)</f>
        <v>0</v>
      </c>
      <c r="AN174" s="38">
        <f t="shared" ref="AN174" si="1225">+AN173*($E174-1)</f>
        <v>0</v>
      </c>
      <c r="AO174" s="38">
        <f t="shared" ref="AO174" si="1226">+AO173*($E174-1)</f>
        <v>0</v>
      </c>
      <c r="AP174" s="38">
        <f t="shared" ref="AP174" si="1227">+AP173*($E174-1)</f>
        <v>0</v>
      </c>
      <c r="AQ174" s="38">
        <f t="shared" ref="AQ174" si="1228">+AQ173*($E174-1)</f>
        <v>0</v>
      </c>
      <c r="AR174" s="38">
        <f t="shared" ref="AR174" si="1229">+AR173*($E174-1)</f>
        <v>0</v>
      </c>
      <c r="AS174" s="38">
        <f t="shared" ref="AS174" si="1230">+AS173*($E174-1)</f>
        <v>0</v>
      </c>
      <c r="AT174" s="38">
        <f t="shared" ref="AT174" si="1231">+AT173*($E174-1)</f>
        <v>0</v>
      </c>
      <c r="AU174" s="38">
        <f t="shared" ref="AU174" si="1232">+AU173*($E174-1)</f>
        <v>0</v>
      </c>
      <c r="AV174" s="38">
        <f t="shared" ref="AV174" si="1233">+AV173*($E174-1)</f>
        <v>0</v>
      </c>
      <c r="AW174" s="38">
        <f t="shared" ref="AW174" si="1234">+AW173*($E174-1)</f>
        <v>0</v>
      </c>
      <c r="AX174" s="38">
        <f t="shared" ref="AX174" si="1235">+AX173*($E174-1)</f>
        <v>0</v>
      </c>
      <c r="AY174" s="38">
        <f t="shared" ref="AY174" si="1236">+AY173*($E174-1)</f>
        <v>0</v>
      </c>
      <c r="AZ174" s="38">
        <f t="shared" ref="AZ174" si="1237">+AZ173*($E174-1)</f>
        <v>0</v>
      </c>
      <c r="BA174" s="38">
        <f t="shared" ref="BA174" si="1238">+BA173*($E174-1)</f>
        <v>0</v>
      </c>
      <c r="BB174" s="38">
        <f t="shared" ref="BB174" si="1239">+BB173*($E174-1)</f>
        <v>0</v>
      </c>
      <c r="BC174" s="38">
        <f t="shared" ref="BC174" si="1240">+BC173*($E174-1)</f>
        <v>0</v>
      </c>
      <c r="BD174" s="38">
        <f t="shared" ref="BD174" si="1241">+BD173*($E174-1)</f>
        <v>0</v>
      </c>
      <c r="BE174" s="38">
        <f t="shared" ref="BE174" si="1242">+BE173*($E174-1)</f>
        <v>0</v>
      </c>
      <c r="BF174" s="38">
        <f t="shared" ref="BF174" si="1243">+BF173*($E174-1)</f>
        <v>0</v>
      </c>
      <c r="BG174" s="38">
        <f t="shared" ref="BG174" si="1244">+BG173*($E174-1)</f>
        <v>0</v>
      </c>
      <c r="BH174" s="38">
        <f t="shared" ref="BH174" si="1245">+BH173*($E174-1)</f>
        <v>0</v>
      </c>
      <c r="BI174" s="38">
        <f t="shared" ref="BI174" si="1246">+BI173*($E174-1)</f>
        <v>0</v>
      </c>
      <c r="BJ174" s="38">
        <f t="shared" ref="BJ174" si="1247">+BJ173*($E174-1)</f>
        <v>0</v>
      </c>
      <c r="BK174" s="38">
        <f t="shared" ref="BK174" si="1248">+BK173*($E174-1)</f>
        <v>0</v>
      </c>
      <c r="BL174" s="38">
        <f t="shared" ref="BL174" si="1249">+BL173*($E174-1)</f>
        <v>0</v>
      </c>
      <c r="BM174" s="38">
        <f t="shared" ref="BM174" si="1250">+BM173*($E174-1)</f>
        <v>0</v>
      </c>
      <c r="BN174" s="38">
        <f t="shared" ref="BN174" si="1251">+BN173*($E174-1)</f>
        <v>0</v>
      </c>
      <c r="BO174" s="38">
        <f t="shared" ref="BO174" si="1252">+BO173*($E174-1)</f>
        <v>0</v>
      </c>
      <c r="BP174" s="38">
        <f t="shared" ref="BP174" si="1253">+BP173*($E174-1)</f>
        <v>0</v>
      </c>
      <c r="BQ174" s="38">
        <f t="shared" ref="BQ174" si="1254">+BQ173*($E174-1)</f>
        <v>0</v>
      </c>
      <c r="BR174" s="38">
        <f t="shared" ref="BR174" si="1255">+BR173*($E174-1)</f>
        <v>0</v>
      </c>
      <c r="BS174" s="38">
        <f t="shared" ref="BS174" si="1256">+BS173*($E174-1)</f>
        <v>0</v>
      </c>
      <c r="BT174" s="38">
        <f t="shared" ref="BT174" si="1257">+BT173*($E174-1)</f>
        <v>0</v>
      </c>
      <c r="BU174" s="38">
        <f t="shared" ref="BU174" si="1258">+BU173*($E174-1)</f>
        <v>0</v>
      </c>
      <c r="BV174" s="38">
        <f t="shared" ref="BV174" si="1259">+BV173*($E174-1)</f>
        <v>0</v>
      </c>
      <c r="BW174" s="38">
        <f t="shared" ref="BW174" si="1260">+BW173*($E174-1)</f>
        <v>0</v>
      </c>
      <c r="BX174" s="38">
        <f t="shared" ref="BX174" si="1261">+BX173*($E174-1)</f>
        <v>0</v>
      </c>
      <c r="BY174" s="38">
        <f t="shared" ref="BY174" si="1262">+BY173*($E174-1)</f>
        <v>0</v>
      </c>
      <c r="BZ174" s="38">
        <f t="shared" ref="BZ174" si="1263">+BZ173*($E174-1)</f>
        <v>0</v>
      </c>
      <c r="CA174" s="38">
        <f t="shared" ref="CA174" si="1264">+CA173*($E174-1)</f>
        <v>0</v>
      </c>
      <c r="CB174" s="38">
        <f t="shared" ref="CB174" si="1265">+CB173*($E174-1)</f>
        <v>0</v>
      </c>
      <c r="CC174" s="38">
        <f t="shared" ref="CC174" si="1266">+CC173*($E174-1)</f>
        <v>0</v>
      </c>
      <c r="CD174" s="38">
        <f t="shared" ref="CD174" si="1267">+CD173*($E174-1)</f>
        <v>0</v>
      </c>
      <c r="CE174" s="38">
        <f t="shared" ref="CE174" si="1268">+CE173*($E174-1)</f>
        <v>0</v>
      </c>
      <c r="CF174" s="38">
        <f t="shared" ref="CF174" si="1269">+CF173*($E174-1)</f>
        <v>0</v>
      </c>
      <c r="CG174" s="38">
        <f t="shared" ref="CG174" si="1270">+CG173*($E174-1)</f>
        <v>0</v>
      </c>
      <c r="CH174" s="38">
        <f t="shared" ref="CH174" si="1271">+CH173*($E174-1)</f>
        <v>0</v>
      </c>
      <c r="CI174" s="38">
        <f t="shared" ref="CI174" si="1272">+CI173*($E174-1)</f>
        <v>0</v>
      </c>
      <c r="CJ174" s="38">
        <f t="shared" ref="CJ174" si="1273">+CJ173*($E174-1)</f>
        <v>0</v>
      </c>
      <c r="CK174" s="38">
        <f t="shared" ref="CK174" si="1274">+CK173*($E174-1)</f>
        <v>0</v>
      </c>
    </row>
    <row r="175" spans="3:89" outlineLevel="1" x14ac:dyDescent="0.25">
      <c r="C175" s="132" t="s">
        <v>199</v>
      </c>
      <c r="D175" s="13" t="s">
        <v>24</v>
      </c>
      <c r="F175" s="38">
        <f>+F162</f>
        <v>0</v>
      </c>
      <c r="G175" s="38">
        <f t="shared" ref="G175:BR175" si="1275">+G162</f>
        <v>-2788820.292015709</v>
      </c>
      <c r="H175" s="38">
        <f t="shared" si="1275"/>
        <v>-2042922.4273272539</v>
      </c>
      <c r="I175" s="38">
        <f t="shared" si="1275"/>
        <v>0</v>
      </c>
      <c r="J175" s="38">
        <f t="shared" si="1275"/>
        <v>0</v>
      </c>
      <c r="K175" s="38">
        <f t="shared" si="1275"/>
        <v>0</v>
      </c>
      <c r="L175" s="38">
        <f t="shared" si="1275"/>
        <v>0</v>
      </c>
      <c r="M175" s="38">
        <f t="shared" si="1275"/>
        <v>0</v>
      </c>
      <c r="N175" s="38">
        <f t="shared" si="1275"/>
        <v>0</v>
      </c>
      <c r="O175" s="38">
        <f t="shared" si="1275"/>
        <v>0</v>
      </c>
      <c r="P175" s="38">
        <f t="shared" si="1275"/>
        <v>0</v>
      </c>
      <c r="Q175" s="38">
        <f t="shared" si="1275"/>
        <v>0</v>
      </c>
      <c r="R175" s="38">
        <f t="shared" si="1275"/>
        <v>0</v>
      </c>
      <c r="S175" s="38">
        <f t="shared" si="1275"/>
        <v>0</v>
      </c>
      <c r="T175" s="38">
        <f t="shared" si="1275"/>
        <v>0</v>
      </c>
      <c r="U175" s="38">
        <f t="shared" si="1275"/>
        <v>0</v>
      </c>
      <c r="V175" s="38">
        <f t="shared" si="1275"/>
        <v>0</v>
      </c>
      <c r="W175" s="38">
        <f t="shared" si="1275"/>
        <v>0</v>
      </c>
      <c r="X175" s="38">
        <f t="shared" si="1275"/>
        <v>0</v>
      </c>
      <c r="Y175" s="38">
        <f t="shared" si="1275"/>
        <v>0</v>
      </c>
      <c r="Z175" s="38">
        <f t="shared" si="1275"/>
        <v>0</v>
      </c>
      <c r="AA175" s="38">
        <f t="shared" si="1275"/>
        <v>0</v>
      </c>
      <c r="AB175" s="38">
        <f t="shared" si="1275"/>
        <v>0</v>
      </c>
      <c r="AC175" s="38">
        <f t="shared" si="1275"/>
        <v>0</v>
      </c>
      <c r="AD175" s="38">
        <f t="shared" si="1275"/>
        <v>0</v>
      </c>
      <c r="AE175" s="38">
        <f t="shared" si="1275"/>
        <v>0</v>
      </c>
      <c r="AF175" s="38">
        <f t="shared" si="1275"/>
        <v>0</v>
      </c>
      <c r="AG175" s="38">
        <f t="shared" si="1275"/>
        <v>0</v>
      </c>
      <c r="AH175" s="38">
        <f t="shared" si="1275"/>
        <v>0</v>
      </c>
      <c r="AI175" s="38">
        <f t="shared" si="1275"/>
        <v>0</v>
      </c>
      <c r="AJ175" s="38">
        <f t="shared" si="1275"/>
        <v>0</v>
      </c>
      <c r="AK175" s="38">
        <f t="shared" si="1275"/>
        <v>0</v>
      </c>
      <c r="AL175" s="38">
        <f t="shared" si="1275"/>
        <v>0</v>
      </c>
      <c r="AM175" s="38">
        <f t="shared" si="1275"/>
        <v>0</v>
      </c>
      <c r="AN175" s="38">
        <f t="shared" si="1275"/>
        <v>0</v>
      </c>
      <c r="AO175" s="38">
        <f t="shared" si="1275"/>
        <v>0</v>
      </c>
      <c r="AP175" s="38">
        <f t="shared" si="1275"/>
        <v>0</v>
      </c>
      <c r="AQ175" s="38">
        <f t="shared" si="1275"/>
        <v>0</v>
      </c>
      <c r="AR175" s="38">
        <f t="shared" si="1275"/>
        <v>0</v>
      </c>
      <c r="AS175" s="38">
        <f t="shared" si="1275"/>
        <v>0</v>
      </c>
      <c r="AT175" s="38">
        <f t="shared" si="1275"/>
        <v>0</v>
      </c>
      <c r="AU175" s="38">
        <f t="shared" si="1275"/>
        <v>0</v>
      </c>
      <c r="AV175" s="38">
        <f t="shared" si="1275"/>
        <v>0</v>
      </c>
      <c r="AW175" s="38">
        <f t="shared" si="1275"/>
        <v>0</v>
      </c>
      <c r="AX175" s="38">
        <f t="shared" si="1275"/>
        <v>0</v>
      </c>
      <c r="AY175" s="38">
        <f t="shared" si="1275"/>
        <v>0</v>
      </c>
      <c r="AZ175" s="38">
        <f t="shared" si="1275"/>
        <v>-62084032.145906061</v>
      </c>
      <c r="BA175" s="38">
        <f t="shared" si="1275"/>
        <v>0</v>
      </c>
      <c r="BB175" s="38">
        <f t="shared" si="1275"/>
        <v>0</v>
      </c>
      <c r="BC175" s="38">
        <f t="shared" si="1275"/>
        <v>0</v>
      </c>
      <c r="BD175" s="38">
        <f t="shared" si="1275"/>
        <v>0</v>
      </c>
      <c r="BE175" s="38">
        <f t="shared" si="1275"/>
        <v>0</v>
      </c>
      <c r="BF175" s="38">
        <f t="shared" si="1275"/>
        <v>0</v>
      </c>
      <c r="BG175" s="38">
        <f t="shared" si="1275"/>
        <v>0</v>
      </c>
      <c r="BH175" s="38">
        <f t="shared" si="1275"/>
        <v>0</v>
      </c>
      <c r="BI175" s="38">
        <f t="shared" si="1275"/>
        <v>0</v>
      </c>
      <c r="BJ175" s="38">
        <f t="shared" si="1275"/>
        <v>0</v>
      </c>
      <c r="BK175" s="38">
        <f t="shared" si="1275"/>
        <v>0</v>
      </c>
      <c r="BL175" s="38">
        <f t="shared" si="1275"/>
        <v>0</v>
      </c>
      <c r="BM175" s="38">
        <f t="shared" si="1275"/>
        <v>0</v>
      </c>
      <c r="BN175" s="38">
        <f t="shared" si="1275"/>
        <v>0</v>
      </c>
      <c r="BO175" s="38">
        <f t="shared" si="1275"/>
        <v>0</v>
      </c>
      <c r="BP175" s="38">
        <f t="shared" si="1275"/>
        <v>0</v>
      </c>
      <c r="BQ175" s="38">
        <f t="shared" si="1275"/>
        <v>0</v>
      </c>
      <c r="BR175" s="38">
        <f t="shared" si="1275"/>
        <v>0</v>
      </c>
      <c r="BS175" s="38">
        <f t="shared" ref="BS175:CK175" si="1276">+BS162</f>
        <v>0</v>
      </c>
      <c r="BT175" s="38">
        <f t="shared" si="1276"/>
        <v>0</v>
      </c>
      <c r="BU175" s="38">
        <f t="shared" si="1276"/>
        <v>0</v>
      </c>
      <c r="BV175" s="38">
        <f t="shared" si="1276"/>
        <v>0</v>
      </c>
      <c r="BW175" s="38">
        <f t="shared" si="1276"/>
        <v>0</v>
      </c>
      <c r="BX175" s="38">
        <f t="shared" si="1276"/>
        <v>0</v>
      </c>
      <c r="BY175" s="38">
        <f t="shared" si="1276"/>
        <v>0</v>
      </c>
      <c r="BZ175" s="38">
        <f t="shared" si="1276"/>
        <v>0</v>
      </c>
      <c r="CA175" s="38">
        <f t="shared" si="1276"/>
        <v>0</v>
      </c>
      <c r="CB175" s="38">
        <f t="shared" si="1276"/>
        <v>0</v>
      </c>
      <c r="CC175" s="38">
        <f t="shared" si="1276"/>
        <v>0</v>
      </c>
      <c r="CD175" s="38">
        <f t="shared" si="1276"/>
        <v>0</v>
      </c>
      <c r="CE175" s="38">
        <f t="shared" si="1276"/>
        <v>0</v>
      </c>
      <c r="CF175" s="38">
        <f t="shared" si="1276"/>
        <v>0</v>
      </c>
      <c r="CG175" s="38">
        <f t="shared" si="1276"/>
        <v>0</v>
      </c>
      <c r="CH175" s="38">
        <f t="shared" si="1276"/>
        <v>0</v>
      </c>
      <c r="CI175" s="38">
        <f t="shared" si="1276"/>
        <v>0</v>
      </c>
      <c r="CJ175" s="38">
        <f t="shared" si="1276"/>
        <v>0</v>
      </c>
      <c r="CK175" s="38">
        <f t="shared" si="1276"/>
        <v>0</v>
      </c>
    </row>
    <row r="176" spans="3:89" outlineLevel="1" x14ac:dyDescent="0.25">
      <c r="C176" s="127" t="s">
        <v>193</v>
      </c>
      <c r="D176" s="13" t="s">
        <v>24</v>
      </c>
      <c r="F176" s="38">
        <f t="shared" ref="F176:G176" si="1277">+F163</f>
        <v>0</v>
      </c>
      <c r="G176" s="38">
        <f t="shared" si="1277"/>
        <v>0</v>
      </c>
      <c r="H176" s="38">
        <f t="shared" ref="H176:BS176" si="1278">+H163</f>
        <v>0</v>
      </c>
      <c r="I176" s="38">
        <f t="shared" si="1278"/>
        <v>0</v>
      </c>
      <c r="J176" s="38">
        <f t="shared" si="1278"/>
        <v>0</v>
      </c>
      <c r="K176" s="38">
        <f t="shared" si="1278"/>
        <v>0</v>
      </c>
      <c r="L176" s="38">
        <f t="shared" si="1278"/>
        <v>0</v>
      </c>
      <c r="M176" s="38">
        <f t="shared" si="1278"/>
        <v>0</v>
      </c>
      <c r="N176" s="38">
        <f t="shared" si="1278"/>
        <v>0</v>
      </c>
      <c r="O176" s="38">
        <f t="shared" si="1278"/>
        <v>0</v>
      </c>
      <c r="P176" s="38">
        <f t="shared" si="1278"/>
        <v>0</v>
      </c>
      <c r="Q176" s="38">
        <f t="shared" si="1278"/>
        <v>0</v>
      </c>
      <c r="R176" s="38">
        <f t="shared" si="1278"/>
        <v>0</v>
      </c>
      <c r="S176" s="38">
        <f t="shared" si="1278"/>
        <v>0</v>
      </c>
      <c r="T176" s="38">
        <f t="shared" si="1278"/>
        <v>0</v>
      </c>
      <c r="U176" s="38">
        <f t="shared" si="1278"/>
        <v>0</v>
      </c>
      <c r="V176" s="38">
        <f t="shared" si="1278"/>
        <v>0</v>
      </c>
      <c r="W176" s="38">
        <f t="shared" si="1278"/>
        <v>0</v>
      </c>
      <c r="X176" s="38">
        <f t="shared" si="1278"/>
        <v>0</v>
      </c>
      <c r="Y176" s="38">
        <f t="shared" si="1278"/>
        <v>0</v>
      </c>
      <c r="Z176" s="38">
        <f t="shared" si="1278"/>
        <v>0</v>
      </c>
      <c r="AA176" s="38">
        <f t="shared" si="1278"/>
        <v>0</v>
      </c>
      <c r="AB176" s="38">
        <f t="shared" si="1278"/>
        <v>0</v>
      </c>
      <c r="AC176" s="38">
        <f t="shared" si="1278"/>
        <v>0</v>
      </c>
      <c r="AD176" s="38">
        <f t="shared" si="1278"/>
        <v>0</v>
      </c>
      <c r="AE176" s="38">
        <f t="shared" si="1278"/>
        <v>0</v>
      </c>
      <c r="AF176" s="38">
        <f t="shared" si="1278"/>
        <v>0</v>
      </c>
      <c r="AG176" s="38">
        <f t="shared" si="1278"/>
        <v>0</v>
      </c>
      <c r="AH176" s="38">
        <f t="shared" si="1278"/>
        <v>0</v>
      </c>
      <c r="AI176" s="38">
        <f t="shared" si="1278"/>
        <v>0</v>
      </c>
      <c r="AJ176" s="38">
        <f t="shared" si="1278"/>
        <v>0</v>
      </c>
      <c r="AK176" s="38">
        <f t="shared" si="1278"/>
        <v>0</v>
      </c>
      <c r="AL176" s="38">
        <f t="shared" si="1278"/>
        <v>0</v>
      </c>
      <c r="AM176" s="38">
        <f t="shared" si="1278"/>
        <v>0</v>
      </c>
      <c r="AN176" s="38">
        <f t="shared" si="1278"/>
        <v>0</v>
      </c>
      <c r="AO176" s="38">
        <f t="shared" si="1278"/>
        <v>0</v>
      </c>
      <c r="AP176" s="38">
        <f t="shared" si="1278"/>
        <v>0</v>
      </c>
      <c r="AQ176" s="38">
        <f t="shared" si="1278"/>
        <v>0</v>
      </c>
      <c r="AR176" s="38">
        <f t="shared" si="1278"/>
        <v>0</v>
      </c>
      <c r="AS176" s="38">
        <f t="shared" si="1278"/>
        <v>0</v>
      </c>
      <c r="AT176" s="38">
        <f t="shared" si="1278"/>
        <v>0</v>
      </c>
      <c r="AU176" s="38">
        <f t="shared" si="1278"/>
        <v>0</v>
      </c>
      <c r="AV176" s="38">
        <f t="shared" si="1278"/>
        <v>0</v>
      </c>
      <c r="AW176" s="38">
        <f t="shared" si="1278"/>
        <v>0</v>
      </c>
      <c r="AX176" s="38">
        <f t="shared" si="1278"/>
        <v>0</v>
      </c>
      <c r="AY176" s="38">
        <f t="shared" si="1278"/>
        <v>0</v>
      </c>
      <c r="AZ176" s="38">
        <f t="shared" si="1278"/>
        <v>-51245096.15817605</v>
      </c>
      <c r="BA176" s="38">
        <f t="shared" si="1278"/>
        <v>0</v>
      </c>
      <c r="BB176" s="38">
        <f t="shared" si="1278"/>
        <v>0</v>
      </c>
      <c r="BC176" s="38">
        <f t="shared" si="1278"/>
        <v>0</v>
      </c>
      <c r="BD176" s="38">
        <f t="shared" si="1278"/>
        <v>0</v>
      </c>
      <c r="BE176" s="38">
        <f t="shared" si="1278"/>
        <v>0</v>
      </c>
      <c r="BF176" s="38">
        <f t="shared" si="1278"/>
        <v>0</v>
      </c>
      <c r="BG176" s="38">
        <f t="shared" si="1278"/>
        <v>0</v>
      </c>
      <c r="BH176" s="38">
        <f t="shared" si="1278"/>
        <v>0</v>
      </c>
      <c r="BI176" s="38">
        <f t="shared" si="1278"/>
        <v>0</v>
      </c>
      <c r="BJ176" s="38">
        <f t="shared" si="1278"/>
        <v>0</v>
      </c>
      <c r="BK176" s="38">
        <f t="shared" si="1278"/>
        <v>0</v>
      </c>
      <c r="BL176" s="38">
        <f t="shared" si="1278"/>
        <v>0</v>
      </c>
      <c r="BM176" s="38">
        <f t="shared" si="1278"/>
        <v>0</v>
      </c>
      <c r="BN176" s="38">
        <f t="shared" si="1278"/>
        <v>0</v>
      </c>
      <c r="BO176" s="38">
        <f t="shared" si="1278"/>
        <v>0</v>
      </c>
      <c r="BP176" s="38">
        <f t="shared" si="1278"/>
        <v>0</v>
      </c>
      <c r="BQ176" s="38">
        <f t="shared" si="1278"/>
        <v>0</v>
      </c>
      <c r="BR176" s="38">
        <f t="shared" si="1278"/>
        <v>0</v>
      </c>
      <c r="BS176" s="38">
        <f t="shared" si="1278"/>
        <v>0</v>
      </c>
      <c r="BT176" s="38">
        <f t="shared" ref="BT176:CK176" si="1279">+BT163</f>
        <v>0</v>
      </c>
      <c r="BU176" s="38">
        <f t="shared" si="1279"/>
        <v>0</v>
      </c>
      <c r="BV176" s="38">
        <f t="shared" si="1279"/>
        <v>0</v>
      </c>
      <c r="BW176" s="38">
        <f t="shared" si="1279"/>
        <v>0</v>
      </c>
      <c r="BX176" s="38">
        <f t="shared" si="1279"/>
        <v>0</v>
      </c>
      <c r="BY176" s="38">
        <f t="shared" si="1279"/>
        <v>0</v>
      </c>
      <c r="BZ176" s="38">
        <f t="shared" si="1279"/>
        <v>0</v>
      </c>
      <c r="CA176" s="38">
        <f t="shared" si="1279"/>
        <v>0</v>
      </c>
      <c r="CB176" s="38">
        <f t="shared" si="1279"/>
        <v>0</v>
      </c>
      <c r="CC176" s="38">
        <f t="shared" si="1279"/>
        <v>0</v>
      </c>
      <c r="CD176" s="38">
        <f t="shared" si="1279"/>
        <v>0</v>
      </c>
      <c r="CE176" s="38">
        <f t="shared" si="1279"/>
        <v>0</v>
      </c>
      <c r="CF176" s="38">
        <f t="shared" si="1279"/>
        <v>0</v>
      </c>
      <c r="CG176" s="38">
        <f t="shared" si="1279"/>
        <v>0</v>
      </c>
      <c r="CH176" s="38">
        <f t="shared" si="1279"/>
        <v>0</v>
      </c>
      <c r="CI176" s="38">
        <f t="shared" si="1279"/>
        <v>0</v>
      </c>
      <c r="CJ176" s="38">
        <f t="shared" si="1279"/>
        <v>0</v>
      </c>
      <c r="CK176" s="38">
        <f t="shared" si="1279"/>
        <v>0</v>
      </c>
    </row>
    <row r="177" spans="2:89" outlineLevel="1" x14ac:dyDescent="0.25">
      <c r="C177" s="127" t="s">
        <v>201</v>
      </c>
      <c r="D177" s="50" t="s">
        <v>24</v>
      </c>
      <c r="E177" s="101"/>
      <c r="F177" s="52">
        <f>MIN(0,MAX(-(F172+F173+F174+F175+F176),-F169))</f>
        <v>0</v>
      </c>
      <c r="G177" s="52">
        <f t="shared" ref="G177" si="1280">MIN(0,MAX(-(G172+G173+G174+G175+G176),-G169))</f>
        <v>0</v>
      </c>
      <c r="H177" s="52">
        <f t="shared" ref="H177" si="1281">MIN(0,MAX(-(H172+H173+H174+H175+H176),-H169))</f>
        <v>0</v>
      </c>
      <c r="I177" s="52">
        <f t="shared" ref="I177" si="1282">MIN(0,MAX(-(I172+I173+I174+I175+I176),-I169))</f>
        <v>0</v>
      </c>
      <c r="J177" s="52">
        <f t="shared" ref="J177" si="1283">MIN(0,MAX(-(J172+J173+J174+J175+J176),-J169))</f>
        <v>0</v>
      </c>
      <c r="K177" s="52">
        <f t="shared" ref="K177" si="1284">MIN(0,MAX(-(K172+K173+K174+K175+K176),-K169))</f>
        <v>0</v>
      </c>
      <c r="L177" s="52">
        <f t="shared" ref="L177" si="1285">MIN(0,MAX(-(L172+L173+L174+L175+L176),-L169))</f>
        <v>0</v>
      </c>
      <c r="M177" s="52">
        <f t="shared" ref="M177" si="1286">MIN(0,MAX(-(M172+M173+M174+M175+M176),-M169))</f>
        <v>0</v>
      </c>
      <c r="N177" s="52">
        <f t="shared" ref="N177" si="1287">MIN(0,MAX(-(N172+N173+N174+N175+N176),-N169))</f>
        <v>0</v>
      </c>
      <c r="O177" s="52">
        <f t="shared" ref="O177" si="1288">MIN(0,MAX(-(O172+O173+O174+O175+O176),-O169))</f>
        <v>0</v>
      </c>
      <c r="P177" s="52">
        <f t="shared" ref="P177" si="1289">MIN(0,MAX(-(P172+P173+P174+P175+P176),-P169))</f>
        <v>0</v>
      </c>
      <c r="Q177" s="52">
        <f t="shared" ref="Q177" si="1290">MIN(0,MAX(-(Q172+Q173+Q174+Q175+Q176),-Q169))</f>
        <v>0</v>
      </c>
      <c r="R177" s="52">
        <f t="shared" ref="R177" si="1291">MIN(0,MAX(-(R172+R173+R174+R175+R176),-R169))</f>
        <v>0</v>
      </c>
      <c r="S177" s="52">
        <f t="shared" ref="S177" si="1292">MIN(0,MAX(-(S172+S173+S174+S175+S176),-S169))</f>
        <v>0</v>
      </c>
      <c r="T177" s="52">
        <f t="shared" ref="T177" si="1293">MIN(0,MAX(-(T172+T173+T174+T175+T176),-T169))</f>
        <v>0</v>
      </c>
      <c r="U177" s="52">
        <f t="shared" ref="U177" si="1294">MIN(0,MAX(-(U172+U173+U174+U175+U176),-U169))</f>
        <v>0</v>
      </c>
      <c r="V177" s="52">
        <f t="shared" ref="V177" si="1295">MIN(0,MAX(-(V172+V173+V174+V175+V176),-V169))</f>
        <v>0</v>
      </c>
      <c r="W177" s="52">
        <f t="shared" ref="W177" si="1296">MIN(0,MAX(-(W172+W173+W174+W175+W176),-W169))</f>
        <v>0</v>
      </c>
      <c r="X177" s="52">
        <f t="shared" ref="X177" si="1297">MIN(0,MAX(-(X172+X173+X174+X175+X176),-X169))</f>
        <v>0</v>
      </c>
      <c r="Y177" s="52">
        <f t="shared" ref="Y177" si="1298">MIN(0,MAX(-(Y172+Y173+Y174+Y175+Y176),-Y169))</f>
        <v>0</v>
      </c>
      <c r="Z177" s="52">
        <f t="shared" ref="Z177" si="1299">MIN(0,MAX(-(Z172+Z173+Z174+Z175+Z176),-Z169))</f>
        <v>0</v>
      </c>
      <c r="AA177" s="52">
        <f t="shared" ref="AA177" si="1300">MIN(0,MAX(-(AA172+AA173+AA174+AA175+AA176),-AA169))</f>
        <v>0</v>
      </c>
      <c r="AB177" s="52">
        <f t="shared" ref="AB177" si="1301">MIN(0,MAX(-(AB172+AB173+AB174+AB175+AB176),-AB169))</f>
        <v>0</v>
      </c>
      <c r="AC177" s="52">
        <f t="shared" ref="AC177" si="1302">MIN(0,MAX(-(AC172+AC173+AC174+AC175+AC176),-AC169))</f>
        <v>0</v>
      </c>
      <c r="AD177" s="52">
        <f t="shared" ref="AD177" si="1303">MIN(0,MAX(-(AD172+AD173+AD174+AD175+AD176),-AD169))</f>
        <v>0</v>
      </c>
      <c r="AE177" s="52">
        <f t="shared" ref="AE177" si="1304">MIN(0,MAX(-(AE172+AE173+AE174+AE175+AE176),-AE169))</f>
        <v>0</v>
      </c>
      <c r="AF177" s="52">
        <f t="shared" ref="AF177" si="1305">MIN(0,MAX(-(AF172+AF173+AF174+AF175+AF176),-AF169))</f>
        <v>0</v>
      </c>
      <c r="AG177" s="52">
        <f t="shared" ref="AG177" si="1306">MIN(0,MAX(-(AG172+AG173+AG174+AG175+AG176),-AG169))</f>
        <v>0</v>
      </c>
      <c r="AH177" s="52">
        <f t="shared" ref="AH177" si="1307">MIN(0,MAX(-(AH172+AH173+AH174+AH175+AH176),-AH169))</f>
        <v>0</v>
      </c>
      <c r="AI177" s="52">
        <f t="shared" ref="AI177" si="1308">MIN(0,MAX(-(AI172+AI173+AI174+AI175+AI176),-AI169))</f>
        <v>0</v>
      </c>
      <c r="AJ177" s="52">
        <f t="shared" ref="AJ177" si="1309">MIN(0,MAX(-(AJ172+AJ173+AJ174+AJ175+AJ176),-AJ169))</f>
        <v>0</v>
      </c>
      <c r="AK177" s="52">
        <f t="shared" ref="AK177" si="1310">MIN(0,MAX(-(AK172+AK173+AK174+AK175+AK176),-AK169))</f>
        <v>0</v>
      </c>
      <c r="AL177" s="52">
        <f t="shared" ref="AL177" si="1311">MIN(0,MAX(-(AL172+AL173+AL174+AL175+AL176),-AL169))</f>
        <v>0</v>
      </c>
      <c r="AM177" s="52">
        <f t="shared" ref="AM177" si="1312">MIN(0,MAX(-(AM172+AM173+AM174+AM175+AM176),-AM169))</f>
        <v>0</v>
      </c>
      <c r="AN177" s="52">
        <f t="shared" ref="AN177" si="1313">MIN(0,MAX(-(AN172+AN173+AN174+AN175+AN176),-AN169))</f>
        <v>0</v>
      </c>
      <c r="AO177" s="52">
        <f t="shared" ref="AO177" si="1314">MIN(0,MAX(-(AO172+AO173+AO174+AO175+AO176),-AO169))</f>
        <v>0</v>
      </c>
      <c r="AP177" s="52">
        <f t="shared" ref="AP177" si="1315">MIN(0,MAX(-(AP172+AP173+AP174+AP175+AP176),-AP169))</f>
        <v>0</v>
      </c>
      <c r="AQ177" s="52">
        <f t="shared" ref="AQ177" si="1316">MIN(0,MAX(-(AQ172+AQ173+AQ174+AQ175+AQ176),-AQ169))</f>
        <v>0</v>
      </c>
      <c r="AR177" s="52">
        <f t="shared" ref="AR177" si="1317">MIN(0,MAX(-(AR172+AR173+AR174+AR175+AR176),-AR169))</f>
        <v>0</v>
      </c>
      <c r="AS177" s="52">
        <f t="shared" ref="AS177" si="1318">MIN(0,MAX(-(AS172+AS173+AS174+AS175+AS176),-AS169))</f>
        <v>0</v>
      </c>
      <c r="AT177" s="52">
        <f t="shared" ref="AT177" si="1319">MIN(0,MAX(-(AT172+AT173+AT174+AT175+AT176),-AT169))</f>
        <v>0</v>
      </c>
      <c r="AU177" s="52">
        <f t="shared" ref="AU177" si="1320">MIN(0,MAX(-(AU172+AU173+AU174+AU175+AU176),-AU169))</f>
        <v>0</v>
      </c>
      <c r="AV177" s="52">
        <f t="shared" ref="AV177" si="1321">MIN(0,MAX(-(AV172+AV173+AV174+AV175+AV176),-AV169))</f>
        <v>0</v>
      </c>
      <c r="AW177" s="52">
        <f t="shared" ref="AW177" si="1322">MIN(0,MAX(-(AW172+AW173+AW174+AW175+AW176),-AW169))</f>
        <v>0</v>
      </c>
      <c r="AX177" s="52">
        <f t="shared" ref="AX177" si="1323">MIN(0,MAX(-(AX172+AX173+AX174+AX175+AX176),-AX169))</f>
        <v>0</v>
      </c>
      <c r="AY177" s="52">
        <f t="shared" ref="AY177" si="1324">MIN(0,MAX(-(AY172+AY173+AY174+AY175+AY176),-AY169))</f>
        <v>0</v>
      </c>
      <c r="AZ177" s="52">
        <f t="shared" ref="AZ177" si="1325">MIN(0,MAX(-(AZ172+AZ173+AZ174+AZ175+AZ176),-AZ169))</f>
        <v>-2843658.819076404</v>
      </c>
      <c r="BA177" s="52">
        <f t="shared" ref="BA177" si="1326">MIN(0,MAX(-(BA172+BA173+BA174+BA175+BA176),-BA169))</f>
        <v>0</v>
      </c>
      <c r="BB177" s="52">
        <f t="shared" ref="BB177" si="1327">MIN(0,MAX(-(BB172+BB173+BB174+BB175+BB176),-BB169))</f>
        <v>0</v>
      </c>
      <c r="BC177" s="52">
        <f t="shared" ref="BC177" si="1328">MIN(0,MAX(-(BC172+BC173+BC174+BC175+BC176),-BC169))</f>
        <v>0</v>
      </c>
      <c r="BD177" s="52">
        <f t="shared" ref="BD177" si="1329">MIN(0,MAX(-(BD172+BD173+BD174+BD175+BD176),-BD169))</f>
        <v>0</v>
      </c>
      <c r="BE177" s="52">
        <f t="shared" ref="BE177" si="1330">MIN(0,MAX(-(BE172+BE173+BE174+BE175+BE176),-BE169))</f>
        <v>0</v>
      </c>
      <c r="BF177" s="52">
        <f t="shared" ref="BF177" si="1331">MIN(0,MAX(-(BF172+BF173+BF174+BF175+BF176),-BF169))</f>
        <v>0</v>
      </c>
      <c r="BG177" s="52">
        <f t="shared" ref="BG177" si="1332">MIN(0,MAX(-(BG172+BG173+BG174+BG175+BG176),-BG169))</f>
        <v>0</v>
      </c>
      <c r="BH177" s="52">
        <f t="shared" ref="BH177" si="1333">MIN(0,MAX(-(BH172+BH173+BH174+BH175+BH176),-BH169))</f>
        <v>0</v>
      </c>
      <c r="BI177" s="52">
        <f t="shared" ref="BI177" si="1334">MIN(0,MAX(-(BI172+BI173+BI174+BI175+BI176),-BI169))</f>
        <v>0</v>
      </c>
      <c r="BJ177" s="52">
        <f t="shared" ref="BJ177" si="1335">MIN(0,MAX(-(BJ172+BJ173+BJ174+BJ175+BJ176),-BJ169))</f>
        <v>0</v>
      </c>
      <c r="BK177" s="52">
        <f t="shared" ref="BK177" si="1336">MIN(0,MAX(-(BK172+BK173+BK174+BK175+BK176),-BK169))</f>
        <v>0</v>
      </c>
      <c r="BL177" s="52">
        <f t="shared" ref="BL177" si="1337">MIN(0,MAX(-(BL172+BL173+BL174+BL175+BL176),-BL169))</f>
        <v>0</v>
      </c>
      <c r="BM177" s="52">
        <f t="shared" ref="BM177" si="1338">MIN(0,MAX(-(BM172+BM173+BM174+BM175+BM176),-BM169))</f>
        <v>0</v>
      </c>
      <c r="BN177" s="52">
        <f t="shared" ref="BN177" si="1339">MIN(0,MAX(-(BN172+BN173+BN174+BN175+BN176),-BN169))</f>
        <v>0</v>
      </c>
      <c r="BO177" s="52">
        <f t="shared" ref="BO177" si="1340">MIN(0,MAX(-(BO172+BO173+BO174+BO175+BO176),-BO169))</f>
        <v>0</v>
      </c>
      <c r="BP177" s="52">
        <f t="shared" ref="BP177" si="1341">MIN(0,MAX(-(BP172+BP173+BP174+BP175+BP176),-BP169))</f>
        <v>0</v>
      </c>
      <c r="BQ177" s="52">
        <f t="shared" ref="BQ177" si="1342">MIN(0,MAX(-(BQ172+BQ173+BQ174+BQ175+BQ176),-BQ169))</f>
        <v>0</v>
      </c>
      <c r="BR177" s="52">
        <f t="shared" ref="BR177" si="1343">MIN(0,MAX(-(BR172+BR173+BR174+BR175+BR176),-BR169))</f>
        <v>0</v>
      </c>
      <c r="BS177" s="52">
        <f t="shared" ref="BS177" si="1344">MIN(0,MAX(-(BS172+BS173+BS174+BS175+BS176),-BS169))</f>
        <v>0</v>
      </c>
      <c r="BT177" s="52">
        <f t="shared" ref="BT177" si="1345">MIN(0,MAX(-(BT172+BT173+BT174+BT175+BT176),-BT169))</f>
        <v>0</v>
      </c>
      <c r="BU177" s="52">
        <f t="shared" ref="BU177" si="1346">MIN(0,MAX(-(BU172+BU173+BU174+BU175+BU176),-BU169))</f>
        <v>0</v>
      </c>
      <c r="BV177" s="52">
        <f t="shared" ref="BV177" si="1347">MIN(0,MAX(-(BV172+BV173+BV174+BV175+BV176),-BV169))</f>
        <v>0</v>
      </c>
      <c r="BW177" s="52">
        <f t="shared" ref="BW177" si="1348">MIN(0,MAX(-(BW172+BW173+BW174+BW175+BW176),-BW169))</f>
        <v>0</v>
      </c>
      <c r="BX177" s="52">
        <f t="shared" ref="BX177" si="1349">MIN(0,MAX(-(BX172+BX173+BX174+BX175+BX176),-BX169))</f>
        <v>0</v>
      </c>
      <c r="BY177" s="52">
        <f t="shared" ref="BY177" si="1350">MIN(0,MAX(-(BY172+BY173+BY174+BY175+BY176),-BY169))</f>
        <v>0</v>
      </c>
      <c r="BZ177" s="52">
        <f t="shared" ref="BZ177" si="1351">MIN(0,MAX(-(BZ172+BZ173+BZ174+BZ175+BZ176),-BZ169))</f>
        <v>0</v>
      </c>
      <c r="CA177" s="52">
        <f t="shared" ref="CA177" si="1352">MIN(0,MAX(-(CA172+CA173+CA174+CA175+CA176),-CA169))</f>
        <v>0</v>
      </c>
      <c r="CB177" s="52">
        <f t="shared" ref="CB177" si="1353">MIN(0,MAX(-(CB172+CB173+CB174+CB175+CB176),-CB169))</f>
        <v>0</v>
      </c>
      <c r="CC177" s="52">
        <f t="shared" ref="CC177" si="1354">MIN(0,MAX(-(CC172+CC173+CC174+CC175+CC176),-CC169))</f>
        <v>0</v>
      </c>
      <c r="CD177" s="52">
        <f t="shared" ref="CD177" si="1355">MIN(0,MAX(-(CD172+CD173+CD174+CD175+CD176),-CD169))</f>
        <v>0</v>
      </c>
      <c r="CE177" s="52">
        <f t="shared" ref="CE177" si="1356">MIN(0,MAX(-(CE172+CE173+CE174+CE175+CE176),-CE169))</f>
        <v>0</v>
      </c>
      <c r="CF177" s="52">
        <f t="shared" ref="CF177" si="1357">MIN(0,MAX(-(CF172+CF173+CF174+CF175+CF176),-CF169))</f>
        <v>0</v>
      </c>
      <c r="CG177" s="52">
        <f t="shared" ref="CG177" si="1358">MIN(0,MAX(-(CG172+CG173+CG174+CG175+CG176),-CG169))</f>
        <v>0</v>
      </c>
      <c r="CH177" s="52">
        <f t="shared" ref="CH177" si="1359">MIN(0,MAX(-(CH172+CH173+CH174+CH175+CH176),-CH169))</f>
        <v>0</v>
      </c>
      <c r="CI177" s="52">
        <f t="shared" ref="CI177" si="1360">MIN(0,MAX(-(CI172+CI173+CI174+CI175+CI176),-CI169))</f>
        <v>0</v>
      </c>
      <c r="CJ177" s="52">
        <f t="shared" ref="CJ177" si="1361">MIN(0,MAX(-(CJ172+CJ173+CJ174+CJ175+CJ176),-CJ169))</f>
        <v>0</v>
      </c>
      <c r="CK177" s="52">
        <f t="shared" ref="CK177" si="1362">MIN(0,MAX(-(CK172+CK173+CK174+CK175+CK176),-CK169))</f>
        <v>0</v>
      </c>
    </row>
    <row r="178" spans="2:89" outlineLevel="1" x14ac:dyDescent="0.25">
      <c r="C178" s="99" t="s">
        <v>101</v>
      </c>
      <c r="D178" s="13" t="s">
        <v>24</v>
      </c>
      <c r="F178" s="72">
        <f>SUM(F172:F177)</f>
        <v>26890318.218578704</v>
      </c>
      <c r="G178" s="72">
        <f t="shared" ref="G178" si="1363">SUM(G172:G177)</f>
        <v>24101497.926562995</v>
      </c>
      <c r="H178" s="72">
        <f t="shared" ref="H178" si="1364">SUM(H172:H177)</f>
        <v>22058575.499235742</v>
      </c>
      <c r="I178" s="72">
        <f t="shared" ref="I178" si="1365">SUM(I172:I177)</f>
        <v>36881933.902038381</v>
      </c>
      <c r="J178" s="72">
        <f t="shared" ref="J178" si="1366">SUM(J172:J177)</f>
        <v>54000052.258627191</v>
      </c>
      <c r="K178" s="72">
        <f t="shared" ref="K178" si="1367">SUM(K172:K177)</f>
        <v>92895790.93839252</v>
      </c>
      <c r="L178" s="72">
        <f t="shared" ref="L178" si="1368">SUM(L172:L177)</f>
        <v>123725885.4092527</v>
      </c>
      <c r="M178" s="72">
        <f t="shared" ref="M178" si="1369">SUM(M172:M177)</f>
        <v>132202930.0122046</v>
      </c>
      <c r="N178" s="72">
        <f t="shared" ref="N178" si="1370">SUM(N172:N177)</f>
        <v>136131556.48933679</v>
      </c>
      <c r="O178" s="72">
        <f t="shared" ref="O178" si="1371">SUM(O172:O177)</f>
        <v>142355917.50070137</v>
      </c>
      <c r="P178" s="72">
        <f t="shared" ref="P178" si="1372">SUM(P172:P177)</f>
        <v>157115946.50760901</v>
      </c>
      <c r="Q178" s="72">
        <f t="shared" ref="Q178" si="1373">SUM(Q172:Q177)</f>
        <v>181094683.75760898</v>
      </c>
      <c r="R178" s="72">
        <f t="shared" ref="R178" si="1374">SUM(R172:R177)</f>
        <v>195915581.87640417</v>
      </c>
      <c r="S178" s="72">
        <f t="shared" ref="S178" si="1375">SUM(S172:S177)</f>
        <v>195915581.87640417</v>
      </c>
      <c r="T178" s="72">
        <f t="shared" ref="T178" si="1376">SUM(T172:T177)</f>
        <v>195915581.87640417</v>
      </c>
      <c r="U178" s="72">
        <f t="shared" ref="U178" si="1377">SUM(U172:U177)</f>
        <v>195915581.87640417</v>
      </c>
      <c r="V178" s="72">
        <f t="shared" ref="V178" si="1378">SUM(V172:V177)</f>
        <v>195915581.87640417</v>
      </c>
      <c r="W178" s="72">
        <f t="shared" ref="W178" si="1379">SUM(W172:W177)</f>
        <v>195915581.87640417</v>
      </c>
      <c r="X178" s="72">
        <f t="shared" ref="X178" si="1380">SUM(X172:X177)</f>
        <v>195915581.87640417</v>
      </c>
      <c r="Y178" s="72">
        <f t="shared" ref="Y178" si="1381">SUM(Y172:Y177)</f>
        <v>195915581.87640417</v>
      </c>
      <c r="Z178" s="72">
        <f t="shared" ref="Z178" si="1382">SUM(Z172:Z177)</f>
        <v>195915581.87640417</v>
      </c>
      <c r="AA178" s="72">
        <f t="shared" ref="AA178" si="1383">SUM(AA172:AA177)</f>
        <v>195915581.87640417</v>
      </c>
      <c r="AB178" s="72">
        <f t="shared" ref="AB178" si="1384">SUM(AB172:AB177)</f>
        <v>195915581.87640417</v>
      </c>
      <c r="AC178" s="72">
        <f t="shared" ref="AC178" si="1385">SUM(AC172:AC177)</f>
        <v>195915581.87640417</v>
      </c>
      <c r="AD178" s="72">
        <f t="shared" ref="AD178" si="1386">SUM(AD172:AD177)</f>
        <v>195915581.87640417</v>
      </c>
      <c r="AE178" s="72">
        <f t="shared" ref="AE178" si="1387">SUM(AE172:AE177)</f>
        <v>195915581.87640417</v>
      </c>
      <c r="AF178" s="72">
        <f t="shared" ref="AF178" si="1388">SUM(AF172:AF177)</f>
        <v>195915581.87640417</v>
      </c>
      <c r="AG178" s="72">
        <f t="shared" ref="AG178" si="1389">SUM(AG172:AG177)</f>
        <v>195915581.87640417</v>
      </c>
      <c r="AH178" s="72">
        <f t="shared" ref="AH178" si="1390">SUM(AH172:AH177)</f>
        <v>195915581.87640417</v>
      </c>
      <c r="AI178" s="72">
        <f t="shared" ref="AI178" si="1391">SUM(AI172:AI177)</f>
        <v>195915581.87640417</v>
      </c>
      <c r="AJ178" s="72">
        <f t="shared" ref="AJ178" si="1392">SUM(AJ172:AJ177)</f>
        <v>195915581.87640417</v>
      </c>
      <c r="AK178" s="72">
        <f t="shared" ref="AK178" si="1393">SUM(AK172:AK177)</f>
        <v>195915581.87640417</v>
      </c>
      <c r="AL178" s="72">
        <f t="shared" ref="AL178" si="1394">SUM(AL172:AL177)</f>
        <v>195915581.87640417</v>
      </c>
      <c r="AM178" s="72">
        <f t="shared" ref="AM178" si="1395">SUM(AM172:AM177)</f>
        <v>195915581.87640417</v>
      </c>
      <c r="AN178" s="72">
        <f t="shared" ref="AN178" si="1396">SUM(AN172:AN177)</f>
        <v>195915581.87640417</v>
      </c>
      <c r="AO178" s="72">
        <f t="shared" ref="AO178" si="1397">SUM(AO172:AO177)</f>
        <v>195915581.87640417</v>
      </c>
      <c r="AP178" s="72">
        <f t="shared" ref="AP178" si="1398">SUM(AP172:AP177)</f>
        <v>195915581.87640417</v>
      </c>
      <c r="AQ178" s="72">
        <f t="shared" ref="AQ178" si="1399">SUM(AQ172:AQ177)</f>
        <v>195915581.87640417</v>
      </c>
      <c r="AR178" s="72">
        <f t="shared" ref="AR178" si="1400">SUM(AR172:AR177)</f>
        <v>195915581.87640417</v>
      </c>
      <c r="AS178" s="72">
        <f t="shared" ref="AS178" si="1401">SUM(AS172:AS177)</f>
        <v>195915581.87640417</v>
      </c>
      <c r="AT178" s="72">
        <f t="shared" ref="AT178" si="1402">SUM(AT172:AT177)</f>
        <v>195915581.87640417</v>
      </c>
      <c r="AU178" s="72">
        <f t="shared" ref="AU178" si="1403">SUM(AU172:AU177)</f>
        <v>195915581.87640417</v>
      </c>
      <c r="AV178" s="72">
        <f t="shared" ref="AV178" si="1404">SUM(AV172:AV177)</f>
        <v>195915581.87640417</v>
      </c>
      <c r="AW178" s="72">
        <f t="shared" ref="AW178" si="1405">SUM(AW172:AW177)</f>
        <v>195915581.87640417</v>
      </c>
      <c r="AX178" s="72">
        <f t="shared" ref="AX178" si="1406">SUM(AX172:AX177)</f>
        <v>195915581.87640417</v>
      </c>
      <c r="AY178" s="72">
        <f t="shared" ref="AY178" si="1407">SUM(AY172:AY177)</f>
        <v>195915581.87640417</v>
      </c>
      <c r="AZ178" s="72">
        <f t="shared" ref="AZ178" si="1408">SUM(AZ172:AZ177)</f>
        <v>79742794.753245652</v>
      </c>
      <c r="BA178" s="72">
        <f t="shared" ref="BA178" si="1409">SUM(BA172:BA177)</f>
        <v>79742794.753245652</v>
      </c>
      <c r="BB178" s="72">
        <f t="shared" ref="BB178" si="1410">SUM(BB172:BB177)</f>
        <v>79742794.753245652</v>
      </c>
      <c r="BC178" s="72">
        <f t="shared" ref="BC178" si="1411">SUM(BC172:BC177)</f>
        <v>79742794.753245652</v>
      </c>
      <c r="BD178" s="72">
        <f t="shared" ref="BD178" si="1412">SUM(BD172:BD177)</f>
        <v>79742794.753245652</v>
      </c>
      <c r="BE178" s="72">
        <f t="shared" ref="BE178" si="1413">SUM(BE172:BE177)</f>
        <v>79742794.753245652</v>
      </c>
      <c r="BF178" s="72">
        <f t="shared" ref="BF178" si="1414">SUM(BF172:BF177)</f>
        <v>79742794.753245652</v>
      </c>
      <c r="BG178" s="72">
        <f t="shared" ref="BG178" si="1415">SUM(BG172:BG177)</f>
        <v>79742794.753245652</v>
      </c>
      <c r="BH178" s="72">
        <f t="shared" ref="BH178" si="1416">SUM(BH172:BH177)</f>
        <v>79742794.753245652</v>
      </c>
      <c r="BI178" s="72">
        <f t="shared" ref="BI178" si="1417">SUM(BI172:BI177)</f>
        <v>79742794.753245652</v>
      </c>
      <c r="BJ178" s="72">
        <f t="shared" ref="BJ178" si="1418">SUM(BJ172:BJ177)</f>
        <v>79742794.753245652</v>
      </c>
      <c r="BK178" s="72">
        <f t="shared" ref="BK178" si="1419">SUM(BK172:BK177)</f>
        <v>79742794.753245652</v>
      </c>
      <c r="BL178" s="72">
        <f t="shared" ref="BL178" si="1420">SUM(BL172:BL177)</f>
        <v>79742794.753245652</v>
      </c>
      <c r="BM178" s="72">
        <f t="shared" ref="BM178" si="1421">SUM(BM172:BM177)</f>
        <v>79742794.753245652</v>
      </c>
      <c r="BN178" s="72">
        <f t="shared" ref="BN178" si="1422">SUM(BN172:BN177)</f>
        <v>79742794.753245652</v>
      </c>
      <c r="BO178" s="72">
        <f t="shared" ref="BO178" si="1423">SUM(BO172:BO177)</f>
        <v>79742794.753245652</v>
      </c>
      <c r="BP178" s="72">
        <f t="shared" ref="BP178" si="1424">SUM(BP172:BP177)</f>
        <v>79742794.753245652</v>
      </c>
      <c r="BQ178" s="72">
        <f t="shared" ref="BQ178" si="1425">SUM(BQ172:BQ177)</f>
        <v>79742794.753245652</v>
      </c>
      <c r="BR178" s="72">
        <f t="shared" ref="BR178" si="1426">SUM(BR172:BR177)</f>
        <v>79742794.753245652</v>
      </c>
      <c r="BS178" s="72">
        <f t="shared" ref="BS178" si="1427">SUM(BS172:BS177)</f>
        <v>79742794.753245652</v>
      </c>
      <c r="BT178" s="72">
        <f t="shared" ref="BT178" si="1428">SUM(BT172:BT177)</f>
        <v>79742794.753245652</v>
      </c>
      <c r="BU178" s="72">
        <f t="shared" ref="BU178" si="1429">SUM(BU172:BU177)</f>
        <v>79742794.753245652</v>
      </c>
      <c r="BV178" s="72">
        <f t="shared" ref="BV178" si="1430">SUM(BV172:BV177)</f>
        <v>79742794.753245652</v>
      </c>
      <c r="BW178" s="72">
        <f t="shared" ref="BW178" si="1431">SUM(BW172:BW177)</f>
        <v>79742794.753245652</v>
      </c>
      <c r="BX178" s="72">
        <f t="shared" ref="BX178" si="1432">SUM(BX172:BX177)</f>
        <v>79742794.753245652</v>
      </c>
      <c r="BY178" s="72">
        <f t="shared" ref="BY178" si="1433">SUM(BY172:BY177)</f>
        <v>79742794.753245652</v>
      </c>
      <c r="BZ178" s="72">
        <f t="shared" ref="BZ178" si="1434">SUM(BZ172:BZ177)</f>
        <v>79742794.753245652</v>
      </c>
      <c r="CA178" s="72">
        <f t="shared" ref="CA178" si="1435">SUM(CA172:CA177)</f>
        <v>79742794.753245652</v>
      </c>
      <c r="CB178" s="72">
        <f t="shared" ref="CB178" si="1436">SUM(CB172:CB177)</f>
        <v>79742794.753245652</v>
      </c>
      <c r="CC178" s="72">
        <f t="shared" ref="CC178" si="1437">SUM(CC172:CC177)</f>
        <v>79742794.753245652</v>
      </c>
      <c r="CD178" s="72">
        <f t="shared" ref="CD178" si="1438">SUM(CD172:CD177)</f>
        <v>79742794.753245652</v>
      </c>
      <c r="CE178" s="72">
        <f t="shared" ref="CE178" si="1439">SUM(CE172:CE177)</f>
        <v>79742794.753245652</v>
      </c>
      <c r="CF178" s="72">
        <f t="shared" ref="CF178" si="1440">SUM(CF172:CF177)</f>
        <v>79742794.753245652</v>
      </c>
      <c r="CG178" s="72">
        <f t="shared" ref="CG178" si="1441">SUM(CG172:CG177)</f>
        <v>79742794.753245652</v>
      </c>
      <c r="CH178" s="72">
        <f t="shared" ref="CH178" si="1442">SUM(CH172:CH177)</f>
        <v>79742794.753245652</v>
      </c>
      <c r="CI178" s="72">
        <f t="shared" ref="CI178" si="1443">SUM(CI172:CI177)</f>
        <v>79742794.753245652</v>
      </c>
      <c r="CJ178" s="72">
        <f t="shared" ref="CJ178" si="1444">SUM(CJ172:CJ177)</f>
        <v>79742794.753245652</v>
      </c>
      <c r="CK178" s="72">
        <f t="shared" ref="CK178" si="1445">SUM(CK172:CK177)</f>
        <v>79742794.753245652</v>
      </c>
    </row>
    <row r="179" spans="2:89" outlineLevel="1" x14ac:dyDescent="0.25">
      <c r="C179" s="38"/>
    </row>
    <row r="180" spans="2:89" outlineLevel="1" x14ac:dyDescent="0.25">
      <c r="C180" s="137" t="s">
        <v>106</v>
      </c>
      <c r="D180" s="13" t="s">
        <v>24</v>
      </c>
      <c r="E180" s="79">
        <f>Tier_2_LP_Split</f>
        <v>0.70000000000000007</v>
      </c>
      <c r="F180" s="38">
        <f>MAX(0,MIN(-(F173+F177),F172+F174)*$E180)</f>
        <v>0</v>
      </c>
      <c r="G180" s="38">
        <f t="shared" ref="G180:BR180" si="1446">MAX(0,MIN(-(G173+G177),G172+G174)*$E180)</f>
        <v>0</v>
      </c>
      <c r="H180" s="38">
        <f t="shared" si="1446"/>
        <v>0</v>
      </c>
      <c r="I180" s="38">
        <f t="shared" si="1446"/>
        <v>0</v>
      </c>
      <c r="J180" s="38">
        <f t="shared" si="1446"/>
        <v>0</v>
      </c>
      <c r="K180" s="38">
        <f t="shared" si="1446"/>
        <v>0</v>
      </c>
      <c r="L180" s="38">
        <f t="shared" si="1446"/>
        <v>0</v>
      </c>
      <c r="M180" s="38">
        <f t="shared" si="1446"/>
        <v>0</v>
      </c>
      <c r="N180" s="38">
        <f t="shared" si="1446"/>
        <v>0</v>
      </c>
      <c r="O180" s="38">
        <f t="shared" si="1446"/>
        <v>0</v>
      </c>
      <c r="P180" s="38">
        <f t="shared" si="1446"/>
        <v>0</v>
      </c>
      <c r="Q180" s="38">
        <f t="shared" si="1446"/>
        <v>0</v>
      </c>
      <c r="R180" s="38">
        <f t="shared" si="1446"/>
        <v>0</v>
      </c>
      <c r="S180" s="38">
        <f t="shared" si="1446"/>
        <v>0</v>
      </c>
      <c r="T180" s="38">
        <f t="shared" si="1446"/>
        <v>0</v>
      </c>
      <c r="U180" s="38">
        <f t="shared" si="1446"/>
        <v>0</v>
      </c>
      <c r="V180" s="38">
        <f t="shared" si="1446"/>
        <v>0</v>
      </c>
      <c r="W180" s="38">
        <f t="shared" si="1446"/>
        <v>0</v>
      </c>
      <c r="X180" s="38">
        <f t="shared" si="1446"/>
        <v>0</v>
      </c>
      <c r="Y180" s="38">
        <f t="shared" si="1446"/>
        <v>0</v>
      </c>
      <c r="Z180" s="38">
        <f t="shared" si="1446"/>
        <v>0</v>
      </c>
      <c r="AA180" s="38">
        <f t="shared" si="1446"/>
        <v>0</v>
      </c>
      <c r="AB180" s="38">
        <f t="shared" si="1446"/>
        <v>0</v>
      </c>
      <c r="AC180" s="38">
        <f t="shared" si="1446"/>
        <v>0</v>
      </c>
      <c r="AD180" s="38">
        <f t="shared" si="1446"/>
        <v>0</v>
      </c>
      <c r="AE180" s="38">
        <f t="shared" si="1446"/>
        <v>0</v>
      </c>
      <c r="AF180" s="38">
        <f t="shared" si="1446"/>
        <v>0</v>
      </c>
      <c r="AG180" s="38">
        <f t="shared" si="1446"/>
        <v>0</v>
      </c>
      <c r="AH180" s="38">
        <f t="shared" si="1446"/>
        <v>0</v>
      </c>
      <c r="AI180" s="38">
        <f t="shared" si="1446"/>
        <v>0</v>
      </c>
      <c r="AJ180" s="38">
        <f t="shared" si="1446"/>
        <v>0</v>
      </c>
      <c r="AK180" s="38">
        <f t="shared" si="1446"/>
        <v>0</v>
      </c>
      <c r="AL180" s="38">
        <f t="shared" si="1446"/>
        <v>0</v>
      </c>
      <c r="AM180" s="38">
        <f t="shared" si="1446"/>
        <v>0</v>
      </c>
      <c r="AN180" s="38">
        <f t="shared" si="1446"/>
        <v>0</v>
      </c>
      <c r="AO180" s="38">
        <f t="shared" si="1446"/>
        <v>0</v>
      </c>
      <c r="AP180" s="38">
        <f t="shared" si="1446"/>
        <v>0</v>
      </c>
      <c r="AQ180" s="38">
        <f t="shared" si="1446"/>
        <v>0</v>
      </c>
      <c r="AR180" s="38">
        <f t="shared" si="1446"/>
        <v>0</v>
      </c>
      <c r="AS180" s="38">
        <f t="shared" si="1446"/>
        <v>0</v>
      </c>
      <c r="AT180" s="38">
        <f t="shared" si="1446"/>
        <v>0</v>
      </c>
      <c r="AU180" s="38">
        <f t="shared" si="1446"/>
        <v>0</v>
      </c>
      <c r="AV180" s="38">
        <f t="shared" si="1446"/>
        <v>0</v>
      </c>
      <c r="AW180" s="38">
        <f t="shared" si="1446"/>
        <v>0</v>
      </c>
      <c r="AX180" s="38">
        <f t="shared" si="1446"/>
        <v>0</v>
      </c>
      <c r="AY180" s="38">
        <f t="shared" si="1446"/>
        <v>0</v>
      </c>
      <c r="AZ180" s="38">
        <f t="shared" si="1446"/>
        <v>1990561.173353483</v>
      </c>
      <c r="BA180" s="38">
        <f t="shared" si="1446"/>
        <v>0</v>
      </c>
      <c r="BB180" s="38">
        <f t="shared" si="1446"/>
        <v>0</v>
      </c>
      <c r="BC180" s="38">
        <f t="shared" si="1446"/>
        <v>0</v>
      </c>
      <c r="BD180" s="38">
        <f t="shared" si="1446"/>
        <v>0</v>
      </c>
      <c r="BE180" s="38">
        <f t="shared" si="1446"/>
        <v>0</v>
      </c>
      <c r="BF180" s="38">
        <f t="shared" si="1446"/>
        <v>0</v>
      </c>
      <c r="BG180" s="38">
        <f t="shared" si="1446"/>
        <v>0</v>
      </c>
      <c r="BH180" s="38">
        <f t="shared" si="1446"/>
        <v>0</v>
      </c>
      <c r="BI180" s="38">
        <f t="shared" si="1446"/>
        <v>0</v>
      </c>
      <c r="BJ180" s="38">
        <f t="shared" si="1446"/>
        <v>0</v>
      </c>
      <c r="BK180" s="38">
        <f t="shared" si="1446"/>
        <v>0</v>
      </c>
      <c r="BL180" s="38">
        <f t="shared" si="1446"/>
        <v>0</v>
      </c>
      <c r="BM180" s="38">
        <f t="shared" si="1446"/>
        <v>0</v>
      </c>
      <c r="BN180" s="38">
        <f t="shared" si="1446"/>
        <v>0</v>
      </c>
      <c r="BO180" s="38">
        <f t="shared" si="1446"/>
        <v>0</v>
      </c>
      <c r="BP180" s="38">
        <f t="shared" si="1446"/>
        <v>0</v>
      </c>
      <c r="BQ180" s="38">
        <f t="shared" si="1446"/>
        <v>0</v>
      </c>
      <c r="BR180" s="38">
        <f t="shared" si="1446"/>
        <v>0</v>
      </c>
      <c r="BS180" s="38">
        <f t="shared" ref="BS180:CK180" si="1447">MAX(0,MIN(-(BS173+BS177),BS172+BS174)*$E180)</f>
        <v>0</v>
      </c>
      <c r="BT180" s="38">
        <f t="shared" si="1447"/>
        <v>0</v>
      </c>
      <c r="BU180" s="38">
        <f t="shared" si="1447"/>
        <v>0</v>
      </c>
      <c r="BV180" s="38">
        <f t="shared" si="1447"/>
        <v>0</v>
      </c>
      <c r="BW180" s="38">
        <f t="shared" si="1447"/>
        <v>0</v>
      </c>
      <c r="BX180" s="38">
        <f t="shared" si="1447"/>
        <v>0</v>
      </c>
      <c r="BY180" s="38">
        <f t="shared" si="1447"/>
        <v>0</v>
      </c>
      <c r="BZ180" s="38">
        <f t="shared" si="1447"/>
        <v>0</v>
      </c>
      <c r="CA180" s="38">
        <f t="shared" si="1447"/>
        <v>0</v>
      </c>
      <c r="CB180" s="38">
        <f t="shared" si="1447"/>
        <v>0</v>
      </c>
      <c r="CC180" s="38">
        <f t="shared" si="1447"/>
        <v>0</v>
      </c>
      <c r="CD180" s="38">
        <f t="shared" si="1447"/>
        <v>0</v>
      </c>
      <c r="CE180" s="38">
        <f t="shared" si="1447"/>
        <v>0</v>
      </c>
      <c r="CF180" s="38">
        <f t="shared" si="1447"/>
        <v>0</v>
      </c>
      <c r="CG180" s="38">
        <f t="shared" si="1447"/>
        <v>0</v>
      </c>
      <c r="CH180" s="38">
        <f t="shared" si="1447"/>
        <v>0</v>
      </c>
      <c r="CI180" s="38">
        <f t="shared" si="1447"/>
        <v>0</v>
      </c>
      <c r="CJ180" s="38">
        <f t="shared" si="1447"/>
        <v>0</v>
      </c>
      <c r="CK180" s="38">
        <f t="shared" si="1447"/>
        <v>0</v>
      </c>
    </row>
    <row r="181" spans="2:89" outlineLevel="1" x14ac:dyDescent="0.25">
      <c r="C181" s="129" t="s">
        <v>107</v>
      </c>
      <c r="D181" s="13" t="s">
        <v>24</v>
      </c>
      <c r="E181" s="79">
        <f>Tier_2_Dev_Split</f>
        <v>0.29999999999999993</v>
      </c>
      <c r="F181" s="38">
        <f>+F180/$E180*$E181</f>
        <v>0</v>
      </c>
      <c r="G181" s="38">
        <f t="shared" ref="G181" si="1448">+G180/$E180*$E181</f>
        <v>0</v>
      </c>
      <c r="H181" s="38">
        <f t="shared" ref="H181" si="1449">+H180/$E180*$E181</f>
        <v>0</v>
      </c>
      <c r="I181" s="38">
        <f t="shared" ref="I181" si="1450">+I180/$E180*$E181</f>
        <v>0</v>
      </c>
      <c r="J181" s="38">
        <f t="shared" ref="J181" si="1451">+J180/$E180*$E181</f>
        <v>0</v>
      </c>
      <c r="K181" s="38">
        <f t="shared" ref="K181" si="1452">+K180/$E180*$E181</f>
        <v>0</v>
      </c>
      <c r="L181" s="38">
        <f t="shared" ref="L181" si="1453">+L180/$E180*$E181</f>
        <v>0</v>
      </c>
      <c r="M181" s="38">
        <f t="shared" ref="M181" si="1454">+M180/$E180*$E181</f>
        <v>0</v>
      </c>
      <c r="N181" s="38">
        <f t="shared" ref="N181" si="1455">+N180/$E180*$E181</f>
        <v>0</v>
      </c>
      <c r="O181" s="38">
        <f t="shared" ref="O181" si="1456">+O180/$E180*$E181</f>
        <v>0</v>
      </c>
      <c r="P181" s="38">
        <f t="shared" ref="P181" si="1457">+P180/$E180*$E181</f>
        <v>0</v>
      </c>
      <c r="Q181" s="38">
        <f t="shared" ref="Q181" si="1458">+Q180/$E180*$E181</f>
        <v>0</v>
      </c>
      <c r="R181" s="38">
        <f t="shared" ref="R181" si="1459">+R180/$E180*$E181</f>
        <v>0</v>
      </c>
      <c r="S181" s="38">
        <f t="shared" ref="S181" si="1460">+S180/$E180*$E181</f>
        <v>0</v>
      </c>
      <c r="T181" s="38">
        <f t="shared" ref="T181" si="1461">+T180/$E180*$E181</f>
        <v>0</v>
      </c>
      <c r="U181" s="38">
        <f t="shared" ref="U181" si="1462">+U180/$E180*$E181</f>
        <v>0</v>
      </c>
      <c r="V181" s="38">
        <f t="shared" ref="V181" si="1463">+V180/$E180*$E181</f>
        <v>0</v>
      </c>
      <c r="W181" s="38">
        <f t="shared" ref="W181" si="1464">+W180/$E180*$E181</f>
        <v>0</v>
      </c>
      <c r="X181" s="38">
        <f t="shared" ref="X181" si="1465">+X180/$E180*$E181</f>
        <v>0</v>
      </c>
      <c r="Y181" s="38">
        <f t="shared" ref="Y181" si="1466">+Y180/$E180*$E181</f>
        <v>0</v>
      </c>
      <c r="Z181" s="38">
        <f t="shared" ref="Z181" si="1467">+Z180/$E180*$E181</f>
        <v>0</v>
      </c>
      <c r="AA181" s="38">
        <f t="shared" ref="AA181" si="1468">+AA180/$E180*$E181</f>
        <v>0</v>
      </c>
      <c r="AB181" s="38">
        <f t="shared" ref="AB181" si="1469">+AB180/$E180*$E181</f>
        <v>0</v>
      </c>
      <c r="AC181" s="38">
        <f t="shared" ref="AC181" si="1470">+AC180/$E180*$E181</f>
        <v>0</v>
      </c>
      <c r="AD181" s="38">
        <f t="shared" ref="AD181" si="1471">+AD180/$E180*$E181</f>
        <v>0</v>
      </c>
      <c r="AE181" s="38">
        <f t="shared" ref="AE181" si="1472">+AE180/$E180*$E181</f>
        <v>0</v>
      </c>
      <c r="AF181" s="38">
        <f t="shared" ref="AF181" si="1473">+AF180/$E180*$E181</f>
        <v>0</v>
      </c>
      <c r="AG181" s="38">
        <f t="shared" ref="AG181" si="1474">+AG180/$E180*$E181</f>
        <v>0</v>
      </c>
      <c r="AH181" s="38">
        <f t="shared" ref="AH181" si="1475">+AH180/$E180*$E181</f>
        <v>0</v>
      </c>
      <c r="AI181" s="38">
        <f t="shared" ref="AI181" si="1476">+AI180/$E180*$E181</f>
        <v>0</v>
      </c>
      <c r="AJ181" s="38">
        <f t="shared" ref="AJ181" si="1477">+AJ180/$E180*$E181</f>
        <v>0</v>
      </c>
      <c r="AK181" s="38">
        <f t="shared" ref="AK181" si="1478">+AK180/$E180*$E181</f>
        <v>0</v>
      </c>
      <c r="AL181" s="38">
        <f t="shared" ref="AL181" si="1479">+AL180/$E180*$E181</f>
        <v>0</v>
      </c>
      <c r="AM181" s="38">
        <f t="shared" ref="AM181" si="1480">+AM180/$E180*$E181</f>
        <v>0</v>
      </c>
      <c r="AN181" s="38">
        <f t="shared" ref="AN181" si="1481">+AN180/$E180*$E181</f>
        <v>0</v>
      </c>
      <c r="AO181" s="38">
        <f t="shared" ref="AO181" si="1482">+AO180/$E180*$E181</f>
        <v>0</v>
      </c>
      <c r="AP181" s="38">
        <f t="shared" ref="AP181" si="1483">+AP180/$E180*$E181</f>
        <v>0</v>
      </c>
      <c r="AQ181" s="38">
        <f t="shared" ref="AQ181" si="1484">+AQ180/$E180*$E181</f>
        <v>0</v>
      </c>
      <c r="AR181" s="38">
        <f t="shared" ref="AR181" si="1485">+AR180/$E180*$E181</f>
        <v>0</v>
      </c>
      <c r="AS181" s="38">
        <f t="shared" ref="AS181" si="1486">+AS180/$E180*$E181</f>
        <v>0</v>
      </c>
      <c r="AT181" s="38">
        <f t="shared" ref="AT181" si="1487">+AT180/$E180*$E181</f>
        <v>0</v>
      </c>
      <c r="AU181" s="38">
        <f t="shared" ref="AU181" si="1488">+AU180/$E180*$E181</f>
        <v>0</v>
      </c>
      <c r="AV181" s="38">
        <f t="shared" ref="AV181" si="1489">+AV180/$E180*$E181</f>
        <v>0</v>
      </c>
      <c r="AW181" s="38">
        <f t="shared" ref="AW181" si="1490">+AW180/$E180*$E181</f>
        <v>0</v>
      </c>
      <c r="AX181" s="38">
        <f t="shared" ref="AX181" si="1491">+AX180/$E180*$E181</f>
        <v>0</v>
      </c>
      <c r="AY181" s="38">
        <f t="shared" ref="AY181" si="1492">+AY180/$E180*$E181</f>
        <v>0</v>
      </c>
      <c r="AZ181" s="38">
        <f t="shared" ref="AZ181" si="1493">+AZ180/$E180*$E181</f>
        <v>853097.64572292101</v>
      </c>
      <c r="BA181" s="38">
        <f t="shared" ref="BA181" si="1494">+BA180/$E180*$E181</f>
        <v>0</v>
      </c>
      <c r="BB181" s="38">
        <f t="shared" ref="BB181" si="1495">+BB180/$E180*$E181</f>
        <v>0</v>
      </c>
      <c r="BC181" s="38">
        <f t="shared" ref="BC181" si="1496">+BC180/$E180*$E181</f>
        <v>0</v>
      </c>
      <c r="BD181" s="38">
        <f t="shared" ref="BD181" si="1497">+BD180/$E180*$E181</f>
        <v>0</v>
      </c>
      <c r="BE181" s="38">
        <f t="shared" ref="BE181" si="1498">+BE180/$E180*$E181</f>
        <v>0</v>
      </c>
      <c r="BF181" s="38">
        <f t="shared" ref="BF181" si="1499">+BF180/$E180*$E181</f>
        <v>0</v>
      </c>
      <c r="BG181" s="38">
        <f t="shared" ref="BG181" si="1500">+BG180/$E180*$E181</f>
        <v>0</v>
      </c>
      <c r="BH181" s="38">
        <f t="shared" ref="BH181" si="1501">+BH180/$E180*$E181</f>
        <v>0</v>
      </c>
      <c r="BI181" s="38">
        <f t="shared" ref="BI181" si="1502">+BI180/$E180*$E181</f>
        <v>0</v>
      </c>
      <c r="BJ181" s="38">
        <f t="shared" ref="BJ181" si="1503">+BJ180/$E180*$E181</f>
        <v>0</v>
      </c>
      <c r="BK181" s="38">
        <f t="shared" ref="BK181" si="1504">+BK180/$E180*$E181</f>
        <v>0</v>
      </c>
      <c r="BL181" s="38">
        <f t="shared" ref="BL181" si="1505">+BL180/$E180*$E181</f>
        <v>0</v>
      </c>
      <c r="BM181" s="38">
        <f t="shared" ref="BM181" si="1506">+BM180/$E180*$E181</f>
        <v>0</v>
      </c>
      <c r="BN181" s="38">
        <f t="shared" ref="BN181" si="1507">+BN180/$E180*$E181</f>
        <v>0</v>
      </c>
      <c r="BO181" s="38">
        <f t="shared" ref="BO181" si="1508">+BO180/$E180*$E181</f>
        <v>0</v>
      </c>
      <c r="BP181" s="38">
        <f t="shared" ref="BP181" si="1509">+BP180/$E180*$E181</f>
        <v>0</v>
      </c>
      <c r="BQ181" s="38">
        <f t="shared" ref="BQ181" si="1510">+BQ180/$E180*$E181</f>
        <v>0</v>
      </c>
      <c r="BR181" s="38">
        <f t="shared" ref="BR181" si="1511">+BR180/$E180*$E181</f>
        <v>0</v>
      </c>
      <c r="BS181" s="38">
        <f t="shared" ref="BS181" si="1512">+BS180/$E180*$E181</f>
        <v>0</v>
      </c>
      <c r="BT181" s="38">
        <f t="shared" ref="BT181" si="1513">+BT180/$E180*$E181</f>
        <v>0</v>
      </c>
      <c r="BU181" s="38">
        <f t="shared" ref="BU181" si="1514">+BU180/$E180*$E181</f>
        <v>0</v>
      </c>
      <c r="BV181" s="38">
        <f t="shared" ref="BV181" si="1515">+BV180/$E180*$E181</f>
        <v>0</v>
      </c>
      <c r="BW181" s="38">
        <f t="shared" ref="BW181" si="1516">+BW180/$E180*$E181</f>
        <v>0</v>
      </c>
      <c r="BX181" s="38">
        <f t="shared" ref="BX181" si="1517">+BX180/$E180*$E181</f>
        <v>0</v>
      </c>
      <c r="BY181" s="38">
        <f t="shared" ref="BY181" si="1518">+BY180/$E180*$E181</f>
        <v>0</v>
      </c>
      <c r="BZ181" s="38">
        <f t="shared" ref="BZ181" si="1519">+BZ180/$E180*$E181</f>
        <v>0</v>
      </c>
      <c r="CA181" s="38">
        <f t="shared" ref="CA181" si="1520">+CA180/$E180*$E181</f>
        <v>0</v>
      </c>
      <c r="CB181" s="38">
        <f t="shared" ref="CB181" si="1521">+CB180/$E180*$E181</f>
        <v>0</v>
      </c>
      <c r="CC181" s="38">
        <f t="shared" ref="CC181" si="1522">+CC180/$E180*$E181</f>
        <v>0</v>
      </c>
      <c r="CD181" s="38">
        <f t="shared" ref="CD181" si="1523">+CD180/$E180*$E181</f>
        <v>0</v>
      </c>
      <c r="CE181" s="38">
        <f t="shared" ref="CE181" si="1524">+CE180/$E180*$E181</f>
        <v>0</v>
      </c>
      <c r="CF181" s="38">
        <f t="shared" ref="CF181" si="1525">+CF180/$E180*$E181</f>
        <v>0</v>
      </c>
      <c r="CG181" s="38">
        <f t="shared" ref="CG181" si="1526">+CG180/$E180*$E181</f>
        <v>0</v>
      </c>
      <c r="CH181" s="38">
        <f t="shared" ref="CH181" si="1527">+CH180/$E180*$E181</f>
        <v>0</v>
      </c>
      <c r="CI181" s="38">
        <f t="shared" ref="CI181" si="1528">+CI180/$E180*$E181</f>
        <v>0</v>
      </c>
      <c r="CJ181" s="38">
        <f t="shared" ref="CJ181" si="1529">+CJ180/$E180*$E181</f>
        <v>0</v>
      </c>
      <c r="CK181" s="38">
        <f t="shared" ref="CK181" si="1530">+CK180/$E180*$E181</f>
        <v>0</v>
      </c>
    </row>
    <row r="182" spans="2:89" outlineLevel="1" x14ac:dyDescent="0.25">
      <c r="C182" s="38"/>
    </row>
    <row r="183" spans="2:89" outlineLevel="1" x14ac:dyDescent="0.25">
      <c r="C183" s="66" t="s">
        <v>202</v>
      </c>
      <c r="D183" s="13" t="s">
        <v>24</v>
      </c>
      <c r="F183" s="72">
        <f>IF(F180&lt;0,0,+F169-SUM(F180:F181))</f>
        <v>0</v>
      </c>
      <c r="G183" s="72">
        <f t="shared" ref="G183:BR183" si="1531">IF(G180&lt;0,0,+G169-SUM(G180:G181))</f>
        <v>0</v>
      </c>
      <c r="H183" s="72">
        <f t="shared" si="1531"/>
        <v>0</v>
      </c>
      <c r="I183" s="72">
        <f t="shared" si="1531"/>
        <v>0</v>
      </c>
      <c r="J183" s="72">
        <f t="shared" si="1531"/>
        <v>0</v>
      </c>
      <c r="K183" s="72">
        <f t="shared" si="1531"/>
        <v>0</v>
      </c>
      <c r="L183" s="72">
        <f t="shared" si="1531"/>
        <v>0</v>
      </c>
      <c r="M183" s="72">
        <f t="shared" si="1531"/>
        <v>0</v>
      </c>
      <c r="N183" s="72">
        <f t="shared" si="1531"/>
        <v>0</v>
      </c>
      <c r="O183" s="72">
        <f t="shared" si="1531"/>
        <v>0</v>
      </c>
      <c r="P183" s="72">
        <f t="shared" si="1531"/>
        <v>0</v>
      </c>
      <c r="Q183" s="72">
        <f t="shared" si="1531"/>
        <v>0</v>
      </c>
      <c r="R183" s="72">
        <f t="shared" si="1531"/>
        <v>0</v>
      </c>
      <c r="S183" s="72">
        <f t="shared" si="1531"/>
        <v>0</v>
      </c>
      <c r="T183" s="72">
        <f t="shared" si="1531"/>
        <v>0</v>
      </c>
      <c r="U183" s="72">
        <f t="shared" si="1531"/>
        <v>0</v>
      </c>
      <c r="V183" s="72">
        <f t="shared" si="1531"/>
        <v>0</v>
      </c>
      <c r="W183" s="72">
        <f t="shared" si="1531"/>
        <v>0</v>
      </c>
      <c r="X183" s="72">
        <f t="shared" si="1531"/>
        <v>0</v>
      </c>
      <c r="Y183" s="72">
        <f t="shared" si="1531"/>
        <v>0</v>
      </c>
      <c r="Z183" s="72">
        <f t="shared" si="1531"/>
        <v>0</v>
      </c>
      <c r="AA183" s="72">
        <f t="shared" si="1531"/>
        <v>0</v>
      </c>
      <c r="AB183" s="72">
        <f t="shared" si="1531"/>
        <v>0</v>
      </c>
      <c r="AC183" s="72">
        <f t="shared" si="1531"/>
        <v>0</v>
      </c>
      <c r="AD183" s="72">
        <f t="shared" si="1531"/>
        <v>0</v>
      </c>
      <c r="AE183" s="72">
        <f t="shared" si="1531"/>
        <v>0</v>
      </c>
      <c r="AF183" s="72">
        <f t="shared" si="1531"/>
        <v>0</v>
      </c>
      <c r="AG183" s="72">
        <f t="shared" si="1531"/>
        <v>0</v>
      </c>
      <c r="AH183" s="72">
        <f t="shared" si="1531"/>
        <v>0</v>
      </c>
      <c r="AI183" s="72">
        <f t="shared" si="1531"/>
        <v>0</v>
      </c>
      <c r="AJ183" s="72">
        <f t="shared" si="1531"/>
        <v>0</v>
      </c>
      <c r="AK183" s="72">
        <f t="shared" si="1531"/>
        <v>0</v>
      </c>
      <c r="AL183" s="72">
        <f t="shared" si="1531"/>
        <v>0</v>
      </c>
      <c r="AM183" s="72">
        <f t="shared" si="1531"/>
        <v>0</v>
      </c>
      <c r="AN183" s="72">
        <f t="shared" si="1531"/>
        <v>0</v>
      </c>
      <c r="AO183" s="72">
        <f t="shared" si="1531"/>
        <v>0</v>
      </c>
      <c r="AP183" s="72">
        <f t="shared" si="1531"/>
        <v>0</v>
      </c>
      <c r="AQ183" s="72">
        <f t="shared" si="1531"/>
        <v>0</v>
      </c>
      <c r="AR183" s="72">
        <f t="shared" si="1531"/>
        <v>0</v>
      </c>
      <c r="AS183" s="72">
        <f t="shared" si="1531"/>
        <v>0</v>
      </c>
      <c r="AT183" s="72">
        <f t="shared" si="1531"/>
        <v>0</v>
      </c>
      <c r="AU183" s="72">
        <f t="shared" si="1531"/>
        <v>0</v>
      </c>
      <c r="AV183" s="72">
        <f t="shared" si="1531"/>
        <v>0</v>
      </c>
      <c r="AW183" s="72">
        <f t="shared" si="1531"/>
        <v>0</v>
      </c>
      <c r="AX183" s="72">
        <f t="shared" si="1531"/>
        <v>0</v>
      </c>
      <c r="AY183" s="72">
        <f t="shared" si="1531"/>
        <v>0</v>
      </c>
      <c r="AZ183" s="72">
        <f t="shared" si="1531"/>
        <v>0</v>
      </c>
      <c r="BA183" s="72">
        <f t="shared" si="1531"/>
        <v>0</v>
      </c>
      <c r="BB183" s="72">
        <f t="shared" si="1531"/>
        <v>0</v>
      </c>
      <c r="BC183" s="72">
        <f t="shared" si="1531"/>
        <v>0</v>
      </c>
      <c r="BD183" s="72">
        <f t="shared" si="1531"/>
        <v>0</v>
      </c>
      <c r="BE183" s="72">
        <f t="shared" si="1531"/>
        <v>0</v>
      </c>
      <c r="BF183" s="72">
        <f t="shared" si="1531"/>
        <v>0</v>
      </c>
      <c r="BG183" s="72">
        <f t="shared" si="1531"/>
        <v>0</v>
      </c>
      <c r="BH183" s="72">
        <f t="shared" si="1531"/>
        <v>0</v>
      </c>
      <c r="BI183" s="72">
        <f t="shared" si="1531"/>
        <v>0</v>
      </c>
      <c r="BJ183" s="72">
        <f t="shared" si="1531"/>
        <v>0</v>
      </c>
      <c r="BK183" s="72">
        <f t="shared" si="1531"/>
        <v>0</v>
      </c>
      <c r="BL183" s="72">
        <f t="shared" si="1531"/>
        <v>0</v>
      </c>
      <c r="BM183" s="72">
        <f t="shared" si="1531"/>
        <v>0</v>
      </c>
      <c r="BN183" s="72">
        <f t="shared" si="1531"/>
        <v>0</v>
      </c>
      <c r="BO183" s="72">
        <f t="shared" si="1531"/>
        <v>0</v>
      </c>
      <c r="BP183" s="72">
        <f t="shared" si="1531"/>
        <v>0</v>
      </c>
      <c r="BQ183" s="72">
        <f t="shared" si="1531"/>
        <v>0</v>
      </c>
      <c r="BR183" s="72">
        <f t="shared" si="1531"/>
        <v>0</v>
      </c>
      <c r="BS183" s="72">
        <f t="shared" ref="BS183:CK183" si="1532">IF(BS180&lt;0,0,+BS169-SUM(BS180:BS181))</f>
        <v>0</v>
      </c>
      <c r="BT183" s="72">
        <f t="shared" si="1532"/>
        <v>0</v>
      </c>
      <c r="BU183" s="72">
        <f t="shared" si="1532"/>
        <v>0</v>
      </c>
      <c r="BV183" s="72">
        <f t="shared" si="1532"/>
        <v>0</v>
      </c>
      <c r="BW183" s="72">
        <f t="shared" si="1532"/>
        <v>0</v>
      </c>
      <c r="BX183" s="72">
        <f t="shared" si="1532"/>
        <v>0</v>
      </c>
      <c r="BY183" s="72">
        <f t="shared" si="1532"/>
        <v>0</v>
      </c>
      <c r="BZ183" s="72">
        <f t="shared" si="1532"/>
        <v>0</v>
      </c>
      <c r="CA183" s="72">
        <f t="shared" si="1532"/>
        <v>0</v>
      </c>
      <c r="CB183" s="72">
        <f t="shared" si="1532"/>
        <v>0</v>
      </c>
      <c r="CC183" s="72">
        <f t="shared" si="1532"/>
        <v>0</v>
      </c>
      <c r="CD183" s="72">
        <f t="shared" si="1532"/>
        <v>0</v>
      </c>
      <c r="CE183" s="72">
        <f t="shared" si="1532"/>
        <v>0</v>
      </c>
      <c r="CF183" s="72">
        <f t="shared" si="1532"/>
        <v>0</v>
      </c>
      <c r="CG183" s="72">
        <f t="shared" si="1532"/>
        <v>0</v>
      </c>
      <c r="CH183" s="72">
        <f t="shared" si="1532"/>
        <v>0</v>
      </c>
      <c r="CI183" s="72">
        <f t="shared" si="1532"/>
        <v>0</v>
      </c>
      <c r="CJ183" s="72">
        <f t="shared" si="1532"/>
        <v>0</v>
      </c>
      <c r="CK183" s="72">
        <f t="shared" si="1532"/>
        <v>0</v>
      </c>
    </row>
    <row r="184" spans="2:89" outlineLevel="1" x14ac:dyDescent="0.25">
      <c r="C184" s="38"/>
      <c r="K184" s="58"/>
    </row>
    <row r="185" spans="2:89" outlineLevel="1" x14ac:dyDescent="0.25">
      <c r="C185" s="34" t="str">
        <f>"Tier 3 - Above "&amp;TEXT(Tier_3_IRR_Min,"0.0x")&amp;" Multiple:"</f>
        <v>Tier 3 - Above 3.0x Multiple:</v>
      </c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</row>
    <row r="186" spans="2:89" outlineLevel="1" x14ac:dyDescent="0.25">
      <c r="C186" s="38"/>
      <c r="K186" s="58"/>
    </row>
    <row r="187" spans="2:89" outlineLevel="1" x14ac:dyDescent="0.25">
      <c r="C187" s="137" t="s">
        <v>106</v>
      </c>
      <c r="D187" s="13" t="s">
        <v>24</v>
      </c>
      <c r="E187" s="79">
        <f>Tier_3_LP_Split</f>
        <v>0.60000000000000009</v>
      </c>
      <c r="F187" s="38">
        <f>+$E187*F$183</f>
        <v>0</v>
      </c>
      <c r="G187" s="38">
        <f t="shared" ref="G187:V188" si="1533">+$E187*G$183</f>
        <v>0</v>
      </c>
      <c r="H187" s="38">
        <f t="shared" si="1533"/>
        <v>0</v>
      </c>
      <c r="I187" s="38">
        <f t="shared" si="1533"/>
        <v>0</v>
      </c>
      <c r="J187" s="38">
        <f t="shared" si="1533"/>
        <v>0</v>
      </c>
      <c r="K187" s="38">
        <f t="shared" si="1533"/>
        <v>0</v>
      </c>
      <c r="L187" s="38">
        <f t="shared" si="1533"/>
        <v>0</v>
      </c>
      <c r="M187" s="38">
        <f t="shared" si="1533"/>
        <v>0</v>
      </c>
      <c r="N187" s="38">
        <f t="shared" si="1533"/>
        <v>0</v>
      </c>
      <c r="O187" s="38">
        <f t="shared" si="1533"/>
        <v>0</v>
      </c>
      <c r="P187" s="38">
        <f t="shared" si="1533"/>
        <v>0</v>
      </c>
      <c r="Q187" s="38">
        <f t="shared" si="1533"/>
        <v>0</v>
      </c>
      <c r="R187" s="38">
        <f t="shared" si="1533"/>
        <v>0</v>
      </c>
      <c r="S187" s="38">
        <f t="shared" si="1533"/>
        <v>0</v>
      </c>
      <c r="T187" s="38">
        <f t="shared" si="1533"/>
        <v>0</v>
      </c>
      <c r="U187" s="38">
        <f t="shared" si="1533"/>
        <v>0</v>
      </c>
      <c r="V187" s="38">
        <f t="shared" si="1533"/>
        <v>0</v>
      </c>
      <c r="W187" s="38">
        <f t="shared" ref="W187:CH188" si="1534">+$E187*W$183</f>
        <v>0</v>
      </c>
      <c r="X187" s="38">
        <f t="shared" si="1534"/>
        <v>0</v>
      </c>
      <c r="Y187" s="38">
        <f t="shared" si="1534"/>
        <v>0</v>
      </c>
      <c r="Z187" s="38">
        <f t="shared" si="1534"/>
        <v>0</v>
      </c>
      <c r="AA187" s="38">
        <f t="shared" si="1534"/>
        <v>0</v>
      </c>
      <c r="AB187" s="38">
        <f t="shared" si="1534"/>
        <v>0</v>
      </c>
      <c r="AC187" s="38">
        <f t="shared" si="1534"/>
        <v>0</v>
      </c>
      <c r="AD187" s="38">
        <f t="shared" si="1534"/>
        <v>0</v>
      </c>
      <c r="AE187" s="38">
        <f t="shared" si="1534"/>
        <v>0</v>
      </c>
      <c r="AF187" s="38">
        <f t="shared" si="1534"/>
        <v>0</v>
      </c>
      <c r="AG187" s="38">
        <f t="shared" si="1534"/>
        <v>0</v>
      </c>
      <c r="AH187" s="38">
        <f t="shared" si="1534"/>
        <v>0</v>
      </c>
      <c r="AI187" s="38">
        <f t="shared" si="1534"/>
        <v>0</v>
      </c>
      <c r="AJ187" s="38">
        <f t="shared" si="1534"/>
        <v>0</v>
      </c>
      <c r="AK187" s="38">
        <f t="shared" si="1534"/>
        <v>0</v>
      </c>
      <c r="AL187" s="38">
        <f t="shared" si="1534"/>
        <v>0</v>
      </c>
      <c r="AM187" s="38">
        <f t="shared" si="1534"/>
        <v>0</v>
      </c>
      <c r="AN187" s="38">
        <f t="shared" si="1534"/>
        <v>0</v>
      </c>
      <c r="AO187" s="38">
        <f t="shared" si="1534"/>
        <v>0</v>
      </c>
      <c r="AP187" s="38">
        <f t="shared" si="1534"/>
        <v>0</v>
      </c>
      <c r="AQ187" s="38">
        <f t="shared" si="1534"/>
        <v>0</v>
      </c>
      <c r="AR187" s="38">
        <f t="shared" si="1534"/>
        <v>0</v>
      </c>
      <c r="AS187" s="38">
        <f t="shared" si="1534"/>
        <v>0</v>
      </c>
      <c r="AT187" s="38">
        <f t="shared" si="1534"/>
        <v>0</v>
      </c>
      <c r="AU187" s="38">
        <f t="shared" si="1534"/>
        <v>0</v>
      </c>
      <c r="AV187" s="38">
        <f t="shared" si="1534"/>
        <v>0</v>
      </c>
      <c r="AW187" s="38">
        <f t="shared" si="1534"/>
        <v>0</v>
      </c>
      <c r="AX187" s="38">
        <f t="shared" si="1534"/>
        <v>0</v>
      </c>
      <c r="AY187" s="38">
        <f t="shared" si="1534"/>
        <v>0</v>
      </c>
      <c r="AZ187" s="38">
        <f t="shared" si="1534"/>
        <v>0</v>
      </c>
      <c r="BA187" s="38">
        <f t="shared" si="1534"/>
        <v>0</v>
      </c>
      <c r="BB187" s="38">
        <f t="shared" si="1534"/>
        <v>0</v>
      </c>
      <c r="BC187" s="38">
        <f t="shared" si="1534"/>
        <v>0</v>
      </c>
      <c r="BD187" s="38">
        <f t="shared" si="1534"/>
        <v>0</v>
      </c>
      <c r="BE187" s="38">
        <f t="shared" si="1534"/>
        <v>0</v>
      </c>
      <c r="BF187" s="38">
        <f t="shared" si="1534"/>
        <v>0</v>
      </c>
      <c r="BG187" s="38">
        <f t="shared" si="1534"/>
        <v>0</v>
      </c>
      <c r="BH187" s="38">
        <f t="shared" si="1534"/>
        <v>0</v>
      </c>
      <c r="BI187" s="38">
        <f t="shared" si="1534"/>
        <v>0</v>
      </c>
      <c r="BJ187" s="38">
        <f t="shared" si="1534"/>
        <v>0</v>
      </c>
      <c r="BK187" s="38">
        <f t="shared" si="1534"/>
        <v>0</v>
      </c>
      <c r="BL187" s="38">
        <f t="shared" si="1534"/>
        <v>0</v>
      </c>
      <c r="BM187" s="38">
        <f t="shared" si="1534"/>
        <v>0</v>
      </c>
      <c r="BN187" s="38">
        <f t="shared" si="1534"/>
        <v>0</v>
      </c>
      <c r="BO187" s="38">
        <f t="shared" si="1534"/>
        <v>0</v>
      </c>
      <c r="BP187" s="38">
        <f t="shared" si="1534"/>
        <v>0</v>
      </c>
      <c r="BQ187" s="38">
        <f t="shared" si="1534"/>
        <v>0</v>
      </c>
      <c r="BR187" s="38">
        <f t="shared" si="1534"/>
        <v>0</v>
      </c>
      <c r="BS187" s="38">
        <f t="shared" si="1534"/>
        <v>0</v>
      </c>
      <c r="BT187" s="38">
        <f t="shared" si="1534"/>
        <v>0</v>
      </c>
      <c r="BU187" s="38">
        <f t="shared" si="1534"/>
        <v>0</v>
      </c>
      <c r="BV187" s="38">
        <f t="shared" si="1534"/>
        <v>0</v>
      </c>
      <c r="BW187" s="38">
        <f t="shared" si="1534"/>
        <v>0</v>
      </c>
      <c r="BX187" s="38">
        <f t="shared" si="1534"/>
        <v>0</v>
      </c>
      <c r="BY187" s="38">
        <f t="shared" si="1534"/>
        <v>0</v>
      </c>
      <c r="BZ187" s="38">
        <f t="shared" si="1534"/>
        <v>0</v>
      </c>
      <c r="CA187" s="38">
        <f t="shared" si="1534"/>
        <v>0</v>
      </c>
      <c r="CB187" s="38">
        <f t="shared" si="1534"/>
        <v>0</v>
      </c>
      <c r="CC187" s="38">
        <f t="shared" si="1534"/>
        <v>0</v>
      </c>
      <c r="CD187" s="38">
        <f t="shared" si="1534"/>
        <v>0</v>
      </c>
      <c r="CE187" s="38">
        <f t="shared" si="1534"/>
        <v>0</v>
      </c>
      <c r="CF187" s="38">
        <f t="shared" si="1534"/>
        <v>0</v>
      </c>
      <c r="CG187" s="38">
        <f t="shared" si="1534"/>
        <v>0</v>
      </c>
      <c r="CH187" s="38">
        <f t="shared" si="1534"/>
        <v>0</v>
      </c>
      <c r="CI187" s="38">
        <f t="shared" ref="CI187:CK188" si="1535">+$E187*CI$183</f>
        <v>0</v>
      </c>
      <c r="CJ187" s="38">
        <f t="shared" si="1535"/>
        <v>0</v>
      </c>
      <c r="CK187" s="38">
        <f t="shared" si="1535"/>
        <v>0</v>
      </c>
    </row>
    <row r="188" spans="2:89" outlineLevel="1" x14ac:dyDescent="0.25">
      <c r="C188" s="129" t="s">
        <v>107</v>
      </c>
      <c r="D188" s="13" t="s">
        <v>24</v>
      </c>
      <c r="E188" s="79">
        <f>Tier_3_Dev_Split</f>
        <v>0.39999999999999991</v>
      </c>
      <c r="F188" s="38">
        <f t="shared" ref="F188" si="1536">+$E188*F$183</f>
        <v>0</v>
      </c>
      <c r="G188" s="38">
        <f t="shared" si="1533"/>
        <v>0</v>
      </c>
      <c r="H188" s="38">
        <f t="shared" ref="H188:BS188" si="1537">+$E188*H$183</f>
        <v>0</v>
      </c>
      <c r="I188" s="38">
        <f t="shared" si="1537"/>
        <v>0</v>
      </c>
      <c r="J188" s="38">
        <f t="shared" si="1537"/>
        <v>0</v>
      </c>
      <c r="K188" s="38">
        <f t="shared" si="1537"/>
        <v>0</v>
      </c>
      <c r="L188" s="38">
        <f t="shared" si="1537"/>
        <v>0</v>
      </c>
      <c r="M188" s="38">
        <f t="shared" si="1537"/>
        <v>0</v>
      </c>
      <c r="N188" s="38">
        <f t="shared" si="1537"/>
        <v>0</v>
      </c>
      <c r="O188" s="38">
        <f t="shared" si="1537"/>
        <v>0</v>
      </c>
      <c r="P188" s="38">
        <f t="shared" si="1537"/>
        <v>0</v>
      </c>
      <c r="Q188" s="38">
        <f t="shared" si="1537"/>
        <v>0</v>
      </c>
      <c r="R188" s="38">
        <f t="shared" si="1537"/>
        <v>0</v>
      </c>
      <c r="S188" s="38">
        <f t="shared" si="1537"/>
        <v>0</v>
      </c>
      <c r="T188" s="38">
        <f t="shared" si="1537"/>
        <v>0</v>
      </c>
      <c r="U188" s="38">
        <f t="shared" si="1537"/>
        <v>0</v>
      </c>
      <c r="V188" s="38">
        <f t="shared" si="1537"/>
        <v>0</v>
      </c>
      <c r="W188" s="38">
        <f t="shared" si="1537"/>
        <v>0</v>
      </c>
      <c r="X188" s="38">
        <f t="shared" si="1537"/>
        <v>0</v>
      </c>
      <c r="Y188" s="38">
        <f t="shared" si="1537"/>
        <v>0</v>
      </c>
      <c r="Z188" s="38">
        <f t="shared" si="1537"/>
        <v>0</v>
      </c>
      <c r="AA188" s="38">
        <f t="shared" si="1537"/>
        <v>0</v>
      </c>
      <c r="AB188" s="38">
        <f t="shared" si="1537"/>
        <v>0</v>
      </c>
      <c r="AC188" s="38">
        <f t="shared" si="1537"/>
        <v>0</v>
      </c>
      <c r="AD188" s="38">
        <f t="shared" si="1537"/>
        <v>0</v>
      </c>
      <c r="AE188" s="38">
        <f t="shared" si="1537"/>
        <v>0</v>
      </c>
      <c r="AF188" s="38">
        <f t="shared" si="1537"/>
        <v>0</v>
      </c>
      <c r="AG188" s="38">
        <f t="shared" si="1537"/>
        <v>0</v>
      </c>
      <c r="AH188" s="38">
        <f t="shared" si="1537"/>
        <v>0</v>
      </c>
      <c r="AI188" s="38">
        <f t="shared" si="1537"/>
        <v>0</v>
      </c>
      <c r="AJ188" s="38">
        <f t="shared" si="1537"/>
        <v>0</v>
      </c>
      <c r="AK188" s="38">
        <f t="shared" si="1537"/>
        <v>0</v>
      </c>
      <c r="AL188" s="38">
        <f t="shared" si="1537"/>
        <v>0</v>
      </c>
      <c r="AM188" s="38">
        <f t="shared" si="1537"/>
        <v>0</v>
      </c>
      <c r="AN188" s="38">
        <f t="shared" si="1537"/>
        <v>0</v>
      </c>
      <c r="AO188" s="38">
        <f t="shared" si="1537"/>
        <v>0</v>
      </c>
      <c r="AP188" s="38">
        <f t="shared" si="1537"/>
        <v>0</v>
      </c>
      <c r="AQ188" s="38">
        <f t="shared" si="1537"/>
        <v>0</v>
      </c>
      <c r="AR188" s="38">
        <f t="shared" si="1537"/>
        <v>0</v>
      </c>
      <c r="AS188" s="38">
        <f t="shared" si="1537"/>
        <v>0</v>
      </c>
      <c r="AT188" s="38">
        <f t="shared" si="1537"/>
        <v>0</v>
      </c>
      <c r="AU188" s="38">
        <f t="shared" si="1537"/>
        <v>0</v>
      </c>
      <c r="AV188" s="38">
        <f t="shared" si="1537"/>
        <v>0</v>
      </c>
      <c r="AW188" s="38">
        <f t="shared" si="1537"/>
        <v>0</v>
      </c>
      <c r="AX188" s="38">
        <f t="shared" si="1537"/>
        <v>0</v>
      </c>
      <c r="AY188" s="38">
        <f t="shared" si="1537"/>
        <v>0</v>
      </c>
      <c r="AZ188" s="38">
        <f t="shared" si="1537"/>
        <v>0</v>
      </c>
      <c r="BA188" s="38">
        <f t="shared" si="1537"/>
        <v>0</v>
      </c>
      <c r="BB188" s="38">
        <f t="shared" si="1537"/>
        <v>0</v>
      </c>
      <c r="BC188" s="38">
        <f t="shared" si="1537"/>
        <v>0</v>
      </c>
      <c r="BD188" s="38">
        <f t="shared" si="1537"/>
        <v>0</v>
      </c>
      <c r="BE188" s="38">
        <f t="shared" si="1537"/>
        <v>0</v>
      </c>
      <c r="BF188" s="38">
        <f t="shared" si="1537"/>
        <v>0</v>
      </c>
      <c r="BG188" s="38">
        <f t="shared" si="1537"/>
        <v>0</v>
      </c>
      <c r="BH188" s="38">
        <f t="shared" si="1537"/>
        <v>0</v>
      </c>
      <c r="BI188" s="38">
        <f t="shared" si="1537"/>
        <v>0</v>
      </c>
      <c r="BJ188" s="38">
        <f t="shared" si="1537"/>
        <v>0</v>
      </c>
      <c r="BK188" s="38">
        <f t="shared" si="1537"/>
        <v>0</v>
      </c>
      <c r="BL188" s="38">
        <f t="shared" si="1537"/>
        <v>0</v>
      </c>
      <c r="BM188" s="38">
        <f t="shared" si="1537"/>
        <v>0</v>
      </c>
      <c r="BN188" s="38">
        <f t="shared" si="1537"/>
        <v>0</v>
      </c>
      <c r="BO188" s="38">
        <f t="shared" si="1537"/>
        <v>0</v>
      </c>
      <c r="BP188" s="38">
        <f t="shared" si="1537"/>
        <v>0</v>
      </c>
      <c r="BQ188" s="38">
        <f t="shared" si="1537"/>
        <v>0</v>
      </c>
      <c r="BR188" s="38">
        <f t="shared" si="1537"/>
        <v>0</v>
      </c>
      <c r="BS188" s="38">
        <f t="shared" si="1537"/>
        <v>0</v>
      </c>
      <c r="BT188" s="38">
        <f t="shared" si="1534"/>
        <v>0</v>
      </c>
      <c r="BU188" s="38">
        <f t="shared" si="1534"/>
        <v>0</v>
      </c>
      <c r="BV188" s="38">
        <f t="shared" si="1534"/>
        <v>0</v>
      </c>
      <c r="BW188" s="38">
        <f t="shared" si="1534"/>
        <v>0</v>
      </c>
      <c r="BX188" s="38">
        <f t="shared" si="1534"/>
        <v>0</v>
      </c>
      <c r="BY188" s="38">
        <f t="shared" si="1534"/>
        <v>0</v>
      </c>
      <c r="BZ188" s="38">
        <f t="shared" si="1534"/>
        <v>0</v>
      </c>
      <c r="CA188" s="38">
        <f t="shared" si="1534"/>
        <v>0</v>
      </c>
      <c r="CB188" s="38">
        <f t="shared" si="1534"/>
        <v>0</v>
      </c>
      <c r="CC188" s="38">
        <f t="shared" si="1534"/>
        <v>0</v>
      </c>
      <c r="CD188" s="38">
        <f t="shared" si="1534"/>
        <v>0</v>
      </c>
      <c r="CE188" s="38">
        <f t="shared" si="1534"/>
        <v>0</v>
      </c>
      <c r="CF188" s="38">
        <f t="shared" si="1534"/>
        <v>0</v>
      </c>
      <c r="CG188" s="38">
        <f t="shared" si="1534"/>
        <v>0</v>
      </c>
      <c r="CH188" s="38">
        <f t="shared" si="1534"/>
        <v>0</v>
      </c>
      <c r="CI188" s="38">
        <f t="shared" si="1535"/>
        <v>0</v>
      </c>
      <c r="CJ188" s="38">
        <f t="shared" si="1535"/>
        <v>0</v>
      </c>
      <c r="CK188" s="38">
        <f t="shared" si="1535"/>
        <v>0</v>
      </c>
    </row>
    <row r="189" spans="2:89" outlineLevel="1" x14ac:dyDescent="0.25">
      <c r="C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2:89" outlineLevel="1" x14ac:dyDescent="0.25">
      <c r="C190" s="66" t="s">
        <v>108</v>
      </c>
      <c r="D190" s="13" t="s">
        <v>24</v>
      </c>
      <c r="F190" s="56">
        <f>+F183-SUM(F187:F188)</f>
        <v>0</v>
      </c>
      <c r="G190" s="56">
        <f t="shared" ref="G190:BR190" si="1538">+G183-SUM(G187:G188)</f>
        <v>0</v>
      </c>
      <c r="H190" s="56">
        <f t="shared" si="1538"/>
        <v>0</v>
      </c>
      <c r="I190" s="56">
        <f t="shared" si="1538"/>
        <v>0</v>
      </c>
      <c r="J190" s="56">
        <f t="shared" si="1538"/>
        <v>0</v>
      </c>
      <c r="K190" s="56">
        <f t="shared" si="1538"/>
        <v>0</v>
      </c>
      <c r="L190" s="56">
        <f t="shared" si="1538"/>
        <v>0</v>
      </c>
      <c r="M190" s="56">
        <f t="shared" si="1538"/>
        <v>0</v>
      </c>
      <c r="N190" s="56">
        <f t="shared" si="1538"/>
        <v>0</v>
      </c>
      <c r="O190" s="56">
        <f t="shared" si="1538"/>
        <v>0</v>
      </c>
      <c r="P190" s="56">
        <f t="shared" si="1538"/>
        <v>0</v>
      </c>
      <c r="Q190" s="56">
        <f t="shared" si="1538"/>
        <v>0</v>
      </c>
      <c r="R190" s="56">
        <f t="shared" si="1538"/>
        <v>0</v>
      </c>
      <c r="S190" s="56">
        <f t="shared" si="1538"/>
        <v>0</v>
      </c>
      <c r="T190" s="56">
        <f t="shared" si="1538"/>
        <v>0</v>
      </c>
      <c r="U190" s="56">
        <f t="shared" si="1538"/>
        <v>0</v>
      </c>
      <c r="V190" s="56">
        <f t="shared" si="1538"/>
        <v>0</v>
      </c>
      <c r="W190" s="56">
        <f t="shared" si="1538"/>
        <v>0</v>
      </c>
      <c r="X190" s="56">
        <f t="shared" si="1538"/>
        <v>0</v>
      </c>
      <c r="Y190" s="56">
        <f t="shared" si="1538"/>
        <v>0</v>
      </c>
      <c r="Z190" s="56">
        <f t="shared" si="1538"/>
        <v>0</v>
      </c>
      <c r="AA190" s="56">
        <f t="shared" si="1538"/>
        <v>0</v>
      </c>
      <c r="AB190" s="56">
        <f t="shared" si="1538"/>
        <v>0</v>
      </c>
      <c r="AC190" s="56">
        <f t="shared" si="1538"/>
        <v>0</v>
      </c>
      <c r="AD190" s="56">
        <f t="shared" si="1538"/>
        <v>0</v>
      </c>
      <c r="AE190" s="56">
        <f t="shared" si="1538"/>
        <v>0</v>
      </c>
      <c r="AF190" s="56">
        <f t="shared" si="1538"/>
        <v>0</v>
      </c>
      <c r="AG190" s="56">
        <f t="shared" si="1538"/>
        <v>0</v>
      </c>
      <c r="AH190" s="56">
        <f t="shared" si="1538"/>
        <v>0</v>
      </c>
      <c r="AI190" s="56">
        <f t="shared" si="1538"/>
        <v>0</v>
      </c>
      <c r="AJ190" s="56">
        <f t="shared" si="1538"/>
        <v>0</v>
      </c>
      <c r="AK190" s="56">
        <f t="shared" si="1538"/>
        <v>0</v>
      </c>
      <c r="AL190" s="56">
        <f t="shared" si="1538"/>
        <v>0</v>
      </c>
      <c r="AM190" s="56">
        <f t="shared" si="1538"/>
        <v>0</v>
      </c>
      <c r="AN190" s="56">
        <f t="shared" si="1538"/>
        <v>0</v>
      </c>
      <c r="AO190" s="56">
        <f t="shared" si="1538"/>
        <v>0</v>
      </c>
      <c r="AP190" s="56">
        <f t="shared" si="1538"/>
        <v>0</v>
      </c>
      <c r="AQ190" s="56">
        <f t="shared" si="1538"/>
        <v>0</v>
      </c>
      <c r="AR190" s="56">
        <f t="shared" si="1538"/>
        <v>0</v>
      </c>
      <c r="AS190" s="56">
        <f t="shared" si="1538"/>
        <v>0</v>
      </c>
      <c r="AT190" s="56">
        <f t="shared" si="1538"/>
        <v>0</v>
      </c>
      <c r="AU190" s="56">
        <f t="shared" si="1538"/>
        <v>0</v>
      </c>
      <c r="AV190" s="56">
        <f t="shared" si="1538"/>
        <v>0</v>
      </c>
      <c r="AW190" s="56">
        <f t="shared" si="1538"/>
        <v>0</v>
      </c>
      <c r="AX190" s="56">
        <f t="shared" si="1538"/>
        <v>0</v>
      </c>
      <c r="AY190" s="56">
        <f t="shared" si="1538"/>
        <v>0</v>
      </c>
      <c r="AZ190" s="56">
        <f t="shared" si="1538"/>
        <v>0</v>
      </c>
      <c r="BA190" s="56">
        <f t="shared" si="1538"/>
        <v>0</v>
      </c>
      <c r="BB190" s="56">
        <f t="shared" si="1538"/>
        <v>0</v>
      </c>
      <c r="BC190" s="56">
        <f t="shared" si="1538"/>
        <v>0</v>
      </c>
      <c r="BD190" s="56">
        <f t="shared" si="1538"/>
        <v>0</v>
      </c>
      <c r="BE190" s="56">
        <f t="shared" si="1538"/>
        <v>0</v>
      </c>
      <c r="BF190" s="56">
        <f t="shared" si="1538"/>
        <v>0</v>
      </c>
      <c r="BG190" s="56">
        <f t="shared" si="1538"/>
        <v>0</v>
      </c>
      <c r="BH190" s="56">
        <f t="shared" si="1538"/>
        <v>0</v>
      </c>
      <c r="BI190" s="56">
        <f t="shared" si="1538"/>
        <v>0</v>
      </c>
      <c r="BJ190" s="56">
        <f t="shared" si="1538"/>
        <v>0</v>
      </c>
      <c r="BK190" s="56">
        <f t="shared" si="1538"/>
        <v>0</v>
      </c>
      <c r="BL190" s="56">
        <f t="shared" si="1538"/>
        <v>0</v>
      </c>
      <c r="BM190" s="56">
        <f t="shared" si="1538"/>
        <v>0</v>
      </c>
      <c r="BN190" s="56">
        <f t="shared" si="1538"/>
        <v>0</v>
      </c>
      <c r="BO190" s="56">
        <f t="shared" si="1538"/>
        <v>0</v>
      </c>
      <c r="BP190" s="56">
        <f t="shared" si="1538"/>
        <v>0</v>
      </c>
      <c r="BQ190" s="56">
        <f t="shared" si="1538"/>
        <v>0</v>
      </c>
      <c r="BR190" s="56">
        <f t="shared" si="1538"/>
        <v>0</v>
      </c>
      <c r="BS190" s="56">
        <f t="shared" ref="BS190:CK190" si="1539">+BS183-SUM(BS187:BS188)</f>
        <v>0</v>
      </c>
      <c r="BT190" s="56">
        <f t="shared" si="1539"/>
        <v>0</v>
      </c>
      <c r="BU190" s="56">
        <f t="shared" si="1539"/>
        <v>0</v>
      </c>
      <c r="BV190" s="56">
        <f t="shared" si="1539"/>
        <v>0</v>
      </c>
      <c r="BW190" s="56">
        <f t="shared" si="1539"/>
        <v>0</v>
      </c>
      <c r="BX190" s="56">
        <f t="shared" si="1539"/>
        <v>0</v>
      </c>
      <c r="BY190" s="56">
        <f t="shared" si="1539"/>
        <v>0</v>
      </c>
      <c r="BZ190" s="56">
        <f t="shared" si="1539"/>
        <v>0</v>
      </c>
      <c r="CA190" s="56">
        <f t="shared" si="1539"/>
        <v>0</v>
      </c>
      <c r="CB190" s="56">
        <f t="shared" si="1539"/>
        <v>0</v>
      </c>
      <c r="CC190" s="56">
        <f t="shared" si="1539"/>
        <v>0</v>
      </c>
      <c r="CD190" s="56">
        <f t="shared" si="1539"/>
        <v>0</v>
      </c>
      <c r="CE190" s="56">
        <f t="shared" si="1539"/>
        <v>0</v>
      </c>
      <c r="CF190" s="56">
        <f t="shared" si="1539"/>
        <v>0</v>
      </c>
      <c r="CG190" s="56">
        <f t="shared" si="1539"/>
        <v>0</v>
      </c>
      <c r="CH190" s="56">
        <f t="shared" si="1539"/>
        <v>0</v>
      </c>
      <c r="CI190" s="56">
        <f t="shared" si="1539"/>
        <v>0</v>
      </c>
      <c r="CJ190" s="56">
        <f t="shared" si="1539"/>
        <v>0</v>
      </c>
      <c r="CK190" s="56">
        <f t="shared" si="1539"/>
        <v>0</v>
      </c>
    </row>
    <row r="192" spans="2:89" x14ac:dyDescent="0.25">
      <c r="B192" s="4" t="s">
        <v>109</v>
      </c>
      <c r="C192" s="4"/>
      <c r="D192" s="5" t="str">
        <f>+Assumptions!$D$5</f>
        <v>Units:</v>
      </c>
      <c r="E192" s="4"/>
      <c r="F192" s="108">
        <f>$F$36</f>
        <v>43131</v>
      </c>
      <c r="G192" s="108">
        <f>$G$36</f>
        <v>43159</v>
      </c>
      <c r="H192" s="108">
        <f>$H$36</f>
        <v>43190</v>
      </c>
      <c r="I192" s="108">
        <f>$I$36</f>
        <v>43220</v>
      </c>
      <c r="J192" s="108">
        <f>$J$36</f>
        <v>43251</v>
      </c>
      <c r="K192" s="108">
        <f>$K$36</f>
        <v>43281</v>
      </c>
      <c r="L192" s="108">
        <f>$L$36</f>
        <v>43312</v>
      </c>
      <c r="M192" s="108">
        <f>$M$36</f>
        <v>43343</v>
      </c>
      <c r="N192" s="108">
        <f>$N$36</f>
        <v>43373</v>
      </c>
      <c r="O192" s="108">
        <f>$O$36</f>
        <v>43404</v>
      </c>
      <c r="P192" s="108">
        <f>$P$36</f>
        <v>43434</v>
      </c>
      <c r="Q192" s="108">
        <f>$Q$36</f>
        <v>43465</v>
      </c>
      <c r="R192" s="108">
        <f>$R$36</f>
        <v>43496</v>
      </c>
      <c r="S192" s="108">
        <f>$S$36</f>
        <v>43524</v>
      </c>
      <c r="T192" s="108">
        <f>$T$36</f>
        <v>43555</v>
      </c>
      <c r="U192" s="108">
        <f>$U$36</f>
        <v>43585</v>
      </c>
      <c r="V192" s="108">
        <f>$V$36</f>
        <v>43616</v>
      </c>
      <c r="W192" s="108">
        <f>$W$36</f>
        <v>43646</v>
      </c>
      <c r="X192" s="108">
        <f>$X$36</f>
        <v>43677</v>
      </c>
      <c r="Y192" s="108">
        <f>$Y$36</f>
        <v>43708</v>
      </c>
      <c r="Z192" s="108">
        <f>$Z$36</f>
        <v>43738</v>
      </c>
      <c r="AA192" s="108">
        <f>$AA$36</f>
        <v>43769</v>
      </c>
      <c r="AB192" s="108">
        <f>$AB$36</f>
        <v>43799</v>
      </c>
      <c r="AC192" s="108">
        <f>$AC$36</f>
        <v>43830</v>
      </c>
      <c r="AD192" s="108">
        <f>$AD$36</f>
        <v>43861</v>
      </c>
      <c r="AE192" s="108">
        <f>$AE$36</f>
        <v>43890</v>
      </c>
      <c r="AF192" s="108">
        <f>$AF$36</f>
        <v>43921</v>
      </c>
      <c r="AG192" s="108">
        <f>$AG$36</f>
        <v>43951</v>
      </c>
      <c r="AH192" s="108">
        <f>$AH$36</f>
        <v>43982</v>
      </c>
      <c r="AI192" s="108">
        <f>$AI$36</f>
        <v>44012</v>
      </c>
      <c r="AJ192" s="108">
        <f>$AJ$36</f>
        <v>44043</v>
      </c>
      <c r="AK192" s="108">
        <f>$AK$36</f>
        <v>44074</v>
      </c>
      <c r="AL192" s="108">
        <f>$AL$36</f>
        <v>44104</v>
      </c>
      <c r="AM192" s="108">
        <f>$AM$36</f>
        <v>44135</v>
      </c>
      <c r="AN192" s="108">
        <f>$AN$36</f>
        <v>44165</v>
      </c>
      <c r="AO192" s="108">
        <f>$AO$36</f>
        <v>44196</v>
      </c>
      <c r="AP192" s="108">
        <f>$AP$36</f>
        <v>44227</v>
      </c>
      <c r="AQ192" s="108">
        <f>$AQ$36</f>
        <v>44255</v>
      </c>
      <c r="AR192" s="108">
        <f>$AR$36</f>
        <v>44286</v>
      </c>
      <c r="AS192" s="108">
        <f>$AS$36</f>
        <v>44316</v>
      </c>
      <c r="AT192" s="108">
        <f>$AT$36</f>
        <v>44347</v>
      </c>
      <c r="AU192" s="108">
        <f>$AU$36</f>
        <v>44377</v>
      </c>
      <c r="AV192" s="108">
        <f>$AV$36</f>
        <v>44408</v>
      </c>
      <c r="AW192" s="108">
        <f>$AW$36</f>
        <v>44439</v>
      </c>
      <c r="AX192" s="108">
        <f>$AX$36</f>
        <v>44469</v>
      </c>
      <c r="AY192" s="108">
        <f>$AY$36</f>
        <v>44500</v>
      </c>
      <c r="AZ192" s="108">
        <f>$AZ$36</f>
        <v>44530</v>
      </c>
      <c r="BA192" s="108">
        <f>$BA$36</f>
        <v>44561</v>
      </c>
      <c r="BB192" s="108">
        <f>$BB$36</f>
        <v>44592</v>
      </c>
      <c r="BC192" s="108">
        <f>$BC$36</f>
        <v>44620</v>
      </c>
      <c r="BD192" s="108">
        <f>$BD$36</f>
        <v>44651</v>
      </c>
      <c r="BE192" s="108">
        <f>$BE$36</f>
        <v>44681</v>
      </c>
      <c r="BF192" s="108">
        <f>$BF$36</f>
        <v>44712</v>
      </c>
      <c r="BG192" s="108">
        <f>$BG$36</f>
        <v>44742</v>
      </c>
      <c r="BH192" s="108">
        <f>$BH$36</f>
        <v>44773</v>
      </c>
      <c r="BI192" s="108">
        <f>$BI$36</f>
        <v>44804</v>
      </c>
      <c r="BJ192" s="108">
        <f>$BJ$36</f>
        <v>44834</v>
      </c>
      <c r="BK192" s="108">
        <f>$BK$36</f>
        <v>44865</v>
      </c>
      <c r="BL192" s="108">
        <f>$BL$36</f>
        <v>44895</v>
      </c>
      <c r="BM192" s="108">
        <f>$BM$36</f>
        <v>44926</v>
      </c>
      <c r="BN192" s="108">
        <f>$BN$36</f>
        <v>44957</v>
      </c>
      <c r="BO192" s="108">
        <f>$BO$36</f>
        <v>44985</v>
      </c>
      <c r="BP192" s="108">
        <f>$BP$36</f>
        <v>45016</v>
      </c>
      <c r="BQ192" s="108">
        <f>$BQ$36</f>
        <v>45046</v>
      </c>
      <c r="BR192" s="108">
        <f>$BR$36</f>
        <v>45077</v>
      </c>
      <c r="BS192" s="108">
        <f>$BS$36</f>
        <v>45107</v>
      </c>
      <c r="BT192" s="108">
        <f>$BT$36</f>
        <v>45138</v>
      </c>
      <c r="BU192" s="108">
        <f>$BU$36</f>
        <v>45169</v>
      </c>
      <c r="BV192" s="108">
        <f>$BV$36</f>
        <v>45199</v>
      </c>
      <c r="BW192" s="108">
        <f>$BW$36</f>
        <v>45230</v>
      </c>
      <c r="BX192" s="108">
        <f>$BX$36</f>
        <v>45260</v>
      </c>
      <c r="BY192" s="108">
        <f>$BY$36</f>
        <v>45291</v>
      </c>
      <c r="BZ192" s="108">
        <f>$BZ$36</f>
        <v>45322</v>
      </c>
      <c r="CA192" s="108">
        <f>$CA$36</f>
        <v>45351</v>
      </c>
      <c r="CB192" s="108">
        <f>$CB$36</f>
        <v>45382</v>
      </c>
      <c r="CC192" s="108">
        <f>$CC$36</f>
        <v>45412</v>
      </c>
      <c r="CD192" s="108">
        <f>$CD$36</f>
        <v>45443</v>
      </c>
      <c r="CE192" s="108">
        <f>$CE$36</f>
        <v>45473</v>
      </c>
      <c r="CF192" s="108">
        <f>$CF$36</f>
        <v>45504</v>
      </c>
      <c r="CG192" s="108">
        <f>$CG$36</f>
        <v>45535</v>
      </c>
      <c r="CH192" s="108">
        <f>$CH$36</f>
        <v>45565</v>
      </c>
      <c r="CI192" s="108">
        <f>$CI$36</f>
        <v>45596</v>
      </c>
      <c r="CJ192" s="108">
        <f>$CJ$36</f>
        <v>45626</v>
      </c>
      <c r="CK192" s="108">
        <f>$CK$36</f>
        <v>45657</v>
      </c>
    </row>
    <row r="193" spans="3:89" outlineLevel="1" x14ac:dyDescent="0.25">
      <c r="L193" s="58"/>
    </row>
    <row r="194" spans="3:89" outlineLevel="1" x14ac:dyDescent="0.25">
      <c r="C194" s="66" t="s">
        <v>114</v>
      </c>
      <c r="D194" s="13" t="s">
        <v>24</v>
      </c>
      <c r="F194" s="72">
        <f>+F103</f>
        <v>-8963439.4061929006</v>
      </c>
      <c r="G194" s="72">
        <f t="shared" ref="G194:BR194" si="1540">+G103</f>
        <v>2788820.292015709</v>
      </c>
      <c r="H194" s="72">
        <f t="shared" si="1540"/>
        <v>2042922.4273272539</v>
      </c>
      <c r="I194" s="72">
        <f t="shared" si="1540"/>
        <v>-4941119.4676008793</v>
      </c>
      <c r="J194" s="72">
        <f t="shared" si="1540"/>
        <v>-5706039.4521962702</v>
      </c>
      <c r="K194" s="72">
        <f t="shared" si="1540"/>
        <v>-12965246.226588443</v>
      </c>
      <c r="L194" s="72">
        <f t="shared" si="1540"/>
        <v>-10276698.156953398</v>
      </c>
      <c r="M194" s="72">
        <f t="shared" si="1540"/>
        <v>-2825681.5343172997</v>
      </c>
      <c r="N194" s="72">
        <f t="shared" si="1540"/>
        <v>-1309542.159044059</v>
      </c>
      <c r="O194" s="72">
        <f t="shared" si="1540"/>
        <v>-2074787.0037881937</v>
      </c>
      <c r="P194" s="72">
        <f t="shared" si="1540"/>
        <v>-4920009.6689692084</v>
      </c>
      <c r="Q194" s="72">
        <f t="shared" si="1540"/>
        <v>-7992912.4166666558</v>
      </c>
      <c r="R194" s="72">
        <f t="shared" si="1540"/>
        <v>-4940299.3729317272</v>
      </c>
      <c r="S194" s="72">
        <f t="shared" si="1540"/>
        <v>-5719325.3135213042</v>
      </c>
      <c r="T194" s="72">
        <f t="shared" si="1540"/>
        <v>-274685.5361350216</v>
      </c>
      <c r="U194" s="72">
        <f t="shared" si="1540"/>
        <v>-275251.3433651533</v>
      </c>
      <c r="V194" s="72">
        <f t="shared" si="1540"/>
        <v>-1823039.5954454616</v>
      </c>
      <c r="W194" s="72">
        <f t="shared" si="1540"/>
        <v>-1051590.6075811889</v>
      </c>
      <c r="X194" s="72">
        <f t="shared" si="1540"/>
        <v>-7143400.5498359762</v>
      </c>
      <c r="Y194" s="72">
        <f t="shared" si="1540"/>
        <v>-4822911.7033853801</v>
      </c>
      <c r="Z194" s="72">
        <f t="shared" si="1540"/>
        <v>-4832846.1118382607</v>
      </c>
      <c r="AA194" s="72">
        <f t="shared" si="1540"/>
        <v>-6406023.158277492</v>
      </c>
      <c r="AB194" s="72">
        <f t="shared" si="1540"/>
        <v>-5635997.4388919473</v>
      </c>
      <c r="AC194" s="72">
        <f t="shared" si="1540"/>
        <v>-5647606.6708333166</v>
      </c>
      <c r="AD194" s="72">
        <f t="shared" si="1540"/>
        <v>-9591494.8946395367</v>
      </c>
      <c r="AE194" s="72">
        <f t="shared" si="1540"/>
        <v>-5670896.9233242171</v>
      </c>
      <c r="AF194" s="72">
        <f t="shared" si="1540"/>
        <v>31925504.633532561</v>
      </c>
      <c r="AG194" s="72">
        <f t="shared" si="1540"/>
        <v>-11298634.706720982</v>
      </c>
      <c r="AH194" s="72">
        <f t="shared" si="1540"/>
        <v>-10528957.138607381</v>
      </c>
      <c r="AI194" s="72">
        <f t="shared" si="1540"/>
        <v>-9756060.8116871659</v>
      </c>
      <c r="AJ194" s="72">
        <f t="shared" si="1540"/>
        <v>-9776156.6995978691</v>
      </c>
      <c r="AK194" s="72">
        <f t="shared" si="1540"/>
        <v>-10594155.034761699</v>
      </c>
      <c r="AL194" s="72">
        <f t="shared" si="1540"/>
        <v>-12214986.291849883</v>
      </c>
      <c r="AM194" s="72">
        <f t="shared" si="1540"/>
        <v>39448562.060597174</v>
      </c>
      <c r="AN194" s="72">
        <f t="shared" si="1540"/>
        <v>-9856955.0471606888</v>
      </c>
      <c r="AO194" s="72">
        <f t="shared" si="1540"/>
        <v>-9877258.7606770415</v>
      </c>
      <c r="AP194" s="72">
        <f t="shared" si="1540"/>
        <v>-9091492.0053756032</v>
      </c>
      <c r="AQ194" s="72">
        <f t="shared" si="1540"/>
        <v>-9110218.9903552588</v>
      </c>
      <c r="AR194" s="72">
        <f t="shared" si="1540"/>
        <v>-9128984.5498578046</v>
      </c>
      <c r="AS194" s="72">
        <f t="shared" si="1540"/>
        <v>-9147788.7633404359</v>
      </c>
      <c r="AT194" s="72">
        <f t="shared" si="1540"/>
        <v>47706665.483006194</v>
      </c>
      <c r="AU194" s="72">
        <f t="shared" si="1540"/>
        <v>0</v>
      </c>
      <c r="AV194" s="72">
        <f t="shared" si="1540"/>
        <v>0</v>
      </c>
      <c r="AW194" s="72">
        <f t="shared" si="1540"/>
        <v>0</v>
      </c>
      <c r="AX194" s="72">
        <f t="shared" si="1540"/>
        <v>0</v>
      </c>
      <c r="AY194" s="72">
        <f t="shared" si="1540"/>
        <v>0</v>
      </c>
      <c r="AZ194" s="72">
        <f t="shared" si="1540"/>
        <v>190917238.43673128</v>
      </c>
      <c r="BA194" s="72">
        <f t="shared" si="1540"/>
        <v>0</v>
      </c>
      <c r="BB194" s="72">
        <f t="shared" si="1540"/>
        <v>0</v>
      </c>
      <c r="BC194" s="72">
        <f t="shared" si="1540"/>
        <v>0</v>
      </c>
      <c r="BD194" s="72">
        <f t="shared" si="1540"/>
        <v>0</v>
      </c>
      <c r="BE194" s="72">
        <f t="shared" si="1540"/>
        <v>0</v>
      </c>
      <c r="BF194" s="72">
        <f t="shared" si="1540"/>
        <v>0</v>
      </c>
      <c r="BG194" s="72">
        <f t="shared" si="1540"/>
        <v>0</v>
      </c>
      <c r="BH194" s="72">
        <f t="shared" si="1540"/>
        <v>0</v>
      </c>
      <c r="BI194" s="72">
        <f t="shared" si="1540"/>
        <v>0</v>
      </c>
      <c r="BJ194" s="72">
        <f t="shared" si="1540"/>
        <v>0</v>
      </c>
      <c r="BK194" s="72">
        <f t="shared" si="1540"/>
        <v>0</v>
      </c>
      <c r="BL194" s="72">
        <f t="shared" si="1540"/>
        <v>0</v>
      </c>
      <c r="BM194" s="72">
        <f t="shared" si="1540"/>
        <v>0</v>
      </c>
      <c r="BN194" s="72">
        <f t="shared" si="1540"/>
        <v>0</v>
      </c>
      <c r="BO194" s="72">
        <f t="shared" si="1540"/>
        <v>0</v>
      </c>
      <c r="BP194" s="72">
        <f t="shared" si="1540"/>
        <v>0</v>
      </c>
      <c r="BQ194" s="72">
        <f t="shared" si="1540"/>
        <v>0</v>
      </c>
      <c r="BR194" s="72">
        <f t="shared" si="1540"/>
        <v>0</v>
      </c>
      <c r="BS194" s="72">
        <f t="shared" ref="BS194:CK194" si="1541">+BS103</f>
        <v>0</v>
      </c>
      <c r="BT194" s="72">
        <f t="shared" si="1541"/>
        <v>0</v>
      </c>
      <c r="BU194" s="72">
        <f t="shared" si="1541"/>
        <v>0</v>
      </c>
      <c r="BV194" s="72">
        <f t="shared" si="1541"/>
        <v>0</v>
      </c>
      <c r="BW194" s="72">
        <f t="shared" si="1541"/>
        <v>0</v>
      </c>
      <c r="BX194" s="72">
        <f t="shared" si="1541"/>
        <v>0</v>
      </c>
      <c r="BY194" s="72">
        <f t="shared" si="1541"/>
        <v>0</v>
      </c>
      <c r="BZ194" s="72">
        <f t="shared" si="1541"/>
        <v>0</v>
      </c>
      <c r="CA194" s="72">
        <f t="shared" si="1541"/>
        <v>0</v>
      </c>
      <c r="CB194" s="72">
        <f t="shared" si="1541"/>
        <v>0</v>
      </c>
      <c r="CC194" s="72">
        <f t="shared" si="1541"/>
        <v>0</v>
      </c>
      <c r="CD194" s="72">
        <f t="shared" si="1541"/>
        <v>0</v>
      </c>
      <c r="CE194" s="72">
        <f t="shared" si="1541"/>
        <v>0</v>
      </c>
      <c r="CF194" s="72">
        <f t="shared" si="1541"/>
        <v>0</v>
      </c>
      <c r="CG194" s="72">
        <f t="shared" si="1541"/>
        <v>0</v>
      </c>
      <c r="CH194" s="72">
        <f t="shared" si="1541"/>
        <v>0</v>
      </c>
      <c r="CI194" s="72">
        <f t="shared" si="1541"/>
        <v>0</v>
      </c>
      <c r="CJ194" s="72">
        <f t="shared" si="1541"/>
        <v>0</v>
      </c>
      <c r="CK194" s="72">
        <f t="shared" si="1541"/>
        <v>0</v>
      </c>
    </row>
    <row r="195" spans="3:89" outlineLevel="1" x14ac:dyDescent="0.25">
      <c r="C195" s="123" t="s">
        <v>111</v>
      </c>
      <c r="D195" s="13" t="s">
        <v>5</v>
      </c>
      <c r="E195" s="65">
        <f>XIRR(F194:CK194,$F$192:$CK$192)</f>
        <v>0.17175232768058779</v>
      </c>
    </row>
    <row r="196" spans="3:89" outlineLevel="1" x14ac:dyDescent="0.25">
      <c r="C196" s="123" t="s">
        <v>203</v>
      </c>
      <c r="D196" s="13" t="s">
        <v>24</v>
      </c>
      <c r="E196" s="106">
        <f>SUMIF(F194:CK194,"&gt;0",F194:CK194)</f>
        <v>314829713.33321017</v>
      </c>
    </row>
    <row r="197" spans="3:89" outlineLevel="1" x14ac:dyDescent="0.25">
      <c r="C197" s="123" t="s">
        <v>204</v>
      </c>
      <c r="D197" s="13" t="s">
        <v>24</v>
      </c>
      <c r="E197" s="106">
        <f>-SUMIF(F194:CK194,"&lt;=0",F194:CK194)</f>
        <v>246192493.51231509</v>
      </c>
    </row>
    <row r="198" spans="3:89" outlineLevel="1" x14ac:dyDescent="0.25">
      <c r="C198" s="123" t="s">
        <v>112</v>
      </c>
      <c r="D198" s="13" t="s">
        <v>113</v>
      </c>
      <c r="E198" s="107">
        <f>+E196/E197</f>
        <v>1.2787949333534887</v>
      </c>
    </row>
    <row r="199" spans="3:89" outlineLevel="1" x14ac:dyDescent="0.25"/>
    <row r="200" spans="3:89" outlineLevel="1" x14ac:dyDescent="0.25">
      <c r="C200" s="66" t="s">
        <v>110</v>
      </c>
      <c r="D200" s="13" t="s">
        <v>24</v>
      </c>
      <c r="F200" s="72">
        <f>+F138</f>
        <v>-8963439.4061929006</v>
      </c>
      <c r="G200" s="72">
        <f t="shared" ref="G200:BR200" si="1542">+G138</f>
        <v>2788820.292015709</v>
      </c>
      <c r="H200" s="72">
        <f t="shared" si="1542"/>
        <v>2042922.4273272539</v>
      </c>
      <c r="I200" s="72">
        <f t="shared" si="1542"/>
        <v>-4941119.4676008793</v>
      </c>
      <c r="J200" s="72">
        <f t="shared" si="1542"/>
        <v>-5706039.4521962702</v>
      </c>
      <c r="K200" s="72">
        <f t="shared" si="1542"/>
        <v>-12965246.226588443</v>
      </c>
      <c r="L200" s="72">
        <f t="shared" si="1542"/>
        <v>-10276698.156953398</v>
      </c>
      <c r="M200" s="72">
        <f t="shared" si="1542"/>
        <v>-2825681.5343172997</v>
      </c>
      <c r="N200" s="72">
        <f t="shared" si="1542"/>
        <v>-1309542.159044059</v>
      </c>
      <c r="O200" s="72">
        <f t="shared" si="1542"/>
        <v>-2074787.0037881937</v>
      </c>
      <c r="P200" s="72">
        <f t="shared" si="1542"/>
        <v>-4920009.6689692084</v>
      </c>
      <c r="Q200" s="72">
        <f t="shared" si="1542"/>
        <v>-7992912.4166666558</v>
      </c>
      <c r="R200" s="72">
        <f t="shared" si="1542"/>
        <v>-4940299.3729317272</v>
      </c>
      <c r="S200" s="72">
        <f t="shared" si="1542"/>
        <v>0</v>
      </c>
      <c r="T200" s="72">
        <f t="shared" si="1542"/>
        <v>0</v>
      </c>
      <c r="U200" s="72">
        <f t="shared" si="1542"/>
        <v>0</v>
      </c>
      <c r="V200" s="72">
        <f t="shared" si="1542"/>
        <v>0</v>
      </c>
      <c r="W200" s="72">
        <f t="shared" si="1542"/>
        <v>0</v>
      </c>
      <c r="X200" s="72">
        <f t="shared" si="1542"/>
        <v>0</v>
      </c>
      <c r="Y200" s="72">
        <f t="shared" si="1542"/>
        <v>0</v>
      </c>
      <c r="Z200" s="72">
        <f t="shared" si="1542"/>
        <v>0</v>
      </c>
      <c r="AA200" s="72">
        <f t="shared" si="1542"/>
        <v>0</v>
      </c>
      <c r="AB200" s="72">
        <f t="shared" si="1542"/>
        <v>0</v>
      </c>
      <c r="AC200" s="72">
        <f t="shared" si="1542"/>
        <v>0</v>
      </c>
      <c r="AD200" s="72">
        <f t="shared" si="1542"/>
        <v>0</v>
      </c>
      <c r="AE200" s="72">
        <f t="shared" si="1542"/>
        <v>0</v>
      </c>
      <c r="AF200" s="72">
        <f t="shared" si="1542"/>
        <v>0</v>
      </c>
      <c r="AG200" s="72">
        <f t="shared" si="1542"/>
        <v>0</v>
      </c>
      <c r="AH200" s="72">
        <f t="shared" si="1542"/>
        <v>0</v>
      </c>
      <c r="AI200" s="72">
        <f t="shared" si="1542"/>
        <v>0</v>
      </c>
      <c r="AJ200" s="72">
        <f t="shared" si="1542"/>
        <v>0</v>
      </c>
      <c r="AK200" s="72">
        <f t="shared" si="1542"/>
        <v>0</v>
      </c>
      <c r="AL200" s="72">
        <f t="shared" si="1542"/>
        <v>0</v>
      </c>
      <c r="AM200" s="72">
        <f t="shared" si="1542"/>
        <v>0</v>
      </c>
      <c r="AN200" s="72">
        <f t="shared" si="1542"/>
        <v>0</v>
      </c>
      <c r="AO200" s="72">
        <f t="shared" si="1542"/>
        <v>0</v>
      </c>
      <c r="AP200" s="72">
        <f t="shared" si="1542"/>
        <v>0</v>
      </c>
      <c r="AQ200" s="72">
        <f t="shared" si="1542"/>
        <v>0</v>
      </c>
      <c r="AR200" s="72">
        <f t="shared" si="1542"/>
        <v>0</v>
      </c>
      <c r="AS200" s="72">
        <f t="shared" si="1542"/>
        <v>0</v>
      </c>
      <c r="AT200" s="72">
        <f t="shared" si="1542"/>
        <v>0</v>
      </c>
      <c r="AU200" s="72">
        <f t="shared" si="1542"/>
        <v>0</v>
      </c>
      <c r="AV200" s="72">
        <f t="shared" si="1542"/>
        <v>0</v>
      </c>
      <c r="AW200" s="72">
        <f t="shared" si="1542"/>
        <v>0</v>
      </c>
      <c r="AX200" s="72">
        <f t="shared" si="1542"/>
        <v>0</v>
      </c>
      <c r="AY200" s="72">
        <f t="shared" si="1542"/>
        <v>0</v>
      </c>
      <c r="AZ200" s="72">
        <f t="shared" si="1542"/>
        <v>116172787.12315851</v>
      </c>
      <c r="BA200" s="72">
        <f t="shared" si="1542"/>
        <v>0</v>
      </c>
      <c r="BB200" s="72">
        <f t="shared" si="1542"/>
        <v>0</v>
      </c>
      <c r="BC200" s="72">
        <f t="shared" si="1542"/>
        <v>0</v>
      </c>
      <c r="BD200" s="72">
        <f t="shared" si="1542"/>
        <v>0</v>
      </c>
      <c r="BE200" s="72">
        <f t="shared" si="1542"/>
        <v>0</v>
      </c>
      <c r="BF200" s="72">
        <f t="shared" si="1542"/>
        <v>0</v>
      </c>
      <c r="BG200" s="72">
        <f t="shared" si="1542"/>
        <v>0</v>
      </c>
      <c r="BH200" s="72">
        <f t="shared" si="1542"/>
        <v>0</v>
      </c>
      <c r="BI200" s="72">
        <f t="shared" si="1542"/>
        <v>0</v>
      </c>
      <c r="BJ200" s="72">
        <f t="shared" si="1542"/>
        <v>0</v>
      </c>
      <c r="BK200" s="72">
        <f t="shared" si="1542"/>
        <v>0</v>
      </c>
      <c r="BL200" s="72">
        <f t="shared" si="1542"/>
        <v>0</v>
      </c>
      <c r="BM200" s="72">
        <f t="shared" si="1542"/>
        <v>0</v>
      </c>
      <c r="BN200" s="72">
        <f t="shared" si="1542"/>
        <v>0</v>
      </c>
      <c r="BO200" s="72">
        <f t="shared" si="1542"/>
        <v>0</v>
      </c>
      <c r="BP200" s="72">
        <f t="shared" si="1542"/>
        <v>0</v>
      </c>
      <c r="BQ200" s="72">
        <f t="shared" si="1542"/>
        <v>0</v>
      </c>
      <c r="BR200" s="72">
        <f t="shared" si="1542"/>
        <v>0</v>
      </c>
      <c r="BS200" s="72">
        <f t="shared" ref="BS200:CK200" si="1543">+BS138</f>
        <v>0</v>
      </c>
      <c r="BT200" s="72">
        <f t="shared" si="1543"/>
        <v>0</v>
      </c>
      <c r="BU200" s="72">
        <f t="shared" si="1543"/>
        <v>0</v>
      </c>
      <c r="BV200" s="72">
        <f t="shared" si="1543"/>
        <v>0</v>
      </c>
      <c r="BW200" s="72">
        <f t="shared" si="1543"/>
        <v>0</v>
      </c>
      <c r="BX200" s="72">
        <f t="shared" si="1543"/>
        <v>0</v>
      </c>
      <c r="BY200" s="72">
        <f t="shared" si="1543"/>
        <v>0</v>
      </c>
      <c r="BZ200" s="72">
        <f t="shared" si="1543"/>
        <v>0</v>
      </c>
      <c r="CA200" s="72">
        <f t="shared" si="1543"/>
        <v>0</v>
      </c>
      <c r="CB200" s="72">
        <f t="shared" si="1543"/>
        <v>0</v>
      </c>
      <c r="CC200" s="72">
        <f t="shared" si="1543"/>
        <v>0</v>
      </c>
      <c r="CD200" s="72">
        <f t="shared" si="1543"/>
        <v>0</v>
      </c>
      <c r="CE200" s="72">
        <f t="shared" si="1543"/>
        <v>0</v>
      </c>
      <c r="CF200" s="72">
        <f t="shared" si="1543"/>
        <v>0</v>
      </c>
      <c r="CG200" s="72">
        <f t="shared" si="1543"/>
        <v>0</v>
      </c>
      <c r="CH200" s="72">
        <f t="shared" si="1543"/>
        <v>0</v>
      </c>
      <c r="CI200" s="72">
        <f t="shared" si="1543"/>
        <v>0</v>
      </c>
      <c r="CJ200" s="72">
        <f t="shared" si="1543"/>
        <v>0</v>
      </c>
      <c r="CK200" s="72">
        <f t="shared" si="1543"/>
        <v>0</v>
      </c>
    </row>
    <row r="201" spans="3:89" outlineLevel="1" x14ac:dyDescent="0.25">
      <c r="C201" s="45" t="s">
        <v>111</v>
      </c>
      <c r="D201" s="13" t="s">
        <v>5</v>
      </c>
      <c r="E201" s="65">
        <f>XIRR(F200:CK200,$F$192:$CK$192)</f>
        <v>0.20884199738502504</v>
      </c>
    </row>
    <row r="202" spans="3:89" outlineLevel="1" x14ac:dyDescent="0.25">
      <c r="C202" s="123" t="s">
        <v>203</v>
      </c>
      <c r="D202" s="13" t="s">
        <v>24</v>
      </c>
      <c r="E202" s="106">
        <f>SUMIF(F200:CK200,"&gt;0",F200:CK200)</f>
        <v>121004529.84250148</v>
      </c>
    </row>
    <row r="203" spans="3:89" outlineLevel="1" x14ac:dyDescent="0.25">
      <c r="C203" s="123" t="s">
        <v>104</v>
      </c>
      <c r="D203" s="13" t="s">
        <v>24</v>
      </c>
      <c r="E203" s="106">
        <f>-SUMIF(F200:CK200,"&lt;=0",F200:CK200)</f>
        <v>66915774.86524903</v>
      </c>
    </row>
    <row r="204" spans="3:89" outlineLevel="1" x14ac:dyDescent="0.25">
      <c r="C204" s="123" t="s">
        <v>112</v>
      </c>
      <c r="D204" s="13" t="s">
        <v>113</v>
      </c>
      <c r="E204" s="107">
        <f>+E202/E203</f>
        <v>1.8083109713094279</v>
      </c>
    </row>
    <row r="205" spans="3:89" outlineLevel="1" x14ac:dyDescent="0.25"/>
    <row r="206" spans="3:89" outlineLevel="1" x14ac:dyDescent="0.25">
      <c r="C206" s="66" t="s">
        <v>106</v>
      </c>
      <c r="D206" s="13" t="s">
        <v>24</v>
      </c>
      <c r="F206" s="72">
        <f>-F142-F144+F166+F180+F187</f>
        <v>-7170751.5249543209</v>
      </c>
      <c r="G206" s="72">
        <f t="shared" ref="G206:BR206" si="1544">-G142-G144+G166+G180+G187</f>
        <v>2788820.292015709</v>
      </c>
      <c r="H206" s="72">
        <f t="shared" si="1544"/>
        <v>2042922.4273272539</v>
      </c>
      <c r="I206" s="72">
        <f t="shared" si="1544"/>
        <v>-3952895.5740807038</v>
      </c>
      <c r="J206" s="72">
        <f t="shared" si="1544"/>
        <v>-4564831.561757016</v>
      </c>
      <c r="K206" s="72">
        <f t="shared" si="1544"/>
        <v>-10372196.981270755</v>
      </c>
      <c r="L206" s="72">
        <f t="shared" si="1544"/>
        <v>-8221358.5255627185</v>
      </c>
      <c r="M206" s="72">
        <f t="shared" si="1544"/>
        <v>-2260545.22745384</v>
      </c>
      <c r="N206" s="72">
        <f t="shared" si="1544"/>
        <v>-1047633.7272352473</v>
      </c>
      <c r="O206" s="72">
        <f t="shared" si="1544"/>
        <v>-1659829.603030555</v>
      </c>
      <c r="P206" s="72">
        <f t="shared" si="1544"/>
        <v>-3936007.735175367</v>
      </c>
      <c r="Q206" s="72">
        <f t="shared" si="1544"/>
        <v>-6394329.9333333252</v>
      </c>
      <c r="R206" s="72">
        <f t="shared" si="1544"/>
        <v>-3952239.498345382</v>
      </c>
      <c r="S206" s="72">
        <f t="shared" si="1544"/>
        <v>0</v>
      </c>
      <c r="T206" s="72">
        <f t="shared" si="1544"/>
        <v>0</v>
      </c>
      <c r="U206" s="72">
        <f t="shared" si="1544"/>
        <v>0</v>
      </c>
      <c r="V206" s="72">
        <f t="shared" si="1544"/>
        <v>0</v>
      </c>
      <c r="W206" s="72">
        <f t="shared" si="1544"/>
        <v>0</v>
      </c>
      <c r="X206" s="72">
        <f t="shared" si="1544"/>
        <v>0</v>
      </c>
      <c r="Y206" s="72">
        <f t="shared" si="1544"/>
        <v>0</v>
      </c>
      <c r="Z206" s="72">
        <f t="shared" si="1544"/>
        <v>0</v>
      </c>
      <c r="AA206" s="72">
        <f t="shared" si="1544"/>
        <v>0</v>
      </c>
      <c r="AB206" s="72">
        <f t="shared" si="1544"/>
        <v>0</v>
      </c>
      <c r="AC206" s="72">
        <f t="shared" si="1544"/>
        <v>0</v>
      </c>
      <c r="AD206" s="72">
        <f t="shared" si="1544"/>
        <v>0</v>
      </c>
      <c r="AE206" s="72">
        <f t="shared" si="1544"/>
        <v>0</v>
      </c>
      <c r="AF206" s="72">
        <f t="shared" si="1544"/>
        <v>0</v>
      </c>
      <c r="AG206" s="72">
        <f t="shared" si="1544"/>
        <v>0</v>
      </c>
      <c r="AH206" s="72">
        <f t="shared" si="1544"/>
        <v>0</v>
      </c>
      <c r="AI206" s="72">
        <f t="shared" si="1544"/>
        <v>0</v>
      </c>
      <c r="AJ206" s="72">
        <f t="shared" si="1544"/>
        <v>0</v>
      </c>
      <c r="AK206" s="72">
        <f t="shared" si="1544"/>
        <v>0</v>
      </c>
      <c r="AL206" s="72">
        <f t="shared" si="1544"/>
        <v>0</v>
      </c>
      <c r="AM206" s="72">
        <f t="shared" si="1544"/>
        <v>0</v>
      </c>
      <c r="AN206" s="72">
        <f t="shared" si="1544"/>
        <v>0</v>
      </c>
      <c r="AO206" s="72">
        <f t="shared" si="1544"/>
        <v>0</v>
      </c>
      <c r="AP206" s="72">
        <f t="shared" si="1544"/>
        <v>0</v>
      </c>
      <c r="AQ206" s="72">
        <f t="shared" si="1544"/>
        <v>0</v>
      </c>
      <c r="AR206" s="72">
        <f t="shared" si="1544"/>
        <v>0</v>
      </c>
      <c r="AS206" s="72">
        <f t="shared" si="1544"/>
        <v>0</v>
      </c>
      <c r="AT206" s="72">
        <f t="shared" si="1544"/>
        <v>0</v>
      </c>
      <c r="AU206" s="72">
        <f t="shared" si="1544"/>
        <v>0</v>
      </c>
      <c r="AV206" s="72">
        <f t="shared" si="1544"/>
        <v>0</v>
      </c>
      <c r="AW206" s="72">
        <f t="shared" si="1544"/>
        <v>0</v>
      </c>
      <c r="AX206" s="72">
        <f t="shared" si="1544"/>
        <v>0</v>
      </c>
      <c r="AY206" s="72">
        <f t="shared" si="1544"/>
        <v>0</v>
      </c>
      <c r="AZ206" s="72">
        <f t="shared" si="1544"/>
        <v>91687515.272750571</v>
      </c>
      <c r="BA206" s="72">
        <f t="shared" si="1544"/>
        <v>0</v>
      </c>
      <c r="BB206" s="72">
        <f t="shared" si="1544"/>
        <v>0</v>
      </c>
      <c r="BC206" s="72">
        <f t="shared" si="1544"/>
        <v>0</v>
      </c>
      <c r="BD206" s="72">
        <f t="shared" si="1544"/>
        <v>0</v>
      </c>
      <c r="BE206" s="72">
        <f t="shared" si="1544"/>
        <v>0</v>
      </c>
      <c r="BF206" s="72">
        <f t="shared" si="1544"/>
        <v>0</v>
      </c>
      <c r="BG206" s="72">
        <f t="shared" si="1544"/>
        <v>0</v>
      </c>
      <c r="BH206" s="72">
        <f t="shared" si="1544"/>
        <v>0</v>
      </c>
      <c r="BI206" s="72">
        <f t="shared" si="1544"/>
        <v>0</v>
      </c>
      <c r="BJ206" s="72">
        <f t="shared" si="1544"/>
        <v>0</v>
      </c>
      <c r="BK206" s="72">
        <f t="shared" si="1544"/>
        <v>0</v>
      </c>
      <c r="BL206" s="72">
        <f t="shared" si="1544"/>
        <v>0</v>
      </c>
      <c r="BM206" s="72">
        <f t="shared" si="1544"/>
        <v>0</v>
      </c>
      <c r="BN206" s="72">
        <f t="shared" si="1544"/>
        <v>0</v>
      </c>
      <c r="BO206" s="72">
        <f t="shared" si="1544"/>
        <v>0</v>
      </c>
      <c r="BP206" s="72">
        <f t="shared" si="1544"/>
        <v>0</v>
      </c>
      <c r="BQ206" s="72">
        <f t="shared" si="1544"/>
        <v>0</v>
      </c>
      <c r="BR206" s="72">
        <f t="shared" si="1544"/>
        <v>0</v>
      </c>
      <c r="BS206" s="72">
        <f t="shared" ref="BS206:CK206" si="1545">-BS142-BS144+BS166+BS180+BS187</f>
        <v>0</v>
      </c>
      <c r="BT206" s="72">
        <f t="shared" si="1545"/>
        <v>0</v>
      </c>
      <c r="BU206" s="72">
        <f t="shared" si="1545"/>
        <v>0</v>
      </c>
      <c r="BV206" s="72">
        <f t="shared" si="1545"/>
        <v>0</v>
      </c>
      <c r="BW206" s="72">
        <f t="shared" si="1545"/>
        <v>0</v>
      </c>
      <c r="BX206" s="72">
        <f t="shared" si="1545"/>
        <v>0</v>
      </c>
      <c r="BY206" s="72">
        <f t="shared" si="1545"/>
        <v>0</v>
      </c>
      <c r="BZ206" s="72">
        <f t="shared" si="1545"/>
        <v>0</v>
      </c>
      <c r="CA206" s="72">
        <f t="shared" si="1545"/>
        <v>0</v>
      </c>
      <c r="CB206" s="72">
        <f t="shared" si="1545"/>
        <v>0</v>
      </c>
      <c r="CC206" s="72">
        <f t="shared" si="1545"/>
        <v>0</v>
      </c>
      <c r="CD206" s="72">
        <f t="shared" si="1545"/>
        <v>0</v>
      </c>
      <c r="CE206" s="72">
        <f t="shared" si="1545"/>
        <v>0</v>
      </c>
      <c r="CF206" s="72">
        <f t="shared" si="1545"/>
        <v>0</v>
      </c>
      <c r="CG206" s="72">
        <f t="shared" si="1545"/>
        <v>0</v>
      </c>
      <c r="CH206" s="72">
        <f t="shared" si="1545"/>
        <v>0</v>
      </c>
      <c r="CI206" s="72">
        <f t="shared" si="1545"/>
        <v>0</v>
      </c>
      <c r="CJ206" s="72">
        <f t="shared" si="1545"/>
        <v>0</v>
      </c>
      <c r="CK206" s="72">
        <f t="shared" si="1545"/>
        <v>0</v>
      </c>
    </row>
    <row r="207" spans="3:89" outlineLevel="1" x14ac:dyDescent="0.25">
      <c r="C207" s="45" t="str">
        <f>$C$201</f>
        <v>Internal Rate of Return (IRR):</v>
      </c>
      <c r="D207" s="13" t="s">
        <v>5</v>
      </c>
      <c r="E207" s="65">
        <f>XIRR(F206:CK206,$F$192:$CK$192)</f>
        <v>0.21167514920234679</v>
      </c>
    </row>
    <row r="208" spans="3:89" outlineLevel="1" x14ac:dyDescent="0.25">
      <c r="C208" s="45" t="str">
        <f>$C$202</f>
        <v>Positive Cash Flows:</v>
      </c>
      <c r="D208" s="13" t="s">
        <v>24</v>
      </c>
      <c r="E208" s="106">
        <f>SUMIF(F206:CK206,"&gt;0",F206:CK206)</f>
        <v>96519257.992093533</v>
      </c>
    </row>
    <row r="209" spans="3:89" outlineLevel="1" x14ac:dyDescent="0.25">
      <c r="C209" s="45" t="str">
        <f>$C$203</f>
        <v>Invested Equity:</v>
      </c>
      <c r="D209" s="13" t="s">
        <v>24</v>
      </c>
      <c r="E209" s="106">
        <f>-SUMIF(F206:CK206,"&lt;=0",F206:CK206)</f>
        <v>53532619.892199233</v>
      </c>
    </row>
    <row r="210" spans="3:89" outlineLevel="1" x14ac:dyDescent="0.25">
      <c r="C210" s="45" t="str">
        <f>$C$204</f>
        <v>Cash-on-Cash Multiple:</v>
      </c>
      <c r="D210" s="13" t="s">
        <v>113</v>
      </c>
      <c r="E210" s="107">
        <f>+E208/E209</f>
        <v>1.8029989600071545</v>
      </c>
    </row>
    <row r="211" spans="3:89" outlineLevel="1" x14ac:dyDescent="0.25"/>
    <row r="212" spans="3:89" outlineLevel="1" x14ac:dyDescent="0.25">
      <c r="C212" s="66" t="s">
        <v>107</v>
      </c>
      <c r="D212" s="13" t="s">
        <v>24</v>
      </c>
      <c r="F212" s="72">
        <f>-F151-F153+F167+F181+F188</f>
        <v>-1792687.8812385798</v>
      </c>
      <c r="G212" s="72">
        <f t="shared" ref="G212:BR212" si="1546">-G151-G153+G167+G181+G188</f>
        <v>0</v>
      </c>
      <c r="H212" s="72">
        <f t="shared" si="1546"/>
        <v>0</v>
      </c>
      <c r="I212" s="72">
        <f t="shared" si="1546"/>
        <v>-988223.8935201756</v>
      </c>
      <c r="J212" s="72">
        <f t="shared" si="1546"/>
        <v>-1141207.8904392538</v>
      </c>
      <c r="K212" s="72">
        <f t="shared" si="1546"/>
        <v>-2593049.2453176882</v>
      </c>
      <c r="L212" s="72">
        <f t="shared" si="1546"/>
        <v>-2055339.6313906792</v>
      </c>
      <c r="M212" s="72">
        <f t="shared" si="1546"/>
        <v>-565136.30686345987</v>
      </c>
      <c r="N212" s="72">
        <f t="shared" si="1546"/>
        <v>-261908.43180881173</v>
      </c>
      <c r="O212" s="72">
        <f t="shared" si="1546"/>
        <v>-414957.40075763862</v>
      </c>
      <c r="P212" s="72">
        <f t="shared" si="1546"/>
        <v>-984001.93379384151</v>
      </c>
      <c r="Q212" s="72">
        <f t="shared" si="1546"/>
        <v>-1598582.4833333308</v>
      </c>
      <c r="R212" s="72">
        <f t="shared" si="1546"/>
        <v>-988059.87458634528</v>
      </c>
      <c r="S212" s="72">
        <f t="shared" si="1546"/>
        <v>0</v>
      </c>
      <c r="T212" s="72">
        <f t="shared" si="1546"/>
        <v>0</v>
      </c>
      <c r="U212" s="72">
        <f t="shared" si="1546"/>
        <v>0</v>
      </c>
      <c r="V212" s="72">
        <f t="shared" si="1546"/>
        <v>0</v>
      </c>
      <c r="W212" s="72">
        <f t="shared" si="1546"/>
        <v>0</v>
      </c>
      <c r="X212" s="72">
        <f t="shared" si="1546"/>
        <v>0</v>
      </c>
      <c r="Y212" s="72">
        <f t="shared" si="1546"/>
        <v>0</v>
      </c>
      <c r="Z212" s="72">
        <f t="shared" si="1546"/>
        <v>0</v>
      </c>
      <c r="AA212" s="72">
        <f t="shared" si="1546"/>
        <v>0</v>
      </c>
      <c r="AB212" s="72">
        <f t="shared" si="1546"/>
        <v>0</v>
      </c>
      <c r="AC212" s="72">
        <f t="shared" si="1546"/>
        <v>0</v>
      </c>
      <c r="AD212" s="72">
        <f t="shared" si="1546"/>
        <v>0</v>
      </c>
      <c r="AE212" s="72">
        <f t="shared" si="1546"/>
        <v>0</v>
      </c>
      <c r="AF212" s="72">
        <f t="shared" si="1546"/>
        <v>0</v>
      </c>
      <c r="AG212" s="72">
        <f t="shared" si="1546"/>
        <v>0</v>
      </c>
      <c r="AH212" s="72">
        <f t="shared" si="1546"/>
        <v>0</v>
      </c>
      <c r="AI212" s="72">
        <f t="shared" si="1546"/>
        <v>0</v>
      </c>
      <c r="AJ212" s="72">
        <f t="shared" si="1546"/>
        <v>0</v>
      </c>
      <c r="AK212" s="72">
        <f t="shared" si="1546"/>
        <v>0</v>
      </c>
      <c r="AL212" s="72">
        <f t="shared" si="1546"/>
        <v>0</v>
      </c>
      <c r="AM212" s="72">
        <f t="shared" si="1546"/>
        <v>0</v>
      </c>
      <c r="AN212" s="72">
        <f t="shared" si="1546"/>
        <v>0</v>
      </c>
      <c r="AO212" s="72">
        <f t="shared" si="1546"/>
        <v>0</v>
      </c>
      <c r="AP212" s="72">
        <f t="shared" si="1546"/>
        <v>0</v>
      </c>
      <c r="AQ212" s="72">
        <f t="shared" si="1546"/>
        <v>0</v>
      </c>
      <c r="AR212" s="72">
        <f t="shared" si="1546"/>
        <v>0</v>
      </c>
      <c r="AS212" s="72">
        <f t="shared" si="1546"/>
        <v>0</v>
      </c>
      <c r="AT212" s="72">
        <f t="shared" si="1546"/>
        <v>0</v>
      </c>
      <c r="AU212" s="72">
        <f t="shared" si="1546"/>
        <v>0</v>
      </c>
      <c r="AV212" s="72">
        <f t="shared" si="1546"/>
        <v>0</v>
      </c>
      <c r="AW212" s="72">
        <f t="shared" si="1546"/>
        <v>0</v>
      </c>
      <c r="AX212" s="72">
        <f t="shared" si="1546"/>
        <v>0</v>
      </c>
      <c r="AY212" s="72">
        <f t="shared" si="1546"/>
        <v>0</v>
      </c>
      <c r="AZ212" s="72">
        <f t="shared" si="1546"/>
        <v>24485271.850407936</v>
      </c>
      <c r="BA212" s="72">
        <f t="shared" si="1546"/>
        <v>0</v>
      </c>
      <c r="BB212" s="72">
        <f t="shared" si="1546"/>
        <v>0</v>
      </c>
      <c r="BC212" s="72">
        <f t="shared" si="1546"/>
        <v>0</v>
      </c>
      <c r="BD212" s="72">
        <f t="shared" si="1546"/>
        <v>0</v>
      </c>
      <c r="BE212" s="72">
        <f t="shared" si="1546"/>
        <v>0</v>
      </c>
      <c r="BF212" s="72">
        <f t="shared" si="1546"/>
        <v>0</v>
      </c>
      <c r="BG212" s="72">
        <f t="shared" si="1546"/>
        <v>0</v>
      </c>
      <c r="BH212" s="72">
        <f t="shared" si="1546"/>
        <v>0</v>
      </c>
      <c r="BI212" s="72">
        <f t="shared" si="1546"/>
        <v>0</v>
      </c>
      <c r="BJ212" s="72">
        <f t="shared" si="1546"/>
        <v>0</v>
      </c>
      <c r="BK212" s="72">
        <f t="shared" si="1546"/>
        <v>0</v>
      </c>
      <c r="BL212" s="72">
        <f t="shared" si="1546"/>
        <v>0</v>
      </c>
      <c r="BM212" s="72">
        <f t="shared" si="1546"/>
        <v>0</v>
      </c>
      <c r="BN212" s="72">
        <f t="shared" si="1546"/>
        <v>0</v>
      </c>
      <c r="BO212" s="72">
        <f t="shared" si="1546"/>
        <v>0</v>
      </c>
      <c r="BP212" s="72">
        <f t="shared" si="1546"/>
        <v>0</v>
      </c>
      <c r="BQ212" s="72">
        <f t="shared" si="1546"/>
        <v>0</v>
      </c>
      <c r="BR212" s="72">
        <f t="shared" si="1546"/>
        <v>0</v>
      </c>
      <c r="BS212" s="72">
        <f t="shared" ref="BS212:CK212" si="1547">-BS151-BS153+BS167+BS181+BS188</f>
        <v>0</v>
      </c>
      <c r="BT212" s="72">
        <f t="shared" si="1547"/>
        <v>0</v>
      </c>
      <c r="BU212" s="72">
        <f t="shared" si="1547"/>
        <v>0</v>
      </c>
      <c r="BV212" s="72">
        <f t="shared" si="1547"/>
        <v>0</v>
      </c>
      <c r="BW212" s="72">
        <f t="shared" si="1547"/>
        <v>0</v>
      </c>
      <c r="BX212" s="72">
        <f t="shared" si="1547"/>
        <v>0</v>
      </c>
      <c r="BY212" s="72">
        <f t="shared" si="1547"/>
        <v>0</v>
      </c>
      <c r="BZ212" s="72">
        <f t="shared" si="1547"/>
        <v>0</v>
      </c>
      <c r="CA212" s="72">
        <f t="shared" si="1547"/>
        <v>0</v>
      </c>
      <c r="CB212" s="72">
        <f t="shared" si="1547"/>
        <v>0</v>
      </c>
      <c r="CC212" s="72">
        <f t="shared" si="1547"/>
        <v>0</v>
      </c>
      <c r="CD212" s="72">
        <f t="shared" si="1547"/>
        <v>0</v>
      </c>
      <c r="CE212" s="72">
        <f t="shared" si="1547"/>
        <v>0</v>
      </c>
      <c r="CF212" s="72">
        <f t="shared" si="1547"/>
        <v>0</v>
      </c>
      <c r="CG212" s="72">
        <f t="shared" si="1547"/>
        <v>0</v>
      </c>
      <c r="CH212" s="72">
        <f t="shared" si="1547"/>
        <v>0</v>
      </c>
      <c r="CI212" s="72">
        <f t="shared" si="1547"/>
        <v>0</v>
      </c>
      <c r="CJ212" s="72">
        <f t="shared" si="1547"/>
        <v>0</v>
      </c>
      <c r="CK212" s="72">
        <f t="shared" si="1547"/>
        <v>0</v>
      </c>
    </row>
    <row r="213" spans="3:89" outlineLevel="1" x14ac:dyDescent="0.25">
      <c r="C213" s="45" t="str">
        <f>$C$201</f>
        <v>Internal Rate of Return (IRR):</v>
      </c>
      <c r="D213" s="13" t="s">
        <v>5</v>
      </c>
      <c r="E213" s="65">
        <f>XIRR(F212:CK212,$F$192:$CK$192)</f>
        <v>0.19860388636589055</v>
      </c>
    </row>
    <row r="214" spans="3:89" outlineLevel="1" x14ac:dyDescent="0.25">
      <c r="C214" s="45" t="str">
        <f>$C$202</f>
        <v>Positive Cash Flows:</v>
      </c>
      <c r="D214" s="13" t="s">
        <v>24</v>
      </c>
      <c r="E214" s="106">
        <f>SUMIF(F212:CK212,"&gt;0",F212:CK212)</f>
        <v>24485271.850407936</v>
      </c>
    </row>
    <row r="215" spans="3:89" outlineLevel="1" x14ac:dyDescent="0.25">
      <c r="C215" s="45" t="str">
        <f>$C$203</f>
        <v>Invested Equity:</v>
      </c>
      <c r="D215" s="13" t="s">
        <v>24</v>
      </c>
      <c r="E215" s="106">
        <f>-SUMIF(F212:CK212,"&lt;=0",F212:CK212)</f>
        <v>13383154.973049806</v>
      </c>
    </row>
    <row r="216" spans="3:89" outlineLevel="1" x14ac:dyDescent="0.25">
      <c r="C216" s="45" t="str">
        <f>$C$204</f>
        <v>Cash-on-Cash Multiple:</v>
      </c>
      <c r="D216" s="13" t="s">
        <v>113</v>
      </c>
      <c r="E216" s="107">
        <f>+E214/E215</f>
        <v>1.8295590165185194</v>
      </c>
    </row>
  </sheetData>
  <conditionalFormatting sqref="E11">
    <cfRule type="cellIs" dxfId="1" priority="1" operator="greaterThan">
      <formula>$E$10</formula>
    </cfRule>
    <cfRule type="cellIs" dxfId="0" priority="2" operator="greaterThan">
      <formula>$E$10</formula>
    </cfRule>
  </conditionalFormatting>
  <pageMargins left="0.7" right="0.7" top="0.75" bottom="0.75" header="0.3" footer="0.3"/>
  <pageSetup scale="40" pageOrder="overThenDown" orientation="landscape" r:id="rId1"/>
  <rowBreaks count="5" manualBreakCount="5">
    <brk id="35" max="89" man="1"/>
    <brk id="74" max="89" man="1"/>
    <brk id="106" max="89" man="1"/>
    <brk id="132" max="89" man="1"/>
    <brk id="191" max="89" man="1"/>
  </rowBreaks>
  <colBreaks count="6" manualBreakCount="6">
    <brk id="17" max="1048575" man="1"/>
    <brk id="29" max="216" man="1"/>
    <brk id="41" max="216" man="1"/>
    <brk id="53" max="216" man="1"/>
    <brk id="65" max="216" man="1"/>
    <brk id="77" max="216" man="1"/>
  </colBreaks>
  <ignoredErrors>
    <ignoredError sqref="F74:BA74 F191:BA191 F77:BA77 F76:BA76 F134:BA134 F193:BA193 BN74:CK74 BN76:CK77 BN108:CK108 BN106:CK106 AP49 AQ49:CK49 F55 G55:CK55 F63 G63:CK63 F71:CK71 F78:F81 F83:F86 F88:F90 G78:CK101 F96:F101 F124:F126 F116:F118 G116:CK120 G122:CK127 F131:CK131 F111:CK113 F136:G136 F190:G190 H136:CK183 H187:CK190 F105 G105:CK105" unlockedFormula="1"/>
    <ignoredError sqref="F174:G17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74</vt:i4>
      </vt:variant>
    </vt:vector>
  </HeadingPairs>
  <TitlesOfParts>
    <vt:vector size="76" baseType="lpstr">
      <vt:lpstr>Assumptions</vt:lpstr>
      <vt:lpstr>Monthly-CF</vt:lpstr>
      <vt:lpstr>Constr</vt:lpstr>
      <vt:lpstr>Constr_End_Payment_Pct</vt:lpstr>
      <vt:lpstr>Constr_Loan_Interest</vt:lpstr>
      <vt:lpstr>Constr_Months</vt:lpstr>
      <vt:lpstr>Days_in_Year</vt:lpstr>
      <vt:lpstr>Dev_Catch_Up</vt:lpstr>
      <vt:lpstr>Developer_Equity_Pct</vt:lpstr>
      <vt:lpstr>Developer_Name</vt:lpstr>
      <vt:lpstr>Expense_Inflation</vt:lpstr>
      <vt:lpstr>FFE_Move_In_Cost_Pct</vt:lpstr>
      <vt:lpstr>Final_Constr_Month</vt:lpstr>
      <vt:lpstr>Final_Month</vt:lpstr>
      <vt:lpstr>Gross_Area</vt:lpstr>
      <vt:lpstr>Hard_Costs_per_Sq_M</vt:lpstr>
      <vt:lpstr>Investor_Equity_Pct</vt:lpstr>
      <vt:lpstr>Investor_Name</vt:lpstr>
      <vt:lpstr>Lot_Deposit_Pct</vt:lpstr>
      <vt:lpstr>Lot_Price</vt:lpstr>
      <vt:lpstr>Lot_Price_per_Sq_M</vt:lpstr>
      <vt:lpstr>Lot_Remainder_Payment_Month</vt:lpstr>
      <vt:lpstr>Lot_Upfront_Payment_Month</vt:lpstr>
      <vt:lpstr>LP_Name</vt:lpstr>
      <vt:lpstr>LP_Pref</vt:lpstr>
      <vt:lpstr>Months</vt:lpstr>
      <vt:lpstr>Num_Units</vt:lpstr>
      <vt:lpstr>Pct_Units_Sold_Before_Constr</vt:lpstr>
      <vt:lpstr>Pct_Units_Sold_Before_Loans</vt:lpstr>
      <vt:lpstr>Pct_Units_Sold_for_Next_Phase</vt:lpstr>
      <vt:lpstr>Ph1_Constr_End</vt:lpstr>
      <vt:lpstr>Ph1_Constr_Start</vt:lpstr>
      <vt:lpstr>Ph1_Pre_Constr_Months</vt:lpstr>
      <vt:lpstr>Ph1_Start_Month</vt:lpstr>
      <vt:lpstr>Ph2_Constr_End</vt:lpstr>
      <vt:lpstr>Ph2_Constr_Start</vt:lpstr>
      <vt:lpstr>Ph2_Pre_Constr_Months</vt:lpstr>
      <vt:lpstr>Ph2_Start_Month</vt:lpstr>
      <vt:lpstr>Ph3_Constr_End</vt:lpstr>
      <vt:lpstr>Ph3_Constr_Start</vt:lpstr>
      <vt:lpstr>Ph3_Pre_Constr_Months</vt:lpstr>
      <vt:lpstr>Ph3_Start_Month</vt:lpstr>
      <vt:lpstr>Phase_1_Avg_Size</vt:lpstr>
      <vt:lpstr>Phase_1_Units</vt:lpstr>
      <vt:lpstr>Phase_2_Avg_Size</vt:lpstr>
      <vt:lpstr>Phase_2_Units</vt:lpstr>
      <vt:lpstr>Phase_3_Avg_Size</vt:lpstr>
      <vt:lpstr>Phase_3_Units</vt:lpstr>
      <vt:lpstr>Post_Constr</vt:lpstr>
      <vt:lpstr>Post_Constr_Phase_End</vt:lpstr>
      <vt:lpstr>Pre_Constr</vt:lpstr>
      <vt:lpstr>Assumptions!Print_Area</vt:lpstr>
      <vt:lpstr>'Monthly-CF'!Print_Area</vt:lpstr>
      <vt:lpstr>Property_Name</vt:lpstr>
      <vt:lpstr>Rentable_Area</vt:lpstr>
      <vt:lpstr>Sales_Price_Inflation</vt:lpstr>
      <vt:lpstr>Scenario</vt:lpstr>
      <vt:lpstr>Soft_Costs_per_Sq_M</vt:lpstr>
      <vt:lpstr>Start_Date</vt:lpstr>
      <vt:lpstr>Tier_1_Dev_Split</vt:lpstr>
      <vt:lpstr>Tier_1_IRR_Max</vt:lpstr>
      <vt:lpstr>Tier_1_IRR_Min</vt:lpstr>
      <vt:lpstr>Tier_1_LP_Split</vt:lpstr>
      <vt:lpstr>Tier_2_Dev_Split</vt:lpstr>
      <vt:lpstr>Tier_2_IRR_Max</vt:lpstr>
      <vt:lpstr>Tier_2_IRR_Min</vt:lpstr>
      <vt:lpstr>Tier_2_LP_Split</vt:lpstr>
      <vt:lpstr>Tier_3_Dev_Split</vt:lpstr>
      <vt:lpstr>Tier_3_IRR_Max</vt:lpstr>
      <vt:lpstr>Tier_3_IRR_Min</vt:lpstr>
      <vt:lpstr>Tier_3_LP_Split</vt:lpstr>
      <vt:lpstr>Total_Constr_Months</vt:lpstr>
      <vt:lpstr>Unit_Price_per_Sq_M</vt:lpstr>
      <vt:lpstr>Unit_Sales_per_Month</vt:lpstr>
      <vt:lpstr>Units</vt:lpstr>
      <vt:lpstr>Upfront_Payment_Pct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BIWS</cp:lastModifiedBy>
  <cp:lastPrinted>2015-08-07T12:28:33Z</cp:lastPrinted>
  <dcterms:created xsi:type="dcterms:W3CDTF">2006-09-16T00:00:00Z</dcterms:created>
  <dcterms:modified xsi:type="dcterms:W3CDTF">2018-03-17T16:10:13Z</dcterms:modified>
</cp:coreProperties>
</file>