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Dropbox (BIWS)\BIWS-All-Courses\80-Real-Estate-2017-2018-Edition\RE-04-Multifamily-Acquisition-Credit\"/>
    </mc:Choice>
  </mc:AlternateContent>
  <bookViews>
    <workbookView xWindow="0" yWindow="0" windowWidth="23040" windowHeight="10665"/>
  </bookViews>
  <sheets>
    <sheet name="Lyric-PF-DCF" sheetId="1" r:id="rId1"/>
    <sheet name="Comp-Sales" sheetId="2" r:id="rId2"/>
    <sheet name="Apt-Comps" sheetId="3" r:id="rId3"/>
    <sheet name="Replacement-Cost" sheetId="4" r:id="rId4"/>
  </sheets>
  <definedNames>
    <definedName name="Apt_Units">'Lyric-PF-DCF'!$E$11</definedName>
    <definedName name="Cost_of_Equity">'Lyric-PF-DCF'!$D$352</definedName>
    <definedName name="Discount_Rate">'Lyric-PF-DCF'!$D$353</definedName>
    <definedName name="Entry_Fee_Pct">'Lyric-PF-DCF'!$E$26</definedName>
    <definedName name="Entry_Price">'Lyric-PF-DCF'!$E$21</definedName>
    <definedName name="Exit_Cap_Rate">'Lyric-PF-DCF'!$E$29</definedName>
    <definedName name="Exit_Fee_Pct">'Lyric-PF-DCF'!$E$34</definedName>
    <definedName name="Exit_Price">'Lyric-PF-DCF'!$E$30</definedName>
    <definedName name="Gross_SF">'Lyric-PF-DCF'!$K$9</definedName>
    <definedName name="Issuance_Fee">'Lyric-PF-DCF'!$K$19</definedName>
    <definedName name="Market_Scenario">'Lyric-PF-DCF'!$K$11</definedName>
    <definedName name="Mezz_Amount">'Lyric-PF-DCF'!$K$33</definedName>
    <definedName name="Mezz_Cash_Interest_Rate">'Lyric-PF-DCF'!$K$35</definedName>
    <definedName name="Mezz_LTV">'Lyric-PF-DCF'!$K$32</definedName>
    <definedName name="Mezz_Maturity">'Lyric-PF-DCF'!$K$38</definedName>
    <definedName name="Mezz_PIK_Interest_Rate">'Lyric-PF-DCF'!$K$36</definedName>
    <definedName name="Months">'Lyric-PF-DCF'!$E$9</definedName>
    <definedName name="Parking_Spots">'Lyric-PF-DCF'!$E$14</definedName>
    <definedName name="Pref_Amount">'Lyric-PF-DCF'!$K$41</definedName>
    <definedName name="Pref_Cash_Interest_Rate">'Lyric-PF-DCF'!$K$43</definedName>
    <definedName name="Pref_Equity_Pct">'Lyric-PF-DCF'!$K$47</definedName>
    <definedName name="Pref_LTV">'Lyric-PF-DCF'!$K$40</definedName>
    <definedName name="Pref_Maturity">'Lyric-PF-DCF'!$K$46</definedName>
    <definedName name="Pref_PIK_Interest_Rate">'Lyric-PF-DCF'!$K$44</definedName>
    <definedName name="Prepayment_Fee">'Lyric-PF-DCF'!$K$20</definedName>
    <definedName name="_xlnm.Print_Area" localSheetId="2">'Apt-Comps'!$A$1:$Q$20</definedName>
    <definedName name="_xlnm.Print_Area" localSheetId="1">'Comp-Sales'!$A$1:$O$24</definedName>
    <definedName name="_xlnm.Print_Area" localSheetId="0">'Lyric-PF-DCF'!$A$1:$R$396</definedName>
    <definedName name="_xlnm.Print_Area" localSheetId="3">'Replacement-Cost'!$A$1:$I$39</definedName>
    <definedName name="Prop_Mgmt_Fee">'Lyric-PF-DCF'!$F$61</definedName>
    <definedName name="Property_Name">'Lyric-PF-DCF'!$E$7</definedName>
    <definedName name="Purchase_Cap_Rate">'Lyric-PF-DCF'!$E$20</definedName>
    <definedName name="Rentable_SF">'Lyric-PF-DCF'!$K$7</definedName>
    <definedName name="RSF_per_Unit">'Lyric-PF-DCF'!$E$12</definedName>
    <definedName name="Sale_Date">'Lyric-PF-DCF'!$E$28</definedName>
    <definedName name="Senior_Loan">'Lyric-PF-DCF'!$K$23</definedName>
    <definedName name="Senior_Loan_Amort_Period">'Lyric-PF-DCF'!$K$29</definedName>
    <definedName name="Senior_Loan_IO_Period">'Lyric-PF-DCF'!$K$28</definedName>
    <definedName name="Senior_Loan_LIBOR_Floor">'Lyric-PF-DCF'!$K$26</definedName>
    <definedName name="Senior_Loan_LIBOR_Spread">'Lyric-PF-DCF'!$K$25</definedName>
    <definedName name="Senior_Loan_Maturity">'Lyric-PF-DCF'!$K$30</definedName>
    <definedName name="Senior_LTV">'Lyric-PF-DCF'!$K$22</definedName>
    <definedName name="Start_Date">'Lyric-PF-DCF'!$E$19</definedName>
    <definedName name="Terminal_Growth_Rate">'Lyric-PF-DCF'!$I$359</definedName>
  </definedNames>
  <calcPr calcId="162913" iterate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1" i="1" l="1"/>
  <c r="D359" i="1" s="1"/>
  <c r="D353" i="1"/>
  <c r="G172" i="1" l="1"/>
  <c r="H172" i="1"/>
  <c r="I172" i="1"/>
  <c r="J172" i="1"/>
  <c r="K172" i="1"/>
  <c r="K206" i="1" l="1"/>
  <c r="H18" i="2" l="1"/>
  <c r="M18" i="2"/>
  <c r="M20" i="2"/>
  <c r="L20" i="2"/>
  <c r="H20" i="2"/>
  <c r="M19" i="2" l="1"/>
  <c r="H19" i="2"/>
  <c r="L19" i="2"/>
  <c r="H16" i="2" l="1"/>
  <c r="M16" i="2"/>
  <c r="L16" i="2"/>
  <c r="H17" i="2"/>
  <c r="M17" i="2"/>
  <c r="L17" i="2"/>
  <c r="L18" i="2"/>
  <c r="H6" i="2"/>
  <c r="H8" i="2"/>
  <c r="H11" i="2"/>
  <c r="M6" i="2"/>
  <c r="L6" i="2"/>
  <c r="M8" i="2"/>
  <c r="L8" i="2"/>
  <c r="M11" i="2"/>
  <c r="L11" i="2"/>
  <c r="L13" i="2"/>
  <c r="M13" i="2"/>
  <c r="H13" i="2"/>
  <c r="M10" i="2"/>
  <c r="L10" i="2"/>
  <c r="H10" i="2"/>
  <c r="M14" i="2"/>
  <c r="L14" i="2"/>
  <c r="H14" i="2"/>
  <c r="M21" i="2"/>
  <c r="L21" i="2"/>
  <c r="H21" i="2"/>
  <c r="M12" i="2"/>
  <c r="L12" i="2"/>
  <c r="H12" i="2"/>
  <c r="H32" i="4" l="1"/>
  <c r="G32" i="4"/>
  <c r="E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E17" i="4"/>
  <c r="G17" i="4" s="1"/>
  <c r="E16" i="4"/>
  <c r="H16" i="4" s="1"/>
  <c r="H15" i="4"/>
  <c r="G15" i="4"/>
  <c r="E12" i="4"/>
  <c r="H11" i="4"/>
  <c r="G11" i="4"/>
  <c r="H10" i="4"/>
  <c r="G10" i="4"/>
  <c r="N19" i="3"/>
  <c r="L19" i="3"/>
  <c r="J19" i="3"/>
  <c r="H19" i="3"/>
  <c r="G19" i="3"/>
  <c r="F19" i="3"/>
  <c r="M17" i="3"/>
  <c r="H17" i="3"/>
  <c r="K17" i="3" s="1"/>
  <c r="G17" i="3"/>
  <c r="N17" i="3" s="1"/>
  <c r="F17" i="3"/>
  <c r="O15" i="3"/>
  <c r="I15" i="3"/>
  <c r="K15" i="3" s="1"/>
  <c r="O14" i="3"/>
  <c r="I14" i="3"/>
  <c r="K14" i="3" s="1"/>
  <c r="O13" i="3"/>
  <c r="I13" i="3"/>
  <c r="K13" i="3" s="1"/>
  <c r="O12" i="3"/>
  <c r="I12" i="3"/>
  <c r="K12" i="3" s="1"/>
  <c r="O11" i="3"/>
  <c r="M11" i="3"/>
  <c r="I11" i="3"/>
  <c r="K11" i="3" s="1"/>
  <c r="O10" i="3"/>
  <c r="I10" i="3"/>
  <c r="M10" i="3" s="1"/>
  <c r="O9" i="3"/>
  <c r="M9" i="3"/>
  <c r="I9" i="3"/>
  <c r="K9" i="3" s="1"/>
  <c r="O8" i="3"/>
  <c r="M8" i="3"/>
  <c r="K8" i="3"/>
  <c r="I8" i="3"/>
  <c r="O7" i="3"/>
  <c r="I7" i="3"/>
  <c r="K7" i="3" s="1"/>
  <c r="O6" i="3"/>
  <c r="I6" i="3"/>
  <c r="K6" i="3" s="1"/>
  <c r="G30" i="4" l="1"/>
  <c r="H30" i="4"/>
  <c r="H17" i="4"/>
  <c r="G12" i="4"/>
  <c r="H12" i="4"/>
  <c r="O17" i="3"/>
  <c r="K10" i="3"/>
  <c r="M12" i="3"/>
  <c r="M15" i="3"/>
  <c r="I19" i="3"/>
  <c r="M6" i="3"/>
  <c r="M13" i="3"/>
  <c r="M14" i="3"/>
  <c r="O19" i="3"/>
  <c r="M7" i="3"/>
  <c r="H18" i="4"/>
  <c r="E18" i="4"/>
  <c r="G16" i="4"/>
  <c r="G18" i="4" s="1"/>
  <c r="K19" i="3"/>
  <c r="I17" i="3"/>
  <c r="J17" i="3"/>
  <c r="L17" i="3"/>
  <c r="M19" i="3" l="1"/>
  <c r="E34" i="4"/>
  <c r="F34" i="4" l="1"/>
  <c r="F12" i="4"/>
  <c r="F32" i="4"/>
  <c r="E36" i="4"/>
  <c r="F30" i="4"/>
  <c r="H34" i="4"/>
  <c r="G34" i="4"/>
  <c r="F18" i="4"/>
  <c r="H36" i="4" l="1"/>
  <c r="G36" i="4"/>
  <c r="E38" i="4"/>
  <c r="H38" i="4" l="1"/>
  <c r="G38" i="4"/>
  <c r="N23" i="2" l="1"/>
  <c r="K23" i="2"/>
  <c r="J23" i="2"/>
  <c r="I23" i="2"/>
  <c r="G23" i="2"/>
  <c r="F23" i="2"/>
  <c r="M7" i="2"/>
  <c r="L7" i="2"/>
  <c r="H7" i="2"/>
  <c r="M9" i="2"/>
  <c r="L9" i="2"/>
  <c r="H9" i="2"/>
  <c r="M15" i="2"/>
  <c r="L15" i="2"/>
  <c r="H15" i="2"/>
  <c r="L23" i="2" l="1"/>
  <c r="H23" i="2"/>
  <c r="M23" i="2"/>
  <c r="F369" i="1" l="1"/>
  <c r="F367" i="1"/>
  <c r="F365" i="1"/>
  <c r="F364" i="1"/>
  <c r="F363" i="1"/>
  <c r="D394" i="1"/>
  <c r="D393" i="1" s="1"/>
  <c r="D392" i="1" s="1"/>
  <c r="D391" i="1" s="1"/>
  <c r="D390" i="1" s="1"/>
  <c r="D389" i="1" s="1"/>
  <c r="D388" i="1" s="1"/>
  <c r="D387" i="1" s="1"/>
  <c r="F386" i="1"/>
  <c r="G386" i="1" s="1"/>
  <c r="H386" i="1" s="1"/>
  <c r="I386" i="1" s="1"/>
  <c r="J386" i="1" s="1"/>
  <c r="K386" i="1" s="1"/>
  <c r="L386" i="1" s="1"/>
  <c r="N378" i="1" l="1"/>
  <c r="O378" i="1" s="1"/>
  <c r="P378" i="1" s="1"/>
  <c r="Q378" i="1" s="1"/>
  <c r="G371" i="1"/>
  <c r="F371" i="1"/>
  <c r="H383" i="1"/>
  <c r="I383" i="1" s="1"/>
  <c r="J383" i="1" s="1"/>
  <c r="H382" i="1"/>
  <c r="I382" i="1" s="1"/>
  <c r="J382" i="1" s="1"/>
  <c r="K382" i="1" s="1"/>
  <c r="L382" i="1" s="1"/>
  <c r="M382" i="1" s="1"/>
  <c r="N382" i="1" s="1"/>
  <c r="O382" i="1" s="1"/>
  <c r="P382" i="1" s="1"/>
  <c r="D372" i="1"/>
  <c r="Q382" i="1" l="1"/>
  <c r="K383" i="1"/>
  <c r="L383" i="1" l="1"/>
  <c r="M383" i="1" l="1"/>
  <c r="N383" i="1" l="1"/>
  <c r="O383" i="1" l="1"/>
  <c r="P383" i="1" l="1"/>
  <c r="Q383" i="1" l="1"/>
  <c r="C300" i="1" l="1"/>
  <c r="C299" i="1"/>
  <c r="C298" i="1"/>
  <c r="D296" i="1"/>
  <c r="C348" i="1"/>
  <c r="C347" i="1"/>
  <c r="C346" i="1"/>
  <c r="C340" i="1"/>
  <c r="C339" i="1"/>
  <c r="C338" i="1"/>
  <c r="C332" i="1"/>
  <c r="C331" i="1"/>
  <c r="C330" i="1"/>
  <c r="C324" i="1"/>
  <c r="C323" i="1"/>
  <c r="C322" i="1"/>
  <c r="D313" i="1"/>
  <c r="D329" i="1" s="1"/>
  <c r="D345" i="1" s="1"/>
  <c r="C316" i="1"/>
  <c r="C315" i="1"/>
  <c r="C314" i="1"/>
  <c r="E305" i="1"/>
  <c r="F305" i="1" s="1"/>
  <c r="G305" i="1" s="1"/>
  <c r="H305" i="1" s="1"/>
  <c r="I305" i="1" s="1"/>
  <c r="J305" i="1" s="1"/>
  <c r="K305" i="1" s="1"/>
  <c r="L305" i="1" s="1"/>
  <c r="L313" i="1" s="1"/>
  <c r="C308" i="1"/>
  <c r="C307" i="1"/>
  <c r="C306" i="1"/>
  <c r="I292" i="1"/>
  <c r="I291" i="1"/>
  <c r="I290" i="1"/>
  <c r="I284" i="1"/>
  <c r="I283" i="1"/>
  <c r="I282" i="1"/>
  <c r="I276" i="1"/>
  <c r="I275" i="1"/>
  <c r="I274" i="1"/>
  <c r="J288" i="1"/>
  <c r="J280" i="1"/>
  <c r="C292" i="1"/>
  <c r="C291" i="1"/>
  <c r="C290" i="1"/>
  <c r="D288" i="1"/>
  <c r="D280" i="1"/>
  <c r="C284" i="1"/>
  <c r="C283" i="1"/>
  <c r="C282" i="1"/>
  <c r="C276" i="1"/>
  <c r="C275" i="1"/>
  <c r="C274" i="1"/>
  <c r="G313" i="1" l="1"/>
  <c r="G329" i="1" s="1"/>
  <c r="G345" i="1" s="1"/>
  <c r="L329" i="1"/>
  <c r="L345" i="1" s="1"/>
  <c r="L321" i="1"/>
  <c r="L337" i="1" s="1"/>
  <c r="H313" i="1"/>
  <c r="I313" i="1"/>
  <c r="J313" i="1"/>
  <c r="K313" i="1"/>
  <c r="E313" i="1"/>
  <c r="D321" i="1"/>
  <c r="D337" i="1" s="1"/>
  <c r="F313" i="1"/>
  <c r="G321" i="1" l="1"/>
  <c r="G337" i="1" s="1"/>
  <c r="E321" i="1"/>
  <c r="E337" i="1" s="1"/>
  <c r="E329" i="1"/>
  <c r="E345" i="1" s="1"/>
  <c r="K321" i="1"/>
  <c r="K337" i="1" s="1"/>
  <c r="K329" i="1"/>
  <c r="K345" i="1" s="1"/>
  <c r="J329" i="1"/>
  <c r="J345" i="1" s="1"/>
  <c r="J321" i="1"/>
  <c r="J337" i="1" s="1"/>
  <c r="I329" i="1"/>
  <c r="I345" i="1" s="1"/>
  <c r="I321" i="1"/>
  <c r="I337" i="1" s="1"/>
  <c r="H329" i="1"/>
  <c r="H345" i="1" s="1"/>
  <c r="H321" i="1"/>
  <c r="H337" i="1" s="1"/>
  <c r="F329" i="1"/>
  <c r="F345" i="1" s="1"/>
  <c r="F321" i="1"/>
  <c r="F337" i="1" s="1"/>
  <c r="H255" i="1"/>
  <c r="I255" i="1" s="1"/>
  <c r="J255" i="1" s="1"/>
  <c r="K255" i="1" s="1"/>
  <c r="H254" i="1"/>
  <c r="I254" i="1" s="1"/>
  <c r="D252" i="1"/>
  <c r="G251" i="1"/>
  <c r="F251" i="1"/>
  <c r="H239" i="1"/>
  <c r="I239" i="1" s="1"/>
  <c r="J239" i="1" s="1"/>
  <c r="K239" i="1" s="1"/>
  <c r="H237" i="1"/>
  <c r="I237" i="1" s="1"/>
  <c r="D235" i="1"/>
  <c r="G234" i="1"/>
  <c r="F234" i="1"/>
  <c r="H222" i="1"/>
  <c r="I222" i="1" s="1"/>
  <c r="J222" i="1" s="1"/>
  <c r="K222" i="1" s="1"/>
  <c r="H219" i="1"/>
  <c r="I219" i="1" s="1"/>
  <c r="J219" i="1" s="1"/>
  <c r="K219" i="1" s="1"/>
  <c r="D217" i="1"/>
  <c r="G216" i="1"/>
  <c r="F216" i="1"/>
  <c r="J254" i="1" l="1"/>
  <c r="J237" i="1"/>
  <c r="K254" i="1" l="1"/>
  <c r="K237" i="1"/>
  <c r="H196" i="1" l="1"/>
  <c r="I196" i="1" s="1"/>
  <c r="J196" i="1" s="1"/>
  <c r="K196" i="1" s="1"/>
  <c r="C113" i="1"/>
  <c r="C112" i="1"/>
  <c r="C111" i="1"/>
  <c r="K114" i="1" s="1"/>
  <c r="C105" i="1"/>
  <c r="C104" i="1"/>
  <c r="C103" i="1"/>
  <c r="J106" i="1" s="1"/>
  <c r="F149" i="1"/>
  <c r="L114" i="1" l="1"/>
  <c r="H106" i="1"/>
  <c r="F114" i="1"/>
  <c r="G114" i="1"/>
  <c r="H114" i="1"/>
  <c r="I114" i="1"/>
  <c r="J114" i="1"/>
  <c r="K106" i="1"/>
  <c r="F106" i="1"/>
  <c r="L106" i="1"/>
  <c r="G106" i="1"/>
  <c r="G108" i="1" s="1"/>
  <c r="G149" i="1" s="1"/>
  <c r="I106" i="1"/>
  <c r="H108" i="1" l="1"/>
  <c r="H149" i="1" l="1"/>
  <c r="I108" i="1"/>
  <c r="J108" i="1" l="1"/>
  <c r="I149" i="1"/>
  <c r="K108" i="1" l="1"/>
  <c r="J149" i="1"/>
  <c r="L108" i="1" l="1"/>
  <c r="L149" i="1" s="1"/>
  <c r="K149" i="1"/>
  <c r="C190" i="1" l="1"/>
  <c r="C189" i="1"/>
  <c r="C188" i="1"/>
  <c r="I191" i="1" l="1"/>
  <c r="J191" i="1"/>
  <c r="F191" i="1"/>
  <c r="G191" i="1"/>
  <c r="H191" i="1"/>
  <c r="C91" i="1"/>
  <c r="C90" i="1"/>
  <c r="C89" i="1"/>
  <c r="L92" i="1" s="1"/>
  <c r="C85" i="1"/>
  <c r="C84" i="1"/>
  <c r="C83" i="1"/>
  <c r="L86" i="1" s="1"/>
  <c r="C79" i="1"/>
  <c r="C78" i="1"/>
  <c r="C77" i="1"/>
  <c r="L74" i="1"/>
  <c r="K74" i="1"/>
  <c r="J74" i="1"/>
  <c r="I74" i="1"/>
  <c r="H74" i="1"/>
  <c r="G74" i="1"/>
  <c r="G62" i="1" s="1"/>
  <c r="F74" i="1"/>
  <c r="F128" i="1"/>
  <c r="F127" i="1"/>
  <c r="G80" i="1" l="1"/>
  <c r="F92" i="1"/>
  <c r="G92" i="1"/>
  <c r="G138" i="1" s="1"/>
  <c r="H92" i="1"/>
  <c r="I92" i="1"/>
  <c r="J92" i="1"/>
  <c r="K92" i="1"/>
  <c r="F80" i="1"/>
  <c r="F86" i="1"/>
  <c r="F129" i="1" s="1"/>
  <c r="F150" i="1" s="1"/>
  <c r="J86" i="1"/>
  <c r="G86" i="1"/>
  <c r="H86" i="1"/>
  <c r="I86" i="1"/>
  <c r="K86" i="1"/>
  <c r="H80" i="1"/>
  <c r="I80" i="1"/>
  <c r="J80" i="1"/>
  <c r="K80" i="1"/>
  <c r="L80" i="1"/>
  <c r="G66" i="1"/>
  <c r="H66" i="1" s="1"/>
  <c r="I66" i="1" s="1"/>
  <c r="J66" i="1" s="1"/>
  <c r="K66" i="1" s="1"/>
  <c r="L66" i="1" s="1"/>
  <c r="H62" i="1"/>
  <c r="I62" i="1" s="1"/>
  <c r="J62" i="1" s="1"/>
  <c r="K62" i="1" s="1"/>
  <c r="L62" i="1" s="1"/>
  <c r="G95" i="1" l="1"/>
  <c r="G96" i="1"/>
  <c r="H96" i="1" s="1"/>
  <c r="I96" i="1" s="1"/>
  <c r="J96" i="1" s="1"/>
  <c r="K96" i="1" s="1"/>
  <c r="L96" i="1" s="1"/>
  <c r="G94" i="1"/>
  <c r="H94" i="1" s="1"/>
  <c r="I94" i="1" s="1"/>
  <c r="J94" i="1" s="1"/>
  <c r="K94" i="1" s="1"/>
  <c r="L94" i="1" s="1"/>
  <c r="H95" i="1" l="1"/>
  <c r="I95" i="1" s="1"/>
  <c r="J95" i="1" s="1"/>
  <c r="K95" i="1" s="1"/>
  <c r="L95" i="1" s="1"/>
  <c r="L140" i="1" s="1"/>
  <c r="L131" i="1" s="1"/>
  <c r="G140" i="1"/>
  <c r="L151" i="1"/>
  <c r="K151" i="1"/>
  <c r="J151" i="1"/>
  <c r="I151" i="1"/>
  <c r="H151" i="1"/>
  <c r="G151" i="1"/>
  <c r="F151" i="1"/>
  <c r="F143" i="1"/>
  <c r="L143" i="1"/>
  <c r="F140" i="1"/>
  <c r="F131" i="1" s="1"/>
  <c r="E14" i="1"/>
  <c r="F152" i="1" l="1"/>
  <c r="F118" i="1" s="1"/>
  <c r="G143" i="1"/>
  <c r="H143" i="1"/>
  <c r="I143" i="1"/>
  <c r="J143" i="1"/>
  <c r="K143" i="1"/>
  <c r="G131" i="1"/>
  <c r="I140" i="1"/>
  <c r="I131" i="1" s="1"/>
  <c r="J140" i="1"/>
  <c r="J131" i="1" s="1"/>
  <c r="H140" i="1"/>
  <c r="H131" i="1" s="1"/>
  <c r="K140" i="1"/>
  <c r="K131" i="1" s="1"/>
  <c r="L130" i="1"/>
  <c r="G130" i="1"/>
  <c r="F130" i="1"/>
  <c r="I130" i="1"/>
  <c r="J130" i="1"/>
  <c r="H130" i="1"/>
  <c r="K130" i="1"/>
  <c r="F64" i="1" l="1"/>
  <c r="K7" i="1"/>
  <c r="G127" i="1" l="1"/>
  <c r="K9" i="1"/>
  <c r="G63" i="1"/>
  <c r="G128" i="1" s="1"/>
  <c r="H63" i="1"/>
  <c r="H128" i="1" s="1"/>
  <c r="G129" i="1" l="1"/>
  <c r="G132" i="1" s="1"/>
  <c r="G133" i="1" s="1"/>
  <c r="H127" i="1"/>
  <c r="F132" i="1"/>
  <c r="F133" i="1" s="1"/>
  <c r="F139" i="1"/>
  <c r="I139" i="1"/>
  <c r="J139" i="1"/>
  <c r="H139" i="1"/>
  <c r="G139" i="1"/>
  <c r="L139" i="1"/>
  <c r="K139" i="1"/>
  <c r="G150" i="1" l="1"/>
  <c r="G152" i="1" s="1"/>
  <c r="G118" i="1" s="1"/>
  <c r="H129" i="1"/>
  <c r="H132" i="1" s="1"/>
  <c r="H133" i="1" s="1"/>
  <c r="I127" i="1"/>
  <c r="I63" i="1"/>
  <c r="I128" i="1" s="1"/>
  <c r="F134" i="1"/>
  <c r="F142" i="1" s="1"/>
  <c r="G134" i="1"/>
  <c r="G142" i="1" s="1"/>
  <c r="H150" i="1" l="1"/>
  <c r="H152" i="1" s="1"/>
  <c r="H118" i="1" s="1"/>
  <c r="I129" i="1"/>
  <c r="I132" i="1" s="1"/>
  <c r="I133" i="1" s="1"/>
  <c r="J127" i="1"/>
  <c r="J63" i="1"/>
  <c r="J128" i="1" s="1"/>
  <c r="F141" i="1"/>
  <c r="G135" i="1"/>
  <c r="G141" i="1"/>
  <c r="H134" i="1"/>
  <c r="H135" i="1" s="1"/>
  <c r="I150" i="1" l="1"/>
  <c r="I152" i="1" s="1"/>
  <c r="I118" i="1" s="1"/>
  <c r="J129" i="1"/>
  <c r="J132" i="1" s="1"/>
  <c r="J133" i="1" s="1"/>
  <c r="I134" i="1"/>
  <c r="K127" i="1"/>
  <c r="K63" i="1"/>
  <c r="K128" i="1" s="1"/>
  <c r="H141" i="1"/>
  <c r="H142" i="1"/>
  <c r="J150" i="1" l="1"/>
  <c r="J152" i="1" s="1"/>
  <c r="J118" i="1" s="1"/>
  <c r="K129" i="1"/>
  <c r="K132" i="1" s="1"/>
  <c r="I142" i="1"/>
  <c r="I135" i="1"/>
  <c r="I141" i="1"/>
  <c r="L63" i="1"/>
  <c r="L128" i="1" s="1"/>
  <c r="L127" i="1"/>
  <c r="J134" i="1"/>
  <c r="B2" i="1"/>
  <c r="K150" i="1" l="1"/>
  <c r="K152" i="1" s="1"/>
  <c r="K118" i="1" s="1"/>
  <c r="L129" i="1"/>
  <c r="L132" i="1" s="1"/>
  <c r="K133" i="1"/>
  <c r="K134" i="1" s="1"/>
  <c r="J142" i="1"/>
  <c r="J135" i="1"/>
  <c r="J141" i="1"/>
  <c r="J16" i="1"/>
  <c r="L150" i="1" l="1"/>
  <c r="L152" i="1" s="1"/>
  <c r="L118" i="1" s="1"/>
  <c r="K142" i="1"/>
  <c r="K141" i="1"/>
  <c r="K135" i="1"/>
  <c r="L133" i="1"/>
  <c r="L134" i="1" s="1"/>
  <c r="D184" i="1"/>
  <c r="G183" i="1"/>
  <c r="F183" i="1"/>
  <c r="L123" i="1"/>
  <c r="L124" i="1"/>
  <c r="D124" i="1"/>
  <c r="G123" i="1"/>
  <c r="F123" i="1"/>
  <c r="G52" i="1"/>
  <c r="F59" i="1"/>
  <c r="D59" i="1"/>
  <c r="D16" i="1"/>
  <c r="J5" i="1"/>
  <c r="F252" i="1" l="1"/>
  <c r="F372" i="1"/>
  <c r="F217" i="1"/>
  <c r="F235" i="1"/>
  <c r="L135" i="1"/>
  <c r="L142" i="1"/>
  <c r="L141" i="1"/>
  <c r="F124" i="1"/>
  <c r="F120" i="1" s="1"/>
  <c r="F121" i="1" s="1"/>
  <c r="G59" i="1"/>
  <c r="F184" i="1"/>
  <c r="G252" i="1" l="1"/>
  <c r="G372" i="1"/>
  <c r="G217" i="1"/>
  <c r="G235" i="1"/>
  <c r="H59" i="1"/>
  <c r="G184" i="1"/>
  <c r="G207" i="1" s="1"/>
  <c r="G124" i="1"/>
  <c r="H252" i="1" l="1"/>
  <c r="H372" i="1"/>
  <c r="G202" i="1"/>
  <c r="G201" i="1"/>
  <c r="G203" i="1"/>
  <c r="G198" i="1"/>
  <c r="H217" i="1"/>
  <c r="H235" i="1"/>
  <c r="G120" i="1"/>
  <c r="G121" i="1" s="1"/>
  <c r="H184" i="1"/>
  <c r="H207" i="1" s="1"/>
  <c r="I59" i="1"/>
  <c r="H124" i="1"/>
  <c r="H120" i="1" s="1"/>
  <c r="H121" i="1" s="1"/>
  <c r="I372" i="1" l="1"/>
  <c r="D297" i="1"/>
  <c r="I252" i="1"/>
  <c r="J289" i="1"/>
  <c r="D289" i="1"/>
  <c r="D281" i="1"/>
  <c r="J281" i="1"/>
  <c r="D273" i="1"/>
  <c r="J273" i="1"/>
  <c r="H202" i="1"/>
  <c r="H201" i="1"/>
  <c r="H203" i="1"/>
  <c r="I217" i="1"/>
  <c r="I235" i="1"/>
  <c r="H159" i="1"/>
  <c r="H221" i="1" s="1"/>
  <c r="G159" i="1"/>
  <c r="G221" i="1" s="1"/>
  <c r="I184" i="1"/>
  <c r="J59" i="1"/>
  <c r="I124" i="1"/>
  <c r="I120" i="1" s="1"/>
  <c r="I121" i="1" s="1"/>
  <c r="J372" i="1" l="1"/>
  <c r="E297" i="1"/>
  <c r="J252" i="1"/>
  <c r="E273" i="1"/>
  <c r="E289" i="1"/>
  <c r="E281" i="1"/>
  <c r="K281" i="1"/>
  <c r="K273" i="1"/>
  <c r="K289" i="1"/>
  <c r="J217" i="1"/>
  <c r="J235" i="1"/>
  <c r="K59" i="1"/>
  <c r="J184" i="1"/>
  <c r="J124" i="1"/>
  <c r="J120" i="1" s="1"/>
  <c r="J121" i="1" s="1"/>
  <c r="K372" i="1" l="1"/>
  <c r="L372" i="1" s="1"/>
  <c r="M372" i="1" s="1"/>
  <c r="N372" i="1" s="1"/>
  <c r="O372" i="1" s="1"/>
  <c r="P372" i="1" s="1"/>
  <c r="F297" i="1"/>
  <c r="K252" i="1"/>
  <c r="F289" i="1"/>
  <c r="F281" i="1"/>
  <c r="L273" i="1"/>
  <c r="L289" i="1"/>
  <c r="L281" i="1"/>
  <c r="F273" i="1"/>
  <c r="K217" i="1"/>
  <c r="K235" i="1"/>
  <c r="K184" i="1"/>
  <c r="K124" i="1"/>
  <c r="G258" i="1" l="1"/>
  <c r="H258" i="1"/>
  <c r="G197" i="1"/>
  <c r="H197" i="1"/>
  <c r="H198" i="1"/>
  <c r="I198" i="1"/>
  <c r="K198" i="1"/>
  <c r="J198" i="1"/>
  <c r="E29" i="1"/>
  <c r="K120" i="1"/>
  <c r="K121" i="1" s="1"/>
  <c r="L120" i="1"/>
  <c r="L121" i="1" s="1"/>
  <c r="H199" i="1" l="1"/>
  <c r="K257" i="1"/>
  <c r="K205" i="1"/>
  <c r="K241" i="1" s="1"/>
  <c r="G199" i="1"/>
  <c r="G256" i="1"/>
  <c r="H256" i="1"/>
  <c r="H240" i="1"/>
  <c r="G240" i="1"/>
  <c r="G223" i="1"/>
  <c r="H223" i="1"/>
  <c r="F144" i="1"/>
  <c r="F146" i="1" s="1"/>
  <c r="F154" i="1" l="1"/>
  <c r="F377" i="1" s="1"/>
  <c r="F374" i="1"/>
  <c r="F375" i="1" s="1"/>
  <c r="F147" i="1"/>
  <c r="G144" i="1"/>
  <c r="G146" i="1" s="1"/>
  <c r="G374" i="1" s="1"/>
  <c r="H138" i="1"/>
  <c r="H144" i="1" s="1"/>
  <c r="H146" i="1" s="1"/>
  <c r="H374" i="1" s="1"/>
  <c r="G375" i="1" l="1"/>
  <c r="H375" i="1"/>
  <c r="F378" i="1"/>
  <c r="F155" i="1"/>
  <c r="H154" i="1"/>
  <c r="H377" i="1" s="1"/>
  <c r="G154" i="1"/>
  <c r="G377" i="1" s="1"/>
  <c r="H147" i="1"/>
  <c r="G186" i="1"/>
  <c r="G193" i="1" s="1"/>
  <c r="G147" i="1"/>
  <c r="E21" i="1"/>
  <c r="I138" i="1"/>
  <c r="G380" i="1" l="1"/>
  <c r="G378" i="1"/>
  <c r="H380" i="1"/>
  <c r="H378" i="1"/>
  <c r="K41" i="1"/>
  <c r="K54" i="1"/>
  <c r="K23" i="1"/>
  <c r="F222" i="1" s="1"/>
  <c r="K33" i="1"/>
  <c r="E24" i="1"/>
  <c r="K53" i="1"/>
  <c r="E23" i="1"/>
  <c r="K52" i="1"/>
  <c r="G155" i="1"/>
  <c r="I144" i="1"/>
  <c r="I146" i="1" s="1"/>
  <c r="I374" i="1" s="1"/>
  <c r="I375" i="1" s="1"/>
  <c r="J138" i="1"/>
  <c r="H155" i="1"/>
  <c r="E54" i="1" l="1"/>
  <c r="F255" i="1"/>
  <c r="E53" i="1"/>
  <c r="F167" i="1" s="1"/>
  <c r="F239" i="1"/>
  <c r="I154" i="1"/>
  <c r="I377" i="1" s="1"/>
  <c r="E52" i="1"/>
  <c r="I159" i="1"/>
  <c r="I221" i="1" s="1"/>
  <c r="J159" i="1"/>
  <c r="J221" i="1" s="1"/>
  <c r="K159" i="1"/>
  <c r="K221" i="1" s="1"/>
  <c r="K56" i="1"/>
  <c r="J144" i="1"/>
  <c r="J146" i="1" s="1"/>
  <c r="J374" i="1" s="1"/>
  <c r="J375" i="1" s="1"/>
  <c r="K138" i="1"/>
  <c r="H186" i="1"/>
  <c r="H193" i="1" s="1"/>
  <c r="I147" i="1"/>
  <c r="I380" i="1" l="1"/>
  <c r="I378" i="1"/>
  <c r="I175" i="1"/>
  <c r="H174" i="1"/>
  <c r="G174" i="1"/>
  <c r="G175" i="1"/>
  <c r="H175" i="1"/>
  <c r="J174" i="1"/>
  <c r="I174" i="1"/>
  <c r="F168" i="1"/>
  <c r="G164" i="1" s="1"/>
  <c r="G168" i="1" s="1"/>
  <c r="H164" i="1" s="1"/>
  <c r="H168" i="1" s="1"/>
  <c r="F254" i="1"/>
  <c r="G158" i="1"/>
  <c r="G238" i="1" s="1"/>
  <c r="G163" i="1"/>
  <c r="G167" i="1" s="1"/>
  <c r="H158" i="1" s="1"/>
  <c r="H238" i="1" s="1"/>
  <c r="F237" i="1"/>
  <c r="F242" i="1" s="1"/>
  <c r="F166" i="1"/>
  <c r="G166" i="1" s="1"/>
  <c r="F219" i="1"/>
  <c r="J154" i="1"/>
  <c r="E55" i="1"/>
  <c r="F196" i="1" s="1"/>
  <c r="F208" i="1" s="1"/>
  <c r="I155" i="1"/>
  <c r="L138" i="1"/>
  <c r="L144" i="1" s="1"/>
  <c r="L146" i="1" s="1"/>
  <c r="K144" i="1"/>
  <c r="K146" i="1" s="1"/>
  <c r="I186" i="1"/>
  <c r="I193" i="1" s="1"/>
  <c r="I197" i="1" s="1"/>
  <c r="J147" i="1"/>
  <c r="K174" i="1" l="1"/>
  <c r="K374" i="1"/>
  <c r="K375" i="1" s="1"/>
  <c r="L154" i="1"/>
  <c r="L377" i="1" s="1"/>
  <c r="L374" i="1"/>
  <c r="J175" i="1"/>
  <c r="J377" i="1"/>
  <c r="G157" i="1"/>
  <c r="G220" i="1" s="1"/>
  <c r="F248" i="1"/>
  <c r="I199" i="1"/>
  <c r="H163" i="1"/>
  <c r="H167" i="1" s="1"/>
  <c r="I163" i="1" s="1"/>
  <c r="I167" i="1" s="1"/>
  <c r="F259" i="1"/>
  <c r="F265" i="1"/>
  <c r="F169" i="1"/>
  <c r="F225" i="1"/>
  <c r="F231" i="1"/>
  <c r="K154" i="1"/>
  <c r="H157" i="1"/>
  <c r="H220" i="1" s="1"/>
  <c r="G169" i="1"/>
  <c r="H166" i="1"/>
  <c r="I164" i="1"/>
  <c r="I168" i="1" s="1"/>
  <c r="E56" i="1"/>
  <c r="F213" i="1"/>
  <c r="J155" i="1"/>
  <c r="K186" i="1"/>
  <c r="K193" i="1" s="1"/>
  <c r="L147" i="1"/>
  <c r="K147" i="1"/>
  <c r="J186" i="1"/>
  <c r="J193" i="1" s="1"/>
  <c r="J197" i="1" s="1"/>
  <c r="J199" i="1" s="1"/>
  <c r="L375" i="1" l="1"/>
  <c r="M374" i="1"/>
  <c r="L380" i="1"/>
  <c r="L378" i="1"/>
  <c r="J380" i="1"/>
  <c r="J378" i="1"/>
  <c r="K175" i="1"/>
  <c r="K377" i="1"/>
  <c r="L155" i="1"/>
  <c r="G161" i="1"/>
  <c r="G180" i="1"/>
  <c r="G181" i="1"/>
  <c r="G178" i="1"/>
  <c r="G177" i="1"/>
  <c r="I158" i="1"/>
  <c r="I238" i="1" s="1"/>
  <c r="H177" i="1"/>
  <c r="H178" i="1"/>
  <c r="J164" i="1"/>
  <c r="J168" i="1" s="1"/>
  <c r="H169" i="1"/>
  <c r="I157" i="1"/>
  <c r="I220" i="1" s="1"/>
  <c r="I166" i="1"/>
  <c r="H161" i="1"/>
  <c r="H180" i="1"/>
  <c r="H181" i="1"/>
  <c r="J163" i="1"/>
  <c r="J167" i="1" s="1"/>
  <c r="J158" i="1"/>
  <c r="J238" i="1" s="1"/>
  <c r="E30" i="1"/>
  <c r="E32" i="1" s="1"/>
  <c r="K197" i="1"/>
  <c r="K155" i="1"/>
  <c r="G200" i="1" l="1"/>
  <c r="M377" i="1"/>
  <c r="M380" i="1" s="1"/>
  <c r="N374" i="1"/>
  <c r="K380" i="1"/>
  <c r="K378" i="1"/>
  <c r="H200" i="1"/>
  <c r="I177" i="1"/>
  <c r="I178" i="1"/>
  <c r="I169" i="1"/>
  <c r="J157" i="1"/>
  <c r="J220" i="1" s="1"/>
  <c r="J166" i="1"/>
  <c r="I181" i="1"/>
  <c r="I161" i="1"/>
  <c r="I180" i="1"/>
  <c r="K164" i="1"/>
  <c r="K168" i="1" s="1"/>
  <c r="K158" i="1"/>
  <c r="K238" i="1" s="1"/>
  <c r="K163" i="1"/>
  <c r="K167" i="1" s="1"/>
  <c r="E31" i="1"/>
  <c r="K199" i="1"/>
  <c r="G204" i="1" l="1"/>
  <c r="G224" i="1" s="1"/>
  <c r="G225" i="1" s="1"/>
  <c r="N377" i="1"/>
  <c r="N380" i="1" s="1"/>
  <c r="O374" i="1"/>
  <c r="H204" i="1"/>
  <c r="I200" i="1"/>
  <c r="J180" i="1"/>
  <c r="J177" i="1"/>
  <c r="J181" i="1"/>
  <c r="J178" i="1"/>
  <c r="J161" i="1"/>
  <c r="J169" i="1"/>
  <c r="K157" i="1"/>
  <c r="K220" i="1" s="1"/>
  <c r="K166" i="1"/>
  <c r="G205" i="1" l="1"/>
  <c r="G241" i="1" s="1"/>
  <c r="G242" i="1" s="1"/>
  <c r="P374" i="1"/>
  <c r="O377" i="1"/>
  <c r="O380" i="1" s="1"/>
  <c r="H205" i="1"/>
  <c r="H224" i="1"/>
  <c r="H225" i="1" s="1"/>
  <c r="I201" i="1"/>
  <c r="I202" i="1" s="1"/>
  <c r="J200" i="1"/>
  <c r="K177" i="1"/>
  <c r="K178" i="1"/>
  <c r="K169" i="1"/>
  <c r="K180" i="1"/>
  <c r="K181" i="1"/>
  <c r="K161" i="1"/>
  <c r="K200" i="1" s="1"/>
  <c r="G206" i="1" l="1"/>
  <c r="G208" i="1" s="1"/>
  <c r="H241" i="1"/>
  <c r="H242" i="1" s="1"/>
  <c r="H206" i="1"/>
  <c r="H208" i="1" s="1"/>
  <c r="Q374" i="1"/>
  <c r="P377" i="1"/>
  <c r="K201" i="1"/>
  <c r="K202" i="1" s="1"/>
  <c r="K240" i="1" s="1"/>
  <c r="K242" i="1" s="1"/>
  <c r="J201" i="1"/>
  <c r="J223" i="1" s="1"/>
  <c r="I240" i="1"/>
  <c r="I203" i="1"/>
  <c r="I223" i="1"/>
  <c r="G257" i="1" l="1"/>
  <c r="G259" i="1" s="1"/>
  <c r="H257" i="1"/>
  <c r="H259" i="1" s="1"/>
  <c r="I256" i="1"/>
  <c r="P380" i="1"/>
  <c r="Q377" i="1"/>
  <c r="D360" i="1"/>
  <c r="K223" i="1"/>
  <c r="F229" i="1" s="1"/>
  <c r="K203" i="1"/>
  <c r="K256" i="1" s="1"/>
  <c r="I204" i="1"/>
  <c r="I224" i="1" s="1"/>
  <c r="I225" i="1" s="1"/>
  <c r="J202" i="1"/>
  <c r="J240" i="1" s="1"/>
  <c r="F246" i="1" s="1"/>
  <c r="D364" i="1" l="1"/>
  <c r="I364" i="1"/>
  <c r="D361" i="1"/>
  <c r="I360" i="1"/>
  <c r="I363" i="1" s="1"/>
  <c r="D363" i="1"/>
  <c r="I281" i="1"/>
  <c r="C313" i="1"/>
  <c r="J203" i="1"/>
  <c r="I273" i="1"/>
  <c r="C305" i="1"/>
  <c r="I205" i="1"/>
  <c r="K204" i="1"/>
  <c r="K224" i="1" l="1"/>
  <c r="K225" i="1" s="1"/>
  <c r="J256" i="1"/>
  <c r="F263" i="1" s="1"/>
  <c r="I289" i="1" s="1"/>
  <c r="I206" i="1"/>
  <c r="I257" i="1" s="1"/>
  <c r="I365" i="1"/>
  <c r="I369" i="1" s="1"/>
  <c r="D365" i="1"/>
  <c r="I361" i="1"/>
  <c r="J204" i="1"/>
  <c r="J224" i="1" s="1"/>
  <c r="J225" i="1" s="1"/>
  <c r="I241" i="1"/>
  <c r="I242" i="1" s="1"/>
  <c r="K207" i="1"/>
  <c r="F227" i="1" l="1"/>
  <c r="C273" i="1" s="1"/>
  <c r="C321" i="1"/>
  <c r="I207" i="1"/>
  <c r="I258" i="1" s="1"/>
  <c r="I259" i="1" s="1"/>
  <c r="K258" i="1"/>
  <c r="K259" i="1" s="1"/>
  <c r="K208" i="1"/>
  <c r="I367" i="1"/>
  <c r="D369" i="1"/>
  <c r="D386" i="1"/>
  <c r="D367" i="1"/>
  <c r="J205" i="1"/>
  <c r="J241" i="1" s="1"/>
  <c r="F230" i="1"/>
  <c r="F232" i="1" s="1"/>
  <c r="I208" i="1" l="1"/>
  <c r="J206" i="1"/>
  <c r="J257" i="1" s="1"/>
  <c r="J207" i="1"/>
  <c r="J242" i="1"/>
  <c r="F244" i="1" s="1"/>
  <c r="C329" i="1" s="1"/>
  <c r="F247" i="1"/>
  <c r="F249" i="1" s="1"/>
  <c r="J258" i="1" l="1"/>
  <c r="J259" i="1" s="1"/>
  <c r="F261" i="1" s="1"/>
  <c r="C337" i="1" s="1"/>
  <c r="J208" i="1"/>
  <c r="F210" i="1" s="1"/>
  <c r="F212" i="1"/>
  <c r="F214" i="1" s="1"/>
  <c r="C281" i="1"/>
  <c r="F264" i="1" l="1"/>
  <c r="F266" i="1" s="1"/>
  <c r="C345" i="1"/>
  <c r="C297" i="1"/>
  <c r="C289" i="1"/>
</calcChain>
</file>

<file path=xl/comments1.xml><?xml version="1.0" encoding="utf-8"?>
<comments xmlns="http://schemas.openxmlformats.org/spreadsheetml/2006/main">
  <authors>
    <author>BIWS</author>
  </authors>
  <commentList>
    <comment ref="K3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Interest-only loan - no principal repayments.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Interest-only loan - no principal repayments.</t>
        </r>
      </text>
    </comment>
    <comment ref="D35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assumptions.</t>
        </r>
      </text>
    </comment>
    <comment ref="D353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assumptions.</t>
        </r>
      </text>
    </comment>
  </commentList>
</comments>
</file>

<file path=xl/sharedStrings.xml><?xml version="1.0" encoding="utf-8"?>
<sst xmlns="http://schemas.openxmlformats.org/spreadsheetml/2006/main" count="631" uniqueCount="381">
  <si>
    <t>Operating Assumptions:</t>
  </si>
  <si>
    <t>Units:</t>
  </si>
  <si>
    <t>Building / Construction Name:</t>
  </si>
  <si>
    <t>Location:</t>
  </si>
  <si>
    <t>Date</t>
  </si>
  <si>
    <t>#</t>
  </si>
  <si>
    <t>Months in Year:</t>
  </si>
  <si>
    <t>%</t>
  </si>
  <si>
    <t>Rentable Square Footage (RSF):</t>
  </si>
  <si>
    <t>sq. ft.</t>
  </si>
  <si>
    <t>Acquisition Date:</t>
  </si>
  <si>
    <t>Acquisition Price:</t>
  </si>
  <si>
    <t>$</t>
  </si>
  <si>
    <t>Acquisition Costs (% Gross Acquisition Price):</t>
  </si>
  <si>
    <t># Years</t>
  </si>
  <si>
    <t>Exit Date:</t>
  </si>
  <si>
    <t>Exit Price:</t>
  </si>
  <si>
    <t>Selling Costs (% Gross Sale Price):</t>
  </si>
  <si>
    <t>Historical:</t>
  </si>
  <si>
    <t>Projected:</t>
  </si>
  <si>
    <t>Sources of Funds:</t>
  </si>
  <si>
    <t>Uses of 
Funds:</t>
  </si>
  <si>
    <t>Investor Equity:</t>
  </si>
  <si>
    <t>Total Sources:</t>
  </si>
  <si>
    <t>Property Pro-Forma:</t>
  </si>
  <si>
    <t>Revenue:</t>
  </si>
  <si>
    <t>Effective Gross Income (EGI):</t>
  </si>
  <si>
    <t>Expenses:</t>
  </si>
  <si>
    <t>Total Expenses:</t>
  </si>
  <si>
    <t>Net Operating Income (NOI):</t>
  </si>
  <si>
    <t>NOI Margin:</t>
  </si>
  <si>
    <t>Adjusted Net Operating Income:</t>
  </si>
  <si>
    <t>Cash Flow to Equity Investors:</t>
  </si>
  <si>
    <t>x</t>
  </si>
  <si>
    <t>Name</t>
  </si>
  <si>
    <t>Total Uses:</t>
  </si>
  <si>
    <t>Stabilized</t>
  </si>
  <si>
    <t>Year:</t>
  </si>
  <si>
    <t>Invested Equity:</t>
  </si>
  <si>
    <t>Cash-on-Cash Multiple:</t>
  </si>
  <si>
    <t>Acquisition Price per Unit:</t>
  </si>
  <si>
    <t>$ / sq. ft.</t>
  </si>
  <si>
    <t>$ / Unit</t>
  </si>
  <si>
    <t>Exit Cap Rate:</t>
  </si>
  <si>
    <t>Exit Price per Unit:</t>
  </si>
  <si>
    <t>Adjusted NOI Margin:</t>
  </si>
  <si>
    <t>Year</t>
  </si>
  <si>
    <t>Acquisition Costs:</t>
  </si>
  <si>
    <t>Loan Issuance Fees:</t>
  </si>
  <si>
    <t>Ending Debt Balance:</t>
  </si>
  <si>
    <t>Debt Service Coverage Ratio (DSCR) - NOI:</t>
  </si>
  <si>
    <t>Cash Flow to Equity Investors (Leveraged IRR):</t>
  </si>
  <si>
    <t>Total Cash Flows to Equity (Leveraged IRR):</t>
  </si>
  <si>
    <t>Total Returns to Equity:</t>
  </si>
  <si>
    <t>($ USD in $ as Stated, Unless Otherwise Noted)</t>
  </si>
  <si>
    <t>Parking Spots:</t>
  </si>
  <si>
    <t>(-) Capital Expenditures:</t>
  </si>
  <si>
    <t>(+) Base Rental Income:</t>
  </si>
  <si>
    <t>Potential Gross Revenue:</t>
  </si>
  <si>
    <t>(-) General Vacancy:</t>
  </si>
  <si>
    <t>(+) Utility Reimbursements:</t>
  </si>
  <si>
    <t>(-) Bad Debt &amp; Concessions:</t>
  </si>
  <si>
    <t>(-) Loss to Lease:</t>
  </si>
  <si>
    <t>(-) Insurance:</t>
  </si>
  <si>
    <t>(+) Capital Costs Paid from Reserves:</t>
  </si>
  <si>
    <t>Average Rentable Square Feet per Unit:</t>
  </si>
  <si>
    <t>Rentable to Gross Square Feet Ratio:</t>
  </si>
  <si>
    <t>Gross Square Footage (GSF):</t>
  </si>
  <si>
    <t>Acquisition Price per RSF:</t>
  </si>
  <si>
    <t>In-Place Rent Discount to Market Rent:</t>
  </si>
  <si>
    <t>General Vacancy:</t>
  </si>
  <si>
    <t>(+) Parking Income:</t>
  </si>
  <si>
    <t>(-) Property Taxes:</t>
  </si>
  <si>
    <t>(-) Utilities:</t>
  </si>
  <si>
    <t>(-) Property Management Fee:</t>
  </si>
  <si>
    <t>(-) Sales, Marketing &amp; Administrative:</t>
  </si>
  <si>
    <t>Parking Spots per Unit:</t>
  </si>
  <si>
    <t>Parking Fees per Spot per Month:</t>
  </si>
  <si>
    <t>Utilities per Unit per Month:</t>
  </si>
  <si>
    <t>Sales, Marketing &amp; Administrative % EGI:</t>
  </si>
  <si>
    <t>$ / Unit / Mo.</t>
  </si>
  <si>
    <t>$ / Spot / Mo.</t>
  </si>
  <si>
    <t>$ / RSF / Mo.</t>
  </si>
  <si>
    <t>Insurance per Gross Square Foot per Year:</t>
  </si>
  <si>
    <t>$ / GSF / Yr.</t>
  </si>
  <si>
    <t>Utility Reimbursements % Utility Expense:</t>
  </si>
  <si>
    <t>$ / Unit / Yr.</t>
  </si>
  <si>
    <t>Property Management Fee % EGI:</t>
  </si>
  <si>
    <t>(-) Replacement Reserves:</t>
  </si>
  <si>
    <t>EGI Growth Rate:</t>
  </si>
  <si>
    <t>Capital Expenditures per Unit per Year:</t>
  </si>
  <si>
    <t>Exit Price per RSF:</t>
  </si>
  <si>
    <t>(+) Proceeds from Sale of Property:</t>
  </si>
  <si>
    <t>(-) Selling Costs:</t>
  </si>
  <si>
    <t>(+) Return of Replacement Reserve:</t>
  </si>
  <si>
    <t>(+) Cash Flows to Equity Investors:</t>
  </si>
  <si>
    <t>(-) Initial Equity Investment:</t>
  </si>
  <si>
    <t>Replacement Reserves:</t>
  </si>
  <si>
    <t>Debt Service Coverage Ratio (DSCR) - Adj. NOI:</t>
  </si>
  <si>
    <t>Property Assumptions:</t>
  </si>
  <si>
    <t>Sources and Uses of Funds:</t>
  </si>
  <si>
    <t>Number of Apartment Units:</t>
  </si>
  <si>
    <t>N/A</t>
  </si>
  <si>
    <t>Replacement Reserves per Unit per Year:</t>
  </si>
  <si>
    <t>The Lyric</t>
  </si>
  <si>
    <t>Seattle, WA</t>
  </si>
  <si>
    <t>Acquisition, Financing, and Exit Assumptions:</t>
  </si>
  <si>
    <t>(-) Tenant Improvements (TIs):</t>
  </si>
  <si>
    <t>(-) Leasing Commissions (LCs);</t>
  </si>
  <si>
    <t>Market Rent per Unit per Month:</t>
  </si>
  <si>
    <t>In-Place Rent per Unit per Month:</t>
  </si>
  <si>
    <t>Base</t>
  </si>
  <si>
    <t>Downside</t>
  </si>
  <si>
    <t>Income Growth Rate:</t>
  </si>
  <si>
    <t>Selected Income Growth Rate:</t>
  </si>
  <si>
    <t>Selected Market Scenario:</t>
  </si>
  <si>
    <t>Extreme Downside</t>
  </si>
  <si>
    <t>Selected General Vacancy:</t>
  </si>
  <si>
    <t>Expense Growth Rate:</t>
  </si>
  <si>
    <t>Selected Expense Growth Rate:</t>
  </si>
  <si>
    <t>Forward NOI:</t>
  </si>
  <si>
    <t>Applicable Capitalization Rates:</t>
  </si>
  <si>
    <t>Selected Capitalization Rate:</t>
  </si>
  <si>
    <t>Implied Property Value:</t>
  </si>
  <si>
    <t>Going-In Cap Rate:</t>
  </si>
  <si>
    <t>Debt Yield - NOI:</t>
  </si>
  <si>
    <t>Debt Yield - Adjusted NOI:</t>
  </si>
  <si>
    <t>% Apartment Unit Turnover:</t>
  </si>
  <si>
    <t>Tenant Improvements (TIs) per Unit Leased:</t>
  </si>
  <si>
    <t>Tenant Improvement (TI) Growth Rate:</t>
  </si>
  <si>
    <t>Leasing Commissions % Effective Rent:</t>
  </si>
  <si>
    <t>Selected TI Growth Rate:</t>
  </si>
  <si>
    <t>Selected Leasing Commission %:</t>
  </si>
  <si>
    <t>CapEx and Replacement Reserves:</t>
  </si>
  <si>
    <t>Year #:</t>
  </si>
  <si>
    <t>Financing Assumptions:</t>
  </si>
  <si>
    <t>Senior Loan Loan-to-Value (LTV) Ratio:</t>
  </si>
  <si>
    <t>Senior Loan Amount:</t>
  </si>
  <si>
    <t>Senior Loan Amortization Period:</t>
  </si>
  <si>
    <t>Senior Loan Maturity:</t>
  </si>
  <si>
    <t>Senior Loan LIBOR Spread:</t>
  </si>
  <si>
    <t>Senior Loan LIBOR Floor:</t>
  </si>
  <si>
    <t>Mezzanine Loan-to-Value (LTV) Ratio:</t>
  </si>
  <si>
    <t>Mezzanine Amount:</t>
  </si>
  <si>
    <t>Mezzanine Cash Interest Rate:</t>
  </si>
  <si>
    <t>Mezzanine PIK Interest Rate:</t>
  </si>
  <si>
    <t>Mezzanine Amortization Period:</t>
  </si>
  <si>
    <t>Mezzanine Maturity:</t>
  </si>
  <si>
    <t>Acquisition &amp; Exit Assumptions:</t>
  </si>
  <si>
    <t>Preferred Equity Loan-to-Value (LTV) Ratio:</t>
  </si>
  <si>
    <t>Preferred Equity Amount:</t>
  </si>
  <si>
    <t>Preferred Equity Cash Interest Rate:</t>
  </si>
  <si>
    <t>Preferred Equity PIK Interest Rate:</t>
  </si>
  <si>
    <t>Preferred Equity Amortization Period:</t>
  </si>
  <si>
    <t>Preferred Equity Maturity:</t>
  </si>
  <si>
    <t>Fiscal Year:</t>
  </si>
  <si>
    <t>Year #</t>
  </si>
  <si>
    <t>Prepayment Penalty Fee:</t>
  </si>
  <si>
    <t>(-) Cash Interest Expense on Senior Loan:</t>
  </si>
  <si>
    <t>(-) Cash Interest Expense on Mezzanine:</t>
  </si>
  <si>
    <t>Equity Percentage Upon Exit:</t>
  </si>
  <si>
    <t>(-) Senior Loan Principal Repayment:</t>
  </si>
  <si>
    <t>PIK Interest on Mezzanine:</t>
  </si>
  <si>
    <t>PIK Interest on Preferred Equity:</t>
  </si>
  <si>
    <t>(+) Ending Senior Loan Balance:</t>
  </si>
  <si>
    <t>(+) Ending Mezzanine Balance:</t>
  </si>
  <si>
    <t>Senior Loan:</t>
  </si>
  <si>
    <t>Mezzanine:</t>
  </si>
  <si>
    <t>Preferred Equity:</t>
  </si>
  <si>
    <t>(+) Ending Preferred Equity Balance:</t>
  </si>
  <si>
    <t>LIBOR:</t>
  </si>
  <si>
    <t>Interest Rate on Senior Loan:</t>
  </si>
  <si>
    <t>(-) Mezzanine Repayment:</t>
  </si>
  <si>
    <t>(-) Senior Loan Repayment:</t>
  </si>
  <si>
    <t>(-) Preferred Equity Repayment:</t>
  </si>
  <si>
    <t>(-) Prepayment Penalty on Senior Loan:</t>
  </si>
  <si>
    <t>(-) Prepayment Penalty on Mezzanine:</t>
  </si>
  <si>
    <t>(-) Prepayment Penalty on Preferred Equity:</t>
  </si>
  <si>
    <t>(-) Equity Granted to Preferred Investors:</t>
  </si>
  <si>
    <t>Internal Rate of Return (IRR):</t>
  </si>
  <si>
    <t>Returns to Equity Investors:</t>
  </si>
  <si>
    <t>(-) Mezzanine Issued:</t>
  </si>
  <si>
    <t>(+) Cash Interest Received:</t>
  </si>
  <si>
    <t>(+) Mezzanine Issuance Fees:</t>
  </si>
  <si>
    <t>(+) Repayment of Mezzanine:</t>
  </si>
  <si>
    <t>(+) Prepayment Penalty on Mezzanine:</t>
  </si>
  <si>
    <t>Total Cash Flows to Mezzanine Investors:</t>
  </si>
  <si>
    <t>(-) Senior Loan Issued:</t>
  </si>
  <si>
    <t>(+) Senior Loan Issuance Fees:</t>
  </si>
  <si>
    <t>(+) Repayment of Senior Loan:</t>
  </si>
  <si>
    <t>(+) Prepayment Penalty on Senior Loan:</t>
  </si>
  <si>
    <t>Total Cash Flows to Senior Lenders:</t>
  </si>
  <si>
    <t>Returns to Senior Lenders:</t>
  </si>
  <si>
    <t>(+) Senior Loan Principal Repayment:</t>
  </si>
  <si>
    <t>Total Returns:</t>
  </si>
  <si>
    <t>Invested Amount:</t>
  </si>
  <si>
    <t>Returns to Mezzanine Investors:</t>
  </si>
  <si>
    <t>Returns to Preferred Investors:</t>
  </si>
  <si>
    <t>(-) Preferred Issued:</t>
  </si>
  <si>
    <t>(+) Preferred Issuance Fees:</t>
  </si>
  <si>
    <t>(+) Repayment of Preferred:</t>
  </si>
  <si>
    <t>(+) Prepayment Penalty on Preferred:</t>
  </si>
  <si>
    <t>(+) Equity Granted to Preferred:</t>
  </si>
  <si>
    <t>Total Cash Flows to Preferred Investors:</t>
  </si>
  <si>
    <t>Recovery:</t>
  </si>
  <si>
    <t>Senior Loan Interest-Only Period:</t>
  </si>
  <si>
    <t>Sensitivity Analyses:</t>
  </si>
  <si>
    <t>Senior Lenders - IRR vs. Exit Date and Market Scenario:</t>
  </si>
  <si>
    <t>Mezzanine Investors - IRR vs. Exit Date and Market Scenario:</t>
  </si>
  <si>
    <t>Preferred Investors - IRR vs. Exit Date and Market Scenario:</t>
  </si>
  <si>
    <t>Senior Lenders - Recovery vs. Exit Date and Market Scenario:</t>
  </si>
  <si>
    <t>Mezzanine Investors - Recovery vs. Exit Date and Market Scenario:</t>
  </si>
  <si>
    <t>Preferred Investors - Recovery vs. Exit Date and Market Scenario:</t>
  </si>
  <si>
    <t>Cash Interest Coverage Ratio - NOI:</t>
  </si>
  <si>
    <t>Cash Interest Coverage Ratio - Adjusted NOI:</t>
  </si>
  <si>
    <t>Senior Lenders - Recovery vs. Year 5 Exit Cap Rate and Market Scenario:</t>
  </si>
  <si>
    <t>Year 5 Exit Cap Rate:</t>
  </si>
  <si>
    <t>Market Scenario:</t>
  </si>
  <si>
    <t>Mezzanine Investors - Recovery vs. Year 5 Exit Cap Rate and Market Scenario:</t>
  </si>
  <si>
    <t>Preferred Investors - Recovery vs. Year 5 Exit Cap Rate and Market Scenario:</t>
  </si>
  <si>
    <t>Mezzanine Investors - IRR vs. Year 5 Exit Cap Rate and Market Scenario:</t>
  </si>
  <si>
    <t>Preferred Investors - IRR vs. Year 5 Exit Cap Rate and Market Scenario:</t>
  </si>
  <si>
    <t>Equity Investors - IRR vs. Year 5 Exit Cap Rate and Market Scenario:</t>
  </si>
  <si>
    <t>Equity Investors - IRR vs. Exit Date and Market Scenario:</t>
  </si>
  <si>
    <t>Discounted Cash Flow (DCF) Analysis - Assumptions and Output:</t>
  </si>
  <si>
    <t>Cost of Equity:</t>
  </si>
  <si>
    <t>Discount Rate (WACC):</t>
  </si>
  <si>
    <t>Terminal Value - Multiples Method:</t>
  </si>
  <si>
    <t>Terminal Value - Perpetuity Growth Method:</t>
  </si>
  <si>
    <t>Baseline Terminal Cap Rate:</t>
  </si>
  <si>
    <t>Baseline Terminal Cash Flow Growth Rate:</t>
  </si>
  <si>
    <t>Baseline Terminal Value:</t>
  </si>
  <si>
    <t>Implied Terminal Cash Flow Growth Rate:</t>
  </si>
  <si>
    <t>Implied Terminal Cap Rate:</t>
  </si>
  <si>
    <t>Implied Total Property Value:</t>
  </si>
  <si>
    <t>Premium / (Discount) to Asking Price:</t>
  </si>
  <si>
    <t>DCF - Unleveraged Cash Flow Projections:</t>
  </si>
  <si>
    <t>Unleveraged Cash Flow (Adjusted NOI):</t>
  </si>
  <si>
    <t>Present Value of Cash Flows:</t>
  </si>
  <si>
    <t>Normal Discount Period:</t>
  </si>
  <si>
    <t>Year Frac.</t>
  </si>
  <si>
    <t>Mid-Year Discount Period:</t>
  </si>
  <si>
    <t>NOI Growth Rate:</t>
  </si>
  <si>
    <t>Adjusted NOI % NOI:</t>
  </si>
  <si>
    <t>Terminal Cap Rate - Spread Over Year 5 Rate:</t>
  </si>
  <si>
    <t>(+) PV of Terminal Value:</t>
  </si>
  <si>
    <t>(+) Sum of PV of Cash Flows:</t>
  </si>
  <si>
    <t>% Implied Value from PV of Terminal Value:</t>
  </si>
  <si>
    <t>Discount Rate:</t>
  </si>
  <si>
    <t>Terminal Cap Rate (Applied to Year 11 Stabilized NOI):</t>
  </si>
  <si>
    <t>Comparable Property Sales for The Lyric (215 10th Ave E)</t>
  </si>
  <si>
    <t xml:space="preserve"># Square </t>
  </si>
  <si>
    <t>Avg. Unit</t>
  </si>
  <si>
    <t>Sale</t>
  </si>
  <si>
    <t xml:space="preserve">Price per </t>
  </si>
  <si>
    <t>Price per</t>
  </si>
  <si>
    <t xml:space="preserve">Cap </t>
  </si>
  <si>
    <t>Property Name:</t>
  </si>
  <si>
    <t>Address:</t>
  </si>
  <si>
    <t>Neighborhood:</t>
  </si>
  <si>
    <t># Units:</t>
  </si>
  <si>
    <t>Feet:</t>
  </si>
  <si>
    <t>Size in SF:</t>
  </si>
  <si>
    <t>Built:</t>
  </si>
  <si>
    <t>Date:</t>
  </si>
  <si>
    <t>Sale Price:</t>
  </si>
  <si>
    <t>Unit:</t>
  </si>
  <si>
    <t>SF:</t>
  </si>
  <si>
    <t>Rate:</t>
  </si>
  <si>
    <t>South Lake Union</t>
  </si>
  <si>
    <t>Belltown</t>
  </si>
  <si>
    <t>First Hill/Yesler Terrace</t>
  </si>
  <si>
    <t>Gatsby</t>
  </si>
  <si>
    <t>1145 10th Avenue E</t>
  </si>
  <si>
    <t>Capitol Hill</t>
  </si>
  <si>
    <t>Median:</t>
  </si>
  <si>
    <t>Comparable Properties for The Lyric (215 10th Ave E)</t>
  </si>
  <si>
    <t>Effective Rent</t>
  </si>
  <si>
    <t>Occupancy</t>
  </si>
  <si>
    <t>per Unit:</t>
  </si>
  <si>
    <t>per SF:</t>
  </si>
  <si>
    <t>Concessions:</t>
  </si>
  <si>
    <t>Comments:</t>
  </si>
  <si>
    <t>Joule</t>
  </si>
  <si>
    <t>523 Broadway Avenue E</t>
  </si>
  <si>
    <t>Similar amenities; 5 levels of underground parking; 26,000 retail SF.</t>
  </si>
  <si>
    <t>The Broadway Building</t>
  </si>
  <si>
    <t>1641 Nagle Place</t>
  </si>
  <si>
    <t>Inferior amenities; mixed office/retail space.</t>
  </si>
  <si>
    <t>Citizen</t>
  </si>
  <si>
    <t>1222 E Madison Street</t>
  </si>
  <si>
    <t>Inferior amenities; 59 parking spots; 6,000 retail SF.</t>
  </si>
  <si>
    <t>Chloe</t>
  </si>
  <si>
    <t>1408 E Union Street</t>
  </si>
  <si>
    <t>Similar amenities; inferior location.</t>
  </si>
  <si>
    <t>Pearl</t>
  </si>
  <si>
    <t>1530 15th Avenue</t>
  </si>
  <si>
    <t>Inferior amenities; similar location.</t>
  </si>
  <si>
    <t>Packard</t>
  </si>
  <si>
    <t>1530 12th Avenue</t>
  </si>
  <si>
    <t>Similar amenities; lacks 2BR units.</t>
  </si>
  <si>
    <t>Terravita Luxury</t>
  </si>
  <si>
    <t>1615 Belmont Avenue</t>
  </si>
  <si>
    <t>Similar amenities; similar 
location.</t>
  </si>
  <si>
    <t>REO Flats</t>
  </si>
  <si>
    <t>1525 14th Avenue</t>
  </si>
  <si>
    <t>Similar amenities; similar location.</t>
  </si>
  <si>
    <t>Sunset Electric</t>
  </si>
  <si>
    <t>1111 E Pine Street</t>
  </si>
  <si>
    <t>Superior amenities; inferior 
location.</t>
  </si>
  <si>
    <t>Total or Average:</t>
  </si>
  <si>
    <t>Category / Line Item:</t>
  </si>
  <si>
    <t>Rentable SF:</t>
  </si>
  <si>
    <t>The Lyric (215 10th Ave E) - Property Statistics:</t>
  </si>
  <si>
    <t>% Total:</t>
  </si>
  <si>
    <t xml:space="preserve">$ per </t>
  </si>
  <si>
    <t>$ per</t>
  </si>
  <si>
    <t>Expense Category:</t>
  </si>
  <si>
    <t>% Driver:</t>
  </si>
  <si>
    <t>Total in $ as Stated:</t>
  </si>
  <si>
    <t>Dev Costs:</t>
  </si>
  <si>
    <t>Land Acquisition Costs:</t>
  </si>
  <si>
    <t>Total Land Costs:</t>
  </si>
  <si>
    <t>Hard Costs:</t>
  </si>
  <si>
    <t>Total Hard Costs:</t>
  </si>
  <si>
    <t>Soft Costs:</t>
  </si>
  <si>
    <t>Total Soft Costs:</t>
  </si>
  <si>
    <t>Total Development Costs:</t>
  </si>
  <si>
    <t>Development Profit (20%):</t>
  </si>
  <si>
    <t>Total Replacement Cost:</t>
  </si>
  <si>
    <t>Replacement Cost Analysis:</t>
  </si>
  <si>
    <t>Summit</t>
  </si>
  <si>
    <t>Cue</t>
  </si>
  <si>
    <t>Whitworth</t>
  </si>
  <si>
    <t>Packard Building</t>
  </si>
  <si>
    <t>733 Summit Avenue E</t>
  </si>
  <si>
    <t>1525 Harvard Avenue</t>
  </si>
  <si>
    <t>1619 E John Street</t>
  </si>
  <si>
    <t>1520 12th Avenue</t>
  </si>
  <si>
    <t>Sherwood Apartments</t>
  </si>
  <si>
    <t>1633 Melrose Avenue</t>
  </si>
  <si>
    <t>JUXT</t>
  </si>
  <si>
    <t>810 Dexter Avenue N</t>
  </si>
  <si>
    <t>Rivet</t>
  </si>
  <si>
    <t>1201 Mercer St</t>
  </si>
  <si>
    <t>Anthem on 12th</t>
  </si>
  <si>
    <t>103 12th Avenue</t>
  </si>
  <si>
    <t>Walton Lofts</t>
  </si>
  <si>
    <t>Cornelius</t>
  </si>
  <si>
    <t>Griffis Belltown</t>
  </si>
  <si>
    <t>75 Vine St</t>
  </si>
  <si>
    <t>306 Blanchard St</t>
  </si>
  <si>
    <t>2400 Elliott Ave</t>
  </si>
  <si>
    <t>Helix-Ellipse</t>
  </si>
  <si>
    <t>Radius</t>
  </si>
  <si>
    <t>Union Bay</t>
  </si>
  <si>
    <t>Bridges @ 11th</t>
  </si>
  <si>
    <t>University District</t>
  </si>
  <si>
    <t>430 8th Ave N</t>
  </si>
  <si>
    <t>400 Boren Ave N</t>
  </si>
  <si>
    <t>526 Yale Ave N</t>
  </si>
  <si>
    <t>4557 11th Ave NE</t>
  </si>
  <si>
    <t>8th &amp; Republican</t>
  </si>
  <si>
    <t>4751 12th Ave NE</t>
  </si>
  <si>
    <t>(+) Land Purchase:</t>
  </si>
  <si>
    <t>(+) Taxes &amp; Fees:</t>
  </si>
  <si>
    <t>(+) Excavation &amp; Construction:</t>
  </si>
  <si>
    <t>(+) General Contractor Fee:</t>
  </si>
  <si>
    <t>(+) Contingency:</t>
  </si>
  <si>
    <t>(+) Architectural &amp; Engineering:</t>
  </si>
  <si>
    <t>(+) Real Estate Taxes:</t>
  </si>
  <si>
    <t>(+) Office and Common Area FF&amp;E:</t>
  </si>
  <si>
    <t>(+) Engineering:</t>
  </si>
  <si>
    <t>(+) Startup Expenses:</t>
  </si>
  <si>
    <t>(+) Legal &amp; Closing:</t>
  </si>
  <si>
    <t>(+) Impact &amp; Permit Fees:</t>
  </si>
  <si>
    <t>(+) Development Fee:</t>
  </si>
  <si>
    <t>Financing Costs:</t>
  </si>
  <si>
    <t>Bad Debt &amp; Concessions % In-Place Rent:</t>
  </si>
  <si>
    <t>Selected Bad Debt &amp; Concessions %:</t>
  </si>
  <si>
    <t>In-Place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</si>
</sst>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\-_);@_)"/>
    <numFmt numFmtId="165" formatCode="yyyy\-mm\-dd"/>
    <numFmt numFmtId="166" formatCode="0.00%_);\(0.00%\);\-_);@_)"/>
    <numFmt numFmtId="167" formatCode="0.0%_);\(0.0%\);\-_);@_)"/>
    <numFmt numFmtId="168" formatCode="#,##0\ &quot;sq. ft.&quot;"/>
    <numFmt numFmtId="169" formatCode="&quot;FY&quot;yy"/>
    <numFmt numFmtId="170" formatCode="0.00\ \x_);\(0.00\ \x\);\-_);@_)"/>
    <numFmt numFmtId="171" formatCode="0.0\ \x_);\(0.0\ \x\);\-_);@_)"/>
    <numFmt numFmtId="172" formatCode="_(0.0%_);\(0.0%\);_(&quot;–&quot;_);_(@_)"/>
    <numFmt numFmtId="173" formatCode="0.0%;\(0.0%\)"/>
    <numFmt numFmtId="174" formatCode="0.000"/>
    <numFmt numFmtId="175" formatCode="_(0.00%_);\(0.00%\);_(&quot;–&quot;_);_(@_)"/>
    <numFmt numFmtId="176" formatCode="0.00%;\(0.00%\)"/>
    <numFmt numFmtId="177" formatCode="0.0%"/>
    <numFmt numFmtId="178" formatCode="_(&quot;$&quot;* #,##0.00_);_(&quot;$&quot;* \(#,##0.00\);_(&quot;$&quot;* &quot;-&quot;_);_(@_)"/>
  </numFmts>
  <fonts count="33" x14ac:knownFonts="1"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sz val="12"/>
      <color rgb="FF0000FF"/>
      <name val="Calibri"/>
      <family val="2"/>
    </font>
    <font>
      <sz val="12"/>
      <name val="Calibri"/>
      <family val="2"/>
    </font>
    <font>
      <i/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9"/>
      <name val="Calibri"/>
      <family val="2"/>
      <scheme val="minor"/>
    </font>
    <font>
      <sz val="12"/>
      <color theme="0"/>
      <name val="Calibri"/>
      <family val="2"/>
    </font>
    <font>
      <sz val="12"/>
      <color theme="0" tint="-0.14999847407452621"/>
      <name val="Calibri"/>
      <family val="2"/>
      <scheme val="minor"/>
    </font>
    <font>
      <b/>
      <sz val="12"/>
      <name val="Calibri"/>
      <family val="2"/>
    </font>
    <font>
      <sz val="12"/>
      <color rgb="FF1F497D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2"/>
      <color indexed="9"/>
      <name val="Calibri"/>
      <family val="2"/>
      <scheme val="minor"/>
    </font>
    <font>
      <b/>
      <sz val="12"/>
      <color rgb="FF0000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5" fillId="0" borderId="0"/>
  </cellStyleXfs>
  <cellXfs count="296">
    <xf numFmtId="0" fontId="0" fillId="0" borderId="0" xfId="0"/>
    <xf numFmtId="0" fontId="4" fillId="0" borderId="0" xfId="0" applyNumberFormat="1" applyFont="1" applyBorder="1"/>
    <xf numFmtId="0" fontId="7" fillId="0" borderId="0" xfId="0" applyNumberFormat="1" applyFont="1" applyBorder="1"/>
    <xf numFmtId="0" fontId="8" fillId="0" borderId="0" xfId="0" applyFont="1" applyBorder="1"/>
    <xf numFmtId="0" fontId="9" fillId="0" borderId="0" xfId="0" applyNumberFormat="1" applyFont="1" applyBorder="1" applyAlignment="1">
      <alignment horizontal="left"/>
    </xf>
    <xf numFmtId="0" fontId="8" fillId="0" borderId="0" xfId="0" applyNumberFormat="1" applyFont="1" applyBorder="1"/>
    <xf numFmtId="0" fontId="8" fillId="0" borderId="0" xfId="0" applyFont="1"/>
    <xf numFmtId="0" fontId="6" fillId="2" borderId="2" xfId="0" applyNumberFormat="1" applyFont="1" applyFill="1" applyBorder="1" applyAlignment="1">
      <alignment horizontal="left"/>
    </xf>
    <xf numFmtId="0" fontId="10" fillId="2" borderId="2" xfId="0" applyNumberFormat="1" applyFont="1" applyFill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1" fillId="3" borderId="1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Border="1" applyAlignment="1">
      <alignment horizontal="left" indent="1"/>
    </xf>
    <xf numFmtId="0" fontId="12" fillId="0" borderId="0" xfId="0" applyNumberFormat="1" applyFont="1" applyBorder="1"/>
    <xf numFmtId="165" fontId="11" fillId="3" borderId="1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Border="1" applyAlignment="1">
      <alignment horizontal="left"/>
    </xf>
    <xf numFmtId="166" fontId="11" fillId="3" borderId="1" xfId="0" applyNumberFormat="1" applyFont="1" applyFill="1" applyBorder="1" applyAlignment="1" applyProtection="1">
      <alignment horizontal="center"/>
      <protection locked="0"/>
    </xf>
    <xf numFmtId="1" fontId="11" fillId="3" borderId="1" xfId="0" applyNumberFormat="1" applyFont="1" applyFill="1" applyBorder="1" applyAlignment="1" applyProtection="1">
      <alignment horizontal="center"/>
      <protection locked="0"/>
    </xf>
    <xf numFmtId="164" fontId="11" fillId="3" borderId="1" xfId="0" applyNumberFormat="1" applyFont="1" applyFill="1" applyBorder="1" applyAlignment="1" applyProtection="1">
      <alignment horizontal="center"/>
      <protection locked="0"/>
    </xf>
    <xf numFmtId="167" fontId="11" fillId="3" borderId="1" xfId="0" applyNumberFormat="1" applyFont="1" applyFill="1" applyBorder="1" applyAlignment="1" applyProtection="1">
      <alignment horizontal="center"/>
      <protection locked="0"/>
    </xf>
    <xf numFmtId="0" fontId="9" fillId="0" borderId="0" xfId="0" applyNumberFormat="1" applyFont="1" applyFill="1" applyBorder="1" applyAlignment="1">
      <alignment horizontal="center"/>
    </xf>
    <xf numFmtId="168" fontId="12" fillId="0" borderId="0" xfId="0" applyNumberFormat="1" applyFont="1" applyBorder="1"/>
    <xf numFmtId="0" fontId="12" fillId="0" borderId="0" xfId="0" applyNumberFormat="1" applyFont="1" applyBorder="1" applyAlignment="1">
      <alignment horizontal="right"/>
    </xf>
    <xf numFmtId="0" fontId="9" fillId="0" borderId="0" xfId="0" quotePrefix="1" applyNumberFormat="1" applyFont="1" applyBorder="1" applyAlignment="1">
      <alignment horizontal="center"/>
    </xf>
    <xf numFmtId="166" fontId="8" fillId="0" borderId="0" xfId="0" quotePrefix="1" applyNumberFormat="1" applyFont="1" applyBorder="1" applyAlignment="1">
      <alignment horizontal="center"/>
    </xf>
    <xf numFmtId="42" fontId="12" fillId="0" borderId="0" xfId="0" applyNumberFormat="1" applyFont="1" applyFill="1" applyBorder="1" applyProtection="1">
      <protection locked="0"/>
    </xf>
    <xf numFmtId="44" fontId="12" fillId="0" borderId="0" xfId="0" applyNumberFormat="1" applyFont="1" applyFill="1" applyBorder="1" applyProtection="1">
      <protection locked="0"/>
    </xf>
    <xf numFmtId="0" fontId="7" fillId="5" borderId="2" xfId="0" applyNumberFormat="1" applyFont="1" applyFill="1" applyBorder="1" applyAlignment="1">
      <alignment horizontal="centerContinuous"/>
    </xf>
    <xf numFmtId="166" fontId="11" fillId="3" borderId="12" xfId="0" applyNumberFormat="1" applyFont="1" applyFill="1" applyBorder="1" applyAlignment="1" applyProtection="1">
      <alignment horizontal="center"/>
      <protection locked="0"/>
    </xf>
    <xf numFmtId="0" fontId="9" fillId="0" borderId="0" xfId="0" quotePrefix="1" applyNumberFormat="1" applyFont="1" applyBorder="1" applyAlignment="1">
      <alignment horizontal="left"/>
    </xf>
    <xf numFmtId="0" fontId="10" fillId="2" borderId="2" xfId="0" applyNumberFormat="1" applyFont="1" applyFill="1" applyBorder="1" applyAlignment="1">
      <alignment horizontal="left"/>
    </xf>
    <xf numFmtId="164" fontId="8" fillId="0" borderId="0" xfId="0" applyNumberFormat="1" applyFont="1" applyBorder="1" applyAlignment="1">
      <alignment horizontal="left" indent="1"/>
    </xf>
    <xf numFmtId="42" fontId="8" fillId="0" borderId="0" xfId="0" applyNumberFormat="1" applyFont="1" applyBorder="1"/>
    <xf numFmtId="9" fontId="8" fillId="0" borderId="0" xfId="0" applyNumberFormat="1" applyFont="1" applyBorder="1"/>
    <xf numFmtId="164" fontId="8" fillId="0" borderId="0" xfId="0" applyNumberFormat="1" applyFont="1" applyBorder="1"/>
    <xf numFmtId="41" fontId="8" fillId="0" borderId="0" xfId="0" applyNumberFormat="1" applyFont="1" applyBorder="1"/>
    <xf numFmtId="164" fontId="7" fillId="0" borderId="7" xfId="0" applyNumberFormat="1" applyFont="1" applyBorder="1"/>
    <xf numFmtId="42" fontId="7" fillId="0" borderId="7" xfId="0" applyNumberFormat="1" applyFont="1" applyBorder="1"/>
    <xf numFmtId="0" fontId="6" fillId="2" borderId="0" xfId="0" applyNumberFormat="1" applyFont="1" applyFill="1" applyBorder="1" applyAlignment="1">
      <alignment horizontal="left"/>
    </xf>
    <xf numFmtId="0" fontId="10" fillId="2" borderId="0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center"/>
    </xf>
    <xf numFmtId="0" fontId="6" fillId="2" borderId="4" xfId="0" applyNumberFormat="1" applyFont="1" applyFill="1" applyBorder="1" applyAlignment="1">
      <alignment horizontal="centerContinuous"/>
    </xf>
    <xf numFmtId="0" fontId="6" fillId="2" borderId="5" xfId="0" applyNumberFormat="1" applyFont="1" applyFill="1" applyBorder="1" applyAlignment="1">
      <alignment horizontal="centerContinuous"/>
    </xf>
    <xf numFmtId="0" fontId="6" fillId="2" borderId="0" xfId="0" applyNumberFormat="1" applyFont="1" applyFill="1" applyBorder="1" applyAlignment="1">
      <alignment horizontal="centerContinuous"/>
    </xf>
    <xf numFmtId="169" fontId="6" fillId="2" borderId="2" xfId="0" applyNumberFormat="1" applyFont="1" applyFill="1" applyBorder="1" applyAlignment="1">
      <alignment horizontal="center"/>
    </xf>
    <xf numFmtId="169" fontId="6" fillId="2" borderId="6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left" indent="1"/>
    </xf>
    <xf numFmtId="0" fontId="7" fillId="0" borderId="0" xfId="0" applyFont="1" applyBorder="1"/>
    <xf numFmtId="0" fontId="7" fillId="0" borderId="0" xfId="0" applyFont="1" applyBorder="1" applyAlignment="1">
      <alignment horizontal="left" indent="1"/>
    </xf>
    <xf numFmtId="0" fontId="1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0" fontId="6" fillId="2" borderId="2" xfId="0" applyNumberFormat="1" applyFont="1" applyFill="1" applyBorder="1" applyAlignment="1">
      <alignment horizontal="center"/>
    </xf>
    <xf numFmtId="169" fontId="6" fillId="2" borderId="8" xfId="0" applyNumberFormat="1" applyFont="1" applyFill="1" applyBorder="1" applyAlignment="1">
      <alignment horizontal="center"/>
    </xf>
    <xf numFmtId="164" fontId="8" fillId="0" borderId="7" xfId="0" applyNumberFormat="1" applyFont="1" applyBorder="1"/>
    <xf numFmtId="0" fontId="9" fillId="0" borderId="0" xfId="0" applyFont="1" applyBorder="1" applyAlignment="1">
      <alignment horizontal="left"/>
    </xf>
    <xf numFmtId="0" fontId="9" fillId="0" borderId="2" xfId="0" applyNumberFormat="1" applyFont="1" applyBorder="1" applyAlignment="1">
      <alignment horizontal="center"/>
    </xf>
    <xf numFmtId="0" fontId="7" fillId="0" borderId="7" xfId="0" applyNumberFormat="1" applyFont="1" applyBorder="1"/>
    <xf numFmtId="164" fontId="7" fillId="0" borderId="0" xfId="0" applyNumberFormat="1" applyFont="1" applyBorder="1"/>
    <xf numFmtId="0" fontId="9" fillId="0" borderId="0" xfId="0" applyNumberFormat="1" applyFont="1" applyBorder="1" applyAlignment="1">
      <alignment horizontal="left" indent="1"/>
    </xf>
    <xf numFmtId="167" fontId="9" fillId="0" borderId="0" xfId="0" applyNumberFormat="1" applyFont="1" applyBorder="1"/>
    <xf numFmtId="0" fontId="14" fillId="0" borderId="0" xfId="0" applyNumberFormat="1" applyFont="1" applyFill="1" applyBorder="1" applyAlignment="1">
      <alignment horizontal="left" indent="1"/>
    </xf>
    <xf numFmtId="164" fontId="8" fillId="0" borderId="0" xfId="0" applyNumberFormat="1" applyFont="1"/>
    <xf numFmtId="0" fontId="15" fillId="0" borderId="0" xfId="0" applyFont="1"/>
    <xf numFmtId="164" fontId="15" fillId="0" borderId="0" xfId="0" applyNumberFormat="1" applyFont="1"/>
    <xf numFmtId="0" fontId="7" fillId="0" borderId="0" xfId="0" applyNumberFormat="1" applyFont="1" applyFill="1" applyBorder="1" applyAlignment="1">
      <alignment horizontal="left"/>
    </xf>
    <xf numFmtId="164" fontId="15" fillId="0" borderId="0" xfId="0" applyNumberFormat="1" applyFont="1" applyBorder="1"/>
    <xf numFmtId="0" fontId="14" fillId="0" borderId="0" xfId="0" applyNumberFormat="1" applyFont="1" applyBorder="1"/>
    <xf numFmtId="170" fontId="9" fillId="0" borderId="0" xfId="0" applyNumberFormat="1" applyFont="1" applyBorder="1"/>
    <xf numFmtId="0" fontId="15" fillId="0" borderId="0" xfId="0" applyNumberFormat="1" applyFont="1" applyBorder="1"/>
    <xf numFmtId="0" fontId="15" fillId="0" borderId="7" xfId="0" applyNumberFormat="1" applyFont="1" applyBorder="1"/>
    <xf numFmtId="42" fontId="15" fillId="0" borderId="7" xfId="0" applyNumberFormat="1" applyFont="1" applyBorder="1"/>
    <xf numFmtId="0" fontId="15" fillId="4" borderId="9" xfId="0" applyNumberFormat="1" applyFont="1" applyFill="1" applyBorder="1" applyAlignment="1">
      <alignment horizontal="left"/>
    </xf>
    <xf numFmtId="0" fontId="16" fillId="4" borderId="10" xfId="0" applyNumberFormat="1" applyFont="1" applyFill="1" applyBorder="1" applyAlignment="1">
      <alignment horizontal="center"/>
    </xf>
    <xf numFmtId="0" fontId="15" fillId="4" borderId="10" xfId="0" applyNumberFormat="1" applyFont="1" applyFill="1" applyBorder="1"/>
    <xf numFmtId="0" fontId="8" fillId="0" borderId="0" xfId="0" applyFont="1" applyBorder="1" applyAlignment="1">
      <alignment horizontal="left" indent="1"/>
    </xf>
    <xf numFmtId="9" fontId="8" fillId="0" borderId="0" xfId="0" applyNumberFormat="1" applyFont="1"/>
    <xf numFmtId="166" fontId="11" fillId="0" borderId="0" xfId="0" applyNumberFormat="1" applyFont="1" applyFill="1" applyBorder="1" applyAlignment="1" applyProtection="1">
      <alignment horizontal="center"/>
      <protection locked="0"/>
    </xf>
    <xf numFmtId="0" fontId="15" fillId="0" borderId="7" xfId="0" applyNumberFormat="1" applyFont="1" applyBorder="1" applyAlignment="1">
      <alignment horizontal="left"/>
    </xf>
    <xf numFmtId="164" fontId="8" fillId="0" borderId="2" xfId="0" applyNumberFormat="1" applyFont="1" applyBorder="1"/>
    <xf numFmtId="41" fontId="8" fillId="0" borderId="2" xfId="0" applyNumberFormat="1" applyFont="1" applyBorder="1"/>
    <xf numFmtId="44" fontId="8" fillId="0" borderId="0" xfId="0" applyNumberFormat="1" applyFont="1" applyBorder="1"/>
    <xf numFmtId="43" fontId="17" fillId="0" borderId="0" xfId="0" applyNumberFormat="1" applyFont="1" applyBorder="1"/>
    <xf numFmtId="168" fontId="12" fillId="3" borderId="1" xfId="0" applyNumberFormat="1" applyFont="1" applyFill="1" applyBorder="1" applyProtection="1">
      <protection locked="0"/>
    </xf>
    <xf numFmtId="168" fontId="11" fillId="3" borderId="1" xfId="0" applyNumberFormat="1" applyFont="1" applyFill="1" applyBorder="1" applyAlignment="1" applyProtection="1">
      <alignment horizontal="center"/>
      <protection locked="0"/>
    </xf>
    <xf numFmtId="167" fontId="11" fillId="0" borderId="0" xfId="0" applyNumberFormat="1" applyFont="1" applyFill="1" applyBorder="1" applyAlignment="1" applyProtection="1">
      <alignment horizontal="center"/>
      <protection locked="0"/>
    </xf>
    <xf numFmtId="43" fontId="18" fillId="0" borderId="0" xfId="0" applyNumberFormat="1" applyFont="1" applyBorder="1"/>
    <xf numFmtId="167" fontId="8" fillId="0" borderId="0" xfId="0" quotePrefix="1" applyNumberFormat="1" applyFont="1" applyBorder="1" applyAlignment="1">
      <alignment horizontal="center"/>
    </xf>
    <xf numFmtId="164" fontId="12" fillId="3" borderId="1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Border="1"/>
    <xf numFmtId="41" fontId="15" fillId="0" borderId="0" xfId="0" applyNumberFormat="1" applyFont="1" applyBorder="1"/>
    <xf numFmtId="0" fontId="14" fillId="0" borderId="0" xfId="0" applyNumberFormat="1" applyFont="1" applyBorder="1" applyAlignment="1">
      <alignment horizontal="left" indent="1"/>
    </xf>
    <xf numFmtId="39" fontId="11" fillId="3" borderId="1" xfId="0" applyNumberFormat="1" applyFont="1" applyFill="1" applyBorder="1" applyAlignment="1" applyProtection="1">
      <alignment horizontal="center"/>
      <protection locked="0"/>
    </xf>
    <xf numFmtId="43" fontId="17" fillId="3" borderId="1" xfId="0" applyNumberFormat="1" applyFont="1" applyFill="1" applyBorder="1"/>
    <xf numFmtId="41" fontId="17" fillId="0" borderId="0" xfId="0" applyNumberFormat="1" applyFont="1" applyBorder="1"/>
    <xf numFmtId="164" fontId="17" fillId="0" borderId="0" xfId="0" applyNumberFormat="1" applyFont="1" applyBorder="1"/>
    <xf numFmtId="42" fontId="7" fillId="0" borderId="0" xfId="0" applyNumberFormat="1" applyFont="1" applyBorder="1"/>
    <xf numFmtId="0" fontId="8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165" fontId="12" fillId="3" borderId="1" xfId="0" applyNumberFormat="1" applyFont="1" applyFill="1" applyBorder="1" applyAlignment="1" applyProtection="1">
      <alignment horizontal="center"/>
      <protection locked="0"/>
    </xf>
    <xf numFmtId="167" fontId="19" fillId="0" borderId="0" xfId="0" applyNumberFormat="1" applyFont="1" applyBorder="1"/>
    <xf numFmtId="42" fontId="17" fillId="0" borderId="0" xfId="0" applyNumberFormat="1" applyFont="1" applyBorder="1"/>
    <xf numFmtId="42" fontId="18" fillId="0" borderId="0" xfId="0" applyNumberFormat="1" applyFont="1" applyBorder="1"/>
    <xf numFmtId="41" fontId="18" fillId="0" borderId="0" xfId="0" applyNumberFormat="1" applyFont="1" applyBorder="1"/>
    <xf numFmtId="0" fontId="12" fillId="0" borderId="0" xfId="0" applyFont="1" applyAlignment="1">
      <alignment horizontal="left" indent="1"/>
    </xf>
    <xf numFmtId="0" fontId="9" fillId="0" borderId="2" xfId="0" quotePrefix="1" applyNumberFormat="1" applyFont="1" applyBorder="1" applyAlignment="1">
      <alignment horizontal="center"/>
    </xf>
    <xf numFmtId="167" fontId="11" fillId="0" borderId="2" xfId="0" applyNumberFormat="1" applyFont="1" applyFill="1" applyBorder="1" applyAlignment="1" applyProtection="1">
      <alignment horizontal="center"/>
      <protection locked="0"/>
    </xf>
    <xf numFmtId="167" fontId="20" fillId="0" borderId="7" xfId="0" applyNumberFormat="1" applyFont="1" applyFill="1" applyBorder="1" applyAlignment="1" applyProtection="1">
      <alignment horizontal="center"/>
      <protection locked="0"/>
    </xf>
    <xf numFmtId="0" fontId="8" fillId="0" borderId="2" xfId="0" applyNumberFormat="1" applyFont="1" applyBorder="1"/>
    <xf numFmtId="0" fontId="12" fillId="3" borderId="1" xfId="0" applyNumberFormat="1" applyFont="1" applyFill="1" applyBorder="1" applyAlignment="1" applyProtection="1">
      <alignment horizontal="center"/>
      <protection locked="0"/>
    </xf>
    <xf numFmtId="167" fontId="11" fillId="3" borderId="13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left" indent="1"/>
    </xf>
    <xf numFmtId="166" fontId="11" fillId="3" borderId="14" xfId="0" applyNumberFormat="1" applyFont="1" applyFill="1" applyBorder="1" applyAlignment="1" applyProtection="1">
      <alignment horizontal="center"/>
      <protection locked="0"/>
    </xf>
    <xf numFmtId="0" fontId="15" fillId="0" borderId="7" xfId="0" applyFont="1" applyBorder="1"/>
    <xf numFmtId="0" fontId="9" fillId="0" borderId="7" xfId="0" applyNumberFormat="1" applyFont="1" applyBorder="1" applyAlignment="1">
      <alignment horizontal="center"/>
    </xf>
    <xf numFmtId="0" fontId="8" fillId="0" borderId="7" xfId="0" applyFont="1" applyBorder="1"/>
    <xf numFmtId="166" fontId="20" fillId="0" borderId="7" xfId="0" applyNumberFormat="1" applyFont="1" applyFill="1" applyBorder="1" applyAlignment="1" applyProtection="1">
      <alignment horizontal="center"/>
      <protection locked="0"/>
    </xf>
    <xf numFmtId="42" fontId="12" fillId="0" borderId="15" xfId="0" applyNumberFormat="1" applyFont="1" applyFill="1" applyBorder="1" applyProtection="1">
      <protection locked="0"/>
    </xf>
    <xf numFmtId="0" fontId="21" fillId="0" borderId="0" xfId="0" applyNumberFormat="1" applyFont="1" applyBorder="1" applyAlignment="1">
      <alignment horizontal="center"/>
    </xf>
    <xf numFmtId="166" fontId="12" fillId="0" borderId="15" xfId="0" applyNumberFormat="1" applyFont="1" applyFill="1" applyBorder="1" applyAlignment="1" applyProtection="1">
      <alignment horizontal="center"/>
      <protection locked="0"/>
    </xf>
    <xf numFmtId="164" fontId="17" fillId="3" borderId="13" xfId="0" applyNumberFormat="1" applyFont="1" applyFill="1" applyBorder="1"/>
    <xf numFmtId="164" fontId="18" fillId="0" borderId="0" xfId="0" applyNumberFormat="1" applyFont="1" applyBorder="1"/>
    <xf numFmtId="167" fontId="7" fillId="4" borderId="11" xfId="0" applyNumberFormat="1" applyFont="1" applyFill="1" applyBorder="1" applyAlignment="1">
      <alignment horizontal="center"/>
    </xf>
    <xf numFmtId="0" fontId="20" fillId="5" borderId="2" xfId="0" applyFont="1" applyFill="1" applyBorder="1"/>
    <xf numFmtId="0" fontId="22" fillId="5" borderId="2" xfId="0" applyFont="1" applyFill="1" applyBorder="1"/>
    <xf numFmtId="0" fontId="12" fillId="0" borderId="0" xfId="0" applyFont="1"/>
    <xf numFmtId="0" fontId="1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0" fontId="15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left" indent="1"/>
    </xf>
    <xf numFmtId="0" fontId="8" fillId="0" borderId="2" xfId="0" applyNumberFormat="1" applyFont="1" applyBorder="1" applyAlignment="1">
      <alignment horizontal="left" indent="1"/>
    </xf>
    <xf numFmtId="0" fontId="8" fillId="0" borderId="2" xfId="0" applyFont="1" applyBorder="1"/>
    <xf numFmtId="42" fontId="8" fillId="0" borderId="0" xfId="0" applyNumberFormat="1" applyFont="1"/>
    <xf numFmtId="41" fontId="8" fillId="0" borderId="0" xfId="0" applyNumberFormat="1" applyFont="1"/>
    <xf numFmtId="166" fontId="12" fillId="0" borderId="0" xfId="0" applyNumberFormat="1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left" indent="1"/>
    </xf>
    <xf numFmtId="164" fontId="17" fillId="3" borderId="1" xfId="0" applyNumberFormat="1" applyFont="1" applyFill="1" applyBorder="1"/>
    <xf numFmtId="41" fontId="12" fillId="0" borderId="0" xfId="0" applyNumberFormat="1" applyFont="1" applyFill="1" applyBorder="1" applyProtection="1">
      <protection locked="0"/>
    </xf>
    <xf numFmtId="42" fontId="15" fillId="0" borderId="0" xfId="0" applyNumberFormat="1" applyFont="1"/>
    <xf numFmtId="171" fontId="2" fillId="0" borderId="0" xfId="0" applyNumberFormat="1" applyFont="1" applyBorder="1" applyAlignment="1">
      <alignment horizontal="center"/>
    </xf>
    <xf numFmtId="41" fontId="12" fillId="0" borderId="16" xfId="0" applyNumberFormat="1" applyFont="1" applyFill="1" applyBorder="1" applyProtection="1">
      <protection locked="0"/>
    </xf>
    <xf numFmtId="167" fontId="1" fillId="0" borderId="0" xfId="0" applyNumberFormat="1" applyFont="1" applyBorder="1" applyAlignment="1">
      <alignment horizontal="center"/>
    </xf>
    <xf numFmtId="0" fontId="25" fillId="2" borderId="2" xfId="1" applyFont="1" applyFill="1" applyBorder="1"/>
    <xf numFmtId="0" fontId="20" fillId="6" borderId="17" xfId="1" applyFont="1" applyFill="1" applyBorder="1" applyAlignment="1">
      <alignment horizontal="centerContinuous"/>
    </xf>
    <xf numFmtId="0" fontId="20" fillId="6" borderId="7" xfId="1" applyFont="1" applyFill="1" applyBorder="1" applyAlignment="1">
      <alignment horizontal="centerContinuous"/>
    </xf>
    <xf numFmtId="0" fontId="20" fillId="6" borderId="18" xfId="1" applyFont="1" applyFill="1" applyBorder="1" applyAlignment="1">
      <alignment horizontal="centerContinuous"/>
    </xf>
    <xf numFmtId="167" fontId="26" fillId="0" borderId="0" xfId="0" applyNumberFormat="1" applyFont="1" applyProtection="1">
      <protection locked="0"/>
    </xf>
    <xf numFmtId="169" fontId="20" fillId="6" borderId="19" xfId="1" applyNumberFormat="1" applyFont="1" applyFill="1" applyBorder="1" applyAlignment="1">
      <alignment horizontal="centerContinuous"/>
    </xf>
    <xf numFmtId="169" fontId="20" fillId="6" borderId="2" xfId="1" applyNumberFormat="1" applyFont="1" applyFill="1" applyBorder="1" applyAlignment="1">
      <alignment horizontal="centerContinuous"/>
    </xf>
    <xf numFmtId="169" fontId="20" fillId="6" borderId="20" xfId="1" applyNumberFormat="1" applyFont="1" applyFill="1" applyBorder="1" applyAlignment="1">
      <alignment horizontal="centerContinuous"/>
    </xf>
    <xf numFmtId="167" fontId="18" fillId="0" borderId="0" xfId="0" quotePrefix="1" applyNumberFormat="1" applyFont="1" applyBorder="1" applyAlignment="1">
      <alignment horizontal="center"/>
    </xf>
    <xf numFmtId="0" fontId="20" fillId="6" borderId="25" xfId="1" applyFont="1" applyFill="1" applyBorder="1" applyAlignment="1">
      <alignment horizontal="centerContinuous"/>
    </xf>
    <xf numFmtId="0" fontId="20" fillId="6" borderId="19" xfId="1" applyFont="1" applyFill="1" applyBorder="1" applyAlignment="1">
      <alignment horizontal="centerContinuous"/>
    </xf>
    <xf numFmtId="0" fontId="20" fillId="6" borderId="18" xfId="1" applyFont="1" applyFill="1" applyBorder="1" applyAlignment="1">
      <alignment horizontal="right"/>
    </xf>
    <xf numFmtId="0" fontId="20" fillId="6" borderId="24" xfId="1" applyFont="1" applyFill="1" applyBorder="1" applyAlignment="1">
      <alignment horizontal="right"/>
    </xf>
    <xf numFmtId="0" fontId="20" fillId="6" borderId="20" xfId="1" applyFont="1" applyFill="1" applyBorder="1" applyAlignment="1">
      <alignment horizontal="right"/>
    </xf>
    <xf numFmtId="0" fontId="20" fillId="6" borderId="21" xfId="1" applyFont="1" applyFill="1" applyBorder="1" applyAlignment="1">
      <alignment horizontal="right"/>
    </xf>
    <xf numFmtId="0" fontId="20" fillId="6" borderId="22" xfId="1" applyFont="1" applyFill="1" applyBorder="1" applyAlignment="1">
      <alignment horizontal="right"/>
    </xf>
    <xf numFmtId="0" fontId="20" fillId="6" borderId="23" xfId="1" applyFont="1" applyFill="1" applyBorder="1" applyAlignment="1">
      <alignment horizontal="right"/>
    </xf>
    <xf numFmtId="0" fontId="12" fillId="2" borderId="17" xfId="1" applyFont="1" applyFill="1" applyBorder="1"/>
    <xf numFmtId="0" fontId="12" fillId="2" borderId="10" xfId="1" applyFont="1" applyFill="1" applyBorder="1"/>
    <xf numFmtId="0" fontId="6" fillId="2" borderId="10" xfId="1" applyFont="1" applyFill="1" applyBorder="1" applyAlignment="1">
      <alignment horizontal="centerContinuous"/>
    </xf>
    <xf numFmtId="0" fontId="20" fillId="2" borderId="10" xfId="1" applyFont="1" applyFill="1" applyBorder="1" applyAlignment="1">
      <alignment horizontal="centerContinuous"/>
    </xf>
    <xf numFmtId="0" fontId="20" fillId="2" borderId="11" xfId="1" applyFont="1" applyFill="1" applyBorder="1" applyAlignment="1">
      <alignment horizontal="centerContinuous"/>
    </xf>
    <xf numFmtId="0" fontId="12" fillId="2" borderId="22" xfId="1" applyFont="1" applyFill="1" applyBorder="1"/>
    <xf numFmtId="167" fontId="27" fillId="5" borderId="0" xfId="1" applyNumberFormat="1" applyFont="1" applyFill="1" applyBorder="1"/>
    <xf numFmtId="0" fontId="6" fillId="2" borderId="11" xfId="1" applyFont="1" applyFill="1" applyBorder="1" applyAlignment="1">
      <alignment horizontal="centerContinuous"/>
    </xf>
    <xf numFmtId="167" fontId="18" fillId="0" borderId="0" xfId="0" quotePrefix="1" applyNumberFormat="1" applyFont="1" applyFill="1" applyBorder="1" applyAlignment="1">
      <alignment horizontal="center"/>
    </xf>
    <xf numFmtId="167" fontId="12" fillId="0" borderId="25" xfId="1" applyNumberFormat="1" applyFont="1" applyFill="1" applyBorder="1" applyAlignment="1">
      <alignment horizontal="center"/>
    </xf>
    <xf numFmtId="167" fontId="29" fillId="2" borderId="22" xfId="1" applyNumberFormat="1" applyFont="1" applyFill="1" applyBorder="1"/>
    <xf numFmtId="0" fontId="6" fillId="2" borderId="17" xfId="1" applyFont="1" applyFill="1" applyBorder="1" applyAlignment="1">
      <alignment horizontal="center"/>
    </xf>
    <xf numFmtId="166" fontId="11" fillId="5" borderId="10" xfId="1" applyNumberFormat="1" applyFont="1" applyFill="1" applyBorder="1" applyAlignment="1">
      <alignment horizontal="center"/>
    </xf>
    <xf numFmtId="166" fontId="12" fillId="5" borderId="10" xfId="1" applyNumberFormat="1" applyFont="1" applyFill="1" applyBorder="1" applyAlignment="1">
      <alignment horizontal="center"/>
    </xf>
    <xf numFmtId="166" fontId="12" fillId="5" borderId="11" xfId="1" applyNumberFormat="1" applyFont="1" applyFill="1" applyBorder="1" applyAlignment="1">
      <alignment horizontal="center"/>
    </xf>
    <xf numFmtId="167" fontId="20" fillId="0" borderId="25" xfId="1" applyNumberFormat="1" applyFont="1" applyFill="1" applyBorder="1" applyAlignment="1">
      <alignment horizontal="center"/>
    </xf>
    <xf numFmtId="167" fontId="28" fillId="0" borderId="0" xfId="0" quotePrefix="1" applyNumberFormat="1" applyFont="1" applyFill="1" applyBorder="1" applyAlignment="1">
      <alignment horizontal="center"/>
    </xf>
    <xf numFmtId="166" fontId="30" fillId="5" borderId="9" xfId="1" applyNumberFormat="1" applyFont="1" applyFill="1" applyBorder="1" applyAlignment="1">
      <alignment horizontal="center"/>
    </xf>
    <xf numFmtId="166" fontId="20" fillId="5" borderId="10" xfId="1" applyNumberFormat="1" applyFont="1" applyFill="1" applyBorder="1" applyAlignment="1">
      <alignment horizontal="center"/>
    </xf>
    <xf numFmtId="166" fontId="20" fillId="5" borderId="9" xfId="1" applyNumberFormat="1" applyFont="1" applyFill="1" applyBorder="1" applyAlignment="1">
      <alignment horizontal="center"/>
    </xf>
    <xf numFmtId="167" fontId="12" fillId="0" borderId="17" xfId="1" applyNumberFormat="1" applyFont="1" applyFill="1" applyBorder="1" applyAlignment="1">
      <alignment horizontal="center"/>
    </xf>
    <xf numFmtId="167" fontId="12" fillId="0" borderId="0" xfId="1" applyNumberFormat="1" applyFont="1" applyFill="1" applyBorder="1" applyAlignment="1">
      <alignment horizontal="center"/>
    </xf>
    <xf numFmtId="0" fontId="20" fillId="0" borderId="0" xfId="1" applyFont="1" applyFill="1" applyBorder="1" applyAlignment="1">
      <alignment horizontal="right"/>
    </xf>
    <xf numFmtId="0" fontId="12" fillId="6" borderId="21" xfId="1" applyFont="1" applyFill="1" applyBorder="1" applyAlignment="1">
      <alignment horizontal="right"/>
    </xf>
    <xf numFmtId="166" fontId="12" fillId="3" borderId="1" xfId="0" applyNumberFormat="1" applyFont="1" applyFill="1" applyBorder="1" applyAlignment="1" applyProtection="1">
      <alignment horizontal="center"/>
      <protection locked="0"/>
    </xf>
    <xf numFmtId="0" fontId="7" fillId="5" borderId="2" xfId="0" applyFont="1" applyFill="1" applyBorder="1" applyAlignment="1">
      <alignment horizontal="centerContinuous"/>
    </xf>
    <xf numFmtId="0" fontId="1" fillId="5" borderId="2" xfId="0" applyFont="1" applyFill="1" applyBorder="1" applyAlignment="1">
      <alignment horizontal="centerContinuous"/>
    </xf>
    <xf numFmtId="0" fontId="9" fillId="0" borderId="0" xfId="0" applyFont="1"/>
    <xf numFmtId="0" fontId="1" fillId="0" borderId="0" xfId="0" applyFont="1" applyAlignment="1"/>
    <xf numFmtId="0" fontId="1" fillId="0" borderId="0" xfId="0" applyFont="1"/>
    <xf numFmtId="172" fontId="12" fillId="3" borderId="26" xfId="0" applyNumberFormat="1" applyFont="1" applyFill="1" applyBorder="1" applyAlignment="1">
      <alignment horizontal="center"/>
    </xf>
    <xf numFmtId="0" fontId="12" fillId="0" borderId="0" xfId="1" applyFont="1" applyBorder="1"/>
    <xf numFmtId="0" fontId="1" fillId="0" borderId="0" xfId="0" applyFont="1" applyBorder="1" applyAlignment="1"/>
    <xf numFmtId="172" fontId="11" fillId="3" borderId="26" xfId="0" applyNumberFormat="1" applyFont="1" applyFill="1" applyBorder="1" applyAlignment="1">
      <alignment horizontal="center"/>
    </xf>
    <xf numFmtId="42" fontId="1" fillId="0" borderId="0" xfId="0" applyNumberFormat="1" applyFont="1"/>
    <xf numFmtId="0" fontId="9" fillId="0" borderId="0" xfId="0" applyFont="1" applyBorder="1" applyAlignment="1"/>
    <xf numFmtId="0" fontId="1" fillId="0" borderId="0" xfId="0" applyFont="1" applyBorder="1"/>
    <xf numFmtId="0" fontId="12" fillId="0" borderId="0" xfId="1" applyFont="1" applyBorder="1" applyAlignment="1">
      <alignment horizontal="left" indent="1"/>
    </xf>
    <xf numFmtId="41" fontId="1" fillId="0" borderId="0" xfId="0" applyNumberFormat="1" applyFont="1" applyBorder="1"/>
    <xf numFmtId="0" fontId="12" fillId="0" borderId="2" xfId="1" applyFont="1" applyBorder="1" applyAlignment="1">
      <alignment horizontal="left" indent="1"/>
    </xf>
    <xf numFmtId="41" fontId="1" fillId="0" borderId="2" xfId="0" applyNumberFormat="1" applyFont="1" applyBorder="1"/>
    <xf numFmtId="0" fontId="1" fillId="0" borderId="2" xfId="0" applyFont="1" applyBorder="1" applyAlignment="1"/>
    <xf numFmtId="0" fontId="20" fillId="0" borderId="0" xfId="1" applyFont="1" applyBorder="1"/>
    <xf numFmtId="42" fontId="7" fillId="0" borderId="0" xfId="0" applyNumberFormat="1" applyFont="1"/>
    <xf numFmtId="0" fontId="12" fillId="0" borderId="0" xfId="1" applyFont="1"/>
    <xf numFmtId="0" fontId="13" fillId="0" borderId="0" xfId="1" applyFont="1" applyBorder="1"/>
    <xf numFmtId="173" fontId="13" fillId="0" borderId="0" xfId="1" applyNumberFormat="1" applyFont="1" applyBorder="1" applyAlignment="1">
      <alignment horizontal="center"/>
    </xf>
    <xf numFmtId="0" fontId="20" fillId="4" borderId="9" xfId="1" applyFont="1" applyFill="1" applyBorder="1"/>
    <xf numFmtId="173" fontId="20" fillId="4" borderId="11" xfId="1" applyNumberFormat="1" applyFont="1" applyFill="1" applyBorder="1" applyAlignment="1">
      <alignment horizontal="center"/>
    </xf>
    <xf numFmtId="0" fontId="12" fillId="4" borderId="9" xfId="1" applyFont="1" applyFill="1" applyBorder="1"/>
    <xf numFmtId="0" fontId="14" fillId="0" borderId="0" xfId="0" applyFont="1" applyAlignment="1">
      <alignment horizontal="center"/>
    </xf>
    <xf numFmtId="174" fontId="17" fillId="3" borderId="26" xfId="0" applyNumberFormat="1" applyFont="1" applyFill="1" applyBorder="1" applyAlignment="1">
      <alignment horizontal="center"/>
    </xf>
    <xf numFmtId="174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left" indent="1"/>
    </xf>
    <xf numFmtId="175" fontId="12" fillId="3" borderId="26" xfId="0" applyNumberFormat="1" applyFont="1" applyFill="1" applyBorder="1" applyAlignment="1">
      <alignment horizontal="center"/>
    </xf>
    <xf numFmtId="176" fontId="12" fillId="0" borderId="0" xfId="1" applyNumberFormat="1" applyFont="1" applyBorder="1" applyAlignment="1">
      <alignment horizontal="center"/>
    </xf>
    <xf numFmtId="176" fontId="11" fillId="3" borderId="26" xfId="0" applyNumberFormat="1" applyFont="1" applyFill="1" applyBorder="1" applyAlignment="1">
      <alignment horizontal="center"/>
    </xf>
    <xf numFmtId="166" fontId="11" fillId="5" borderId="23" xfId="1" applyNumberFormat="1" applyFont="1" applyFill="1" applyBorder="1" applyAlignment="1">
      <alignment horizontal="center"/>
    </xf>
    <xf numFmtId="166" fontId="11" fillId="5" borderId="24" xfId="1" applyNumberFormat="1" applyFont="1" applyFill="1" applyBorder="1" applyAlignment="1">
      <alignment horizontal="center"/>
    </xf>
    <xf numFmtId="166" fontId="12" fillId="5" borderId="24" xfId="1" applyNumberFormat="1" applyFont="1" applyFill="1" applyBorder="1" applyAlignment="1">
      <alignment horizontal="center"/>
    </xf>
    <xf numFmtId="166" fontId="20" fillId="5" borderId="24" xfId="1" applyNumberFormat="1" applyFont="1" applyFill="1" applyBorder="1" applyAlignment="1">
      <alignment horizontal="center"/>
    </xf>
    <xf numFmtId="42" fontId="18" fillId="0" borderId="0" xfId="0" quotePrefix="1" applyNumberFormat="1" applyFont="1" applyBorder="1" applyAlignment="1">
      <alignment horizontal="center"/>
    </xf>
    <xf numFmtId="42" fontId="28" fillId="0" borderId="0" xfId="0" quotePrefix="1" applyNumberFormat="1" applyFont="1" applyBorder="1" applyAlignment="1">
      <alignment horizontal="center"/>
    </xf>
    <xf numFmtId="41" fontId="18" fillId="0" borderId="0" xfId="0" quotePrefix="1" applyNumberFormat="1" applyFont="1" applyBorder="1" applyAlignment="1">
      <alignment horizontal="center"/>
    </xf>
    <xf numFmtId="41" fontId="28" fillId="0" borderId="0" xfId="0" quotePrefix="1" applyNumberFormat="1" applyFont="1" applyBorder="1" applyAlignment="1">
      <alignment horizontal="center"/>
    </xf>
    <xf numFmtId="0" fontId="25" fillId="7" borderId="2" xfId="0" applyFont="1" applyFill="1" applyBorder="1" applyAlignment="1">
      <alignment horizontal="left"/>
    </xf>
    <xf numFmtId="0" fontId="31" fillId="7" borderId="2" xfId="0" applyFont="1" applyFill="1" applyBorder="1" applyAlignment="1">
      <alignment horizontal="left"/>
    </xf>
    <xf numFmtId="0" fontId="15" fillId="5" borderId="2" xfId="0" applyFont="1" applyFill="1" applyBorder="1" applyAlignment="1">
      <alignment horizontal="center"/>
    </xf>
    <xf numFmtId="164" fontId="11" fillId="0" borderId="0" xfId="0" applyNumberFormat="1" applyFont="1" applyFill="1" applyBorder="1" applyAlignment="1" applyProtection="1">
      <alignment horizontal="center"/>
      <protection locked="0"/>
    </xf>
    <xf numFmtId="0" fontId="8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41" fontId="17" fillId="0" borderId="0" xfId="0" applyNumberFormat="1" applyFont="1"/>
    <xf numFmtId="10" fontId="17" fillId="0" borderId="0" xfId="0" applyNumberFormat="1" applyFont="1" applyAlignment="1">
      <alignment horizontal="center"/>
    </xf>
    <xf numFmtId="43" fontId="8" fillId="0" borderId="0" xfId="0" applyNumberFormat="1" applyFont="1"/>
    <xf numFmtId="42" fontId="17" fillId="0" borderId="0" xfId="0" applyNumberFormat="1" applyFont="1"/>
    <xf numFmtId="44" fontId="8" fillId="0" borderId="0" xfId="0" applyNumberFormat="1" applyFont="1"/>
    <xf numFmtId="41" fontId="28" fillId="0" borderId="7" xfId="0" applyNumberFormat="1" applyFont="1" applyBorder="1"/>
    <xf numFmtId="177" fontId="28" fillId="0" borderId="7" xfId="0" applyNumberFormat="1" applyFont="1" applyBorder="1" applyAlignment="1">
      <alignment horizontal="center"/>
    </xf>
    <xf numFmtId="41" fontId="15" fillId="0" borderId="7" xfId="0" applyNumberFormat="1" applyFont="1" applyBorder="1"/>
    <xf numFmtId="43" fontId="15" fillId="0" borderId="7" xfId="0" applyNumberFormat="1" applyFont="1" applyBorder="1"/>
    <xf numFmtId="41" fontId="18" fillId="0" borderId="0" xfId="0" applyNumberFormat="1" applyFont="1"/>
    <xf numFmtId="41" fontId="32" fillId="0" borderId="0" xfId="0" applyNumberFormat="1" applyFont="1"/>
    <xf numFmtId="177" fontId="28" fillId="0" borderId="0" xfId="0" applyNumberFormat="1" applyFont="1" applyBorder="1" applyAlignment="1">
      <alignment horizontal="center"/>
    </xf>
    <xf numFmtId="41" fontId="15" fillId="0" borderId="0" xfId="0" applyNumberFormat="1" applyFont="1"/>
    <xf numFmtId="43" fontId="15" fillId="0" borderId="0" xfId="0" applyNumberFormat="1" applyFont="1"/>
    <xf numFmtId="0" fontId="15" fillId="9" borderId="10" xfId="0" applyFont="1" applyFill="1" applyBorder="1"/>
    <xf numFmtId="41" fontId="15" fillId="9" borderId="10" xfId="0" applyNumberFormat="1" applyFont="1" applyFill="1" applyBorder="1"/>
    <xf numFmtId="177" fontId="15" fillId="9" borderId="10" xfId="0" applyNumberFormat="1" applyFont="1" applyFill="1" applyBorder="1" applyAlignment="1">
      <alignment horizontal="center"/>
    </xf>
    <xf numFmtId="43" fontId="15" fillId="9" borderId="10" xfId="0" applyNumberFormat="1" applyFont="1" applyFill="1" applyBorder="1"/>
    <xf numFmtId="0" fontId="15" fillId="0" borderId="0" xfId="0" applyFont="1" applyFill="1" applyBorder="1"/>
    <xf numFmtId="41" fontId="15" fillId="0" borderId="0" xfId="0" applyNumberFormat="1" applyFont="1" applyFill="1" applyBorder="1"/>
    <xf numFmtId="43" fontId="15" fillId="0" borderId="0" xfId="0" applyNumberFormat="1" applyFont="1" applyFill="1" applyBorder="1"/>
    <xf numFmtId="41" fontId="28" fillId="0" borderId="0" xfId="0" applyNumberFormat="1" applyFont="1"/>
    <xf numFmtId="0" fontId="15" fillId="9" borderId="27" xfId="0" applyFont="1" applyFill="1" applyBorder="1"/>
    <xf numFmtId="42" fontId="15" fillId="9" borderId="27" xfId="0" applyNumberFormat="1" applyFont="1" applyFill="1" applyBorder="1"/>
    <xf numFmtId="0" fontId="8" fillId="9" borderId="27" xfId="0" applyFont="1" applyFill="1" applyBorder="1"/>
    <xf numFmtId="44" fontId="15" fillId="9" borderId="27" xfId="0" applyNumberFormat="1" applyFont="1" applyFill="1" applyBorder="1"/>
    <xf numFmtId="0" fontId="31" fillId="7" borderId="0" xfId="0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3" fontId="1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15" fillId="9" borderId="9" xfId="0" applyFont="1" applyFill="1" applyBorder="1"/>
    <xf numFmtId="0" fontId="8" fillId="9" borderId="10" xfId="0" applyFont="1" applyFill="1" applyBorder="1"/>
    <xf numFmtId="1" fontId="28" fillId="9" borderId="10" xfId="0" applyNumberFormat="1" applyFont="1" applyFill="1" applyBorder="1" applyAlignment="1">
      <alignment horizontal="center"/>
    </xf>
    <xf numFmtId="3" fontId="28" fillId="9" borderId="10" xfId="0" applyNumberFormat="1" applyFont="1" applyFill="1" applyBorder="1" applyAlignment="1">
      <alignment horizontal="center"/>
    </xf>
    <xf numFmtId="44" fontId="28" fillId="9" borderId="10" xfId="0" applyNumberFormat="1" applyFont="1" applyFill="1" applyBorder="1"/>
    <xf numFmtId="42" fontId="28" fillId="9" borderId="10" xfId="0" applyNumberFormat="1" applyFont="1" applyFill="1" applyBorder="1"/>
    <xf numFmtId="9" fontId="28" fillId="9" borderId="10" xfId="0" applyNumberFormat="1" applyFont="1" applyFill="1" applyBorder="1" applyAlignment="1">
      <alignment horizontal="center"/>
    </xf>
    <xf numFmtId="9" fontId="28" fillId="9" borderId="11" xfId="0" applyNumberFormat="1" applyFont="1" applyFill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165" fontId="17" fillId="0" borderId="0" xfId="0" applyNumberFormat="1" applyFont="1"/>
    <xf numFmtId="0" fontId="15" fillId="8" borderId="9" xfId="0" applyFont="1" applyFill="1" applyBorder="1"/>
    <xf numFmtId="0" fontId="8" fillId="8" borderId="10" xfId="0" applyFont="1" applyFill="1" applyBorder="1"/>
    <xf numFmtId="3" fontId="28" fillId="8" borderId="10" xfId="0" applyNumberFormat="1" applyFont="1" applyFill="1" applyBorder="1" applyAlignment="1">
      <alignment horizontal="center"/>
    </xf>
    <xf numFmtId="0" fontId="28" fillId="8" borderId="10" xfId="0" applyFont="1" applyFill="1" applyBorder="1" applyAlignment="1">
      <alignment horizontal="center"/>
    </xf>
    <xf numFmtId="165" fontId="15" fillId="8" borderId="10" xfId="0" applyNumberFormat="1" applyFont="1" applyFill="1" applyBorder="1"/>
    <xf numFmtId="42" fontId="28" fillId="8" borderId="10" xfId="0" applyNumberFormat="1" applyFont="1" applyFill="1" applyBorder="1"/>
    <xf numFmtId="44" fontId="28" fillId="8" borderId="10" xfId="0" applyNumberFormat="1" applyFont="1" applyFill="1" applyBorder="1"/>
    <xf numFmtId="10" fontId="28" fillId="8" borderId="11" xfId="0" applyNumberFormat="1" applyFont="1" applyFill="1" applyBorder="1" applyAlignment="1">
      <alignment horizontal="center"/>
    </xf>
    <xf numFmtId="0" fontId="8" fillId="0" borderId="0" xfId="0" applyFont="1" applyAlignment="1">
      <alignment wrapText="1"/>
    </xf>
    <xf numFmtId="178" fontId="8" fillId="0" borderId="0" xfId="0" applyNumberFormat="1" applyFont="1"/>
    <xf numFmtId="0" fontId="8" fillId="0" borderId="0" xfId="0" applyFont="1" applyFill="1"/>
    <xf numFmtId="0" fontId="17" fillId="0" borderId="0" xfId="0" applyFont="1" applyFill="1" applyAlignment="1">
      <alignment horizontal="center"/>
    </xf>
    <xf numFmtId="3" fontId="17" fillId="0" borderId="0" xfId="0" applyNumberFormat="1" applyFont="1" applyFill="1" applyAlignment="1">
      <alignment horizontal="center"/>
    </xf>
    <xf numFmtId="3" fontId="8" fillId="0" borderId="0" xfId="0" applyNumberFormat="1" applyFont="1" applyFill="1" applyAlignment="1">
      <alignment horizontal="center"/>
    </xf>
    <xf numFmtId="42" fontId="17" fillId="0" borderId="0" xfId="0" applyNumberFormat="1" applyFont="1" applyFill="1"/>
    <xf numFmtId="44" fontId="8" fillId="0" borderId="0" xfId="0" applyNumberFormat="1" applyFont="1" applyFill="1"/>
    <xf numFmtId="9" fontId="17" fillId="0" borderId="0" xfId="0" applyNumberFormat="1" applyFont="1" applyFill="1" applyAlignment="1">
      <alignment horizontal="center"/>
    </xf>
    <xf numFmtId="9" fontId="18" fillId="0" borderId="0" xfId="0" applyNumberFormat="1" applyFont="1" applyFill="1" applyAlignment="1">
      <alignment horizontal="center"/>
    </xf>
    <xf numFmtId="10" fontId="18" fillId="0" borderId="0" xfId="0" applyNumberFormat="1" applyFont="1" applyFill="1" applyAlignment="1">
      <alignment horizontal="center" wrapText="1"/>
    </xf>
    <xf numFmtId="41" fontId="17" fillId="0" borderId="0" xfId="0" applyNumberFormat="1" applyFont="1" applyFill="1"/>
    <xf numFmtId="43" fontId="8" fillId="0" borderId="0" xfId="0" applyNumberFormat="1" applyFont="1" applyFill="1"/>
    <xf numFmtId="43" fontId="8" fillId="0" borderId="0" xfId="0" applyNumberFormat="1" applyFont="1" applyBorder="1"/>
    <xf numFmtId="0" fontId="6" fillId="2" borderId="22" xfId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1F497D"/>
      <color rgb="FFB2B2B2"/>
      <color rgb="FFFFFF99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B2:Q395"/>
  <sheetViews>
    <sheetView showGridLines="0" tabSelected="1" zoomScaleNormal="100" zoomScaleSheetLayoutView="40" workbookViewId="0">
      <selection activeCell="B2" sqref="B2"/>
    </sheetView>
  </sheetViews>
  <sheetFormatPr defaultRowHeight="15.75" outlineLevelRow="1" x14ac:dyDescent="0.25"/>
  <cols>
    <col min="1" max="2" width="2.7109375" style="6" customWidth="1"/>
    <col min="3" max="3" width="45.7109375" style="6" customWidth="1"/>
    <col min="4" max="17" width="15.7109375" style="6" customWidth="1"/>
    <col min="18" max="16384" width="9.140625" style="6"/>
  </cols>
  <sheetData>
    <row r="2" spans="2:12" ht="18.75" x14ac:dyDescent="0.3">
      <c r="B2" s="1" t="str">
        <f>Property_Name&amp;" - Investment Analysis Model"</f>
        <v>The Lyric - Investment Analysis Model</v>
      </c>
      <c r="C2" s="3"/>
      <c r="D2" s="4"/>
      <c r="E2" s="5"/>
      <c r="F2" s="5"/>
      <c r="G2" s="5"/>
      <c r="H2" s="5"/>
      <c r="I2" s="5"/>
      <c r="J2" s="5"/>
      <c r="K2" s="5"/>
    </row>
    <row r="3" spans="2:12" x14ac:dyDescent="0.25">
      <c r="B3" s="5" t="s">
        <v>54</v>
      </c>
      <c r="C3" s="3"/>
      <c r="D3" s="4"/>
      <c r="E3" s="5"/>
      <c r="F3" s="5"/>
      <c r="G3" s="5"/>
      <c r="H3" s="5"/>
      <c r="I3" s="5"/>
      <c r="J3" s="5"/>
      <c r="K3" s="5"/>
    </row>
    <row r="4" spans="2:12" x14ac:dyDescent="0.25">
      <c r="B4" s="5"/>
      <c r="C4" s="5"/>
      <c r="D4" s="4"/>
      <c r="E4" s="5"/>
      <c r="F4" s="5"/>
      <c r="G4" s="5"/>
      <c r="H4" s="5"/>
      <c r="I4" s="5"/>
      <c r="J4" s="5"/>
      <c r="K4" s="5"/>
    </row>
    <row r="5" spans="2:12" x14ac:dyDescent="0.25">
      <c r="B5" s="7" t="s">
        <v>99</v>
      </c>
      <c r="C5" s="8"/>
      <c r="D5" s="8" t="s">
        <v>1</v>
      </c>
      <c r="E5" s="7"/>
      <c r="F5" s="7"/>
      <c r="G5" s="7"/>
      <c r="H5" s="7"/>
      <c r="I5" s="7"/>
      <c r="J5" s="8" t="str">
        <f>+$D$5</f>
        <v>Units:</v>
      </c>
      <c r="K5" s="7"/>
      <c r="L5" s="7"/>
    </row>
    <row r="6" spans="2:12" outlineLevel="1" x14ac:dyDescent="0.25">
      <c r="B6" s="5"/>
      <c r="C6" s="5"/>
      <c r="D6" s="4"/>
      <c r="E6" s="5"/>
      <c r="F6" s="5"/>
      <c r="G6" s="5"/>
      <c r="H6" s="5"/>
      <c r="I6" s="5"/>
      <c r="J6" s="5"/>
      <c r="K6" s="5"/>
    </row>
    <row r="7" spans="2:12" outlineLevel="1" x14ac:dyDescent="0.25">
      <c r="B7" s="5"/>
      <c r="C7" s="5" t="s">
        <v>2</v>
      </c>
      <c r="D7" s="9" t="s">
        <v>34</v>
      </c>
      <c r="E7" s="10" t="s">
        <v>104</v>
      </c>
      <c r="F7" s="5"/>
      <c r="G7" s="97" t="s">
        <v>8</v>
      </c>
      <c r="J7" s="19" t="s">
        <v>9</v>
      </c>
      <c r="K7" s="83">
        <f>+Apt_Units*RSF_per_Unit</f>
        <v>186215</v>
      </c>
    </row>
    <row r="8" spans="2:12" outlineLevel="1" x14ac:dyDescent="0.25">
      <c r="B8" s="5"/>
      <c r="C8" s="5" t="s">
        <v>3</v>
      </c>
      <c r="D8" s="9" t="s">
        <v>34</v>
      </c>
      <c r="E8" s="10" t="s">
        <v>105</v>
      </c>
      <c r="F8" s="5"/>
      <c r="G8" s="98" t="s">
        <v>66</v>
      </c>
      <c r="J8" s="22" t="s">
        <v>7</v>
      </c>
      <c r="K8" s="18">
        <v>0.8</v>
      </c>
    </row>
    <row r="9" spans="2:12" outlineLevel="1" x14ac:dyDescent="0.25">
      <c r="B9" s="12"/>
      <c r="C9" s="5" t="s">
        <v>6</v>
      </c>
      <c r="D9" s="9" t="s">
        <v>5</v>
      </c>
      <c r="E9" s="16">
        <v>12</v>
      </c>
      <c r="F9" s="12"/>
      <c r="G9" s="97" t="s">
        <v>67</v>
      </c>
      <c r="J9" s="19" t="s">
        <v>9</v>
      </c>
      <c r="K9" s="20">
        <f>+Rentable_SF/K8</f>
        <v>232768.75</v>
      </c>
    </row>
    <row r="10" spans="2:12" outlineLevel="1" x14ac:dyDescent="0.25">
      <c r="B10" s="12"/>
      <c r="F10" s="12"/>
    </row>
    <row r="11" spans="2:12" outlineLevel="1" x14ac:dyDescent="0.25">
      <c r="B11" s="5"/>
      <c r="C11" s="5" t="s">
        <v>101</v>
      </c>
      <c r="D11" s="9" t="s">
        <v>5</v>
      </c>
      <c r="E11" s="17">
        <v>234</v>
      </c>
      <c r="F11" s="5"/>
      <c r="G11" s="6" t="s">
        <v>115</v>
      </c>
      <c r="J11" s="9" t="s">
        <v>34</v>
      </c>
      <c r="K11" s="109" t="s">
        <v>111</v>
      </c>
    </row>
    <row r="12" spans="2:12" outlineLevel="1" x14ac:dyDescent="0.25">
      <c r="B12" s="5"/>
      <c r="C12" s="6" t="s">
        <v>65</v>
      </c>
      <c r="D12" s="19" t="s">
        <v>9</v>
      </c>
      <c r="E12" s="84">
        <v>795.79059829059827</v>
      </c>
      <c r="F12" s="5"/>
    </row>
    <row r="13" spans="2:12" outlineLevel="1" x14ac:dyDescent="0.25">
      <c r="B13" s="12"/>
      <c r="C13" s="6" t="s">
        <v>76</v>
      </c>
      <c r="D13" s="9" t="s">
        <v>5</v>
      </c>
      <c r="E13" s="92">
        <v>1.54</v>
      </c>
      <c r="F13" s="12"/>
    </row>
    <row r="14" spans="2:12" outlineLevel="1" x14ac:dyDescent="0.25">
      <c r="B14" s="5"/>
      <c r="C14" s="5" t="s">
        <v>55</v>
      </c>
      <c r="D14" s="9" t="s">
        <v>5</v>
      </c>
      <c r="E14" s="88">
        <f>+Apt_Units*E13</f>
        <v>360.36</v>
      </c>
      <c r="F14" s="5"/>
    </row>
    <row r="15" spans="2:12" x14ac:dyDescent="0.25">
      <c r="B15" s="12"/>
      <c r="C15" s="12"/>
      <c r="D15" s="14"/>
      <c r="E15" s="12"/>
      <c r="F15" s="12"/>
      <c r="G15" s="12"/>
      <c r="H15" s="12"/>
      <c r="I15" s="12"/>
      <c r="J15" s="12"/>
      <c r="K15" s="21"/>
    </row>
    <row r="16" spans="2:12" x14ac:dyDescent="0.25">
      <c r="B16" s="7" t="s">
        <v>106</v>
      </c>
      <c r="C16" s="7"/>
      <c r="D16" s="8" t="str">
        <f>+$D$5</f>
        <v>Units:</v>
      </c>
      <c r="E16" s="7"/>
      <c r="F16" s="7"/>
      <c r="G16" s="7"/>
      <c r="H16" s="7"/>
      <c r="I16" s="7"/>
      <c r="J16" s="8" t="str">
        <f>+$D$5</f>
        <v>Units:</v>
      </c>
      <c r="K16" s="7"/>
      <c r="L16" s="7"/>
    </row>
    <row r="17" spans="2:11" outlineLevel="1" x14ac:dyDescent="0.25">
      <c r="B17" s="5"/>
      <c r="C17" s="5"/>
      <c r="D17" s="4"/>
      <c r="E17" s="5"/>
      <c r="F17" s="5"/>
      <c r="G17" s="5"/>
      <c r="H17" s="5"/>
      <c r="I17" s="5"/>
      <c r="J17" s="5"/>
      <c r="K17" s="5"/>
    </row>
    <row r="18" spans="2:11" outlineLevel="1" x14ac:dyDescent="0.25">
      <c r="B18" s="5"/>
      <c r="C18" s="123" t="s">
        <v>148</v>
      </c>
      <c r="D18" s="123"/>
      <c r="E18" s="123"/>
      <c r="F18" s="5"/>
      <c r="G18" s="123" t="s">
        <v>135</v>
      </c>
      <c r="H18" s="123"/>
      <c r="I18" s="124"/>
      <c r="J18" s="124"/>
      <c r="K18" s="124"/>
    </row>
    <row r="19" spans="2:11" outlineLevel="1" x14ac:dyDescent="0.25">
      <c r="B19" s="5"/>
      <c r="C19" s="11" t="s">
        <v>10</v>
      </c>
      <c r="D19" s="9" t="s">
        <v>4</v>
      </c>
      <c r="E19" s="13">
        <v>43465</v>
      </c>
      <c r="F19" s="5"/>
      <c r="G19" s="45" t="s">
        <v>48</v>
      </c>
      <c r="J19" s="9" t="s">
        <v>7</v>
      </c>
      <c r="K19" s="18">
        <v>0.01</v>
      </c>
    </row>
    <row r="20" spans="2:11" outlineLevel="1" x14ac:dyDescent="0.25">
      <c r="B20" s="5"/>
      <c r="C20" s="75" t="s">
        <v>124</v>
      </c>
      <c r="D20" s="22" t="s">
        <v>7</v>
      </c>
      <c r="E20" s="27">
        <v>4.4999999999999998E-2</v>
      </c>
      <c r="F20" s="5"/>
      <c r="G20" s="45" t="s">
        <v>157</v>
      </c>
      <c r="J20" s="9" t="s">
        <v>7</v>
      </c>
      <c r="K20" s="18">
        <v>1.4999999999999999E-2</v>
      </c>
    </row>
    <row r="21" spans="2:11" outlineLevel="1" x14ac:dyDescent="0.25">
      <c r="B21" s="5"/>
      <c r="C21" s="11" t="s">
        <v>11</v>
      </c>
      <c r="D21" s="22" t="s">
        <v>12</v>
      </c>
      <c r="E21" s="117">
        <f>+G146/Purchase_Cap_Rate</f>
        <v>104514609.21073732</v>
      </c>
      <c r="F21" s="5"/>
    </row>
    <row r="22" spans="2:11" outlineLevel="1" x14ac:dyDescent="0.25">
      <c r="B22" s="5"/>
      <c r="C22" s="128"/>
      <c r="F22" s="5"/>
      <c r="G22" s="104" t="s">
        <v>136</v>
      </c>
      <c r="H22" s="125"/>
      <c r="J22" s="126" t="s">
        <v>7</v>
      </c>
      <c r="K22" s="18">
        <v>0.65</v>
      </c>
    </row>
    <row r="23" spans="2:11" outlineLevel="1" x14ac:dyDescent="0.25">
      <c r="B23" s="5"/>
      <c r="C23" s="45" t="s">
        <v>40</v>
      </c>
      <c r="D23" s="9" t="s">
        <v>42</v>
      </c>
      <c r="E23" s="24">
        <f>+Entry_Price/Apt_Units</f>
        <v>446643.62910571502</v>
      </c>
      <c r="F23" s="5"/>
      <c r="G23" s="104" t="s">
        <v>137</v>
      </c>
      <c r="J23" s="127" t="s">
        <v>12</v>
      </c>
      <c r="K23" s="24">
        <f>+Senior_LTV*Entry_Price</f>
        <v>67934495.986979261</v>
      </c>
    </row>
    <row r="24" spans="2:11" outlineLevel="1" x14ac:dyDescent="0.25">
      <c r="B24" s="5"/>
      <c r="C24" s="45" t="s">
        <v>68</v>
      </c>
      <c r="D24" s="9" t="s">
        <v>41</v>
      </c>
      <c r="E24" s="25">
        <f>+Entry_Price/Rentable_SF</f>
        <v>561.2577354710271</v>
      </c>
      <c r="F24" s="5"/>
      <c r="G24" s="128"/>
    </row>
    <row r="25" spans="2:11" outlineLevel="1" x14ac:dyDescent="0.25">
      <c r="B25" s="5"/>
      <c r="C25" s="11"/>
      <c r="D25" s="22"/>
      <c r="E25" s="23"/>
      <c r="F25" s="5"/>
      <c r="G25" s="45" t="s">
        <v>140</v>
      </c>
      <c r="J25" s="126" t="s">
        <v>7</v>
      </c>
      <c r="K25" s="15">
        <v>0.02</v>
      </c>
    </row>
    <row r="26" spans="2:11" outlineLevel="1" x14ac:dyDescent="0.25">
      <c r="B26" s="5"/>
      <c r="C26" s="11" t="s">
        <v>13</v>
      </c>
      <c r="D26" s="9" t="s">
        <v>7</v>
      </c>
      <c r="E26" s="18">
        <v>0.01</v>
      </c>
      <c r="F26" s="5"/>
      <c r="G26" s="45" t="s">
        <v>141</v>
      </c>
      <c r="J26" s="126" t="s">
        <v>7</v>
      </c>
      <c r="K26" s="15">
        <v>0.02</v>
      </c>
    </row>
    <row r="27" spans="2:11" outlineLevel="1" x14ac:dyDescent="0.25">
      <c r="B27" s="5"/>
      <c r="C27" s="128"/>
      <c r="F27" s="5"/>
      <c r="G27" s="128"/>
    </row>
    <row r="28" spans="2:11" outlineLevel="1" x14ac:dyDescent="0.25">
      <c r="B28" s="5"/>
      <c r="C28" s="75" t="s">
        <v>15</v>
      </c>
      <c r="D28" s="9" t="s">
        <v>4</v>
      </c>
      <c r="E28" s="99">
        <v>45291</v>
      </c>
      <c r="F28" s="5"/>
      <c r="G28" s="104" t="s">
        <v>205</v>
      </c>
      <c r="J28" s="22" t="s">
        <v>14</v>
      </c>
      <c r="K28" s="17">
        <v>2</v>
      </c>
    </row>
    <row r="29" spans="2:11" outlineLevel="1" x14ac:dyDescent="0.25">
      <c r="B29" s="5"/>
      <c r="C29" s="75" t="s">
        <v>43</v>
      </c>
      <c r="D29" s="22" t="s">
        <v>7</v>
      </c>
      <c r="E29" s="119">
        <f>INDEX($G$184:$K$193,8,MATCH(Sale_Date,$G$184:$K$184,0))</f>
        <v>4.7500000000000001E-2</v>
      </c>
      <c r="F29" s="5"/>
      <c r="G29" s="104" t="s">
        <v>138</v>
      </c>
      <c r="J29" s="22" t="s">
        <v>14</v>
      </c>
      <c r="K29" s="17">
        <v>30</v>
      </c>
    </row>
    <row r="30" spans="2:11" outlineLevel="1" x14ac:dyDescent="0.25">
      <c r="B30" s="5"/>
      <c r="C30" s="75" t="s">
        <v>16</v>
      </c>
      <c r="D30" s="22" t="s">
        <v>12</v>
      </c>
      <c r="E30" s="24">
        <f>INDEX($G$184:$K$193,10,MATCH(Sale_Date,$G$184:$K$184,0))</f>
        <v>133653280.35438202</v>
      </c>
      <c r="F30" s="5"/>
      <c r="G30" s="104" t="s">
        <v>139</v>
      </c>
      <c r="J30" s="22" t="s">
        <v>14</v>
      </c>
      <c r="K30" s="17">
        <v>10</v>
      </c>
    </row>
    <row r="31" spans="2:11" outlineLevel="1" x14ac:dyDescent="0.25">
      <c r="B31" s="5"/>
      <c r="C31" s="45" t="s">
        <v>44</v>
      </c>
      <c r="D31" s="9" t="s">
        <v>42</v>
      </c>
      <c r="E31" s="24">
        <f>+Exit_Price/Apt_Units</f>
        <v>571167.86476231634</v>
      </c>
      <c r="F31" s="5"/>
      <c r="G31" s="128"/>
    </row>
    <row r="32" spans="2:11" outlineLevel="1" x14ac:dyDescent="0.25">
      <c r="B32" s="5"/>
      <c r="C32" s="45" t="s">
        <v>91</v>
      </c>
      <c r="D32" s="9" t="s">
        <v>41</v>
      </c>
      <c r="E32" s="25">
        <f>+Exit_Price/Rentable_SF</f>
        <v>717.73638189395069</v>
      </c>
      <c r="F32" s="5"/>
      <c r="G32" s="104" t="s">
        <v>142</v>
      </c>
      <c r="J32" s="22" t="s">
        <v>7</v>
      </c>
      <c r="K32" s="18">
        <v>0.1</v>
      </c>
    </row>
    <row r="33" spans="2:11" outlineLevel="1" x14ac:dyDescent="0.25">
      <c r="B33" s="5"/>
      <c r="C33" s="11"/>
      <c r="D33" s="28"/>
      <c r="E33" s="28"/>
      <c r="G33" s="104" t="s">
        <v>143</v>
      </c>
      <c r="J33" s="127" t="s">
        <v>12</v>
      </c>
      <c r="K33" s="24">
        <f>+Mezz_LTV*Entry_Price</f>
        <v>10451460.921073733</v>
      </c>
    </row>
    <row r="34" spans="2:11" outlineLevel="1" x14ac:dyDescent="0.25">
      <c r="B34" s="5"/>
      <c r="C34" s="11" t="s">
        <v>17</v>
      </c>
      <c r="D34" s="9" t="s">
        <v>7</v>
      </c>
      <c r="E34" s="18">
        <v>0.02</v>
      </c>
      <c r="F34" s="5"/>
      <c r="G34" s="128"/>
    </row>
    <row r="35" spans="2:11" outlineLevel="1" x14ac:dyDescent="0.25">
      <c r="B35" s="5"/>
      <c r="F35" s="5"/>
      <c r="G35" s="104" t="s">
        <v>144</v>
      </c>
      <c r="J35" s="22" t="s">
        <v>7</v>
      </c>
      <c r="K35" s="15">
        <v>0.04</v>
      </c>
    </row>
    <row r="36" spans="2:11" outlineLevel="1" x14ac:dyDescent="0.25">
      <c r="B36" s="5"/>
      <c r="C36" s="5"/>
      <c r="D36" s="28"/>
      <c r="E36" s="28"/>
      <c r="F36" s="5"/>
      <c r="G36" s="104" t="s">
        <v>145</v>
      </c>
      <c r="J36" s="22" t="s">
        <v>7</v>
      </c>
      <c r="K36" s="15">
        <v>0.04</v>
      </c>
    </row>
    <row r="37" spans="2:11" outlineLevel="1" x14ac:dyDescent="0.25">
      <c r="B37" s="5"/>
      <c r="C37" s="5"/>
      <c r="D37" s="28"/>
      <c r="E37" s="28"/>
      <c r="F37" s="5"/>
      <c r="G37" s="104" t="s">
        <v>146</v>
      </c>
      <c r="J37" s="22" t="s">
        <v>14</v>
      </c>
      <c r="K37" s="17" t="s">
        <v>102</v>
      </c>
    </row>
    <row r="38" spans="2:11" outlineLevel="1" x14ac:dyDescent="0.25">
      <c r="B38" s="5"/>
      <c r="C38" s="5"/>
      <c r="D38" s="28"/>
      <c r="E38" s="28"/>
      <c r="F38" s="5"/>
      <c r="G38" s="104" t="s">
        <v>147</v>
      </c>
      <c r="J38" s="22" t="s">
        <v>14</v>
      </c>
      <c r="K38" s="17">
        <v>5</v>
      </c>
    </row>
    <row r="39" spans="2:11" outlineLevel="1" x14ac:dyDescent="0.25">
      <c r="B39" s="5"/>
      <c r="C39" s="5"/>
      <c r="D39" s="28"/>
      <c r="E39" s="28"/>
      <c r="F39" s="5"/>
    </row>
    <row r="40" spans="2:11" outlineLevel="1" x14ac:dyDescent="0.25">
      <c r="B40" s="5"/>
      <c r="C40" s="5"/>
      <c r="D40" s="28"/>
      <c r="E40" s="28"/>
      <c r="F40" s="5"/>
      <c r="G40" s="104" t="s">
        <v>149</v>
      </c>
      <c r="J40" s="22" t="s">
        <v>7</v>
      </c>
      <c r="K40" s="18">
        <v>0.1</v>
      </c>
    </row>
    <row r="41" spans="2:11" outlineLevel="1" x14ac:dyDescent="0.25">
      <c r="B41" s="5"/>
      <c r="C41" s="5"/>
      <c r="D41" s="28"/>
      <c r="E41" s="28"/>
      <c r="F41" s="5"/>
      <c r="G41" s="104" t="s">
        <v>150</v>
      </c>
      <c r="J41" s="127" t="s">
        <v>12</v>
      </c>
      <c r="K41" s="24">
        <f>+Pref_LTV*Entry_Price</f>
        <v>10451460.921073733</v>
      </c>
    </row>
    <row r="42" spans="2:11" outlineLevel="1" x14ac:dyDescent="0.25">
      <c r="B42" s="5"/>
      <c r="C42" s="5"/>
      <c r="D42" s="28"/>
      <c r="E42" s="28"/>
      <c r="F42" s="5"/>
      <c r="G42" s="128"/>
    </row>
    <row r="43" spans="2:11" outlineLevel="1" x14ac:dyDescent="0.25">
      <c r="B43" s="5"/>
      <c r="C43" s="5"/>
      <c r="D43" s="28"/>
      <c r="E43" s="28"/>
      <c r="F43" s="5"/>
      <c r="G43" s="104" t="s">
        <v>151</v>
      </c>
      <c r="J43" s="22" t="s">
        <v>7</v>
      </c>
      <c r="K43" s="15">
        <v>0</v>
      </c>
    </row>
    <row r="44" spans="2:11" outlineLevel="1" x14ac:dyDescent="0.25">
      <c r="B44" s="5"/>
      <c r="C44" s="5"/>
      <c r="D44" s="28"/>
      <c r="E44" s="28"/>
      <c r="F44" s="5"/>
      <c r="G44" s="104" t="s">
        <v>152</v>
      </c>
      <c r="J44" s="22" t="s">
        <v>7</v>
      </c>
      <c r="K44" s="15">
        <v>0.1</v>
      </c>
    </row>
    <row r="45" spans="2:11" outlineLevel="1" x14ac:dyDescent="0.25">
      <c r="B45" s="5"/>
      <c r="C45" s="5"/>
      <c r="D45" s="28"/>
      <c r="E45" s="28"/>
      <c r="F45" s="5"/>
      <c r="G45" s="104" t="s">
        <v>153</v>
      </c>
      <c r="J45" s="22" t="s">
        <v>14</v>
      </c>
      <c r="K45" s="17" t="s">
        <v>102</v>
      </c>
    </row>
    <row r="46" spans="2:11" outlineLevel="1" x14ac:dyDescent="0.25">
      <c r="B46" s="5"/>
      <c r="C46" s="5"/>
      <c r="D46" s="28"/>
      <c r="E46" s="28"/>
      <c r="F46" s="5"/>
      <c r="G46" s="104" t="s">
        <v>154</v>
      </c>
      <c r="J46" s="22" t="s">
        <v>14</v>
      </c>
      <c r="K46" s="17">
        <v>5</v>
      </c>
    </row>
    <row r="47" spans="2:11" outlineLevel="1" x14ac:dyDescent="0.25">
      <c r="B47" s="5"/>
      <c r="C47" s="5"/>
      <c r="D47" s="28"/>
      <c r="E47" s="28"/>
      <c r="F47" s="5"/>
      <c r="G47" s="104" t="s">
        <v>160</v>
      </c>
      <c r="H47" s="5"/>
      <c r="I47" s="5"/>
      <c r="J47" s="126" t="s">
        <v>7</v>
      </c>
      <c r="K47" s="18">
        <v>0.05</v>
      </c>
    </row>
    <row r="48" spans="2:11" x14ac:dyDescent="0.25">
      <c r="B48" s="5"/>
      <c r="C48" s="5"/>
      <c r="D48" s="28"/>
      <c r="E48" s="28"/>
      <c r="F48" s="5"/>
      <c r="G48" s="11"/>
      <c r="H48" s="5"/>
      <c r="I48" s="5"/>
      <c r="J48" s="5"/>
      <c r="K48" s="5"/>
    </row>
    <row r="49" spans="2:15" x14ac:dyDescent="0.25">
      <c r="B49" s="7" t="s">
        <v>100</v>
      </c>
      <c r="C49" s="29"/>
      <c r="D49" s="8"/>
      <c r="E49" s="7"/>
      <c r="F49" s="7"/>
      <c r="G49" s="7"/>
      <c r="H49" s="7"/>
      <c r="I49" s="7"/>
      <c r="J49" s="8"/>
      <c r="K49" s="7"/>
      <c r="L49" s="7"/>
    </row>
    <row r="50" spans="2:15" outlineLevel="1" x14ac:dyDescent="0.25">
      <c r="B50" s="5"/>
      <c r="C50" s="11"/>
      <c r="D50" s="4"/>
      <c r="E50" s="5"/>
      <c r="F50" s="5"/>
      <c r="G50" s="5"/>
      <c r="H50" s="5"/>
      <c r="I50" s="5"/>
      <c r="J50" s="5"/>
      <c r="K50" s="5"/>
    </row>
    <row r="51" spans="2:15" outlineLevel="1" x14ac:dyDescent="0.25">
      <c r="B51" s="5"/>
      <c r="C51" s="26" t="s">
        <v>20</v>
      </c>
      <c r="D51" s="26"/>
      <c r="E51" s="26"/>
      <c r="F51" s="5"/>
      <c r="G51" s="26" t="s">
        <v>21</v>
      </c>
      <c r="H51" s="26"/>
      <c r="I51" s="26"/>
      <c r="J51" s="26"/>
      <c r="K51" s="26"/>
    </row>
    <row r="52" spans="2:15" outlineLevel="1" x14ac:dyDescent="0.25">
      <c r="B52" s="5"/>
      <c r="C52" s="30" t="s">
        <v>166</v>
      </c>
      <c r="D52" s="9"/>
      <c r="E52" s="31">
        <f>Senior_Loan</f>
        <v>67934495.986979261</v>
      </c>
      <c r="F52" s="32"/>
      <c r="G52" s="30" t="str">
        <f>C21</f>
        <v>Acquisition Price:</v>
      </c>
      <c r="H52" s="33"/>
      <c r="I52" s="33"/>
      <c r="J52" s="9"/>
      <c r="K52" s="31">
        <f>+Entry_Price</f>
        <v>104514609.21073732</v>
      </c>
    </row>
    <row r="53" spans="2:15" outlineLevel="1" x14ac:dyDescent="0.25">
      <c r="B53" s="5"/>
      <c r="C53" s="128" t="s">
        <v>167</v>
      </c>
      <c r="E53" s="34">
        <f>Mezz_Amount</f>
        <v>10451460.921073733</v>
      </c>
      <c r="F53" s="5"/>
      <c r="G53" s="30" t="s">
        <v>47</v>
      </c>
      <c r="H53" s="33"/>
      <c r="I53" s="33"/>
      <c r="J53" s="9"/>
      <c r="K53" s="33">
        <f>+Entry_Price*Entry_Fee_Pct</f>
        <v>1045146.0921073732</v>
      </c>
      <c r="O53" s="76"/>
    </row>
    <row r="54" spans="2:15" outlineLevel="1" x14ac:dyDescent="0.25">
      <c r="B54" s="5"/>
      <c r="C54" s="128" t="s">
        <v>168</v>
      </c>
      <c r="E54" s="34">
        <f>Pref_Amount</f>
        <v>10451460.921073733</v>
      </c>
      <c r="F54" s="5"/>
      <c r="G54" s="30" t="s">
        <v>48</v>
      </c>
      <c r="J54" s="9"/>
      <c r="K54" s="33">
        <f>+Entry_Price*(Senior_LTV+Mezz_LTV+Pref_LTV)*Issuance_Fee</f>
        <v>888374.17829126713</v>
      </c>
    </row>
    <row r="55" spans="2:15" outlineLevel="1" x14ac:dyDescent="0.25">
      <c r="B55" s="5"/>
      <c r="C55" s="30" t="s">
        <v>22</v>
      </c>
      <c r="D55" s="56"/>
      <c r="E55" s="34">
        <f>+K56-SUM(E52:E54)</f>
        <v>18110711.652009219</v>
      </c>
      <c r="F55" s="5"/>
      <c r="G55" s="30" t="s">
        <v>133</v>
      </c>
      <c r="J55" s="56"/>
      <c r="K55" s="120">
        <v>500000</v>
      </c>
    </row>
    <row r="56" spans="2:15" outlineLevel="1" x14ac:dyDescent="0.25">
      <c r="B56" s="5"/>
      <c r="C56" s="35" t="s">
        <v>23</v>
      </c>
      <c r="D56" s="9"/>
      <c r="E56" s="36">
        <f>SUM(E52:E55)</f>
        <v>106948129.48113595</v>
      </c>
      <c r="F56" s="5"/>
      <c r="G56" s="35" t="s">
        <v>35</v>
      </c>
      <c r="H56" s="35"/>
      <c r="I56" s="35"/>
      <c r="J56" s="9"/>
      <c r="K56" s="96">
        <f>SUM(K52:K55)</f>
        <v>106948129.48113595</v>
      </c>
    </row>
    <row r="57" spans="2:15" x14ac:dyDescent="0.25">
      <c r="B57" s="5"/>
      <c r="C57" s="5"/>
      <c r="D57" s="28"/>
      <c r="E57" s="28"/>
      <c r="F57" s="5"/>
      <c r="G57" s="11"/>
      <c r="H57" s="5"/>
      <c r="I57" s="5"/>
      <c r="J57" s="5"/>
      <c r="K57" s="5"/>
    </row>
    <row r="58" spans="2:15" x14ac:dyDescent="0.25">
      <c r="B58" s="37"/>
      <c r="C58" s="37"/>
      <c r="D58" s="38"/>
      <c r="E58" s="37"/>
      <c r="F58" s="39" t="s">
        <v>18</v>
      </c>
      <c r="G58" s="40" t="s">
        <v>19</v>
      </c>
      <c r="H58" s="41"/>
      <c r="I58" s="41"/>
      <c r="J58" s="41"/>
      <c r="K58" s="41"/>
      <c r="L58" s="42" t="s">
        <v>36</v>
      </c>
    </row>
    <row r="59" spans="2:15" x14ac:dyDescent="0.25">
      <c r="B59" s="7" t="s">
        <v>0</v>
      </c>
      <c r="C59" s="7"/>
      <c r="D59" s="8" t="str">
        <f>+$D$5</f>
        <v>Units:</v>
      </c>
      <c r="E59" s="7"/>
      <c r="F59" s="43">
        <f>Start_Date</f>
        <v>43465</v>
      </c>
      <c r="G59" s="44">
        <f t="shared" ref="G59:K59" si="0">EOMONTH(F59,Months)</f>
        <v>43830</v>
      </c>
      <c r="H59" s="43">
        <f t="shared" si="0"/>
        <v>44196</v>
      </c>
      <c r="I59" s="43">
        <f t="shared" si="0"/>
        <v>44561</v>
      </c>
      <c r="J59" s="43">
        <f t="shared" si="0"/>
        <v>44926</v>
      </c>
      <c r="K59" s="43">
        <f t="shared" si="0"/>
        <v>45291</v>
      </c>
      <c r="L59" s="43" t="s">
        <v>37</v>
      </c>
    </row>
    <row r="60" spans="2:15" outlineLevel="1" x14ac:dyDescent="0.25">
      <c r="B60" s="5"/>
      <c r="C60" s="5"/>
      <c r="D60" s="4"/>
      <c r="E60" s="5"/>
      <c r="F60" s="5"/>
      <c r="G60" s="5"/>
      <c r="H60" s="5"/>
      <c r="I60" s="5"/>
      <c r="J60" s="5"/>
      <c r="K60" s="5"/>
    </row>
    <row r="61" spans="2:15" outlineLevel="1" x14ac:dyDescent="0.25">
      <c r="B61" s="5"/>
      <c r="C61" s="98" t="s">
        <v>87</v>
      </c>
      <c r="D61" s="9" t="s">
        <v>7</v>
      </c>
      <c r="F61" s="18">
        <v>3.0000000000000006E-2</v>
      </c>
      <c r="H61" s="5"/>
      <c r="I61" s="5"/>
      <c r="J61" s="5"/>
      <c r="K61" s="5"/>
    </row>
    <row r="62" spans="2:15" outlineLevel="1" x14ac:dyDescent="0.25">
      <c r="B62" s="5"/>
      <c r="C62" s="97" t="s">
        <v>109</v>
      </c>
      <c r="D62" s="9" t="s">
        <v>82</v>
      </c>
      <c r="E62" s="5"/>
      <c r="F62" s="101">
        <v>2500</v>
      </c>
      <c r="G62" s="102">
        <f>+F62*(1+G$74)</f>
        <v>2625</v>
      </c>
      <c r="H62" s="102">
        <f t="shared" ref="H62:L62" si="1">+G62*(1+H$74)</f>
        <v>2756.25</v>
      </c>
      <c r="I62" s="102">
        <f t="shared" si="1"/>
        <v>2880.28125</v>
      </c>
      <c r="J62" s="102">
        <f t="shared" si="1"/>
        <v>3009.8939062499999</v>
      </c>
      <c r="K62" s="102">
        <f t="shared" si="1"/>
        <v>3130.2896624999998</v>
      </c>
      <c r="L62" s="102">
        <f t="shared" si="1"/>
        <v>3239.8498006874997</v>
      </c>
    </row>
    <row r="63" spans="2:15" outlineLevel="1" x14ac:dyDescent="0.25">
      <c r="B63" s="5"/>
      <c r="C63" s="97" t="s">
        <v>110</v>
      </c>
      <c r="D63" s="9" t="s">
        <v>82</v>
      </c>
      <c r="E63" s="5"/>
      <c r="F63" s="94">
        <v>2300</v>
      </c>
      <c r="G63" s="103">
        <f t="shared" ref="G63:L63" si="2">+G62*(1-G64)</f>
        <v>2428.125</v>
      </c>
      <c r="H63" s="103">
        <f t="shared" si="2"/>
        <v>2618.4375</v>
      </c>
      <c r="I63" s="103">
        <f t="shared" si="2"/>
        <v>2808.2742187499998</v>
      </c>
      <c r="J63" s="103">
        <f t="shared" si="2"/>
        <v>2979.7949671874999</v>
      </c>
      <c r="K63" s="103">
        <f t="shared" si="2"/>
        <v>3098.9867658749999</v>
      </c>
      <c r="L63" s="103">
        <f t="shared" si="2"/>
        <v>3207.4513026806248</v>
      </c>
    </row>
    <row r="64" spans="2:15" outlineLevel="1" x14ac:dyDescent="0.25">
      <c r="B64" s="5"/>
      <c r="C64" s="97" t="s">
        <v>69</v>
      </c>
      <c r="D64" s="9" t="s">
        <v>7</v>
      </c>
      <c r="E64" s="5"/>
      <c r="F64" s="87">
        <f>1-F63/F62</f>
        <v>7.999999999999996E-2</v>
      </c>
      <c r="G64" s="18">
        <v>7.4999999999999997E-2</v>
      </c>
      <c r="H64" s="18">
        <v>0.05</v>
      </c>
      <c r="I64" s="18">
        <v>2.5000000000000001E-2</v>
      </c>
      <c r="J64" s="18">
        <v>0.01</v>
      </c>
      <c r="K64" s="18">
        <v>0.01</v>
      </c>
      <c r="L64" s="18">
        <v>0.01</v>
      </c>
    </row>
    <row r="65" spans="2:12" outlineLevel="1" x14ac:dyDescent="0.25">
      <c r="B65" s="5"/>
      <c r="C65" s="5"/>
      <c r="D65" s="4"/>
      <c r="E65" s="5"/>
      <c r="F65" s="81"/>
      <c r="G65" s="292"/>
      <c r="H65" s="292"/>
      <c r="I65" s="292"/>
      <c r="J65" s="292"/>
      <c r="K65" s="292"/>
    </row>
    <row r="66" spans="2:12" outlineLevel="1" x14ac:dyDescent="0.25">
      <c r="B66" s="5"/>
      <c r="C66" s="97" t="s">
        <v>77</v>
      </c>
      <c r="D66" s="9" t="s">
        <v>81</v>
      </c>
      <c r="E66" s="5"/>
      <c r="F66" s="82">
        <v>150</v>
      </c>
      <c r="G66" s="86">
        <f>+F66*(1+G$74)</f>
        <v>157.5</v>
      </c>
      <c r="H66" s="86">
        <f t="shared" ref="H66:L66" si="3">+G66*(1+H$74)</f>
        <v>165.375</v>
      </c>
      <c r="I66" s="86">
        <f t="shared" si="3"/>
        <v>172.81687499999998</v>
      </c>
      <c r="J66" s="86">
        <f t="shared" si="3"/>
        <v>180.59363437499997</v>
      </c>
      <c r="K66" s="86">
        <f t="shared" si="3"/>
        <v>187.81737974999996</v>
      </c>
      <c r="L66" s="86">
        <f t="shared" si="3"/>
        <v>194.39098804124995</v>
      </c>
    </row>
    <row r="67" spans="2:12" outlineLevel="1" x14ac:dyDescent="0.25">
      <c r="B67" s="5"/>
      <c r="C67" s="5"/>
      <c r="D67" s="4"/>
      <c r="E67" s="5"/>
      <c r="F67" s="81"/>
      <c r="G67" s="5"/>
      <c r="H67" s="5"/>
      <c r="I67" s="5"/>
      <c r="J67" s="5"/>
      <c r="K67" s="5"/>
    </row>
    <row r="68" spans="2:12" outlineLevel="1" x14ac:dyDescent="0.25">
      <c r="B68" s="5"/>
      <c r="C68" s="97" t="s">
        <v>85</v>
      </c>
      <c r="D68" s="9" t="s">
        <v>7</v>
      </c>
      <c r="E68" s="5"/>
      <c r="F68" s="85">
        <v>0.85</v>
      </c>
      <c r="G68" s="18">
        <v>0.86</v>
      </c>
      <c r="H68" s="18">
        <v>0.87</v>
      </c>
      <c r="I68" s="18">
        <v>0.88</v>
      </c>
      <c r="J68" s="18">
        <v>0.89</v>
      </c>
      <c r="K68" s="18">
        <v>0.9</v>
      </c>
      <c r="L68" s="18">
        <v>0.9</v>
      </c>
    </row>
    <row r="69" spans="2:12" outlineLevel="1" x14ac:dyDescent="0.25">
      <c r="B69" s="5"/>
      <c r="C69" s="5"/>
      <c r="D69" s="4"/>
      <c r="E69" s="5"/>
      <c r="F69" s="81"/>
      <c r="G69" s="5"/>
      <c r="H69" s="5"/>
      <c r="I69" s="5"/>
      <c r="J69" s="5"/>
      <c r="K69" s="5"/>
    </row>
    <row r="70" spans="2:12" outlineLevel="1" x14ac:dyDescent="0.25">
      <c r="B70" s="5"/>
      <c r="C70" s="69" t="s">
        <v>113</v>
      </c>
      <c r="D70" s="28"/>
      <c r="E70" s="5"/>
      <c r="F70" s="81"/>
      <c r="G70" s="5"/>
      <c r="H70" s="5"/>
      <c r="I70" s="5"/>
      <c r="J70" s="5"/>
      <c r="K70" s="5"/>
    </row>
    <row r="71" spans="2:12" outlineLevel="1" x14ac:dyDescent="0.25">
      <c r="B71" s="5"/>
      <c r="C71" s="104" t="s">
        <v>111</v>
      </c>
      <c r="D71" s="22" t="s">
        <v>7</v>
      </c>
      <c r="E71" s="5"/>
      <c r="F71" s="85">
        <v>0.05</v>
      </c>
      <c r="G71" s="18">
        <v>0.05</v>
      </c>
      <c r="H71" s="18">
        <v>0.05</v>
      </c>
      <c r="I71" s="18">
        <v>4.4999999999999998E-2</v>
      </c>
      <c r="J71" s="18">
        <v>4.4999999999999998E-2</v>
      </c>
      <c r="K71" s="18">
        <v>0.04</v>
      </c>
      <c r="L71" s="18">
        <v>3.5000000000000003E-2</v>
      </c>
    </row>
    <row r="72" spans="2:12" outlineLevel="1" x14ac:dyDescent="0.25">
      <c r="B72" s="5"/>
      <c r="C72" s="104" t="s">
        <v>112</v>
      </c>
      <c r="D72" s="22" t="s">
        <v>7</v>
      </c>
      <c r="E72" s="5"/>
      <c r="F72" s="85">
        <v>0.05</v>
      </c>
      <c r="G72" s="18">
        <v>0.05</v>
      </c>
      <c r="H72" s="18">
        <v>-0.03</v>
      </c>
      <c r="I72" s="18">
        <v>-0.01</v>
      </c>
      <c r="J72" s="18">
        <v>0.06</v>
      </c>
      <c r="K72" s="18">
        <v>4.4999999999999998E-2</v>
      </c>
      <c r="L72" s="18">
        <v>3.5000000000000003E-2</v>
      </c>
    </row>
    <row r="73" spans="2:12" outlineLevel="1" x14ac:dyDescent="0.25">
      <c r="B73" s="5"/>
      <c r="C73" s="104" t="s">
        <v>116</v>
      </c>
      <c r="D73" s="105" t="s">
        <v>7</v>
      </c>
      <c r="E73" s="108"/>
      <c r="F73" s="106">
        <v>0.05</v>
      </c>
      <c r="G73" s="110">
        <v>0.05</v>
      </c>
      <c r="H73" s="18">
        <v>-0.06</v>
      </c>
      <c r="I73" s="18">
        <v>-0.03</v>
      </c>
      <c r="J73" s="18">
        <v>0.05</v>
      </c>
      <c r="K73" s="18">
        <v>0.04</v>
      </c>
      <c r="L73" s="18">
        <v>0.03</v>
      </c>
    </row>
    <row r="74" spans="2:12" outlineLevel="1" x14ac:dyDescent="0.25">
      <c r="B74" s="5"/>
      <c r="C74" s="70" t="s">
        <v>114</v>
      </c>
      <c r="D74" s="22" t="s">
        <v>7</v>
      </c>
      <c r="E74" s="5"/>
      <c r="F74" s="107">
        <f t="shared" ref="F74:L74" si="4">INDEX(F71:F73,MATCH(Market_Scenario,$C71:$C73,0))</f>
        <v>0.05</v>
      </c>
      <c r="G74" s="107">
        <f t="shared" si="4"/>
        <v>0.05</v>
      </c>
      <c r="H74" s="107">
        <f t="shared" si="4"/>
        <v>0.05</v>
      </c>
      <c r="I74" s="107">
        <f t="shared" si="4"/>
        <v>4.4999999999999998E-2</v>
      </c>
      <c r="J74" s="107">
        <f t="shared" si="4"/>
        <v>4.4999999999999998E-2</v>
      </c>
      <c r="K74" s="107">
        <f t="shared" si="4"/>
        <v>0.04</v>
      </c>
      <c r="L74" s="107">
        <f t="shared" si="4"/>
        <v>3.5000000000000003E-2</v>
      </c>
    </row>
    <row r="75" spans="2:12" outlineLevel="1" x14ac:dyDescent="0.25">
      <c r="B75" s="5"/>
      <c r="C75" s="5"/>
      <c r="D75" s="4"/>
      <c r="E75" s="5"/>
      <c r="F75" s="81"/>
      <c r="G75" s="5"/>
      <c r="H75" s="5"/>
      <c r="I75" s="5"/>
      <c r="J75" s="5"/>
      <c r="K75" s="5"/>
    </row>
    <row r="76" spans="2:12" outlineLevel="1" x14ac:dyDescent="0.25">
      <c r="B76" s="5"/>
      <c r="C76" s="69" t="s">
        <v>70</v>
      </c>
      <c r="D76" s="4"/>
      <c r="E76" s="5"/>
      <c r="F76" s="81"/>
      <c r="G76" s="5"/>
      <c r="H76" s="5"/>
      <c r="I76" s="5"/>
      <c r="J76" s="5"/>
      <c r="K76" s="5"/>
    </row>
    <row r="77" spans="2:12" outlineLevel="1" x14ac:dyDescent="0.25">
      <c r="B77" s="5"/>
      <c r="C77" s="104" t="str">
        <f>$C$71</f>
        <v>Base</v>
      </c>
      <c r="D77" s="22" t="s">
        <v>7</v>
      </c>
      <c r="E77" s="5"/>
      <c r="F77" s="85">
        <v>-0.03</v>
      </c>
      <c r="G77" s="18">
        <v>-0.03</v>
      </c>
      <c r="H77" s="18">
        <v>-0.03</v>
      </c>
      <c r="I77" s="18">
        <v>-0.03</v>
      </c>
      <c r="J77" s="18">
        <v>-0.03</v>
      </c>
      <c r="K77" s="18">
        <v>-0.03</v>
      </c>
      <c r="L77" s="18">
        <v>-0.03</v>
      </c>
    </row>
    <row r="78" spans="2:12" outlineLevel="1" x14ac:dyDescent="0.25">
      <c r="B78" s="5"/>
      <c r="C78" s="104" t="str">
        <f>$C$72</f>
        <v>Downside</v>
      </c>
      <c r="D78" s="22" t="s">
        <v>7</v>
      </c>
      <c r="E78" s="5"/>
      <c r="F78" s="85">
        <v>-0.03</v>
      </c>
      <c r="G78" s="18">
        <v>-0.03</v>
      </c>
      <c r="H78" s="18">
        <v>-0.06</v>
      </c>
      <c r="I78" s="18">
        <v>-0.04</v>
      </c>
      <c r="J78" s="18">
        <v>-3.5000000000000003E-2</v>
      </c>
      <c r="K78" s="18">
        <v>-0.03</v>
      </c>
      <c r="L78" s="18">
        <v>-0.03</v>
      </c>
    </row>
    <row r="79" spans="2:12" outlineLevel="1" x14ac:dyDescent="0.25">
      <c r="B79" s="5"/>
      <c r="C79" s="111" t="str">
        <f>$C$73</f>
        <v>Extreme Downside</v>
      </c>
      <c r="D79" s="105" t="s">
        <v>7</v>
      </c>
      <c r="E79" s="108"/>
      <c r="F79" s="106">
        <v>-0.03</v>
      </c>
      <c r="G79" s="110">
        <v>-0.03</v>
      </c>
      <c r="H79" s="18">
        <v>-0.08</v>
      </c>
      <c r="I79" s="18">
        <v>-0.06</v>
      </c>
      <c r="J79" s="18">
        <v>-0.04</v>
      </c>
      <c r="K79" s="18">
        <v>-0.03</v>
      </c>
      <c r="L79" s="18">
        <v>-0.03</v>
      </c>
    </row>
    <row r="80" spans="2:12" outlineLevel="1" x14ac:dyDescent="0.25">
      <c r="B80" s="5"/>
      <c r="C80" s="69" t="s">
        <v>117</v>
      </c>
      <c r="D80" s="22" t="s">
        <v>7</v>
      </c>
      <c r="E80" s="5"/>
      <c r="F80" s="107">
        <f t="shared" ref="F80:L80" si="5">INDEX(F77:F79,MATCH(Market_Scenario,$C77:$C79,0))</f>
        <v>-0.03</v>
      </c>
      <c r="G80" s="107">
        <f t="shared" si="5"/>
        <v>-0.03</v>
      </c>
      <c r="H80" s="107">
        <f t="shared" si="5"/>
        <v>-0.03</v>
      </c>
      <c r="I80" s="107">
        <f t="shared" si="5"/>
        <v>-0.03</v>
      </c>
      <c r="J80" s="107">
        <f t="shared" si="5"/>
        <v>-0.03</v>
      </c>
      <c r="K80" s="107">
        <f t="shared" si="5"/>
        <v>-0.03</v>
      </c>
      <c r="L80" s="107">
        <f t="shared" si="5"/>
        <v>-0.03</v>
      </c>
    </row>
    <row r="81" spans="2:12" outlineLevel="1" x14ac:dyDescent="0.25">
      <c r="B81" s="5"/>
      <c r="C81" s="5"/>
      <c r="D81" s="4"/>
      <c r="E81" s="5"/>
      <c r="F81" s="81"/>
      <c r="G81" s="5"/>
      <c r="H81" s="5"/>
      <c r="I81" s="5"/>
      <c r="J81" s="5"/>
      <c r="K81" s="5"/>
    </row>
    <row r="82" spans="2:12" outlineLevel="1" x14ac:dyDescent="0.25">
      <c r="B82" s="5"/>
      <c r="C82" s="69" t="s">
        <v>378</v>
      </c>
      <c r="D82" s="4"/>
      <c r="E82" s="5"/>
      <c r="F82" s="81"/>
      <c r="G82" s="5"/>
      <c r="H82" s="5"/>
      <c r="I82" s="5"/>
      <c r="J82" s="5"/>
      <c r="K82" s="5"/>
    </row>
    <row r="83" spans="2:12" outlineLevel="1" x14ac:dyDescent="0.25">
      <c r="B83" s="5"/>
      <c r="C83" s="104" t="str">
        <f>$C$71</f>
        <v>Base</v>
      </c>
      <c r="D83" s="22" t="s">
        <v>7</v>
      </c>
      <c r="E83" s="5"/>
      <c r="F83" s="85">
        <v>-0.03</v>
      </c>
      <c r="G83" s="18">
        <v>-0.03</v>
      </c>
      <c r="H83" s="18">
        <v>-0.03</v>
      </c>
      <c r="I83" s="18">
        <v>-0.03</v>
      </c>
      <c r="J83" s="18">
        <v>-0.03</v>
      </c>
      <c r="K83" s="18">
        <v>-0.03</v>
      </c>
      <c r="L83" s="18">
        <v>-0.03</v>
      </c>
    </row>
    <row r="84" spans="2:12" outlineLevel="1" x14ac:dyDescent="0.25">
      <c r="B84" s="5"/>
      <c r="C84" s="104" t="str">
        <f>$C$72</f>
        <v>Downside</v>
      </c>
      <c r="D84" s="22" t="s">
        <v>7</v>
      </c>
      <c r="E84" s="5"/>
      <c r="F84" s="85">
        <v>-0.03</v>
      </c>
      <c r="G84" s="18">
        <v>-0.03</v>
      </c>
      <c r="H84" s="18">
        <v>-0.06</v>
      </c>
      <c r="I84" s="18">
        <v>-0.05</v>
      </c>
      <c r="J84" s="18">
        <v>-0.04</v>
      </c>
      <c r="K84" s="18">
        <v>-0.03</v>
      </c>
      <c r="L84" s="18">
        <v>-0.03</v>
      </c>
    </row>
    <row r="85" spans="2:12" outlineLevel="1" x14ac:dyDescent="0.25">
      <c r="B85" s="5"/>
      <c r="C85" s="111" t="str">
        <f>$C$73</f>
        <v>Extreme Downside</v>
      </c>
      <c r="D85" s="105" t="s">
        <v>7</v>
      </c>
      <c r="E85" s="108"/>
      <c r="F85" s="106">
        <v>-0.03</v>
      </c>
      <c r="G85" s="110">
        <v>-0.03</v>
      </c>
      <c r="H85" s="18">
        <v>-0.08</v>
      </c>
      <c r="I85" s="18">
        <v>-0.06</v>
      </c>
      <c r="J85" s="18">
        <v>-0.05</v>
      </c>
      <c r="K85" s="18">
        <v>-0.04</v>
      </c>
      <c r="L85" s="18">
        <v>-0.03</v>
      </c>
    </row>
    <row r="86" spans="2:12" outlineLevel="1" x14ac:dyDescent="0.25">
      <c r="B86" s="5"/>
      <c r="C86" s="69" t="s">
        <v>379</v>
      </c>
      <c r="D86" s="22" t="s">
        <v>7</v>
      </c>
      <c r="E86" s="5"/>
      <c r="F86" s="107">
        <f t="shared" ref="F86:L86" si="6">INDEX(F83:F85,MATCH(Market_Scenario,$C83:$C85,0))</f>
        <v>-0.03</v>
      </c>
      <c r="G86" s="107">
        <f t="shared" si="6"/>
        <v>-0.03</v>
      </c>
      <c r="H86" s="107">
        <f t="shared" si="6"/>
        <v>-0.03</v>
      </c>
      <c r="I86" s="107">
        <f t="shared" si="6"/>
        <v>-0.03</v>
      </c>
      <c r="J86" s="107">
        <f t="shared" si="6"/>
        <v>-0.03</v>
      </c>
      <c r="K86" s="107">
        <f t="shared" si="6"/>
        <v>-0.03</v>
      </c>
      <c r="L86" s="107">
        <f t="shared" si="6"/>
        <v>-0.03</v>
      </c>
    </row>
    <row r="87" spans="2:12" outlineLevel="1" x14ac:dyDescent="0.25">
      <c r="B87" s="5"/>
      <c r="C87" s="5"/>
      <c r="D87" s="4"/>
      <c r="E87" s="5"/>
      <c r="F87" s="81"/>
      <c r="G87" s="5"/>
      <c r="H87" s="5"/>
      <c r="I87" s="5"/>
      <c r="J87" s="5"/>
      <c r="K87" s="5"/>
    </row>
    <row r="88" spans="2:12" outlineLevel="1" x14ac:dyDescent="0.25">
      <c r="B88" s="5"/>
      <c r="C88" s="69" t="s">
        <v>118</v>
      </c>
      <c r="D88" s="4"/>
      <c r="E88" s="5"/>
      <c r="F88" s="81"/>
      <c r="G88" s="5"/>
      <c r="H88" s="5"/>
      <c r="I88" s="5"/>
      <c r="J88" s="5"/>
      <c r="K88" s="5"/>
    </row>
    <row r="89" spans="2:12" outlineLevel="1" x14ac:dyDescent="0.25">
      <c r="B89" s="5"/>
      <c r="C89" s="104" t="str">
        <f>$C$71</f>
        <v>Base</v>
      </c>
      <c r="D89" s="22" t="s">
        <v>7</v>
      </c>
      <c r="E89" s="5"/>
      <c r="F89" s="85">
        <v>0.04</v>
      </c>
      <c r="G89" s="18">
        <v>0.04</v>
      </c>
      <c r="H89" s="18">
        <v>0.04</v>
      </c>
      <c r="I89" s="18">
        <v>3.5000000000000003E-2</v>
      </c>
      <c r="J89" s="18">
        <v>3.5000000000000003E-2</v>
      </c>
      <c r="K89" s="18">
        <v>0.03</v>
      </c>
      <c r="L89" s="18">
        <v>2.5000000000000001E-2</v>
      </c>
    </row>
    <row r="90" spans="2:12" outlineLevel="1" x14ac:dyDescent="0.25">
      <c r="B90" s="5"/>
      <c r="C90" s="104" t="str">
        <f>$C$72</f>
        <v>Downside</v>
      </c>
      <c r="D90" s="22" t="s">
        <v>7</v>
      </c>
      <c r="E90" s="5"/>
      <c r="F90" s="85">
        <v>0.04</v>
      </c>
      <c r="G90" s="18">
        <v>0.04</v>
      </c>
      <c r="H90" s="18">
        <v>-0.02</v>
      </c>
      <c r="I90" s="18">
        <v>-0.01</v>
      </c>
      <c r="J90" s="18">
        <v>0.04</v>
      </c>
      <c r="K90" s="18">
        <v>0.03</v>
      </c>
      <c r="L90" s="18">
        <v>2.5000000000000001E-2</v>
      </c>
    </row>
    <row r="91" spans="2:12" outlineLevel="1" x14ac:dyDescent="0.25">
      <c r="B91" s="5"/>
      <c r="C91" s="111" t="str">
        <f>$C$73</f>
        <v>Extreme Downside</v>
      </c>
      <c r="D91" s="105" t="s">
        <v>7</v>
      </c>
      <c r="E91" s="108"/>
      <c r="F91" s="106">
        <v>0.04</v>
      </c>
      <c r="G91" s="110">
        <v>0.04</v>
      </c>
      <c r="H91" s="18">
        <v>-0.03</v>
      </c>
      <c r="I91" s="18">
        <v>-0.02</v>
      </c>
      <c r="J91" s="18">
        <v>3.5000000000000003E-2</v>
      </c>
      <c r="K91" s="18">
        <v>0.03</v>
      </c>
      <c r="L91" s="18">
        <v>2.5000000000000001E-2</v>
      </c>
    </row>
    <row r="92" spans="2:12" outlineLevel="1" x14ac:dyDescent="0.25">
      <c r="B92" s="5"/>
      <c r="C92" s="69" t="s">
        <v>119</v>
      </c>
      <c r="D92" s="22" t="s">
        <v>7</v>
      </c>
      <c r="E92" s="5"/>
      <c r="F92" s="107">
        <f t="shared" ref="F92:L92" si="7">INDEX(F89:F91,MATCH(Market_Scenario,$C89:$C91,0))</f>
        <v>0.04</v>
      </c>
      <c r="G92" s="107">
        <f t="shared" si="7"/>
        <v>0.04</v>
      </c>
      <c r="H92" s="107">
        <f t="shared" si="7"/>
        <v>0.04</v>
      </c>
      <c r="I92" s="107">
        <f t="shared" si="7"/>
        <v>3.5000000000000003E-2</v>
      </c>
      <c r="J92" s="107">
        <f t="shared" si="7"/>
        <v>3.5000000000000003E-2</v>
      </c>
      <c r="K92" s="107">
        <f t="shared" si="7"/>
        <v>0.03</v>
      </c>
      <c r="L92" s="107">
        <f t="shared" si="7"/>
        <v>2.5000000000000001E-2</v>
      </c>
    </row>
    <row r="93" spans="2:12" outlineLevel="1" x14ac:dyDescent="0.25">
      <c r="B93" s="5"/>
      <c r="C93" s="5"/>
      <c r="D93" s="4"/>
      <c r="E93" s="5"/>
      <c r="F93" s="81"/>
      <c r="G93" s="5"/>
      <c r="H93" s="5"/>
      <c r="I93" s="5"/>
      <c r="J93" s="5"/>
      <c r="K93" s="5"/>
    </row>
    <row r="94" spans="2:12" outlineLevel="1" x14ac:dyDescent="0.25">
      <c r="B94" s="5"/>
      <c r="C94" s="97" t="s">
        <v>83</v>
      </c>
      <c r="D94" s="9" t="s">
        <v>84</v>
      </c>
      <c r="E94" s="5"/>
      <c r="F94" s="82">
        <v>0.55000000000000004</v>
      </c>
      <c r="G94" s="86">
        <f>+F94*(1+G$92)</f>
        <v>0.57200000000000006</v>
      </c>
      <c r="H94" s="86">
        <f t="shared" ref="H94:L94" si="8">+G94*(1+H$92)</f>
        <v>0.59488000000000008</v>
      </c>
      <c r="I94" s="86">
        <f t="shared" si="8"/>
        <v>0.61570080000000005</v>
      </c>
      <c r="J94" s="86">
        <f t="shared" si="8"/>
        <v>0.63725032800000003</v>
      </c>
      <c r="K94" s="86">
        <f t="shared" si="8"/>
        <v>0.65636783784000008</v>
      </c>
      <c r="L94" s="86">
        <f t="shared" si="8"/>
        <v>0.67277703378600007</v>
      </c>
    </row>
    <row r="95" spans="2:12" outlineLevel="1" x14ac:dyDescent="0.25">
      <c r="B95" s="5"/>
      <c r="C95" s="97" t="s">
        <v>78</v>
      </c>
      <c r="D95" s="9" t="s">
        <v>80</v>
      </c>
      <c r="E95" s="5"/>
      <c r="F95" s="82">
        <v>130</v>
      </c>
      <c r="G95" s="86">
        <f t="shared" ref="G95:L95" si="9">+F95*(1+G$92)</f>
        <v>135.20000000000002</v>
      </c>
      <c r="H95" s="86">
        <f t="shared" si="9"/>
        <v>140.60800000000003</v>
      </c>
      <c r="I95" s="86">
        <f t="shared" si="9"/>
        <v>145.52928000000003</v>
      </c>
      <c r="J95" s="86">
        <f t="shared" si="9"/>
        <v>150.62280480000001</v>
      </c>
      <c r="K95" s="86">
        <f t="shared" si="9"/>
        <v>155.141488944</v>
      </c>
      <c r="L95" s="86">
        <f t="shared" si="9"/>
        <v>159.02002616759998</v>
      </c>
    </row>
    <row r="96" spans="2:12" outlineLevel="1" x14ac:dyDescent="0.25">
      <c r="B96" s="5"/>
      <c r="C96" s="97" t="s">
        <v>103</v>
      </c>
      <c r="D96" s="9" t="s">
        <v>86</v>
      </c>
      <c r="E96" s="5"/>
      <c r="F96" s="82">
        <v>400</v>
      </c>
      <c r="G96" s="86">
        <f t="shared" ref="G96:L96" si="10">+F96*(1+G$92)</f>
        <v>416</v>
      </c>
      <c r="H96" s="86">
        <f t="shared" si="10"/>
        <v>432.64</v>
      </c>
      <c r="I96" s="86">
        <f t="shared" si="10"/>
        <v>447.78239999999994</v>
      </c>
      <c r="J96" s="86">
        <f t="shared" si="10"/>
        <v>463.4547839999999</v>
      </c>
      <c r="K96" s="86">
        <f t="shared" si="10"/>
        <v>477.35842751999991</v>
      </c>
      <c r="L96" s="86">
        <f t="shared" si="10"/>
        <v>489.29238820799986</v>
      </c>
    </row>
    <row r="97" spans="2:12" outlineLevel="1" x14ac:dyDescent="0.25">
      <c r="B97" s="5"/>
      <c r="C97" s="11"/>
      <c r="D97" s="9"/>
      <c r="E97" s="5"/>
      <c r="F97" s="5"/>
      <c r="G97" s="85"/>
      <c r="H97" s="85"/>
      <c r="I97" s="85"/>
      <c r="J97" s="85"/>
      <c r="K97" s="85"/>
      <c r="L97" s="85"/>
    </row>
    <row r="98" spans="2:12" outlineLevel="1" x14ac:dyDescent="0.25">
      <c r="B98" s="5"/>
      <c r="C98" s="97" t="s">
        <v>79</v>
      </c>
      <c r="D98" s="9" t="s">
        <v>7</v>
      </c>
      <c r="E98" s="5"/>
      <c r="F98" s="85">
        <v>0.1</v>
      </c>
      <c r="G98" s="18">
        <v>0.10100000000000001</v>
      </c>
      <c r="H98" s="18">
        <v>0.10199999999999999</v>
      </c>
      <c r="I98" s="18">
        <v>0.10299999999999999</v>
      </c>
      <c r="J98" s="18">
        <v>0.104</v>
      </c>
      <c r="K98" s="18">
        <v>0.105</v>
      </c>
      <c r="L98" s="18">
        <v>0.105</v>
      </c>
    </row>
    <row r="99" spans="2:12" outlineLevel="1" x14ac:dyDescent="0.25">
      <c r="B99" s="5"/>
      <c r="C99" s="11"/>
      <c r="D99" s="9"/>
      <c r="E99" s="5"/>
      <c r="F99" s="85"/>
      <c r="G99" s="85"/>
      <c r="H99" s="85"/>
      <c r="I99" s="85"/>
      <c r="J99" s="85"/>
      <c r="K99" s="85"/>
      <c r="L99" s="85"/>
    </row>
    <row r="100" spans="2:12" outlineLevel="1" x14ac:dyDescent="0.25">
      <c r="B100" s="5"/>
      <c r="C100" s="97" t="s">
        <v>127</v>
      </c>
      <c r="D100" s="9" t="s">
        <v>7</v>
      </c>
      <c r="E100" s="5"/>
      <c r="F100" s="85">
        <v>0.1</v>
      </c>
      <c r="G100" s="18">
        <v>0.12</v>
      </c>
      <c r="H100" s="18">
        <v>0.14000000000000001</v>
      </c>
      <c r="I100" s="18">
        <v>0.16</v>
      </c>
      <c r="J100" s="18">
        <v>0.18</v>
      </c>
      <c r="K100" s="18">
        <v>0.2</v>
      </c>
      <c r="L100" s="18">
        <v>0.2</v>
      </c>
    </row>
    <row r="101" spans="2:12" outlineLevel="1" x14ac:dyDescent="0.25">
      <c r="B101" s="5"/>
      <c r="C101" s="11"/>
      <c r="D101" s="9"/>
      <c r="E101" s="5"/>
      <c r="F101" s="85"/>
      <c r="G101" s="85"/>
      <c r="H101" s="85"/>
      <c r="I101" s="85"/>
      <c r="J101" s="85"/>
      <c r="K101" s="85"/>
      <c r="L101" s="85"/>
    </row>
    <row r="102" spans="2:12" outlineLevel="1" x14ac:dyDescent="0.25">
      <c r="B102" s="5"/>
      <c r="C102" s="69" t="s">
        <v>129</v>
      </c>
      <c r="D102" s="4"/>
      <c r="E102" s="5"/>
      <c r="F102" s="81"/>
      <c r="G102" s="5"/>
      <c r="H102" s="5"/>
      <c r="I102" s="5"/>
      <c r="J102" s="5"/>
      <c r="K102" s="5"/>
    </row>
    <row r="103" spans="2:12" outlineLevel="1" x14ac:dyDescent="0.25">
      <c r="B103" s="5"/>
      <c r="C103" s="104" t="str">
        <f>$C$71</f>
        <v>Base</v>
      </c>
      <c r="D103" s="22" t="s">
        <v>7</v>
      </c>
      <c r="E103" s="5"/>
      <c r="F103" s="85">
        <v>0.04</v>
      </c>
      <c r="G103" s="18">
        <v>0.04</v>
      </c>
      <c r="H103" s="18">
        <v>0.04</v>
      </c>
      <c r="I103" s="18">
        <v>3.5000000000000003E-2</v>
      </c>
      <c r="J103" s="18">
        <v>3.5000000000000003E-2</v>
      </c>
      <c r="K103" s="18">
        <v>0.03</v>
      </c>
      <c r="L103" s="18">
        <v>2.5000000000000001E-2</v>
      </c>
    </row>
    <row r="104" spans="2:12" outlineLevel="1" x14ac:dyDescent="0.25">
      <c r="B104" s="5"/>
      <c r="C104" s="104" t="str">
        <f>$C$72</f>
        <v>Downside</v>
      </c>
      <c r="D104" s="22" t="s">
        <v>7</v>
      </c>
      <c r="E104" s="5"/>
      <c r="F104" s="85">
        <v>0.04</v>
      </c>
      <c r="G104" s="18">
        <v>0.04</v>
      </c>
      <c r="H104" s="18">
        <v>0.1</v>
      </c>
      <c r="I104" s="18">
        <v>0.1</v>
      </c>
      <c r="J104" s="18">
        <v>-0.08</v>
      </c>
      <c r="K104" s="18">
        <v>-0.04</v>
      </c>
      <c r="L104" s="18">
        <v>2.5000000000000001E-2</v>
      </c>
    </row>
    <row r="105" spans="2:12" outlineLevel="1" x14ac:dyDescent="0.25">
      <c r="B105" s="5"/>
      <c r="C105" s="111" t="str">
        <f>$C$73</f>
        <v>Extreme Downside</v>
      </c>
      <c r="D105" s="105" t="s">
        <v>7</v>
      </c>
      <c r="E105" s="108"/>
      <c r="F105" s="106">
        <v>0.04</v>
      </c>
      <c r="G105" s="110">
        <v>0.04</v>
      </c>
      <c r="H105" s="18">
        <v>0.15</v>
      </c>
      <c r="I105" s="18">
        <v>0.1</v>
      </c>
      <c r="J105" s="18">
        <v>-0.12</v>
      </c>
      <c r="K105" s="18">
        <v>-7.0000000000000007E-2</v>
      </c>
      <c r="L105" s="18">
        <v>2.5000000000000001E-2</v>
      </c>
    </row>
    <row r="106" spans="2:12" outlineLevel="1" x14ac:dyDescent="0.25">
      <c r="B106" s="5"/>
      <c r="C106" s="69" t="s">
        <v>131</v>
      </c>
      <c r="D106" s="22" t="s">
        <v>7</v>
      </c>
      <c r="E106" s="5"/>
      <c r="F106" s="107">
        <f t="shared" ref="F106:L106" si="11">INDEX(F103:F105,MATCH(Market_Scenario,$C103:$C105,0))</f>
        <v>0.04</v>
      </c>
      <c r="G106" s="107">
        <f t="shared" si="11"/>
        <v>0.04</v>
      </c>
      <c r="H106" s="107">
        <f t="shared" si="11"/>
        <v>0.04</v>
      </c>
      <c r="I106" s="107">
        <f t="shared" si="11"/>
        <v>3.5000000000000003E-2</v>
      </c>
      <c r="J106" s="107">
        <f t="shared" si="11"/>
        <v>3.5000000000000003E-2</v>
      </c>
      <c r="K106" s="107">
        <f t="shared" si="11"/>
        <v>0.03</v>
      </c>
      <c r="L106" s="107">
        <f t="shared" si="11"/>
        <v>2.5000000000000001E-2</v>
      </c>
    </row>
    <row r="107" spans="2:12" outlineLevel="1" x14ac:dyDescent="0.25">
      <c r="B107" s="5"/>
      <c r="C107" s="11"/>
      <c r="D107" s="9"/>
      <c r="E107" s="5"/>
      <c r="F107" s="85"/>
      <c r="G107" s="85"/>
      <c r="H107" s="85"/>
      <c r="I107" s="85"/>
      <c r="J107" s="85"/>
      <c r="K107" s="85"/>
      <c r="L107" s="85"/>
    </row>
    <row r="108" spans="2:12" outlineLevel="1" x14ac:dyDescent="0.25">
      <c r="B108" s="5"/>
      <c r="C108" s="97" t="s">
        <v>128</v>
      </c>
      <c r="D108" s="118" t="s">
        <v>86</v>
      </c>
      <c r="E108" s="5"/>
      <c r="F108" s="82">
        <v>800</v>
      </c>
      <c r="G108" s="86">
        <f>+F108*(1+G$106)</f>
        <v>832</v>
      </c>
      <c r="H108" s="86">
        <f t="shared" ref="H108:L108" si="12">+G108*(1+H$106)</f>
        <v>865.28</v>
      </c>
      <c r="I108" s="86">
        <f t="shared" si="12"/>
        <v>895.56479999999988</v>
      </c>
      <c r="J108" s="86">
        <f t="shared" si="12"/>
        <v>926.90956799999981</v>
      </c>
      <c r="K108" s="86">
        <f t="shared" si="12"/>
        <v>954.71685503999981</v>
      </c>
      <c r="L108" s="86">
        <f t="shared" si="12"/>
        <v>978.58477641599973</v>
      </c>
    </row>
    <row r="109" spans="2:12" outlineLevel="1" x14ac:dyDescent="0.25">
      <c r="B109" s="5"/>
      <c r="C109" s="11"/>
      <c r="D109" s="9"/>
      <c r="E109" s="5"/>
      <c r="F109" s="85"/>
      <c r="G109" s="85"/>
      <c r="H109" s="85"/>
      <c r="I109" s="85"/>
      <c r="J109" s="85"/>
      <c r="K109" s="85"/>
      <c r="L109" s="85"/>
    </row>
    <row r="110" spans="2:12" outlineLevel="1" x14ac:dyDescent="0.25">
      <c r="B110" s="5"/>
      <c r="C110" s="69" t="s">
        <v>130</v>
      </c>
      <c r="D110" s="4"/>
      <c r="E110" s="5"/>
      <c r="F110" s="81"/>
      <c r="G110" s="5"/>
      <c r="H110" s="5"/>
      <c r="I110" s="5"/>
      <c r="J110" s="5"/>
      <c r="K110" s="5"/>
    </row>
    <row r="111" spans="2:12" outlineLevel="1" x14ac:dyDescent="0.25">
      <c r="B111" s="5"/>
      <c r="C111" s="104" t="str">
        <f>$C$71</f>
        <v>Base</v>
      </c>
      <c r="D111" s="22" t="s">
        <v>7</v>
      </c>
      <c r="E111" s="5"/>
      <c r="F111" s="85">
        <v>0.03</v>
      </c>
      <c r="G111" s="18">
        <v>0.03</v>
      </c>
      <c r="H111" s="18">
        <v>0.03</v>
      </c>
      <c r="I111" s="18">
        <v>0.03</v>
      </c>
      <c r="J111" s="18">
        <v>0.03</v>
      </c>
      <c r="K111" s="18">
        <v>0.03</v>
      </c>
      <c r="L111" s="18">
        <v>0.03</v>
      </c>
    </row>
    <row r="112" spans="2:12" outlineLevel="1" x14ac:dyDescent="0.25">
      <c r="B112" s="5"/>
      <c r="C112" s="104" t="str">
        <f>$C$72</f>
        <v>Downside</v>
      </c>
      <c r="D112" s="22" t="s">
        <v>7</v>
      </c>
      <c r="E112" s="5"/>
      <c r="F112" s="85">
        <v>0.03</v>
      </c>
      <c r="G112" s="18">
        <v>0.03</v>
      </c>
      <c r="H112" s="18">
        <v>0.08</v>
      </c>
      <c r="I112" s="18">
        <v>0.06</v>
      </c>
      <c r="J112" s="18">
        <v>0.05</v>
      </c>
      <c r="K112" s="18">
        <v>0.04</v>
      </c>
      <c r="L112" s="18">
        <v>0.03</v>
      </c>
    </row>
    <row r="113" spans="2:12" outlineLevel="1" x14ac:dyDescent="0.25">
      <c r="B113" s="5"/>
      <c r="C113" s="111" t="str">
        <f>$C$73</f>
        <v>Extreme Downside</v>
      </c>
      <c r="D113" s="105" t="s">
        <v>7</v>
      </c>
      <c r="E113" s="108"/>
      <c r="F113" s="106">
        <v>0.03</v>
      </c>
      <c r="G113" s="110">
        <v>0.03</v>
      </c>
      <c r="H113" s="18">
        <v>0.12</v>
      </c>
      <c r="I113" s="18">
        <v>0.08</v>
      </c>
      <c r="J113" s="18">
        <v>0.06</v>
      </c>
      <c r="K113" s="18">
        <v>4.4999999999999998E-2</v>
      </c>
      <c r="L113" s="18">
        <v>0.03</v>
      </c>
    </row>
    <row r="114" spans="2:12" outlineLevel="1" x14ac:dyDescent="0.25">
      <c r="B114" s="5"/>
      <c r="C114" s="69" t="s">
        <v>132</v>
      </c>
      <c r="D114" s="22" t="s">
        <v>7</v>
      </c>
      <c r="E114" s="5"/>
      <c r="F114" s="107">
        <f t="shared" ref="F114:L114" si="13">INDEX(F111:F113,MATCH(Market_Scenario,$C111:$C113,0))</f>
        <v>0.03</v>
      </c>
      <c r="G114" s="107">
        <f t="shared" si="13"/>
        <v>0.03</v>
      </c>
      <c r="H114" s="107">
        <f t="shared" si="13"/>
        <v>0.03</v>
      </c>
      <c r="I114" s="107">
        <f t="shared" si="13"/>
        <v>0.03</v>
      </c>
      <c r="J114" s="107">
        <f t="shared" si="13"/>
        <v>0.03</v>
      </c>
      <c r="K114" s="107">
        <f t="shared" si="13"/>
        <v>0.03</v>
      </c>
      <c r="L114" s="107">
        <f t="shared" si="13"/>
        <v>0.03</v>
      </c>
    </row>
    <row r="115" spans="2:12" outlineLevel="1" x14ac:dyDescent="0.25">
      <c r="B115" s="5"/>
      <c r="C115" s="11"/>
      <c r="D115" s="9"/>
      <c r="E115" s="5"/>
      <c r="F115" s="85"/>
      <c r="G115" s="85"/>
      <c r="H115" s="85"/>
      <c r="I115" s="85"/>
      <c r="J115" s="85"/>
      <c r="K115" s="85"/>
      <c r="L115" s="85"/>
    </row>
    <row r="116" spans="2:12" outlineLevel="1" x14ac:dyDescent="0.25">
      <c r="B116" s="5"/>
      <c r="C116" s="11" t="s">
        <v>90</v>
      </c>
      <c r="D116" s="9" t="s">
        <v>86</v>
      </c>
      <c r="E116" s="5"/>
      <c r="F116" s="93">
        <v>0</v>
      </c>
      <c r="G116" s="93">
        <v>1000</v>
      </c>
      <c r="H116" s="93">
        <v>1500</v>
      </c>
      <c r="I116" s="93">
        <v>750</v>
      </c>
      <c r="J116" s="93">
        <v>0</v>
      </c>
      <c r="K116" s="93">
        <v>200</v>
      </c>
      <c r="L116" s="93">
        <v>0</v>
      </c>
    </row>
    <row r="117" spans="2:12" outlineLevel="1" x14ac:dyDescent="0.25">
      <c r="B117" s="5"/>
      <c r="C117" s="11"/>
      <c r="D117" s="9"/>
      <c r="E117" s="5"/>
      <c r="F117" s="5"/>
      <c r="G117" s="85"/>
      <c r="H117" s="85"/>
      <c r="I117" s="85"/>
      <c r="J117" s="85"/>
      <c r="K117" s="85"/>
      <c r="L117" s="85"/>
    </row>
    <row r="118" spans="2:12" outlineLevel="1" x14ac:dyDescent="0.25">
      <c r="B118" s="5"/>
      <c r="C118" s="11" t="s">
        <v>97</v>
      </c>
      <c r="D118" s="9" t="s">
        <v>12</v>
      </c>
      <c r="E118" s="93">
        <v>0</v>
      </c>
      <c r="F118" s="34">
        <f>+E118-F143-F152+K55</f>
        <v>556086.05599999998</v>
      </c>
      <c r="G118" s="34">
        <f t="shared" ref="G118:L118" si="14">+F118-G143-G152</f>
        <v>372258.4289</v>
      </c>
      <c r="H118" s="34">
        <f t="shared" si="14"/>
        <v>64195.235734999995</v>
      </c>
      <c r="I118" s="34">
        <f t="shared" si="14"/>
        <v>0</v>
      </c>
      <c r="J118" s="34">
        <f t="shared" si="14"/>
        <v>25579.258216776216</v>
      </c>
      <c r="K118" s="34">
        <f t="shared" si="14"/>
        <v>0</v>
      </c>
      <c r="L118" s="34">
        <f t="shared" si="14"/>
        <v>16278.685943266915</v>
      </c>
    </row>
    <row r="119" spans="2:12" outlineLevel="1" x14ac:dyDescent="0.25"/>
    <row r="120" spans="2:12" outlineLevel="1" x14ac:dyDescent="0.25">
      <c r="B120" s="46"/>
      <c r="C120" s="47" t="s">
        <v>155</v>
      </c>
      <c r="D120" s="48" t="s">
        <v>46</v>
      </c>
      <c r="E120" s="46"/>
      <c r="F120" s="49">
        <f>YEAR(F124)</f>
        <v>2018</v>
      </c>
      <c r="G120" s="49">
        <f t="shared" ref="G120:K120" si="15">YEAR(G124)</f>
        <v>2019</v>
      </c>
      <c r="H120" s="49">
        <f t="shared" si="15"/>
        <v>2020</v>
      </c>
      <c r="I120" s="49">
        <f t="shared" si="15"/>
        <v>2021</v>
      </c>
      <c r="J120" s="49">
        <f t="shared" si="15"/>
        <v>2022</v>
      </c>
      <c r="K120" s="49">
        <f t="shared" si="15"/>
        <v>2023</v>
      </c>
      <c r="L120" s="49">
        <f>YEAR(EOMONTH(K124,Months))</f>
        <v>2024</v>
      </c>
    </row>
    <row r="121" spans="2:12" outlineLevel="1" x14ac:dyDescent="0.25">
      <c r="B121" s="5"/>
      <c r="C121" s="47" t="s">
        <v>134</v>
      </c>
      <c r="D121" s="48" t="s">
        <v>156</v>
      </c>
      <c r="E121" s="5"/>
      <c r="F121" s="129">
        <f>F120-$F120</f>
        <v>0</v>
      </c>
      <c r="G121" s="129">
        <f>G120-$F120</f>
        <v>1</v>
      </c>
      <c r="H121" s="129">
        <f t="shared" ref="H121:L121" si="16">H120-$F120</f>
        <v>2</v>
      </c>
      <c r="I121" s="129">
        <f t="shared" si="16"/>
        <v>3</v>
      </c>
      <c r="J121" s="129">
        <f t="shared" si="16"/>
        <v>4</v>
      </c>
      <c r="K121" s="129">
        <f t="shared" si="16"/>
        <v>5</v>
      </c>
      <c r="L121" s="129">
        <f t="shared" si="16"/>
        <v>6</v>
      </c>
    </row>
    <row r="122" spans="2:12" x14ac:dyDescent="0.25">
      <c r="B122" s="5"/>
      <c r="C122" s="5"/>
      <c r="D122" s="4"/>
      <c r="E122" s="5"/>
      <c r="F122" s="5"/>
      <c r="G122" s="5"/>
      <c r="H122" s="5"/>
      <c r="I122" s="5"/>
      <c r="J122" s="5"/>
      <c r="K122" s="5"/>
    </row>
    <row r="123" spans="2:12" x14ac:dyDescent="0.25">
      <c r="B123" s="37"/>
      <c r="C123" s="37"/>
      <c r="D123" s="38"/>
      <c r="E123" s="50"/>
      <c r="F123" s="39" t="str">
        <f>+$F$58</f>
        <v>Historical:</v>
      </c>
      <c r="G123" s="40" t="str">
        <f>+$G$58</f>
        <v>Projected:</v>
      </c>
      <c r="H123" s="41"/>
      <c r="I123" s="41"/>
      <c r="J123" s="41"/>
      <c r="K123" s="41"/>
      <c r="L123" s="51" t="str">
        <f>+$L$58</f>
        <v>Stabilized</v>
      </c>
    </row>
    <row r="124" spans="2:12" x14ac:dyDescent="0.25">
      <c r="B124" s="7" t="s">
        <v>24</v>
      </c>
      <c r="C124" s="7"/>
      <c r="D124" s="8" t="str">
        <f>+$D$5</f>
        <v>Units:</v>
      </c>
      <c r="E124" s="52"/>
      <c r="F124" s="53">
        <f>+$F$59</f>
        <v>43465</v>
      </c>
      <c r="G124" s="44">
        <f>+$G$59</f>
        <v>43830</v>
      </c>
      <c r="H124" s="43">
        <f>+$H$59</f>
        <v>44196</v>
      </c>
      <c r="I124" s="43">
        <f>+$I$59</f>
        <v>44561</v>
      </c>
      <c r="J124" s="43">
        <f>+$J$59</f>
        <v>44926</v>
      </c>
      <c r="K124" s="43">
        <f>+$K$59</f>
        <v>45291</v>
      </c>
      <c r="L124" s="43" t="str">
        <f>+$L$59</f>
        <v>Year:</v>
      </c>
    </row>
    <row r="125" spans="2:12" outlineLevel="1" x14ac:dyDescent="0.25">
      <c r="B125" s="5"/>
      <c r="C125" s="5"/>
      <c r="D125" s="4"/>
      <c r="E125" s="54"/>
      <c r="F125" s="54"/>
      <c r="G125" s="54"/>
      <c r="H125" s="33"/>
      <c r="I125" s="33"/>
      <c r="J125" s="33"/>
      <c r="K125" s="33"/>
    </row>
    <row r="126" spans="2:12" outlineLevel="1" x14ac:dyDescent="0.25">
      <c r="B126" s="5"/>
      <c r="C126" s="2" t="s">
        <v>25</v>
      </c>
      <c r="D126" s="4"/>
      <c r="E126" s="33"/>
      <c r="F126" s="31"/>
      <c r="G126" s="33"/>
      <c r="H126" s="33"/>
      <c r="I126" s="33"/>
      <c r="J126" s="33"/>
      <c r="K126" s="33"/>
    </row>
    <row r="127" spans="2:12" outlineLevel="1" x14ac:dyDescent="0.25">
      <c r="B127" s="5"/>
      <c r="C127" s="11" t="s">
        <v>57</v>
      </c>
      <c r="D127" s="9" t="s">
        <v>12</v>
      </c>
      <c r="E127" s="33"/>
      <c r="F127" s="31">
        <f t="shared" ref="F127:L127" si="17">+F62*Apt_Units*Months</f>
        <v>7020000</v>
      </c>
      <c r="G127" s="31">
        <f t="shared" si="17"/>
        <v>7371000</v>
      </c>
      <c r="H127" s="31">
        <f t="shared" si="17"/>
        <v>7739550</v>
      </c>
      <c r="I127" s="31">
        <f t="shared" si="17"/>
        <v>8087829.75</v>
      </c>
      <c r="J127" s="31">
        <f t="shared" si="17"/>
        <v>8451782.088750001</v>
      </c>
      <c r="K127" s="31">
        <f t="shared" si="17"/>
        <v>8789853.372299999</v>
      </c>
      <c r="L127" s="31">
        <f t="shared" si="17"/>
        <v>9097498.2403304987</v>
      </c>
    </row>
    <row r="128" spans="2:12" outlineLevel="1" x14ac:dyDescent="0.25">
      <c r="B128" s="5"/>
      <c r="C128" s="11" t="s">
        <v>62</v>
      </c>
      <c r="D128" s="9" t="s">
        <v>12</v>
      </c>
      <c r="E128" s="33"/>
      <c r="F128" s="34">
        <f t="shared" ref="F128:L128" si="18">(F63-F62)*Apt_Units*Months</f>
        <v>-561600</v>
      </c>
      <c r="G128" s="34">
        <f t="shared" si="18"/>
        <v>-552825</v>
      </c>
      <c r="H128" s="34">
        <f t="shared" si="18"/>
        <v>-386977.5</v>
      </c>
      <c r="I128" s="34">
        <f t="shared" si="18"/>
        <v>-202195.74375000049</v>
      </c>
      <c r="J128" s="34">
        <f t="shared" si="18"/>
        <v>-84517.820887499984</v>
      </c>
      <c r="K128" s="34">
        <f t="shared" si="18"/>
        <v>-87898.533722999724</v>
      </c>
      <c r="L128" s="34">
        <f t="shared" si="18"/>
        <v>-90974.98240330469</v>
      </c>
    </row>
    <row r="129" spans="2:12" outlineLevel="1" x14ac:dyDescent="0.25">
      <c r="B129" s="5"/>
      <c r="C129" s="11" t="s">
        <v>61</v>
      </c>
      <c r="D129" s="9" t="s">
        <v>12</v>
      </c>
      <c r="E129" s="33"/>
      <c r="F129" s="34">
        <f t="shared" ref="F129:L129" si="19">SUM(F127:F128)*F86</f>
        <v>-193752</v>
      </c>
      <c r="G129" s="34">
        <f t="shared" si="19"/>
        <v>-204545.25</v>
      </c>
      <c r="H129" s="34">
        <f t="shared" si="19"/>
        <v>-220577.17499999999</v>
      </c>
      <c r="I129" s="34">
        <f t="shared" si="19"/>
        <v>-236569.02018749999</v>
      </c>
      <c r="J129" s="34">
        <f t="shared" si="19"/>
        <v>-251017.928035875</v>
      </c>
      <c r="K129" s="34">
        <f t="shared" si="19"/>
        <v>-261058.64515730995</v>
      </c>
      <c r="L129" s="34">
        <f t="shared" si="19"/>
        <v>-270195.69773781579</v>
      </c>
    </row>
    <row r="130" spans="2:12" outlineLevel="1" x14ac:dyDescent="0.25">
      <c r="B130" s="5"/>
      <c r="C130" s="11" t="s">
        <v>71</v>
      </c>
      <c r="D130" s="9" t="s">
        <v>12</v>
      </c>
      <c r="E130" s="33"/>
      <c r="F130" s="34">
        <f t="shared" ref="F130:L130" si="20">+F66*Parking_Spots*Months</f>
        <v>648648</v>
      </c>
      <c r="G130" s="33">
        <f t="shared" si="20"/>
        <v>681080.4</v>
      </c>
      <c r="H130" s="33">
        <f t="shared" si="20"/>
        <v>715134.42</v>
      </c>
      <c r="I130" s="33">
        <f t="shared" si="20"/>
        <v>747315.46889999998</v>
      </c>
      <c r="J130" s="33">
        <f t="shared" si="20"/>
        <v>780944.66500049992</v>
      </c>
      <c r="K130" s="33">
        <f t="shared" si="20"/>
        <v>812182.45160051994</v>
      </c>
      <c r="L130" s="33">
        <f t="shared" si="20"/>
        <v>840608.83740653796</v>
      </c>
    </row>
    <row r="131" spans="2:12" outlineLevel="1" x14ac:dyDescent="0.25">
      <c r="B131" s="5"/>
      <c r="C131" s="11" t="s">
        <v>60</v>
      </c>
      <c r="D131" s="56" t="s">
        <v>12</v>
      </c>
      <c r="E131" s="79"/>
      <c r="F131" s="80">
        <f t="shared" ref="F131:L131" si="21">-F140*F68</f>
        <v>310284</v>
      </c>
      <c r="G131" s="79">
        <f t="shared" si="21"/>
        <v>326491.77600000001</v>
      </c>
      <c r="H131" s="79">
        <f t="shared" si="21"/>
        <v>343499.7196800001</v>
      </c>
      <c r="I131" s="79">
        <f t="shared" si="21"/>
        <v>359608.67205120006</v>
      </c>
      <c r="J131" s="79">
        <f t="shared" si="21"/>
        <v>376424.46393177606</v>
      </c>
      <c r="K131" s="79">
        <f t="shared" si="21"/>
        <v>392073.57085927681</v>
      </c>
      <c r="L131" s="79">
        <f t="shared" si="21"/>
        <v>401875.41013075871</v>
      </c>
    </row>
    <row r="132" spans="2:12" outlineLevel="1" x14ac:dyDescent="0.25">
      <c r="B132" s="5"/>
      <c r="C132" s="78" t="s">
        <v>58</v>
      </c>
      <c r="D132" s="9" t="s">
        <v>12</v>
      </c>
      <c r="E132" s="33"/>
      <c r="F132" s="90">
        <f>SUM(F127:F131)</f>
        <v>7223580</v>
      </c>
      <c r="G132" s="66">
        <f t="shared" ref="G132:L132" si="22">SUM(G127:G131)</f>
        <v>7621201.926</v>
      </c>
      <c r="H132" s="66">
        <f t="shared" si="22"/>
        <v>8190629.4646800002</v>
      </c>
      <c r="I132" s="66">
        <f t="shared" si="22"/>
        <v>8755989.1270137001</v>
      </c>
      <c r="J132" s="66">
        <f t="shared" si="22"/>
        <v>9273615.4687589016</v>
      </c>
      <c r="K132" s="66">
        <f t="shared" si="22"/>
        <v>9645152.2158794869</v>
      </c>
      <c r="L132" s="66">
        <f t="shared" si="22"/>
        <v>9978811.8077266738</v>
      </c>
    </row>
    <row r="133" spans="2:12" outlineLevel="1" x14ac:dyDescent="0.25">
      <c r="B133" s="5"/>
      <c r="C133" s="11" t="s">
        <v>59</v>
      </c>
      <c r="D133" s="56" t="s">
        <v>12</v>
      </c>
      <c r="E133" s="33"/>
      <c r="F133" s="33">
        <f>F132*F80</f>
        <v>-216707.4</v>
      </c>
      <c r="G133" s="33">
        <f t="shared" ref="G133:L133" si="23">G132*G80</f>
        <v>-228636.05778</v>
      </c>
      <c r="H133" s="33">
        <f t="shared" si="23"/>
        <v>-245718.8839404</v>
      </c>
      <c r="I133" s="33">
        <f t="shared" si="23"/>
        <v>-262679.67381041101</v>
      </c>
      <c r="J133" s="33">
        <f t="shared" si="23"/>
        <v>-278208.46406276705</v>
      </c>
      <c r="K133" s="33">
        <f t="shared" si="23"/>
        <v>-289354.56647638459</v>
      </c>
      <c r="L133" s="33">
        <f t="shared" si="23"/>
        <v>-299364.35423180019</v>
      </c>
    </row>
    <row r="134" spans="2:12" outlineLevel="1" x14ac:dyDescent="0.25">
      <c r="B134" s="5"/>
      <c r="C134" s="57" t="s">
        <v>26</v>
      </c>
      <c r="D134" s="9" t="s">
        <v>12</v>
      </c>
      <c r="E134" s="54"/>
      <c r="F134" s="35">
        <f>SUM(F132:F133)</f>
        <v>7006872.5999999996</v>
      </c>
      <c r="G134" s="35">
        <f t="shared" ref="G134:L134" si="24">SUM(G132:G133)</f>
        <v>7392565.8682199996</v>
      </c>
      <c r="H134" s="35">
        <f t="shared" si="24"/>
        <v>7944910.5807396006</v>
      </c>
      <c r="I134" s="35">
        <f t="shared" si="24"/>
        <v>8493309.4532032888</v>
      </c>
      <c r="J134" s="35">
        <f t="shared" si="24"/>
        <v>8995407.0046961345</v>
      </c>
      <c r="K134" s="35">
        <f t="shared" si="24"/>
        <v>9355797.6494031027</v>
      </c>
      <c r="L134" s="35">
        <f t="shared" si="24"/>
        <v>9679447.4534948729</v>
      </c>
    </row>
    <row r="135" spans="2:12" outlineLevel="1" x14ac:dyDescent="0.25">
      <c r="B135" s="5"/>
      <c r="C135" s="91" t="s">
        <v>89</v>
      </c>
      <c r="D135" s="9" t="s">
        <v>7</v>
      </c>
      <c r="E135" s="33"/>
      <c r="F135" s="100" t="s">
        <v>102</v>
      </c>
      <c r="G135" s="60">
        <f>+G134/F134-1</f>
        <v>5.5044995140913544E-2</v>
      </c>
      <c r="H135" s="60">
        <f t="shared" ref="H135:L135" si="25">+H134/G134-1</f>
        <v>7.4716238227119813E-2</v>
      </c>
      <c r="I135" s="60">
        <f t="shared" si="25"/>
        <v>6.9025178683966626E-2</v>
      </c>
      <c r="J135" s="60">
        <f t="shared" si="25"/>
        <v>5.9116832403119046E-2</v>
      </c>
      <c r="K135" s="60">
        <f t="shared" si="25"/>
        <v>4.0063850865094119E-2</v>
      </c>
      <c r="L135" s="60">
        <f t="shared" si="25"/>
        <v>3.4593501935392901E-2</v>
      </c>
    </row>
    <row r="136" spans="2:12" outlineLevel="1" x14ac:dyDescent="0.25">
      <c r="B136" s="5"/>
      <c r="C136" s="5"/>
      <c r="D136" s="4"/>
      <c r="E136" s="33"/>
      <c r="F136" s="33"/>
      <c r="G136" s="33"/>
      <c r="H136" s="33"/>
      <c r="I136" s="33"/>
      <c r="J136" s="33"/>
      <c r="K136" s="33"/>
      <c r="L136" s="33"/>
    </row>
    <row r="137" spans="2:12" outlineLevel="1" x14ac:dyDescent="0.25">
      <c r="B137" s="5"/>
      <c r="C137" s="2" t="s">
        <v>27</v>
      </c>
      <c r="D137" s="4"/>
      <c r="E137" s="33"/>
      <c r="F137" s="33"/>
      <c r="G137" s="33"/>
      <c r="H137" s="33"/>
      <c r="I137" s="33"/>
      <c r="J137" s="33"/>
      <c r="K137" s="33"/>
      <c r="L137" s="33"/>
    </row>
    <row r="138" spans="2:12" outlineLevel="1" x14ac:dyDescent="0.25">
      <c r="B138" s="5"/>
      <c r="C138" s="11" t="s">
        <v>72</v>
      </c>
      <c r="D138" s="9" t="s">
        <v>12</v>
      </c>
      <c r="E138" s="33"/>
      <c r="F138" s="95">
        <v>-1068127.8846153845</v>
      </c>
      <c r="G138" s="33">
        <f t="shared" ref="G138:L138" si="26">+F138*(1+G92)</f>
        <v>-1110853</v>
      </c>
      <c r="H138" s="33">
        <f t="shared" si="26"/>
        <v>-1155287.1200000001</v>
      </c>
      <c r="I138" s="33">
        <f t="shared" si="26"/>
        <v>-1195722.1692000001</v>
      </c>
      <c r="J138" s="33">
        <f t="shared" si="26"/>
        <v>-1237572.4451220001</v>
      </c>
      <c r="K138" s="33">
        <f t="shared" si="26"/>
        <v>-1274699.61847566</v>
      </c>
      <c r="L138" s="33">
        <f t="shared" si="26"/>
        <v>-1306567.1089375513</v>
      </c>
    </row>
    <row r="139" spans="2:12" outlineLevel="1" x14ac:dyDescent="0.25">
      <c r="B139" s="5"/>
      <c r="C139" s="11" t="s">
        <v>63</v>
      </c>
      <c r="D139" s="9" t="s">
        <v>12</v>
      </c>
      <c r="E139" s="33"/>
      <c r="F139" s="33">
        <f t="shared" ref="F139:L139" si="27">-F94*Gross_SF</f>
        <v>-128022.81250000001</v>
      </c>
      <c r="G139" s="33">
        <f t="shared" si="27"/>
        <v>-133143.72500000001</v>
      </c>
      <c r="H139" s="33">
        <f t="shared" si="27"/>
        <v>-138469.47400000002</v>
      </c>
      <c r="I139" s="33">
        <f t="shared" si="27"/>
        <v>-143315.90559000001</v>
      </c>
      <c r="J139" s="33">
        <f t="shared" si="27"/>
        <v>-148331.96228565002</v>
      </c>
      <c r="K139" s="33">
        <f t="shared" si="27"/>
        <v>-152781.92115421951</v>
      </c>
      <c r="L139" s="33">
        <f t="shared" si="27"/>
        <v>-156601.46918307501</v>
      </c>
    </row>
    <row r="140" spans="2:12" outlineLevel="1" x14ac:dyDescent="0.25">
      <c r="B140" s="5"/>
      <c r="C140" s="11" t="s">
        <v>73</v>
      </c>
      <c r="D140" s="9" t="s">
        <v>12</v>
      </c>
      <c r="E140" s="33"/>
      <c r="F140" s="33">
        <f t="shared" ref="F140:L140" si="28">-F95*Apt_Units*Months</f>
        <v>-365040</v>
      </c>
      <c r="G140" s="33">
        <f t="shared" si="28"/>
        <v>-379641.60000000003</v>
      </c>
      <c r="H140" s="33">
        <f t="shared" si="28"/>
        <v>-394827.26400000008</v>
      </c>
      <c r="I140" s="33">
        <f t="shared" si="28"/>
        <v>-408646.21824000007</v>
      </c>
      <c r="J140" s="33">
        <f t="shared" si="28"/>
        <v>-422948.83587840007</v>
      </c>
      <c r="K140" s="33">
        <f t="shared" si="28"/>
        <v>-435637.30095475202</v>
      </c>
      <c r="L140" s="33">
        <f t="shared" si="28"/>
        <v>-446528.23347862076</v>
      </c>
    </row>
    <row r="141" spans="2:12" outlineLevel="1" x14ac:dyDescent="0.25">
      <c r="B141" s="5"/>
      <c r="C141" s="11" t="s">
        <v>74</v>
      </c>
      <c r="D141" s="9" t="s">
        <v>12</v>
      </c>
      <c r="E141" s="33"/>
      <c r="F141" s="33">
        <f t="shared" ref="F141:L141" si="29">-F134*Prop_Mgmt_Fee</f>
        <v>-210206.17800000004</v>
      </c>
      <c r="G141" s="33">
        <f t="shared" si="29"/>
        <v>-221776.97604660003</v>
      </c>
      <c r="H141" s="33">
        <f t="shared" si="29"/>
        <v>-238347.31742218806</v>
      </c>
      <c r="I141" s="33">
        <f t="shared" si="29"/>
        <v>-254799.28359609871</v>
      </c>
      <c r="J141" s="33">
        <f t="shared" si="29"/>
        <v>-269862.2101408841</v>
      </c>
      <c r="K141" s="33">
        <f t="shared" si="29"/>
        <v>-280673.92948209314</v>
      </c>
      <c r="L141" s="33">
        <f t="shared" si="29"/>
        <v>-290383.42360484623</v>
      </c>
    </row>
    <row r="142" spans="2:12" outlineLevel="1" x14ac:dyDescent="0.25">
      <c r="B142" s="5"/>
      <c r="C142" s="11" t="s">
        <v>75</v>
      </c>
      <c r="D142" s="9" t="s">
        <v>12</v>
      </c>
      <c r="E142" s="33"/>
      <c r="F142" s="33">
        <f t="shared" ref="F142:L142" si="30">-F134*F98</f>
        <v>-700687.26</v>
      </c>
      <c r="G142" s="33">
        <f>-G134*G98</f>
        <v>-746649.15269022004</v>
      </c>
      <c r="H142" s="33">
        <f t="shared" si="30"/>
        <v>-810380.87923543924</v>
      </c>
      <c r="I142" s="33">
        <f t="shared" si="30"/>
        <v>-874810.87367993873</v>
      </c>
      <c r="J142" s="33">
        <f t="shared" si="30"/>
        <v>-935522.32848839799</v>
      </c>
      <c r="K142" s="33">
        <f t="shared" si="30"/>
        <v>-982358.75318732578</v>
      </c>
      <c r="L142" s="33">
        <f t="shared" si="30"/>
        <v>-1016341.9826169616</v>
      </c>
    </row>
    <row r="143" spans="2:12" outlineLevel="1" x14ac:dyDescent="0.25">
      <c r="B143" s="5"/>
      <c r="C143" s="11" t="s">
        <v>88</v>
      </c>
      <c r="D143" s="56" t="s">
        <v>12</v>
      </c>
      <c r="E143" s="33"/>
      <c r="F143" s="33">
        <f t="shared" ref="F143:L143" si="31">-F96*Apt_Units</f>
        <v>-93600</v>
      </c>
      <c r="G143" s="33">
        <f t="shared" si="31"/>
        <v>-97344</v>
      </c>
      <c r="H143" s="33">
        <f t="shared" si="31"/>
        <v>-101237.75999999999</v>
      </c>
      <c r="I143" s="33">
        <f t="shared" si="31"/>
        <v>-104781.08159999999</v>
      </c>
      <c r="J143" s="33">
        <f t="shared" si="31"/>
        <v>-108448.41945599997</v>
      </c>
      <c r="K143" s="33">
        <f t="shared" si="31"/>
        <v>-111701.87203967998</v>
      </c>
      <c r="L143" s="33">
        <f t="shared" si="31"/>
        <v>-114494.41884067196</v>
      </c>
    </row>
    <row r="144" spans="2:12" outlineLevel="1" x14ac:dyDescent="0.25">
      <c r="B144" s="5"/>
      <c r="C144" s="57" t="s">
        <v>28</v>
      </c>
      <c r="D144" s="9" t="s">
        <v>12</v>
      </c>
      <c r="E144" s="54"/>
      <c r="F144" s="35">
        <f>SUM(F138:F143)</f>
        <v>-2565684.1351153846</v>
      </c>
      <c r="G144" s="35">
        <f t="shared" ref="G144:L144" si="32">SUM(G138:G143)</f>
        <v>-2689408.4537368203</v>
      </c>
      <c r="H144" s="35">
        <f t="shared" si="32"/>
        <v>-2838549.8146576271</v>
      </c>
      <c r="I144" s="35">
        <f t="shared" si="32"/>
        <v>-2982075.5319060376</v>
      </c>
      <c r="J144" s="35">
        <f t="shared" si="32"/>
        <v>-3122686.2013713322</v>
      </c>
      <c r="K144" s="35">
        <f t="shared" si="32"/>
        <v>-3237853.3952937303</v>
      </c>
      <c r="L144" s="35">
        <f t="shared" si="32"/>
        <v>-3330916.6366617265</v>
      </c>
    </row>
    <row r="145" spans="2:12" outlineLevel="1" x14ac:dyDescent="0.25">
      <c r="B145" s="5"/>
      <c r="C145" s="5"/>
      <c r="D145" s="4"/>
      <c r="E145" s="33"/>
      <c r="F145" s="33"/>
      <c r="G145" s="33"/>
      <c r="H145" s="33"/>
      <c r="I145" s="33"/>
      <c r="J145" s="33"/>
      <c r="K145" s="33"/>
      <c r="L145" s="32"/>
    </row>
    <row r="146" spans="2:12" outlineLevel="1" x14ac:dyDescent="0.25">
      <c r="B146" s="5"/>
      <c r="C146" s="2" t="s">
        <v>29</v>
      </c>
      <c r="D146" s="9" t="s">
        <v>12</v>
      </c>
      <c r="E146" s="33"/>
      <c r="F146" s="58">
        <f>+F134+F144</f>
        <v>4441188.4648846146</v>
      </c>
      <c r="G146" s="58">
        <f t="shared" ref="G146:L146" si="33">+G134+G144</f>
        <v>4703157.4144831793</v>
      </c>
      <c r="H146" s="58">
        <f t="shared" si="33"/>
        <v>5106360.7660819739</v>
      </c>
      <c r="I146" s="58">
        <f t="shared" si="33"/>
        <v>5511233.9212972512</v>
      </c>
      <c r="J146" s="58">
        <f t="shared" si="33"/>
        <v>5872720.8033248018</v>
      </c>
      <c r="K146" s="58">
        <f t="shared" si="33"/>
        <v>6117944.2541093724</v>
      </c>
      <c r="L146" s="58">
        <f t="shared" si="33"/>
        <v>6348530.8168331459</v>
      </c>
    </row>
    <row r="147" spans="2:12" outlineLevel="1" x14ac:dyDescent="0.25">
      <c r="B147" s="5"/>
      <c r="C147" s="59" t="s">
        <v>30</v>
      </c>
      <c r="D147" s="9" t="s">
        <v>7</v>
      </c>
      <c r="E147" s="33"/>
      <c r="F147" s="60">
        <f>+F146/F$134</f>
        <v>0.63383319755016165</v>
      </c>
      <c r="G147" s="60">
        <f t="shared" ref="G147:L147" si="34">+G146/G$134</f>
        <v>0.63620094813110095</v>
      </c>
      <c r="H147" s="60">
        <f t="shared" si="34"/>
        <v>0.6427209864968193</v>
      </c>
      <c r="I147" s="60">
        <f t="shared" si="34"/>
        <v>0.64889121863076182</v>
      </c>
      <c r="J147" s="60">
        <f t="shared" si="34"/>
        <v>0.65285770841262591</v>
      </c>
      <c r="K147" s="60">
        <f t="shared" si="34"/>
        <v>0.65392011278693007</v>
      </c>
      <c r="L147" s="60">
        <f t="shared" si="34"/>
        <v>0.65587739871876027</v>
      </c>
    </row>
    <row r="148" spans="2:12" outlineLevel="1" x14ac:dyDescent="0.25">
      <c r="B148" s="5"/>
      <c r="C148" s="5"/>
      <c r="D148" s="4"/>
      <c r="E148" s="33"/>
      <c r="F148" s="33"/>
      <c r="G148" s="33"/>
      <c r="H148" s="33"/>
      <c r="I148" s="33"/>
      <c r="J148" s="33"/>
      <c r="K148" s="33"/>
      <c r="L148" s="33"/>
    </row>
    <row r="149" spans="2:12" outlineLevel="1" x14ac:dyDescent="0.25">
      <c r="B149" s="5"/>
      <c r="C149" s="11" t="s">
        <v>107</v>
      </c>
      <c r="D149" s="9" t="s">
        <v>12</v>
      </c>
      <c r="E149" s="33"/>
      <c r="F149" s="33">
        <f t="shared" ref="F149:L149" si="35">-F100*Apt_Units*F108</f>
        <v>-18720</v>
      </c>
      <c r="G149" s="33">
        <f t="shared" si="35"/>
        <v>-23362.559999999998</v>
      </c>
      <c r="H149" s="33">
        <f t="shared" si="35"/>
        <v>-28346.572800000002</v>
      </c>
      <c r="I149" s="33">
        <f t="shared" si="35"/>
        <v>-33529.946111999991</v>
      </c>
      <c r="J149" s="33">
        <f t="shared" si="35"/>
        <v>-39041.431004159989</v>
      </c>
      <c r="K149" s="33">
        <f t="shared" si="35"/>
        <v>-44680.748815871993</v>
      </c>
      <c r="L149" s="33">
        <f t="shared" si="35"/>
        <v>-45797.767536268788</v>
      </c>
    </row>
    <row r="150" spans="2:12" outlineLevel="1" x14ac:dyDescent="0.25">
      <c r="B150" s="5"/>
      <c r="C150" s="11" t="s">
        <v>108</v>
      </c>
      <c r="D150" s="9" t="s">
        <v>12</v>
      </c>
      <c r="E150" s="33"/>
      <c r="F150" s="33">
        <f>-F100*SUM(F127:F129)*F114</f>
        <v>-18793.944</v>
      </c>
      <c r="G150" s="33">
        <f t="shared" ref="G150:L150" si="36">-G100*SUM(G127:G129)*G114</f>
        <v>-23809.067099999997</v>
      </c>
      <c r="H150" s="33">
        <f t="shared" si="36"/>
        <v>-29954.380365000005</v>
      </c>
      <c r="I150" s="33">
        <f t="shared" si="36"/>
        <v>-36715.511933099995</v>
      </c>
      <c r="J150" s="33">
        <f t="shared" si="36"/>
        <v>-43827.730235063776</v>
      </c>
      <c r="K150" s="33">
        <f t="shared" si="36"/>
        <v>-50645.377160518139</v>
      </c>
      <c r="L150" s="33">
        <f t="shared" si="36"/>
        <v>-52417.965361136266</v>
      </c>
    </row>
    <row r="151" spans="2:12" outlineLevel="1" x14ac:dyDescent="0.25">
      <c r="B151" s="5"/>
      <c r="C151" s="11" t="s">
        <v>56</v>
      </c>
      <c r="D151" s="9" t="s">
        <v>12</v>
      </c>
      <c r="E151" s="33"/>
      <c r="F151" s="33">
        <f t="shared" ref="F151:L151" si="37">-F116*Apt_Units</f>
        <v>0</v>
      </c>
      <c r="G151" s="33">
        <f t="shared" si="37"/>
        <v>-234000</v>
      </c>
      <c r="H151" s="33">
        <f t="shared" si="37"/>
        <v>-351000</v>
      </c>
      <c r="I151" s="33">
        <f t="shared" si="37"/>
        <v>-175500</v>
      </c>
      <c r="J151" s="33">
        <f t="shared" si="37"/>
        <v>0</v>
      </c>
      <c r="K151" s="33">
        <f t="shared" si="37"/>
        <v>-46800</v>
      </c>
      <c r="L151" s="33">
        <f t="shared" si="37"/>
        <v>0</v>
      </c>
    </row>
    <row r="152" spans="2:12" outlineLevel="1" x14ac:dyDescent="0.25">
      <c r="B152" s="5"/>
      <c r="C152" s="11" t="s">
        <v>64</v>
      </c>
      <c r="D152" s="9" t="s">
        <v>12</v>
      </c>
      <c r="E152" s="33"/>
      <c r="F152" s="33">
        <f t="shared" ref="F152:L152" si="38">MIN(-SUM(F149:F151),E118-F143)</f>
        <v>37513.944000000003</v>
      </c>
      <c r="G152" s="33">
        <f t="shared" si="38"/>
        <v>281171.62709999998</v>
      </c>
      <c r="H152" s="33">
        <f t="shared" si="38"/>
        <v>409300.95316500001</v>
      </c>
      <c r="I152" s="33">
        <f t="shared" si="38"/>
        <v>168976.31733499997</v>
      </c>
      <c r="J152" s="33">
        <f t="shared" si="38"/>
        <v>82869.161239223758</v>
      </c>
      <c r="K152" s="33">
        <f t="shared" si="38"/>
        <v>137281.13025645621</v>
      </c>
      <c r="L152" s="33">
        <f t="shared" si="38"/>
        <v>98215.732897405047</v>
      </c>
    </row>
    <row r="153" spans="2:12" outlineLevel="1" x14ac:dyDescent="0.25">
      <c r="B153" s="5"/>
      <c r="C153" s="5"/>
      <c r="D153" s="4"/>
      <c r="E153" s="33"/>
      <c r="F153" s="33"/>
      <c r="G153" s="33"/>
      <c r="H153" s="33"/>
      <c r="I153" s="33"/>
      <c r="J153" s="33"/>
      <c r="K153" s="33"/>
      <c r="L153" s="33"/>
    </row>
    <row r="154" spans="2:12" outlineLevel="1" x14ac:dyDescent="0.25">
      <c r="B154" s="5"/>
      <c r="C154" s="2" t="s">
        <v>31</v>
      </c>
      <c r="D154" s="9" t="s">
        <v>12</v>
      </c>
      <c r="E154" s="33"/>
      <c r="F154" s="58">
        <f>+F146+SUM(F149:F152)</f>
        <v>4441188.4648846146</v>
      </c>
      <c r="G154" s="58">
        <f t="shared" ref="G154:L154" si="39">+G146+SUM(G149:G152)</f>
        <v>4703157.4144831793</v>
      </c>
      <c r="H154" s="58">
        <f t="shared" si="39"/>
        <v>5106360.7660819739</v>
      </c>
      <c r="I154" s="58">
        <f t="shared" si="39"/>
        <v>5434464.7805871516</v>
      </c>
      <c r="J154" s="58">
        <f t="shared" si="39"/>
        <v>5872720.8033248018</v>
      </c>
      <c r="K154" s="58">
        <f t="shared" si="39"/>
        <v>6113099.2583894385</v>
      </c>
      <c r="L154" s="58">
        <f t="shared" si="39"/>
        <v>6348530.8168331459</v>
      </c>
    </row>
    <row r="155" spans="2:12" outlineLevel="1" x14ac:dyDescent="0.25">
      <c r="B155" s="5"/>
      <c r="C155" s="61" t="s">
        <v>45</v>
      </c>
      <c r="D155" s="9" t="s">
        <v>7</v>
      </c>
      <c r="E155" s="33"/>
      <c r="F155" s="60">
        <f>+F154/F$134</f>
        <v>0.63383319755016165</v>
      </c>
      <c r="G155" s="60">
        <f t="shared" ref="G155:L155" si="40">+G154/G$134</f>
        <v>0.63620094813110095</v>
      </c>
      <c r="H155" s="60">
        <f t="shared" si="40"/>
        <v>0.6427209864968193</v>
      </c>
      <c r="I155" s="60">
        <f t="shared" si="40"/>
        <v>0.63985244038618183</v>
      </c>
      <c r="J155" s="60">
        <f t="shared" si="40"/>
        <v>0.65285770841262591</v>
      </c>
      <c r="K155" s="60">
        <f t="shared" si="40"/>
        <v>0.65340225253583295</v>
      </c>
      <c r="L155" s="60">
        <f t="shared" si="40"/>
        <v>0.65587739871876027</v>
      </c>
    </row>
    <row r="156" spans="2:12" outlineLevel="1" x14ac:dyDescent="0.25">
      <c r="B156" s="5"/>
      <c r="C156" s="5"/>
      <c r="D156" s="4"/>
      <c r="E156" s="33"/>
      <c r="F156" s="33"/>
      <c r="G156" s="33"/>
      <c r="H156" s="33"/>
      <c r="I156" s="33"/>
      <c r="J156" s="33"/>
      <c r="K156" s="33"/>
    </row>
    <row r="157" spans="2:12" outlineLevel="1" x14ac:dyDescent="0.25">
      <c r="B157" s="5"/>
      <c r="C157" s="11" t="s">
        <v>158</v>
      </c>
      <c r="D157" s="9" t="s">
        <v>12</v>
      </c>
      <c r="E157" s="33"/>
      <c r="F157" s="33"/>
      <c r="G157" s="33">
        <f>-F166*G172</f>
        <v>-2717379.8394791703</v>
      </c>
      <c r="H157" s="33">
        <f>-G166*H172</f>
        <v>-2751347.08747266</v>
      </c>
      <c r="I157" s="33">
        <f>-H166*I172</f>
        <v>-2853248.8314531287</v>
      </c>
      <c r="J157" s="33">
        <f>-I166*J172</f>
        <v>-2823810.5498587708</v>
      </c>
      <c r="K157" s="33">
        <f>-J166*K172</f>
        <v>-2789843.3018652815</v>
      </c>
    </row>
    <row r="158" spans="2:12" outlineLevel="1" x14ac:dyDescent="0.25">
      <c r="B158" s="5"/>
      <c r="C158" s="11" t="s">
        <v>159</v>
      </c>
      <c r="D158" s="9" t="s">
        <v>12</v>
      </c>
      <c r="E158" s="33"/>
      <c r="F158" s="33"/>
      <c r="G158" s="33">
        <f>-F167*Mezz_Cash_Interest_Rate</f>
        <v>-418058.4368429493</v>
      </c>
      <c r="H158" s="33">
        <f>-G167*Mezz_Cash_Interest_Rate</f>
        <v>-434780.77431666735</v>
      </c>
      <c r="I158" s="33">
        <f>-H167*Mezz_Cash_Interest_Rate</f>
        <v>-452172.00528933399</v>
      </c>
      <c r="J158" s="33">
        <f>-I167*Mezz_Cash_Interest_Rate</f>
        <v>-470258.88550090737</v>
      </c>
      <c r="K158" s="33">
        <f>-J167*Mezz_Cash_Interest_Rate</f>
        <v>-489069.24092094367</v>
      </c>
    </row>
    <row r="159" spans="2:12" outlineLevel="1" x14ac:dyDescent="0.25">
      <c r="B159" s="5"/>
      <c r="C159" s="11" t="s">
        <v>161</v>
      </c>
      <c r="D159" s="9" t="s">
        <v>12</v>
      </c>
      <c r="E159" s="33"/>
      <c r="F159" s="33"/>
      <c r="G159" s="33">
        <f>IF(G121&lt;=Senior_Loan_IO_Period,0,-Senior_Loan/Senior_Loan_Amort_Period)</f>
        <v>0</v>
      </c>
      <c r="H159" s="33">
        <f>IF(H121&lt;=Senior_Loan_IO_Period,0,-Senior_Loan/Senior_Loan_Amort_Period)</f>
        <v>0</v>
      </c>
      <c r="I159" s="33">
        <f>IF(I121&lt;=Senior_Loan_IO_Period,0,-Senior_Loan/Senior_Loan_Amort_Period)</f>
        <v>-2264483.1995659755</v>
      </c>
      <c r="J159" s="33">
        <f>IF(J121&lt;=Senior_Loan_IO_Period,0,-Senior_Loan/Senior_Loan_Amort_Period)</f>
        <v>-2264483.1995659755</v>
      </c>
      <c r="K159" s="33">
        <f>IF(K121&lt;=Senior_Loan_IO_Period,0,-Senior_Loan/Senior_Loan_Amort_Period)</f>
        <v>-2264483.1995659755</v>
      </c>
    </row>
    <row r="160" spans="2:12" outlineLevel="1" x14ac:dyDescent="0.25">
      <c r="G160" s="62"/>
      <c r="H160" s="62"/>
      <c r="I160" s="62"/>
      <c r="J160" s="62"/>
    </row>
    <row r="161" spans="2:12" outlineLevel="1" x14ac:dyDescent="0.25">
      <c r="C161" s="63" t="s">
        <v>32</v>
      </c>
      <c r="D161" s="9" t="s">
        <v>12</v>
      </c>
      <c r="F161" s="62"/>
      <c r="G161" s="64">
        <f>+G154+SUM(G157:G159)</f>
        <v>1567719.1381610599</v>
      </c>
      <c r="H161" s="64">
        <f>+H154+SUM(H157:H159)</f>
        <v>1920232.9042926468</v>
      </c>
      <c r="I161" s="64">
        <f>+I154+SUM(I157:I159)</f>
        <v>-135439.25572128594</v>
      </c>
      <c r="J161" s="64">
        <f>+J154+SUM(J157:J159)</f>
        <v>314168.16839914769</v>
      </c>
      <c r="K161" s="64">
        <f>+K154+SUM(K157:K159)</f>
        <v>569703.51603723783</v>
      </c>
    </row>
    <row r="162" spans="2:12" outlineLevel="1" x14ac:dyDescent="0.25"/>
    <row r="163" spans="2:12" outlineLevel="1" x14ac:dyDescent="0.25">
      <c r="C163" s="6" t="s">
        <v>162</v>
      </c>
      <c r="D163" s="9" t="s">
        <v>12</v>
      </c>
      <c r="G163" s="134">
        <f>-F167*Mezz_PIK_Interest_Rate</f>
        <v>-418058.4368429493</v>
      </c>
      <c r="H163" s="134">
        <f>-G167*Mezz_PIK_Interest_Rate</f>
        <v>-434780.77431666735</v>
      </c>
      <c r="I163" s="134">
        <f>-H167*Mezz_PIK_Interest_Rate</f>
        <v>-452172.00528933399</v>
      </c>
      <c r="J163" s="134">
        <f>-I167*Mezz_PIK_Interest_Rate</f>
        <v>-470258.88550090737</v>
      </c>
      <c r="K163" s="134">
        <f>-J167*Mezz_PIK_Interest_Rate</f>
        <v>-489069.24092094367</v>
      </c>
    </row>
    <row r="164" spans="2:12" outlineLevel="1" x14ac:dyDescent="0.25">
      <c r="C164" s="6" t="s">
        <v>163</v>
      </c>
      <c r="D164" s="9" t="s">
        <v>12</v>
      </c>
      <c r="G164" s="134">
        <f>-F168*Pref_PIK_Interest_Rate</f>
        <v>-1045146.0921073733</v>
      </c>
      <c r="H164" s="134">
        <f>-G168*Pref_PIK_Interest_Rate</f>
        <v>-1149660.7013181106</v>
      </c>
      <c r="I164" s="134">
        <f>-H168*Pref_PIK_Interest_Rate</f>
        <v>-1264626.7714499217</v>
      </c>
      <c r="J164" s="134">
        <f>-I168*Pref_PIK_Interest_Rate</f>
        <v>-1391089.4485949138</v>
      </c>
      <c r="K164" s="134">
        <f>-J168*Pref_PIK_Interest_Rate</f>
        <v>-1530198.3934544055</v>
      </c>
    </row>
    <row r="165" spans="2:12" outlineLevel="1" x14ac:dyDescent="0.25"/>
    <row r="166" spans="2:12" outlineLevel="1" x14ac:dyDescent="0.25">
      <c r="C166" s="130" t="s">
        <v>164</v>
      </c>
      <c r="D166" s="9" t="s">
        <v>12</v>
      </c>
      <c r="F166" s="133">
        <f>+E52</f>
        <v>67934495.986979261</v>
      </c>
      <c r="G166" s="133">
        <f>+F166+G159</f>
        <v>67934495.986979261</v>
      </c>
      <c r="H166" s="133">
        <f t="shared" ref="H166:K166" si="41">+G166+H159</f>
        <v>67934495.986979261</v>
      </c>
      <c r="I166" s="133">
        <f t="shared" si="41"/>
        <v>65670012.787413284</v>
      </c>
      <c r="J166" s="133">
        <f t="shared" si="41"/>
        <v>63405529.587847307</v>
      </c>
      <c r="K166" s="133">
        <f t="shared" si="41"/>
        <v>61141046.38828133</v>
      </c>
    </row>
    <row r="167" spans="2:12" outlineLevel="1" x14ac:dyDescent="0.25">
      <c r="C167" s="11" t="s">
        <v>165</v>
      </c>
      <c r="D167" s="9" t="s">
        <v>12</v>
      </c>
      <c r="F167" s="134">
        <f>+E53</f>
        <v>10451460.921073733</v>
      </c>
      <c r="G167" s="134">
        <f>+F167-G163</f>
        <v>10869519.357916683</v>
      </c>
      <c r="H167" s="134">
        <f t="shared" ref="H167:K167" si="42">+G167-H163</f>
        <v>11304300.13223335</v>
      </c>
      <c r="I167" s="134">
        <f t="shared" si="42"/>
        <v>11756472.137522684</v>
      </c>
      <c r="J167" s="134">
        <f t="shared" si="42"/>
        <v>12226731.023023592</v>
      </c>
      <c r="K167" s="134">
        <f t="shared" si="42"/>
        <v>12715800.263944536</v>
      </c>
    </row>
    <row r="168" spans="2:12" outlineLevel="1" x14ac:dyDescent="0.25">
      <c r="C168" s="131" t="s">
        <v>169</v>
      </c>
      <c r="D168" s="56" t="s">
        <v>12</v>
      </c>
      <c r="E168" s="132"/>
      <c r="F168" s="80">
        <f>+E54</f>
        <v>10451460.921073733</v>
      </c>
      <c r="G168" s="80">
        <f>+F168-G164</f>
        <v>11496607.013181105</v>
      </c>
      <c r="H168" s="80">
        <f t="shared" ref="H168:K168" si="43">+G168-H164</f>
        <v>12646267.714499217</v>
      </c>
      <c r="I168" s="80">
        <f t="shared" si="43"/>
        <v>13910894.485949138</v>
      </c>
      <c r="J168" s="80">
        <f t="shared" si="43"/>
        <v>15301983.934544053</v>
      </c>
      <c r="K168" s="80">
        <f t="shared" si="43"/>
        <v>16832182.327998459</v>
      </c>
    </row>
    <row r="169" spans="2:12" outlineLevel="1" x14ac:dyDescent="0.25">
      <c r="B169" s="5"/>
      <c r="C169" s="65" t="s">
        <v>49</v>
      </c>
      <c r="D169" s="9" t="s">
        <v>12</v>
      </c>
      <c r="E169" s="5"/>
      <c r="F169" s="66">
        <f>SUM(F166:F168)</f>
        <v>88837417.829126731</v>
      </c>
      <c r="G169" s="66">
        <f t="shared" ref="G169:K169" si="44">SUM(G166:G168)</f>
        <v>90300622.358077049</v>
      </c>
      <c r="H169" s="66">
        <f t="shared" si="44"/>
        <v>91885063.833711833</v>
      </c>
      <c r="I169" s="66">
        <f t="shared" si="44"/>
        <v>91337379.41088511</v>
      </c>
      <c r="J169" s="66">
        <f t="shared" si="44"/>
        <v>90934244.545414954</v>
      </c>
      <c r="K169" s="66">
        <f t="shared" si="44"/>
        <v>90689028.980224326</v>
      </c>
    </row>
    <row r="170" spans="2:12" outlineLevel="1" x14ac:dyDescent="0.25">
      <c r="B170" s="5"/>
      <c r="C170" s="5"/>
      <c r="D170" s="4"/>
      <c r="E170" s="5"/>
      <c r="F170" s="5"/>
      <c r="G170" s="5"/>
      <c r="H170" s="5"/>
      <c r="I170" s="5"/>
      <c r="J170" s="5"/>
      <c r="K170" s="5"/>
    </row>
    <row r="171" spans="2:12" outlineLevel="1" x14ac:dyDescent="0.25">
      <c r="B171" s="5"/>
      <c r="C171" s="97" t="s">
        <v>170</v>
      </c>
      <c r="D171" s="9" t="s">
        <v>7</v>
      </c>
      <c r="E171" s="5"/>
      <c r="F171" s="77">
        <v>1.7000000000000001E-2</v>
      </c>
      <c r="G171" s="15">
        <v>1.9E-2</v>
      </c>
      <c r="H171" s="15">
        <v>2.0500000000000001E-2</v>
      </c>
      <c r="I171" s="15">
        <v>2.1999999999999999E-2</v>
      </c>
      <c r="J171" s="15">
        <v>2.3E-2</v>
      </c>
      <c r="K171" s="15">
        <v>2.4E-2</v>
      </c>
      <c r="L171" s="77"/>
    </row>
    <row r="172" spans="2:12" outlineLevel="1" x14ac:dyDescent="0.25">
      <c r="B172" s="5"/>
      <c r="C172" s="5" t="s">
        <v>171</v>
      </c>
      <c r="D172" s="9" t="s">
        <v>7</v>
      </c>
      <c r="E172" s="5"/>
      <c r="F172" s="5"/>
      <c r="G172" s="135">
        <f>Senior_Loan_LIBOR_Spread+MAX(G171,Senior_Loan_LIBOR_Floor)</f>
        <v>0.04</v>
      </c>
      <c r="H172" s="135">
        <f>Senior_Loan_LIBOR_Spread+MAX(H171,Senior_Loan_LIBOR_Floor)</f>
        <v>4.0500000000000001E-2</v>
      </c>
      <c r="I172" s="135">
        <f>Senior_Loan_LIBOR_Spread+MAX(I171,Senior_Loan_LIBOR_Floor)</f>
        <v>4.1999999999999996E-2</v>
      </c>
      <c r="J172" s="135">
        <f>Senior_Loan_LIBOR_Spread+MAX(J171,Senior_Loan_LIBOR_Floor)</f>
        <v>4.2999999999999997E-2</v>
      </c>
      <c r="K172" s="135">
        <f>Senior_Loan_LIBOR_Spread+MAX(K171,Senior_Loan_LIBOR_Floor)</f>
        <v>4.3999999999999997E-2</v>
      </c>
    </row>
    <row r="173" spans="2:12" outlineLevel="1" x14ac:dyDescent="0.25">
      <c r="B173" s="5"/>
      <c r="C173" s="5"/>
      <c r="D173" s="4"/>
      <c r="E173" s="5"/>
      <c r="F173" s="5"/>
      <c r="G173" s="5"/>
      <c r="H173" s="5"/>
      <c r="I173" s="5"/>
      <c r="J173" s="5"/>
      <c r="K173" s="5"/>
    </row>
    <row r="174" spans="2:12" outlineLevel="1" x14ac:dyDescent="0.25">
      <c r="B174" s="5"/>
      <c r="C174" s="67" t="s">
        <v>125</v>
      </c>
      <c r="D174" s="9" t="s">
        <v>7</v>
      </c>
      <c r="E174" s="5"/>
      <c r="F174" s="60"/>
      <c r="G174" s="60">
        <f>+G146/SUM($E$52:$E$54)</f>
        <v>5.2941176470588228E-2</v>
      </c>
      <c r="H174" s="60">
        <f t="shared" ref="H174:K174" si="45">+H146/SUM($E$52:$E$54)</f>
        <v>5.7479842287894302E-2</v>
      </c>
      <c r="I174" s="60">
        <f t="shared" si="45"/>
        <v>6.2037304279799851E-2</v>
      </c>
      <c r="J174" s="60">
        <f t="shared" si="45"/>
        <v>6.6106387903131281E-2</v>
      </c>
      <c r="K174" s="60">
        <f t="shared" si="45"/>
        <v>6.8866750110599326E-2</v>
      </c>
      <c r="L174" s="60"/>
    </row>
    <row r="175" spans="2:12" outlineLevel="1" x14ac:dyDescent="0.25">
      <c r="B175" s="5"/>
      <c r="C175" s="67" t="s">
        <v>126</v>
      </c>
      <c r="D175" s="9" t="s">
        <v>7</v>
      </c>
      <c r="E175" s="5"/>
      <c r="F175" s="5"/>
      <c r="G175" s="60">
        <f>+G154/SUM($E$52:$E$54)</f>
        <v>5.2941176470588228E-2</v>
      </c>
      <c r="H175" s="60">
        <f t="shared" ref="H175:K175" si="46">+H154/SUM($E$52:$E$54)</f>
        <v>5.7479842287894302E-2</v>
      </c>
      <c r="I175" s="60">
        <f t="shared" si="46"/>
        <v>6.1173151059388149E-2</v>
      </c>
      <c r="J175" s="60">
        <f t="shared" si="46"/>
        <v>6.6106387903131281E-2</v>
      </c>
      <c r="K175" s="60">
        <f t="shared" si="46"/>
        <v>6.8812212328678957E-2</v>
      </c>
    </row>
    <row r="176" spans="2:12" outlineLevel="1" x14ac:dyDescent="0.25">
      <c r="B176" s="5"/>
      <c r="C176" s="5"/>
      <c r="D176" s="4"/>
      <c r="E176" s="5"/>
      <c r="F176" s="5"/>
      <c r="G176" s="5"/>
      <c r="H176" s="5"/>
      <c r="I176" s="5"/>
      <c r="J176" s="5"/>
      <c r="K176" s="5"/>
    </row>
    <row r="177" spans="2:11" outlineLevel="1" x14ac:dyDescent="0.25">
      <c r="B177" s="5"/>
      <c r="C177" s="67" t="s">
        <v>213</v>
      </c>
      <c r="D177" s="9" t="s">
        <v>33</v>
      </c>
      <c r="E177" s="5"/>
      <c r="F177" s="5"/>
      <c r="G177" s="68">
        <f>-G146/(G157+G158)</f>
        <v>1.5</v>
      </c>
      <c r="H177" s="68">
        <f t="shared" ref="H177:K177" si="47">-H146/(H157+H158)</f>
        <v>1.6026854500478978</v>
      </c>
      <c r="I177" s="68">
        <f t="shared" si="47"/>
        <v>1.6673319959853123</v>
      </c>
      <c r="J177" s="68">
        <f t="shared" si="47"/>
        <v>1.7828163366215022</v>
      </c>
      <c r="K177" s="68">
        <f t="shared" si="47"/>
        <v>1.8658455125828719</v>
      </c>
    </row>
    <row r="178" spans="2:11" outlineLevel="1" x14ac:dyDescent="0.25">
      <c r="B178" s="5"/>
      <c r="C178" s="67" t="s">
        <v>214</v>
      </c>
      <c r="D178" s="9" t="s">
        <v>33</v>
      </c>
      <c r="E178" s="5"/>
      <c r="F178" s="5"/>
      <c r="G178" s="68">
        <f>-G154/(G157+G158)</f>
        <v>1.5</v>
      </c>
      <c r="H178" s="68">
        <f t="shared" ref="H178:K178" si="48">-H154/(H157+H158)</f>
        <v>1.6026854500478978</v>
      </c>
      <c r="I178" s="68">
        <f t="shared" si="48"/>
        <v>1.6441067715731141</v>
      </c>
      <c r="J178" s="68">
        <f t="shared" si="48"/>
        <v>1.7828163366215022</v>
      </c>
      <c r="K178" s="68">
        <f t="shared" si="48"/>
        <v>1.8643678898476779</v>
      </c>
    </row>
    <row r="179" spans="2:11" outlineLevel="1" x14ac:dyDescent="0.25">
      <c r="B179" s="5"/>
      <c r="C179" s="5"/>
      <c r="D179" s="4"/>
      <c r="E179" s="5"/>
      <c r="F179" s="5"/>
      <c r="G179" s="5"/>
      <c r="H179" s="5"/>
      <c r="I179" s="5"/>
      <c r="J179" s="5"/>
      <c r="K179" s="5"/>
    </row>
    <row r="180" spans="2:11" outlineLevel="1" x14ac:dyDescent="0.25">
      <c r="B180" s="5"/>
      <c r="C180" s="67" t="s">
        <v>50</v>
      </c>
      <c r="D180" s="9" t="s">
        <v>33</v>
      </c>
      <c r="E180" s="5"/>
      <c r="F180" s="5"/>
      <c r="G180" s="68">
        <f>-G146/SUM(G157:G159)</f>
        <v>1.5</v>
      </c>
      <c r="H180" s="68">
        <f>-H146/SUM(H157:H159)</f>
        <v>1.6026854500478978</v>
      </c>
      <c r="I180" s="68">
        <f>-I146/SUM(I157:I159)</f>
        <v>0.98946658423040423</v>
      </c>
      <c r="J180" s="68">
        <f>-J146/SUM(J157:J159)</f>
        <v>1.0565197793442052</v>
      </c>
      <c r="K180" s="68">
        <f>-K146/SUM(K157:K159)</f>
        <v>1.1036455880945957</v>
      </c>
    </row>
    <row r="181" spans="2:11" outlineLevel="1" x14ac:dyDescent="0.25">
      <c r="B181" s="5"/>
      <c r="C181" s="67" t="s">
        <v>98</v>
      </c>
      <c r="D181" s="9" t="s">
        <v>33</v>
      </c>
      <c r="E181" s="5"/>
      <c r="F181" s="5"/>
      <c r="G181" s="68">
        <f>-G154/SUM(G157:G159)</f>
        <v>1.5</v>
      </c>
      <c r="H181" s="68">
        <f>-H154/SUM(H157:H159)</f>
        <v>1.6026854500478978</v>
      </c>
      <c r="I181" s="68">
        <f>-I154/SUM(I157:I159)</f>
        <v>0.97568373622985238</v>
      </c>
      <c r="J181" s="68">
        <f>-J154/SUM(J157:J159)</f>
        <v>1.0565197793442052</v>
      </c>
      <c r="K181" s="68">
        <f>-K154/SUM(K157:K159)</f>
        <v>1.1027715758564078</v>
      </c>
    </row>
    <row r="182" spans="2:11" x14ac:dyDescent="0.25">
      <c r="B182" s="5"/>
      <c r="C182" s="5"/>
      <c r="D182" s="4"/>
      <c r="E182" s="5"/>
      <c r="F182" s="5"/>
      <c r="G182" s="5"/>
      <c r="H182" s="5"/>
      <c r="I182" s="5"/>
      <c r="J182" s="5"/>
      <c r="K182" s="5"/>
    </row>
    <row r="183" spans="2:11" x14ac:dyDescent="0.25">
      <c r="B183" s="37"/>
      <c r="C183" s="37"/>
      <c r="D183" s="38"/>
      <c r="E183" s="37"/>
      <c r="F183" s="39" t="str">
        <f>+$F$58</f>
        <v>Historical:</v>
      </c>
      <c r="G183" s="40" t="str">
        <f>+$G$58</f>
        <v>Projected:</v>
      </c>
      <c r="H183" s="41"/>
      <c r="I183" s="41"/>
      <c r="J183" s="41"/>
      <c r="K183" s="41"/>
    </row>
    <row r="184" spans="2:11" x14ac:dyDescent="0.25">
      <c r="B184" s="7" t="s">
        <v>180</v>
      </c>
      <c r="C184" s="7"/>
      <c r="D184" s="8" t="str">
        <f>+$D$5</f>
        <v>Units:</v>
      </c>
      <c r="E184" s="7"/>
      <c r="F184" s="53">
        <f>+$F$59</f>
        <v>43465</v>
      </c>
      <c r="G184" s="44">
        <f>+$G$59</f>
        <v>43830</v>
      </c>
      <c r="H184" s="43">
        <f>+$H$59</f>
        <v>44196</v>
      </c>
      <c r="I184" s="43">
        <f>+$I$59</f>
        <v>44561</v>
      </c>
      <c r="J184" s="43">
        <f>+$J$59</f>
        <v>44926</v>
      </c>
      <c r="K184" s="43">
        <f>+$K$59</f>
        <v>45291</v>
      </c>
    </row>
    <row r="185" spans="2:11" outlineLevel="1" x14ac:dyDescent="0.25">
      <c r="B185" s="5"/>
      <c r="C185" s="5"/>
      <c r="D185" s="4"/>
      <c r="E185" s="5"/>
      <c r="F185" s="54"/>
      <c r="G185" s="54"/>
      <c r="H185" s="33"/>
      <c r="I185" s="33"/>
      <c r="J185" s="33"/>
      <c r="K185" s="33"/>
    </row>
    <row r="186" spans="2:11" outlineLevel="1" x14ac:dyDescent="0.25">
      <c r="B186" s="5"/>
      <c r="C186" s="6" t="s">
        <v>120</v>
      </c>
      <c r="D186" s="9" t="s">
        <v>12</v>
      </c>
      <c r="E186" s="5"/>
      <c r="F186" s="33"/>
      <c r="G186" s="31">
        <f>+H146</f>
        <v>5106360.7660819739</v>
      </c>
      <c r="H186" s="31">
        <f>+I146</f>
        <v>5511233.9212972512</v>
      </c>
      <c r="I186" s="31">
        <f>+J146</f>
        <v>5872720.8033248018</v>
      </c>
      <c r="J186" s="31">
        <f>+K146</f>
        <v>6117944.2541093724</v>
      </c>
      <c r="K186" s="31">
        <f>+L146</f>
        <v>6348530.8168331459</v>
      </c>
    </row>
    <row r="187" spans="2:11" outlineLevel="1" x14ac:dyDescent="0.25">
      <c r="B187" s="5"/>
      <c r="C187" s="63" t="s">
        <v>121</v>
      </c>
      <c r="D187" s="9"/>
      <c r="E187" s="5"/>
      <c r="F187" s="33"/>
      <c r="G187" s="33"/>
      <c r="H187" s="33"/>
      <c r="I187" s="33"/>
      <c r="J187" s="33"/>
      <c r="K187" s="33"/>
    </row>
    <row r="188" spans="2:11" outlineLevel="1" x14ac:dyDescent="0.25">
      <c r="B188" s="5"/>
      <c r="C188" s="104" t="str">
        <f>$C$71</f>
        <v>Base</v>
      </c>
      <c r="D188" s="9" t="s">
        <v>7</v>
      </c>
      <c r="E188" s="5"/>
      <c r="F188" s="15">
        <v>4.4999999999999998E-2</v>
      </c>
      <c r="G188" s="15">
        <v>4.5499999999999999E-2</v>
      </c>
      <c r="H188" s="15">
        <v>4.5999999999999999E-2</v>
      </c>
      <c r="I188" s="15">
        <v>4.65E-2</v>
      </c>
      <c r="J188" s="15">
        <v>4.7E-2</v>
      </c>
      <c r="K188" s="15">
        <v>4.7500000000000001E-2</v>
      </c>
    </row>
    <row r="189" spans="2:11" outlineLevel="1" x14ac:dyDescent="0.25">
      <c r="B189" s="5"/>
      <c r="C189" s="104" t="str">
        <f>$C$72</f>
        <v>Downside</v>
      </c>
      <c r="D189" s="9" t="s">
        <v>7</v>
      </c>
      <c r="E189" s="5"/>
      <c r="F189" s="112">
        <v>4.4999999999999998E-2</v>
      </c>
      <c r="G189" s="112">
        <v>4.5499999999999999E-2</v>
      </c>
      <c r="H189" s="112">
        <v>0.06</v>
      </c>
      <c r="I189" s="112">
        <v>5.5E-2</v>
      </c>
      <c r="J189" s="112">
        <v>0.05</v>
      </c>
      <c r="K189" s="112">
        <v>0.05</v>
      </c>
    </row>
    <row r="190" spans="2:11" outlineLevel="1" x14ac:dyDescent="0.25">
      <c r="B190" s="5"/>
      <c r="C190" s="111" t="str">
        <f>$C$73</f>
        <v>Extreme Downside</v>
      </c>
      <c r="D190" s="9" t="s">
        <v>7</v>
      </c>
      <c r="E190" s="5"/>
      <c r="F190" s="112">
        <v>4.4999999999999998E-2</v>
      </c>
      <c r="G190" s="112">
        <v>4.5499999999999999E-2</v>
      </c>
      <c r="H190" s="112">
        <v>6.5000000000000002E-2</v>
      </c>
      <c r="I190" s="112">
        <v>0.06</v>
      </c>
      <c r="J190" s="112">
        <v>5.5E-2</v>
      </c>
      <c r="K190" s="112">
        <v>5.2499999999999998E-2</v>
      </c>
    </row>
    <row r="191" spans="2:11" outlineLevel="1" x14ac:dyDescent="0.25">
      <c r="B191" s="5"/>
      <c r="C191" s="113" t="s">
        <v>122</v>
      </c>
      <c r="D191" s="114" t="s">
        <v>7</v>
      </c>
      <c r="E191" s="115"/>
      <c r="F191" s="116">
        <f t="shared" ref="F191:K191" si="49">INDEX(F188:F190,MATCH(Market_Scenario,$C188:$C190,0),1)</f>
        <v>4.4999999999999998E-2</v>
      </c>
      <c r="G191" s="116">
        <f t="shared" si="49"/>
        <v>4.5499999999999999E-2</v>
      </c>
      <c r="H191" s="116">
        <f t="shared" si="49"/>
        <v>4.5999999999999999E-2</v>
      </c>
      <c r="I191" s="116">
        <f t="shared" si="49"/>
        <v>4.65E-2</v>
      </c>
      <c r="J191" s="116">
        <f t="shared" si="49"/>
        <v>4.7E-2</v>
      </c>
      <c r="K191" s="116">
        <f t="shared" si="49"/>
        <v>4.7500000000000001E-2</v>
      </c>
    </row>
    <row r="192" spans="2:11" outlineLevel="1" x14ac:dyDescent="0.25">
      <c r="B192" s="5"/>
      <c r="C192" s="5"/>
      <c r="D192" s="4"/>
      <c r="E192" s="5"/>
      <c r="F192" s="33"/>
      <c r="G192" s="33"/>
      <c r="H192" s="33"/>
      <c r="I192" s="33"/>
      <c r="J192" s="33"/>
      <c r="K192" s="33"/>
    </row>
    <row r="193" spans="2:11" outlineLevel="1" x14ac:dyDescent="0.25">
      <c r="B193" s="5"/>
      <c r="C193" s="6" t="s">
        <v>123</v>
      </c>
      <c r="D193" s="9" t="s">
        <v>12</v>
      </c>
      <c r="E193" s="5"/>
      <c r="F193" s="33"/>
      <c r="G193" s="33">
        <f>+G186/G191</f>
        <v>112227709.14465877</v>
      </c>
      <c r="H193" s="33">
        <f t="shared" ref="H193:K193" si="50">+H186/H191</f>
        <v>119809433.07167938</v>
      </c>
      <c r="I193" s="33">
        <f t="shared" si="50"/>
        <v>126295071.03924306</v>
      </c>
      <c r="J193" s="33">
        <f t="shared" si="50"/>
        <v>130169026.68317814</v>
      </c>
      <c r="K193" s="33">
        <f t="shared" si="50"/>
        <v>133653280.35438202</v>
      </c>
    </row>
    <row r="194" spans="2:11" outlineLevel="1" x14ac:dyDescent="0.25">
      <c r="B194" s="5"/>
      <c r="C194" s="5"/>
      <c r="D194" s="4"/>
      <c r="E194" s="5"/>
      <c r="F194" s="33"/>
      <c r="G194" s="33"/>
      <c r="H194" s="33"/>
      <c r="I194" s="33"/>
      <c r="J194" s="33"/>
      <c r="K194" s="33"/>
    </row>
    <row r="195" spans="2:11" outlineLevel="1" x14ac:dyDescent="0.25">
      <c r="B195" s="5"/>
      <c r="C195" s="2" t="s">
        <v>51</v>
      </c>
      <c r="D195" s="4"/>
      <c r="E195" s="33"/>
      <c r="F195" s="33"/>
      <c r="G195" s="33"/>
      <c r="H195" s="33"/>
      <c r="I195" s="33"/>
      <c r="J195" s="33"/>
      <c r="K195" s="33"/>
    </row>
    <row r="196" spans="2:11" outlineLevel="1" x14ac:dyDescent="0.25">
      <c r="B196" s="5"/>
      <c r="C196" s="45" t="s">
        <v>96</v>
      </c>
      <c r="D196" s="9" t="s">
        <v>12</v>
      </c>
      <c r="E196" s="33"/>
      <c r="F196" s="33">
        <f>-E55</f>
        <v>-18110711.652009219</v>
      </c>
      <c r="G196" s="137">
        <v>0</v>
      </c>
      <c r="H196" s="141">
        <f>+G196</f>
        <v>0</v>
      </c>
      <c r="I196" s="138">
        <f t="shared" ref="I196:K196" si="51">+H196</f>
        <v>0</v>
      </c>
      <c r="J196" s="138">
        <f t="shared" si="51"/>
        <v>0</v>
      </c>
      <c r="K196" s="138">
        <f t="shared" si="51"/>
        <v>0</v>
      </c>
    </row>
    <row r="197" spans="2:11" outlineLevel="1" x14ac:dyDescent="0.25">
      <c r="B197" s="5"/>
      <c r="C197" s="45" t="s">
        <v>92</v>
      </c>
      <c r="D197" s="9" t="s">
        <v>12</v>
      </c>
      <c r="E197" s="33"/>
      <c r="F197" s="34"/>
      <c r="G197" s="121">
        <f>IF(G$184=Sale_Date,G193,0)</f>
        <v>0</v>
      </c>
      <c r="H197" s="121">
        <f>IF(H184=Sale_Date,H193,0)</f>
        <v>0</v>
      </c>
      <c r="I197" s="121">
        <f>IF(I184=Sale_Date,I193,0)</f>
        <v>0</v>
      </c>
      <c r="J197" s="121">
        <f>IF(J184=Sale_Date,J193,0)</f>
        <v>0</v>
      </c>
      <c r="K197" s="121">
        <f>IF(K184=Sale_Date,K193,0)</f>
        <v>133653280.35438202</v>
      </c>
    </row>
    <row r="198" spans="2:11" outlineLevel="1" x14ac:dyDescent="0.25">
      <c r="B198" s="5"/>
      <c r="C198" s="45" t="s">
        <v>94</v>
      </c>
      <c r="D198" s="9" t="s">
        <v>12</v>
      </c>
      <c r="E198" s="33"/>
      <c r="F198" s="34"/>
      <c r="G198" s="121">
        <f>IF(G$184=Sale_Date,G118,0)</f>
        <v>0</v>
      </c>
      <c r="H198" s="121">
        <f>IF(H$184=Sale_Date,H118,0)</f>
        <v>0</v>
      </c>
      <c r="I198" s="121">
        <f>IF(I$184=Sale_Date,I118,0)</f>
        <v>0</v>
      </c>
      <c r="J198" s="121">
        <f>IF(J$184=Sale_Date,J118,0)</f>
        <v>0</v>
      </c>
      <c r="K198" s="103">
        <f>IF(K$184=Sale_Date,K118,0)</f>
        <v>0</v>
      </c>
    </row>
    <row r="199" spans="2:11" outlineLevel="1" x14ac:dyDescent="0.25">
      <c r="B199" s="5"/>
      <c r="C199" s="11" t="s">
        <v>93</v>
      </c>
      <c r="D199" s="9" t="s">
        <v>12</v>
      </c>
      <c r="E199" s="33"/>
      <c r="F199" s="34"/>
      <c r="G199" s="103">
        <f>-G197*Exit_Fee_Pct</f>
        <v>0</v>
      </c>
      <c r="H199" s="103">
        <f>-H197*Exit_Fee_Pct</f>
        <v>0</v>
      </c>
      <c r="I199" s="103">
        <f>-I197*Exit_Fee_Pct</f>
        <v>0</v>
      </c>
      <c r="J199" s="103">
        <f>-J197*Exit_Fee_Pct</f>
        <v>0</v>
      </c>
      <c r="K199" s="103">
        <f>-K197*Exit_Fee_Pct</f>
        <v>-2673065.6070876406</v>
      </c>
    </row>
    <row r="200" spans="2:11" outlineLevel="1" x14ac:dyDescent="0.25">
      <c r="B200" s="5"/>
      <c r="C200" s="45" t="s">
        <v>95</v>
      </c>
      <c r="D200" s="9" t="s">
        <v>12</v>
      </c>
      <c r="E200" s="33"/>
      <c r="F200" s="34"/>
      <c r="G200" s="34">
        <f>IF(G184&lt;=Sale_Date,G161,0)</f>
        <v>1567719.1381610599</v>
      </c>
      <c r="H200" s="34">
        <f>IF(H184&lt;=Sale_Date,H161,0)</f>
        <v>1920232.9042926468</v>
      </c>
      <c r="I200" s="34">
        <f>IF(I184&lt;=Sale_Date,I161,0)</f>
        <v>-135439.25572128594</v>
      </c>
      <c r="J200" s="34">
        <f>IF(J184&lt;=Sale_Date,J161,0)</f>
        <v>314168.16839914769</v>
      </c>
      <c r="K200" s="34">
        <f>IF(K184&lt;=Sale_Date,K161,0)</f>
        <v>569703.51603723783</v>
      </c>
    </row>
    <row r="201" spans="2:11" outlineLevel="1" x14ac:dyDescent="0.25">
      <c r="B201" s="5"/>
      <c r="C201" s="45" t="s">
        <v>173</v>
      </c>
      <c r="D201" s="9" t="s">
        <v>12</v>
      </c>
      <c r="E201" s="33"/>
      <c r="F201" s="34"/>
      <c r="G201" s="103">
        <f>IF(G$184=Sale_Date,-MAX(0,MIN(G166,SUM(G$197:G200))),0)</f>
        <v>0</v>
      </c>
      <c r="H201" s="103">
        <f>IF(H$184=Sale_Date,-MAX(0,MIN(H166,SUM(H$197:H200))),0)</f>
        <v>0</v>
      </c>
      <c r="I201" s="103">
        <f>IF(I$184=Sale_Date,-MAX(0,MIN(I166,SUM(I$197:I200))),0)</f>
        <v>0</v>
      </c>
      <c r="J201" s="103">
        <f>IF(J$184=Sale_Date,-MAX(0,MIN(J166,SUM(J$197:J200))),0)</f>
        <v>0</v>
      </c>
      <c r="K201" s="103">
        <f>IF(K$184=Sale_Date,-MAX(0,MIN(K166,SUM(K$197:K200))),0)</f>
        <v>-61141046.38828133</v>
      </c>
    </row>
    <row r="202" spans="2:11" outlineLevel="1" x14ac:dyDescent="0.25">
      <c r="B202" s="5"/>
      <c r="C202" s="45" t="s">
        <v>172</v>
      </c>
      <c r="D202" s="9" t="s">
        <v>12</v>
      </c>
      <c r="E202" s="33"/>
      <c r="F202" s="34"/>
      <c r="G202" s="103">
        <f>IF(G$184=Sale_Date,-MAX(0,MIN(G167,SUM(G$197:G201))),0)</f>
        <v>0</v>
      </c>
      <c r="H202" s="103">
        <f>IF(H$184=Sale_Date,-MAX(0,MIN(H167,SUM(H$197:H201))),0)</f>
        <v>0</v>
      </c>
      <c r="I202" s="103">
        <f>IF(I$184=Sale_Date,-MAX(0,MIN(I167,SUM(I$197:I201))),0)</f>
        <v>0</v>
      </c>
      <c r="J202" s="103">
        <f>IF(J$184=Sale_Date,-MAX(0,MIN(J167,SUM(J$197:J201))),0)</f>
        <v>0</v>
      </c>
      <c r="K202" s="103">
        <f>IF(K$184=Sale_Date,-MAX(0,MIN(K167,SUM(K$197:K201))),0)</f>
        <v>-12715800.263944536</v>
      </c>
    </row>
    <row r="203" spans="2:11" outlineLevel="1" x14ac:dyDescent="0.25">
      <c r="B203" s="5"/>
      <c r="C203" s="45" t="s">
        <v>174</v>
      </c>
      <c r="D203" s="9" t="s">
        <v>12</v>
      </c>
      <c r="G203" s="103">
        <f>IF(G$184=Sale_Date,-MAX(0,MIN(G168,SUM(G$197:G202))),0)</f>
        <v>0</v>
      </c>
      <c r="H203" s="103">
        <f>IF(H$184=Sale_Date,-MAX(0,MIN(H168,SUM(H$197:H202))),0)</f>
        <v>0</v>
      </c>
      <c r="I203" s="103">
        <f>IF(I$184=Sale_Date,-MAX(0,MIN(I168,SUM(I$197:I202))),0)</f>
        <v>0</v>
      </c>
      <c r="J203" s="103">
        <f>IF(J$184=Sale_Date,-MAX(0,MIN(J168,SUM(J$197:J202))),0)</f>
        <v>0</v>
      </c>
      <c r="K203" s="103">
        <f>IF(K$184=Sale_Date,-MAX(0,MIN(K168,SUM(K$197:K202))),0)</f>
        <v>-16832182.327998459</v>
      </c>
    </row>
    <row r="204" spans="2:11" outlineLevel="1" x14ac:dyDescent="0.25">
      <c r="B204" s="5"/>
      <c r="C204" s="45" t="s">
        <v>175</v>
      </c>
      <c r="D204" s="9" t="s">
        <v>12</v>
      </c>
      <c r="E204" s="33"/>
      <c r="F204" s="34"/>
      <c r="G204" s="103">
        <f>IF(G$121&lt;Senior_Loan_Maturity,-MAX(0,MIN(-Prepayment_Fee*G201,SUM(G$197:G203))),0)</f>
        <v>0</v>
      </c>
      <c r="H204" s="103">
        <f>IF(H$121&lt;Senior_Loan_Maturity,-MAX(0,MIN(-Prepayment_Fee*H201,SUM(H$197:H203))),0)</f>
        <v>0</v>
      </c>
      <c r="I204" s="103">
        <f>IF(I$121&lt;Senior_Loan_Maturity,-MAX(0,MIN(-Prepayment_Fee*I201,SUM(I$197:I203))),0)</f>
        <v>0</v>
      </c>
      <c r="J204" s="103">
        <f>IF(J$121&lt;Senior_Loan_Maturity,-MAX(0,MIN(-Prepayment_Fee*J201,SUM(J$197:J203))),0)</f>
        <v>0</v>
      </c>
      <c r="K204" s="103">
        <f>IF(K$121&lt;Senior_Loan_Maturity,-MAX(0,MIN(-Prepayment_Fee*K201,SUM(K$197:K203))),0)</f>
        <v>-917115.69582421996</v>
      </c>
    </row>
    <row r="205" spans="2:11" outlineLevel="1" x14ac:dyDescent="0.25">
      <c r="B205" s="5"/>
      <c r="C205" s="45" t="s">
        <v>176</v>
      </c>
      <c r="D205" s="9" t="s">
        <v>12</v>
      </c>
      <c r="E205" s="33"/>
      <c r="F205" s="34"/>
      <c r="G205" s="103">
        <f>IF(G$121&lt;Mezz_Maturity,-MAX(0,MIN(-Prepayment_Fee*G202,SUM(G$197:G204))),0)</f>
        <v>0</v>
      </c>
      <c r="H205" s="103">
        <f>IF(H$121&lt;Mezz_Maturity,-MAX(0,MIN(-Prepayment_Fee*H202,SUM(H$197:H204))),0)</f>
        <v>0</v>
      </c>
      <c r="I205" s="103">
        <f>IF(I$121&lt;Mezz_Maturity,-MAX(0,MIN(-Prepayment_Fee*I202,SUM(I$197:I204))),0)</f>
        <v>0</v>
      </c>
      <c r="J205" s="103">
        <f>IF(J$121&lt;Mezz_Maturity,-MAX(0,MIN(-Prepayment_Fee*J202,SUM(J$197:J204))),0)</f>
        <v>0</v>
      </c>
      <c r="K205" s="103">
        <f>IF(K$121&lt;Mezz_Maturity,-MAX(0,MIN(-Prepayment_Fee*K202,SUM(K$197:K204))),0)</f>
        <v>0</v>
      </c>
    </row>
    <row r="206" spans="2:11" outlineLevel="1" x14ac:dyDescent="0.25">
      <c r="B206" s="5"/>
      <c r="C206" s="45" t="s">
        <v>177</v>
      </c>
      <c r="D206" s="9" t="s">
        <v>12</v>
      </c>
      <c r="E206" s="33"/>
      <c r="F206" s="34"/>
      <c r="G206" s="103">
        <f>IF(G$121&lt;Pref_Maturity,-MAX(0,MIN(-Prepayment_Fee*G203,SUM(G$197:G205))),0)</f>
        <v>0</v>
      </c>
      <c r="H206" s="103">
        <f>IF(H$121&lt;Pref_Maturity,-MAX(0,MIN(-Prepayment_Fee*H203,SUM(H$197:H205))),0)</f>
        <v>0</v>
      </c>
      <c r="I206" s="103">
        <f>IF(I$121&lt;Pref_Maturity,-MAX(0,MIN(-Prepayment_Fee*I203,SUM(I$197:I205))),0)</f>
        <v>0</v>
      </c>
      <c r="J206" s="103">
        <f>IF(J$121&lt;Pref_Maturity,-MAX(0,MIN(-Prepayment_Fee*J203,SUM(J$197:J205))),0)</f>
        <v>0</v>
      </c>
      <c r="K206" s="103">
        <f>IF(K$121&lt;Pref_Maturity,-MAX(0,MIN(-Prepayment_Fee*K203,SUM(K$197:K205))),0)</f>
        <v>0</v>
      </c>
    </row>
    <row r="207" spans="2:11" outlineLevel="1" x14ac:dyDescent="0.25">
      <c r="B207" s="5"/>
      <c r="C207" s="45" t="s">
        <v>178</v>
      </c>
      <c r="D207" s="56" t="s">
        <v>12</v>
      </c>
      <c r="E207" s="33"/>
      <c r="F207" s="34"/>
      <c r="G207" s="103">
        <f>IF(G$184=Sale_Date,-MAX(0,SUM(G197:G206)*Pref_Equity_Pct),0)</f>
        <v>0</v>
      </c>
      <c r="H207" s="103">
        <f>IF(H$184=Sale_Date,-MAX(0,SUM(H197:H206)*Pref_Equity_Pct),0)</f>
        <v>0</v>
      </c>
      <c r="I207" s="103">
        <f>IF(I$184=Sale_Date,-MAX(0,SUM(I197:I206)*Pref_Equity_Pct),0)</f>
        <v>0</v>
      </c>
      <c r="J207" s="103">
        <f>IF(J$184=Sale_Date,-MAX(0,SUM(J197:J206)*Pref_Equity_Pct),0)</f>
        <v>0</v>
      </c>
      <c r="K207" s="103">
        <f>IF(K$184=Sale_Date,-MAX(0,SUM(K197:K206)*Pref_Equity_Pct),0)</f>
        <v>-1997188.6793641539</v>
      </c>
    </row>
    <row r="208" spans="2:11" outlineLevel="1" x14ac:dyDescent="0.25">
      <c r="B208" s="5"/>
      <c r="C208" s="57" t="s">
        <v>52</v>
      </c>
      <c r="D208" s="9" t="s">
        <v>12</v>
      </c>
      <c r="E208" s="54"/>
      <c r="F208" s="71">
        <f>SUM(F196:F207)</f>
        <v>-18110711.652009219</v>
      </c>
      <c r="G208" s="71">
        <f t="shared" ref="G208:K208" si="52">SUM(G196:G207)</f>
        <v>1567719.1381610599</v>
      </c>
      <c r="H208" s="71">
        <f t="shared" si="52"/>
        <v>1920232.9042926468</v>
      </c>
      <c r="I208" s="71">
        <f t="shared" si="52"/>
        <v>-135439.25572128594</v>
      </c>
      <c r="J208" s="71">
        <f t="shared" si="52"/>
        <v>314168.16839914769</v>
      </c>
      <c r="K208" s="71">
        <f t="shared" si="52"/>
        <v>37946584.907918923</v>
      </c>
    </row>
    <row r="209" spans="2:11" outlineLevel="1" x14ac:dyDescent="0.25">
      <c r="B209" s="5"/>
      <c r="C209" s="5"/>
      <c r="D209" s="4"/>
      <c r="E209" s="5"/>
      <c r="F209" s="32"/>
      <c r="G209" s="33"/>
      <c r="H209" s="33"/>
      <c r="I209" s="33"/>
      <c r="J209" s="33"/>
      <c r="K209" s="33"/>
    </row>
    <row r="210" spans="2:11" outlineLevel="1" x14ac:dyDescent="0.25">
      <c r="B210" s="5"/>
      <c r="C210" s="72" t="s">
        <v>179</v>
      </c>
      <c r="D210" s="73" t="s">
        <v>7</v>
      </c>
      <c r="E210" s="74"/>
      <c r="F210" s="122">
        <f>IRR(F208:K208)</f>
        <v>0.19781142463715362</v>
      </c>
      <c r="G210" s="33"/>
      <c r="H210" s="33"/>
      <c r="I210" s="33"/>
      <c r="J210" s="33"/>
      <c r="K210" s="33"/>
    </row>
    <row r="211" spans="2:11" outlineLevel="1" x14ac:dyDescent="0.25">
      <c r="B211" s="3"/>
      <c r="C211" s="3"/>
      <c r="D211" s="55"/>
      <c r="E211" s="3"/>
      <c r="F211" s="3"/>
      <c r="G211" s="3"/>
      <c r="H211" s="3"/>
      <c r="I211" s="3"/>
      <c r="J211" s="3"/>
      <c r="K211" s="3"/>
    </row>
    <row r="212" spans="2:11" outlineLevel="1" x14ac:dyDescent="0.25">
      <c r="B212" s="3"/>
      <c r="C212" s="75" t="s">
        <v>53</v>
      </c>
      <c r="D212" s="9" t="s">
        <v>12</v>
      </c>
      <c r="E212" s="3"/>
      <c r="F212" s="33">
        <f>SUM(F197:K207)</f>
        <v>41613265.863050483</v>
      </c>
      <c r="G212" s="3"/>
      <c r="H212" s="3"/>
      <c r="I212" s="3"/>
      <c r="J212" s="3"/>
      <c r="K212" s="3"/>
    </row>
    <row r="213" spans="2:11" outlineLevel="1" x14ac:dyDescent="0.25">
      <c r="B213" s="3"/>
      <c r="C213" s="75" t="s">
        <v>38</v>
      </c>
      <c r="D213" s="9" t="s">
        <v>12</v>
      </c>
      <c r="E213" s="3"/>
      <c r="F213" s="33">
        <f>-SUM(F196:K196)</f>
        <v>18110711.652009219</v>
      </c>
      <c r="G213" s="3"/>
      <c r="H213" s="3"/>
      <c r="I213" s="3"/>
      <c r="J213" s="3"/>
      <c r="K213" s="3"/>
    </row>
    <row r="214" spans="2:11" outlineLevel="1" x14ac:dyDescent="0.25">
      <c r="B214" s="3"/>
      <c r="C214" s="75" t="s">
        <v>39</v>
      </c>
      <c r="D214" s="9" t="s">
        <v>33</v>
      </c>
      <c r="E214" s="3"/>
      <c r="F214" s="140">
        <f>+F212/F213</f>
        <v>2.2977156647753194</v>
      </c>
      <c r="G214" s="3"/>
      <c r="H214" s="3"/>
      <c r="I214" s="3"/>
      <c r="J214" s="3"/>
      <c r="K214" s="3"/>
    </row>
    <row r="216" spans="2:11" x14ac:dyDescent="0.25">
      <c r="B216" s="37"/>
      <c r="C216" s="37"/>
      <c r="D216" s="38"/>
      <c r="E216" s="37"/>
      <c r="F216" s="39" t="str">
        <f>+$F$58</f>
        <v>Historical:</v>
      </c>
      <c r="G216" s="40" t="str">
        <f>+$G$58</f>
        <v>Projected:</v>
      </c>
      <c r="H216" s="41"/>
      <c r="I216" s="41"/>
      <c r="J216" s="41"/>
      <c r="K216" s="41"/>
    </row>
    <row r="217" spans="2:11" x14ac:dyDescent="0.25">
      <c r="B217" s="7" t="s">
        <v>192</v>
      </c>
      <c r="C217" s="7"/>
      <c r="D217" s="8" t="str">
        <f>+$D$5</f>
        <v>Units:</v>
      </c>
      <c r="E217" s="7"/>
      <c r="F217" s="53">
        <f>+$F$59</f>
        <v>43465</v>
      </c>
      <c r="G217" s="44">
        <f>+$G$59</f>
        <v>43830</v>
      </c>
      <c r="H217" s="43">
        <f>+$H$59</f>
        <v>44196</v>
      </c>
      <c r="I217" s="43">
        <f>+$I$59</f>
        <v>44561</v>
      </c>
      <c r="J217" s="43">
        <f>+$J$59</f>
        <v>44926</v>
      </c>
      <c r="K217" s="43">
        <f>+$K$59</f>
        <v>45291</v>
      </c>
    </row>
    <row r="218" spans="2:11" outlineLevel="1" x14ac:dyDescent="0.25"/>
    <row r="219" spans="2:11" outlineLevel="1" x14ac:dyDescent="0.25">
      <c r="C219" s="128" t="s">
        <v>187</v>
      </c>
      <c r="D219" s="9" t="s">
        <v>12</v>
      </c>
      <c r="F219" s="133">
        <f>-E52</f>
        <v>-67934495.986979261</v>
      </c>
      <c r="G219" s="137">
        <v>0</v>
      </c>
      <c r="H219" s="138">
        <f>+G219</f>
        <v>0</v>
      </c>
      <c r="I219" s="138">
        <f t="shared" ref="I219" si="53">+H219</f>
        <v>0</v>
      </c>
      <c r="J219" s="138">
        <f t="shared" ref="J219" si="54">+I219</f>
        <v>0</v>
      </c>
      <c r="K219" s="138">
        <f t="shared" ref="K219" si="55">+J219</f>
        <v>0</v>
      </c>
    </row>
    <row r="220" spans="2:11" outlineLevel="1" x14ac:dyDescent="0.25">
      <c r="C220" s="128" t="s">
        <v>182</v>
      </c>
      <c r="D220" s="9" t="s">
        <v>12</v>
      </c>
      <c r="F220" s="62"/>
      <c r="G220" s="62">
        <f>IF(G$217&lt;=Sale_Date,-G157,0)</f>
        <v>2717379.8394791703</v>
      </c>
      <c r="H220" s="62">
        <f>IF(H$217&lt;=Sale_Date,-H157,0)</f>
        <v>2751347.08747266</v>
      </c>
      <c r="I220" s="62">
        <f>IF(I$217&lt;=Sale_Date,-I157,0)</f>
        <v>2853248.8314531287</v>
      </c>
      <c r="J220" s="62">
        <f>IF(J$217&lt;=Sale_Date,-J157,0)</f>
        <v>2823810.5498587708</v>
      </c>
      <c r="K220" s="62">
        <f>IF(K$217&lt;=Sale_Date,-K157,0)</f>
        <v>2789843.3018652815</v>
      </c>
    </row>
    <row r="221" spans="2:11" outlineLevel="1" x14ac:dyDescent="0.25">
      <c r="C221" s="128" t="s">
        <v>193</v>
      </c>
      <c r="D221" s="9" t="s">
        <v>12</v>
      </c>
      <c r="F221" s="62"/>
      <c r="G221" s="62">
        <f>IF(G$217&lt;=Sale_Date,-G159,0)</f>
        <v>0</v>
      </c>
      <c r="H221" s="62">
        <f>IF(H$217&lt;=Sale_Date,-H159,0)</f>
        <v>0</v>
      </c>
      <c r="I221" s="62">
        <f>IF(I$217&lt;=Sale_Date,-I159,0)</f>
        <v>2264483.1995659755</v>
      </c>
      <c r="J221" s="62">
        <f>IF(J$217&lt;=Sale_Date,-J159,0)</f>
        <v>2264483.1995659755</v>
      </c>
      <c r="K221" s="62">
        <f>IF(K$217&lt;=Sale_Date,-K159,0)</f>
        <v>2264483.1995659755</v>
      </c>
    </row>
    <row r="222" spans="2:11" outlineLevel="1" x14ac:dyDescent="0.25">
      <c r="C222" s="128" t="s">
        <v>188</v>
      </c>
      <c r="D222" s="9" t="s">
        <v>12</v>
      </c>
      <c r="F222" s="62">
        <f>Senior_Loan*Issuance_Fee</f>
        <v>679344.95986979257</v>
      </c>
      <c r="G222" s="137">
        <v>0</v>
      </c>
      <c r="H222" s="138">
        <f>+G222</f>
        <v>0</v>
      </c>
      <c r="I222" s="138">
        <f t="shared" ref="I222" si="56">+H222</f>
        <v>0</v>
      </c>
      <c r="J222" s="138">
        <f t="shared" ref="J222" si="57">+I222</f>
        <v>0</v>
      </c>
      <c r="K222" s="138">
        <f t="shared" ref="K222" si="58">+J222</f>
        <v>0</v>
      </c>
    </row>
    <row r="223" spans="2:11" outlineLevel="1" x14ac:dyDescent="0.25">
      <c r="C223" s="128" t="s">
        <v>189</v>
      </c>
      <c r="D223" s="9" t="s">
        <v>12</v>
      </c>
      <c r="F223" s="62"/>
      <c r="G223" s="62">
        <f>-G201</f>
        <v>0</v>
      </c>
      <c r="H223" s="62">
        <f>-H201</f>
        <v>0</v>
      </c>
      <c r="I223" s="62">
        <f>-I201</f>
        <v>0</v>
      </c>
      <c r="J223" s="62">
        <f>-J201</f>
        <v>0</v>
      </c>
      <c r="K223" s="62">
        <f>-K201</f>
        <v>61141046.38828133</v>
      </c>
    </row>
    <row r="224" spans="2:11" outlineLevel="1" x14ac:dyDescent="0.25">
      <c r="C224" s="136" t="s">
        <v>190</v>
      </c>
      <c r="D224" s="56" t="s">
        <v>12</v>
      </c>
      <c r="E224" s="132"/>
      <c r="F224" s="79"/>
      <c r="G224" s="79">
        <f>-G204</f>
        <v>0</v>
      </c>
      <c r="H224" s="79">
        <f>-H204</f>
        <v>0</v>
      </c>
      <c r="I224" s="79">
        <f>-I204</f>
        <v>0</v>
      </c>
      <c r="J224" s="79">
        <f>-J204</f>
        <v>0</v>
      </c>
      <c r="K224" s="79">
        <f>-K204</f>
        <v>917115.69582421996</v>
      </c>
    </row>
    <row r="225" spans="2:11" outlineLevel="1" x14ac:dyDescent="0.25">
      <c r="C225" s="46" t="s">
        <v>191</v>
      </c>
      <c r="D225" s="9" t="s">
        <v>12</v>
      </c>
      <c r="F225" s="139">
        <f>SUM(F219:F224)</f>
        <v>-67255151.027109474</v>
      </c>
      <c r="G225" s="64">
        <f>SUM(G219:G224)</f>
        <v>2717379.8394791703</v>
      </c>
      <c r="H225" s="64">
        <f t="shared" ref="H225:K225" si="59">SUM(H219:H224)</f>
        <v>2751347.08747266</v>
      </c>
      <c r="I225" s="64">
        <f t="shared" si="59"/>
        <v>5117732.0310191046</v>
      </c>
      <c r="J225" s="64">
        <f t="shared" si="59"/>
        <v>5088293.7494247463</v>
      </c>
      <c r="K225" s="64">
        <f t="shared" si="59"/>
        <v>67112488.585536808</v>
      </c>
    </row>
    <row r="226" spans="2:11" outlineLevel="1" x14ac:dyDescent="0.25"/>
    <row r="227" spans="2:11" outlineLevel="1" x14ac:dyDescent="0.25">
      <c r="C227" s="72" t="s">
        <v>179</v>
      </c>
      <c r="D227" s="73" t="s">
        <v>7</v>
      </c>
      <c r="E227" s="74"/>
      <c r="F227" s="122">
        <f>IRR(F225:K225)</f>
        <v>4.6607030628767365E-2</v>
      </c>
    </row>
    <row r="228" spans="2:11" outlineLevel="1" x14ac:dyDescent="0.25">
      <c r="C228" s="3"/>
      <c r="D228" s="55"/>
      <c r="E228" s="3"/>
      <c r="F228" s="3"/>
    </row>
    <row r="229" spans="2:11" outlineLevel="1" x14ac:dyDescent="0.25">
      <c r="C229" s="75" t="s">
        <v>204</v>
      </c>
      <c r="D229" s="9" t="s">
        <v>7</v>
      </c>
      <c r="E229" s="3"/>
      <c r="F229" s="142">
        <f>-(SUM(G221:K221)+SUM(G223:K223))/F219</f>
        <v>1</v>
      </c>
    </row>
    <row r="230" spans="2:11" outlineLevel="1" x14ac:dyDescent="0.25">
      <c r="C230" s="75" t="s">
        <v>194</v>
      </c>
      <c r="D230" s="9" t="s">
        <v>12</v>
      </c>
      <c r="E230" s="3"/>
      <c r="F230" s="33">
        <f>SUM(F220:K224)</f>
        <v>83466586.252802283</v>
      </c>
    </row>
    <row r="231" spans="2:11" outlineLevel="1" x14ac:dyDescent="0.25">
      <c r="C231" s="75" t="s">
        <v>195</v>
      </c>
      <c r="D231" s="9" t="s">
        <v>12</v>
      </c>
      <c r="E231" s="3"/>
      <c r="F231" s="33">
        <f>-SUM(F219:K219)</f>
        <v>67934495.986979261</v>
      </c>
    </row>
    <row r="232" spans="2:11" outlineLevel="1" x14ac:dyDescent="0.25">
      <c r="C232" s="75" t="s">
        <v>39</v>
      </c>
      <c r="D232" s="9" t="s">
        <v>33</v>
      </c>
      <c r="E232" s="3"/>
      <c r="F232" s="140">
        <f>+F230/F231</f>
        <v>1.2286333333333332</v>
      </c>
    </row>
    <row r="234" spans="2:11" x14ac:dyDescent="0.25">
      <c r="B234" s="37"/>
      <c r="C234" s="37"/>
      <c r="D234" s="38"/>
      <c r="E234" s="37"/>
      <c r="F234" s="39" t="str">
        <f>+$F$58</f>
        <v>Historical:</v>
      </c>
      <c r="G234" s="40" t="str">
        <f>+$G$58</f>
        <v>Projected:</v>
      </c>
      <c r="H234" s="41"/>
      <c r="I234" s="41"/>
      <c r="J234" s="41"/>
      <c r="K234" s="41"/>
    </row>
    <row r="235" spans="2:11" x14ac:dyDescent="0.25">
      <c r="B235" s="7" t="s">
        <v>196</v>
      </c>
      <c r="C235" s="7"/>
      <c r="D235" s="8" t="str">
        <f>+$D$5</f>
        <v>Units:</v>
      </c>
      <c r="E235" s="7"/>
      <c r="F235" s="53">
        <f>+$F$59</f>
        <v>43465</v>
      </c>
      <c r="G235" s="44">
        <f>+$G$59</f>
        <v>43830</v>
      </c>
      <c r="H235" s="43">
        <f>+$H$59</f>
        <v>44196</v>
      </c>
      <c r="I235" s="43">
        <f>+$I$59</f>
        <v>44561</v>
      </c>
      <c r="J235" s="43">
        <f>+$J$59</f>
        <v>44926</v>
      </c>
      <c r="K235" s="43">
        <f>+$K$59</f>
        <v>45291</v>
      </c>
    </row>
    <row r="236" spans="2:11" outlineLevel="1" x14ac:dyDescent="0.25"/>
    <row r="237" spans="2:11" outlineLevel="1" x14ac:dyDescent="0.25">
      <c r="C237" s="128" t="s">
        <v>181</v>
      </c>
      <c r="D237" s="9" t="s">
        <v>12</v>
      </c>
      <c r="F237" s="133">
        <f>-E53</f>
        <v>-10451460.921073733</v>
      </c>
      <c r="G237" s="137">
        <v>0</v>
      </c>
      <c r="H237" s="138">
        <f>+G237</f>
        <v>0</v>
      </c>
      <c r="I237" s="138">
        <f t="shared" ref="I237" si="60">+H237</f>
        <v>0</v>
      </c>
      <c r="J237" s="138">
        <f t="shared" ref="J237" si="61">+I237</f>
        <v>0</v>
      </c>
      <c r="K237" s="138">
        <f t="shared" ref="K237" si="62">+J237</f>
        <v>0</v>
      </c>
    </row>
    <row r="238" spans="2:11" outlineLevel="1" x14ac:dyDescent="0.25">
      <c r="C238" s="128" t="s">
        <v>182</v>
      </c>
      <c r="D238" s="9" t="s">
        <v>12</v>
      </c>
      <c r="F238" s="62"/>
      <c r="G238" s="62">
        <f>IF(G$235&lt;=Sale_Date,-G158,0)</f>
        <v>418058.4368429493</v>
      </c>
      <c r="H238" s="62">
        <f>IF(H$235&lt;=Sale_Date,-H158,0)</f>
        <v>434780.77431666735</v>
      </c>
      <c r="I238" s="62">
        <f>IF(I$235&lt;=Sale_Date,-I158,0)</f>
        <v>452172.00528933399</v>
      </c>
      <c r="J238" s="62">
        <f>IF(J$235&lt;=Sale_Date,-J158,0)</f>
        <v>470258.88550090737</v>
      </c>
      <c r="K238" s="62">
        <f>IF(K$235&lt;=Sale_Date,-K158,0)</f>
        <v>489069.24092094367</v>
      </c>
    </row>
    <row r="239" spans="2:11" outlineLevel="1" x14ac:dyDescent="0.25">
      <c r="C239" s="128" t="s">
        <v>183</v>
      </c>
      <c r="D239" s="9" t="s">
        <v>12</v>
      </c>
      <c r="F239" s="62">
        <f>Mezz_Amount*Issuance_Fee</f>
        <v>104514.60921073733</v>
      </c>
      <c r="G239" s="137">
        <v>0</v>
      </c>
      <c r="H239" s="138">
        <f>+G239</f>
        <v>0</v>
      </c>
      <c r="I239" s="138">
        <f t="shared" ref="I239" si="63">+H239</f>
        <v>0</v>
      </c>
      <c r="J239" s="138">
        <f t="shared" ref="J239" si="64">+I239</f>
        <v>0</v>
      </c>
      <c r="K239" s="138">
        <f t="shared" ref="K239" si="65">+J239</f>
        <v>0</v>
      </c>
    </row>
    <row r="240" spans="2:11" outlineLevel="1" x14ac:dyDescent="0.25">
      <c r="C240" s="128" t="s">
        <v>184</v>
      </c>
      <c r="D240" s="9" t="s">
        <v>12</v>
      </c>
      <c r="F240" s="62"/>
      <c r="G240" s="62">
        <f>-G202</f>
        <v>0</v>
      </c>
      <c r="H240" s="62">
        <f>-H202</f>
        <v>0</v>
      </c>
      <c r="I240" s="62">
        <f>-I202</f>
        <v>0</v>
      </c>
      <c r="J240" s="62">
        <f>-J202</f>
        <v>0</v>
      </c>
      <c r="K240" s="62">
        <f>-K202</f>
        <v>12715800.263944536</v>
      </c>
    </row>
    <row r="241" spans="2:11" outlineLevel="1" x14ac:dyDescent="0.25">
      <c r="C241" s="136" t="s">
        <v>185</v>
      </c>
      <c r="D241" s="56" t="s">
        <v>12</v>
      </c>
      <c r="E241" s="132"/>
      <c r="F241" s="79"/>
      <c r="G241" s="79">
        <f>-G205</f>
        <v>0</v>
      </c>
      <c r="H241" s="79">
        <f>-H205</f>
        <v>0</v>
      </c>
      <c r="I241" s="79">
        <f>-I205</f>
        <v>0</v>
      </c>
      <c r="J241" s="79">
        <f>-J205</f>
        <v>0</v>
      </c>
      <c r="K241" s="79">
        <f>-K205</f>
        <v>0</v>
      </c>
    </row>
    <row r="242" spans="2:11" outlineLevel="1" x14ac:dyDescent="0.25">
      <c r="C242" s="46" t="s">
        <v>186</v>
      </c>
      <c r="D242" s="9" t="s">
        <v>12</v>
      </c>
      <c r="F242" s="139">
        <f t="shared" ref="F242:K242" si="66">SUM(F237:F241)</f>
        <v>-10346946.311862996</v>
      </c>
      <c r="G242" s="64">
        <f t="shared" si="66"/>
        <v>418058.4368429493</v>
      </c>
      <c r="H242" s="64">
        <f t="shared" si="66"/>
        <v>434780.77431666735</v>
      </c>
      <c r="I242" s="64">
        <f t="shared" si="66"/>
        <v>452172.00528933399</v>
      </c>
      <c r="J242" s="64">
        <f t="shared" si="66"/>
        <v>470258.88550090737</v>
      </c>
      <c r="K242" s="64">
        <f t="shared" si="66"/>
        <v>13204869.504865481</v>
      </c>
    </row>
    <row r="243" spans="2:11" outlineLevel="1" x14ac:dyDescent="0.25"/>
    <row r="244" spans="2:11" outlineLevel="1" x14ac:dyDescent="0.25">
      <c r="C244" s="72" t="s">
        <v>179</v>
      </c>
      <c r="D244" s="73" t="s">
        <v>7</v>
      </c>
      <c r="E244" s="74"/>
      <c r="F244" s="122">
        <f>IRR(F242:K242)</f>
        <v>8.2340798636595602E-2</v>
      </c>
    </row>
    <row r="245" spans="2:11" outlineLevel="1" x14ac:dyDescent="0.25">
      <c r="C245" s="3"/>
      <c r="D245" s="55"/>
      <c r="E245" s="3"/>
      <c r="F245" s="3"/>
    </row>
    <row r="246" spans="2:11" outlineLevel="1" x14ac:dyDescent="0.25">
      <c r="C246" s="75" t="s">
        <v>204</v>
      </c>
      <c r="D246" s="9" t="s">
        <v>7</v>
      </c>
      <c r="E246" s="3"/>
      <c r="F246" s="142">
        <f>SUM(G240:K240)/INDEX($F$124:$K$168,ROWS(F$124:F$167),MATCH(Sale_Date,$F$124:$K$124,0))</f>
        <v>1</v>
      </c>
    </row>
    <row r="247" spans="2:11" outlineLevel="1" x14ac:dyDescent="0.25">
      <c r="C247" s="75" t="s">
        <v>194</v>
      </c>
      <c r="D247" s="9" t="s">
        <v>12</v>
      </c>
      <c r="E247" s="3"/>
      <c r="F247" s="33">
        <f>SUM(F238:K241)</f>
        <v>15084654.216026075</v>
      </c>
    </row>
    <row r="248" spans="2:11" outlineLevel="1" x14ac:dyDescent="0.25">
      <c r="C248" s="75" t="s">
        <v>195</v>
      </c>
      <c r="D248" s="9" t="s">
        <v>12</v>
      </c>
      <c r="E248" s="3"/>
      <c r="F248" s="33">
        <f>-SUM(F237:K237)</f>
        <v>10451460.921073733</v>
      </c>
    </row>
    <row r="249" spans="2:11" outlineLevel="1" x14ac:dyDescent="0.25">
      <c r="C249" s="75" t="s">
        <v>39</v>
      </c>
      <c r="D249" s="9" t="s">
        <v>33</v>
      </c>
      <c r="E249" s="3"/>
      <c r="F249" s="140">
        <f>+F247/F248</f>
        <v>1.4433058048000003</v>
      </c>
    </row>
    <row r="251" spans="2:11" x14ac:dyDescent="0.25">
      <c r="B251" s="37"/>
      <c r="C251" s="37"/>
      <c r="D251" s="38"/>
      <c r="E251" s="37"/>
      <c r="F251" s="39" t="str">
        <f>+$F$58</f>
        <v>Historical:</v>
      </c>
      <c r="G251" s="40" t="str">
        <f>+$G$58</f>
        <v>Projected:</v>
      </c>
      <c r="H251" s="41"/>
      <c r="I251" s="41"/>
      <c r="J251" s="41"/>
      <c r="K251" s="41"/>
    </row>
    <row r="252" spans="2:11" x14ac:dyDescent="0.25">
      <c r="B252" s="7" t="s">
        <v>197</v>
      </c>
      <c r="C252" s="7"/>
      <c r="D252" s="8" t="str">
        <f>+$D$5</f>
        <v>Units:</v>
      </c>
      <c r="E252" s="7"/>
      <c r="F252" s="53">
        <f>+$F$59</f>
        <v>43465</v>
      </c>
      <c r="G252" s="44">
        <f>+$G$59</f>
        <v>43830</v>
      </c>
      <c r="H252" s="43">
        <f>+$H$59</f>
        <v>44196</v>
      </c>
      <c r="I252" s="43">
        <f>+$I$59</f>
        <v>44561</v>
      </c>
      <c r="J252" s="43">
        <f>+$J$59</f>
        <v>44926</v>
      </c>
      <c r="K252" s="43">
        <f>+$K$59</f>
        <v>45291</v>
      </c>
    </row>
    <row r="253" spans="2:11" outlineLevel="1" x14ac:dyDescent="0.25"/>
    <row r="254" spans="2:11" outlineLevel="1" x14ac:dyDescent="0.25">
      <c r="C254" s="128" t="s">
        <v>198</v>
      </c>
      <c r="D254" s="9" t="s">
        <v>12</v>
      </c>
      <c r="F254" s="133">
        <f>-E54</f>
        <v>-10451460.921073733</v>
      </c>
      <c r="G254" s="137">
        <v>0</v>
      </c>
      <c r="H254" s="138">
        <f>+G254</f>
        <v>0</v>
      </c>
      <c r="I254" s="138">
        <f t="shared" ref="I254" si="67">+H254</f>
        <v>0</v>
      </c>
      <c r="J254" s="138">
        <f t="shared" ref="J254" si="68">+I254</f>
        <v>0</v>
      </c>
      <c r="K254" s="138">
        <f t="shared" ref="K254" si="69">+J254</f>
        <v>0</v>
      </c>
    </row>
    <row r="255" spans="2:11" outlineLevel="1" x14ac:dyDescent="0.25">
      <c r="C255" s="128" t="s">
        <v>199</v>
      </c>
      <c r="D255" s="9" t="s">
        <v>12</v>
      </c>
      <c r="F255" s="62">
        <f>Pref_Amount*Issuance_Fee</f>
        <v>104514.60921073733</v>
      </c>
      <c r="G255" s="137">
        <v>0</v>
      </c>
      <c r="H255" s="138">
        <f>+G255</f>
        <v>0</v>
      </c>
      <c r="I255" s="138">
        <f t="shared" ref="I255" si="70">+H255</f>
        <v>0</v>
      </c>
      <c r="J255" s="138">
        <f t="shared" ref="J255" si="71">+I255</f>
        <v>0</v>
      </c>
      <c r="K255" s="138">
        <f t="shared" ref="K255" si="72">+J255</f>
        <v>0</v>
      </c>
    </row>
    <row r="256" spans="2:11" outlineLevel="1" x14ac:dyDescent="0.25">
      <c r="C256" s="128" t="s">
        <v>200</v>
      </c>
      <c r="D256" s="9" t="s">
        <v>12</v>
      </c>
      <c r="F256" s="62"/>
      <c r="G256" s="62">
        <f>-G203</f>
        <v>0</v>
      </c>
      <c r="H256" s="62">
        <f>-H203</f>
        <v>0</v>
      </c>
      <c r="I256" s="62">
        <f>-I203</f>
        <v>0</v>
      </c>
      <c r="J256" s="62">
        <f>-J203</f>
        <v>0</v>
      </c>
      <c r="K256" s="62">
        <f>-K203</f>
        <v>16832182.327998459</v>
      </c>
    </row>
    <row r="257" spans="2:12" outlineLevel="1" x14ac:dyDescent="0.25">
      <c r="C257" s="75" t="s">
        <v>201</v>
      </c>
      <c r="D257" s="9" t="s">
        <v>12</v>
      </c>
      <c r="E257" s="3"/>
      <c r="F257" s="33"/>
      <c r="G257" s="33">
        <f t="shared" ref="G257:K258" si="73">-G206</f>
        <v>0</v>
      </c>
      <c r="H257" s="33">
        <f t="shared" si="73"/>
        <v>0</v>
      </c>
      <c r="I257" s="33">
        <f t="shared" si="73"/>
        <v>0</v>
      </c>
      <c r="J257" s="33">
        <f t="shared" si="73"/>
        <v>0</v>
      </c>
      <c r="K257" s="33">
        <f t="shared" si="73"/>
        <v>0</v>
      </c>
    </row>
    <row r="258" spans="2:12" outlineLevel="1" x14ac:dyDescent="0.25">
      <c r="C258" s="136" t="s">
        <v>202</v>
      </c>
      <c r="D258" s="56" t="s">
        <v>12</v>
      </c>
      <c r="E258" s="132"/>
      <c r="F258" s="79"/>
      <c r="G258" s="79">
        <f t="shared" si="73"/>
        <v>0</v>
      </c>
      <c r="H258" s="79">
        <f t="shared" si="73"/>
        <v>0</v>
      </c>
      <c r="I258" s="79">
        <f t="shared" si="73"/>
        <v>0</v>
      </c>
      <c r="J258" s="79">
        <f t="shared" si="73"/>
        <v>0</v>
      </c>
      <c r="K258" s="79">
        <f t="shared" si="73"/>
        <v>1997188.6793641539</v>
      </c>
    </row>
    <row r="259" spans="2:12" outlineLevel="1" x14ac:dyDescent="0.25">
      <c r="C259" s="46" t="s">
        <v>203</v>
      </c>
      <c r="D259" s="9" t="s">
        <v>12</v>
      </c>
      <c r="F259" s="139">
        <f>SUM(F254:F258)</f>
        <v>-10346946.311862996</v>
      </c>
      <c r="G259" s="139">
        <f t="shared" ref="G259:K259" si="74">SUM(G254:G258)</f>
        <v>0</v>
      </c>
      <c r="H259" s="139">
        <f t="shared" si="74"/>
        <v>0</v>
      </c>
      <c r="I259" s="139">
        <f t="shared" si="74"/>
        <v>0</v>
      </c>
      <c r="J259" s="139">
        <f t="shared" si="74"/>
        <v>0</v>
      </c>
      <c r="K259" s="139">
        <f t="shared" si="74"/>
        <v>18829371.007362612</v>
      </c>
    </row>
    <row r="260" spans="2:12" outlineLevel="1" x14ac:dyDescent="0.25"/>
    <row r="261" spans="2:12" outlineLevel="1" x14ac:dyDescent="0.25">
      <c r="C261" s="72" t="s">
        <v>179</v>
      </c>
      <c r="D261" s="73" t="s">
        <v>7</v>
      </c>
      <c r="E261" s="74"/>
      <c r="F261" s="122">
        <f>IRR(F259:K259)</f>
        <v>0.12720971571737372</v>
      </c>
    </row>
    <row r="262" spans="2:12" outlineLevel="1" x14ac:dyDescent="0.25">
      <c r="C262" s="3"/>
      <c r="D262" s="55"/>
      <c r="E262" s="3"/>
      <c r="F262" s="3"/>
    </row>
    <row r="263" spans="2:12" outlineLevel="1" x14ac:dyDescent="0.25">
      <c r="C263" s="75" t="s">
        <v>204</v>
      </c>
      <c r="D263" s="9" t="s">
        <v>7</v>
      </c>
      <c r="E263" s="3"/>
      <c r="F263" s="142">
        <f>SUM(G256:K256)/INDEX($F$124:$K$168,ROWS(F$124:F$168),MATCH(Sale_Date,$F$124:$K$124,0))</f>
        <v>1</v>
      </c>
    </row>
    <row r="264" spans="2:12" outlineLevel="1" x14ac:dyDescent="0.25">
      <c r="C264" s="75" t="s">
        <v>194</v>
      </c>
      <c r="D264" s="9" t="s">
        <v>12</v>
      </c>
      <c r="E264" s="3"/>
      <c r="F264" s="33">
        <f>SUM(F255:K258)</f>
        <v>18933885.616573349</v>
      </c>
    </row>
    <row r="265" spans="2:12" outlineLevel="1" x14ac:dyDescent="0.25">
      <c r="C265" s="75" t="s">
        <v>195</v>
      </c>
      <c r="D265" s="9" t="s">
        <v>12</v>
      </c>
      <c r="E265" s="3"/>
      <c r="F265" s="33">
        <f>-SUM(F254:K254)</f>
        <v>10451460.921073733</v>
      </c>
    </row>
    <row r="266" spans="2:12" outlineLevel="1" x14ac:dyDescent="0.25">
      <c r="C266" s="75" t="s">
        <v>39</v>
      </c>
      <c r="D266" s="9" t="s">
        <v>33</v>
      </c>
      <c r="E266" s="3"/>
      <c r="F266" s="140">
        <f>+F264/F265</f>
        <v>1.8116018190716416</v>
      </c>
    </row>
    <row r="268" spans="2:12" x14ac:dyDescent="0.25">
      <c r="B268" s="143" t="s">
        <v>206</v>
      </c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</row>
    <row r="269" spans="2:12" outlineLevel="1" x14ac:dyDescent="0.25"/>
    <row r="270" spans="2:12" outlineLevel="1" x14ac:dyDescent="0.25">
      <c r="C270" s="63" t="s">
        <v>207</v>
      </c>
      <c r="H270" s="63" t="s">
        <v>210</v>
      </c>
    </row>
    <row r="271" spans="2:12" outlineLevel="1" x14ac:dyDescent="0.25"/>
    <row r="272" spans="2:12" outlineLevel="1" x14ac:dyDescent="0.25">
      <c r="D272" s="144" t="s">
        <v>15</v>
      </c>
      <c r="E272" s="145"/>
      <c r="F272" s="146"/>
      <c r="J272" s="144" t="s">
        <v>15</v>
      </c>
      <c r="K272" s="145"/>
      <c r="L272" s="146"/>
    </row>
    <row r="273" spans="3:12" outlineLevel="1" x14ac:dyDescent="0.25">
      <c r="C273" s="147">
        <f>$F$227</f>
        <v>4.6607030628767365E-2</v>
      </c>
      <c r="D273" s="148">
        <f>$I$59</f>
        <v>44561</v>
      </c>
      <c r="E273" s="149">
        <f>$J$59</f>
        <v>44926</v>
      </c>
      <c r="F273" s="150">
        <f>$K$59</f>
        <v>45291</v>
      </c>
      <c r="H273" s="147"/>
      <c r="I273" s="147">
        <f>$F$229</f>
        <v>1</v>
      </c>
      <c r="J273" s="148">
        <f>$I$59</f>
        <v>44561</v>
      </c>
      <c r="K273" s="149">
        <f>$J$59</f>
        <v>44926</v>
      </c>
      <c r="L273" s="150">
        <f>$K$59</f>
        <v>45291</v>
      </c>
    </row>
    <row r="274" spans="3:12" outlineLevel="1" x14ac:dyDescent="0.25">
      <c r="C274" s="157" t="str">
        <f>$C$71</f>
        <v>Base</v>
      </c>
      <c r="D274" s="151">
        <f t="dataTable" ref="D274:F276" dt2D="1" dtr="1" r1="E28" r2="K11" ca="1"/>
        <v>4.9070960004876429E-2</v>
      </c>
      <c r="E274" s="151">
        <v>4.7412505338658928E-2</v>
      </c>
      <c r="F274" s="151">
        <v>4.6607030628767365E-2</v>
      </c>
      <c r="H274" s="144"/>
      <c r="I274" s="154" t="str">
        <f>$C$71</f>
        <v>Base</v>
      </c>
      <c r="J274" s="151">
        <f t="dataTable" ref="J274:L276" dt2D="1" dtr="1" r1="E28" r2="K11" ca="1"/>
        <v>1</v>
      </c>
      <c r="K274" s="151">
        <v>1</v>
      </c>
      <c r="L274" s="151">
        <v>1</v>
      </c>
    </row>
    <row r="275" spans="3:12" outlineLevel="1" x14ac:dyDescent="0.25">
      <c r="C275" s="158" t="str">
        <f>$C$72</f>
        <v>Downside</v>
      </c>
      <c r="D275" s="151">
        <v>4.4438342514959706E-2</v>
      </c>
      <c r="E275" s="151">
        <v>4.7412505338658928E-2</v>
      </c>
      <c r="F275" s="151">
        <v>4.6607030628767365E-2</v>
      </c>
      <c r="H275" s="152"/>
      <c r="I275" s="155" t="str">
        <f>$C$72</f>
        <v>Downside</v>
      </c>
      <c r="J275" s="151">
        <v>1</v>
      </c>
      <c r="K275" s="151">
        <v>1</v>
      </c>
      <c r="L275" s="151">
        <v>1</v>
      </c>
    </row>
    <row r="276" spans="3:12" outlineLevel="1" x14ac:dyDescent="0.25">
      <c r="C276" s="159" t="str">
        <f>$C$73</f>
        <v>Extreme Downside</v>
      </c>
      <c r="D276" s="151">
        <v>4.4438342514959706E-2</v>
      </c>
      <c r="E276" s="151">
        <v>4.4108772203405033E-2</v>
      </c>
      <c r="F276" s="151">
        <v>4.6607030628767365E-2</v>
      </c>
      <c r="H276" s="153"/>
      <c r="I276" s="156" t="str">
        <f>$C$73</f>
        <v>Extreme Downside</v>
      </c>
      <c r="J276" s="151">
        <v>1</v>
      </c>
      <c r="K276" s="151">
        <v>1</v>
      </c>
      <c r="L276" s="151">
        <v>1</v>
      </c>
    </row>
    <row r="277" spans="3:12" outlineLevel="1" x14ac:dyDescent="0.25"/>
    <row r="278" spans="3:12" outlineLevel="1" x14ac:dyDescent="0.25">
      <c r="C278" s="63" t="s">
        <v>208</v>
      </c>
      <c r="H278" s="63" t="s">
        <v>211</v>
      </c>
    </row>
    <row r="279" spans="3:12" outlineLevel="1" x14ac:dyDescent="0.25"/>
    <row r="280" spans="3:12" outlineLevel="1" x14ac:dyDescent="0.25">
      <c r="D280" s="144" t="str">
        <f>$D$272</f>
        <v>Exit Date:</v>
      </c>
      <c r="E280" s="145"/>
      <c r="F280" s="146"/>
      <c r="J280" s="144" t="str">
        <f>$D$272</f>
        <v>Exit Date:</v>
      </c>
      <c r="K280" s="145"/>
      <c r="L280" s="146"/>
    </row>
    <row r="281" spans="3:12" outlineLevel="1" x14ac:dyDescent="0.25">
      <c r="C281" s="147">
        <f>$F$244</f>
        <v>8.2340798636595602E-2</v>
      </c>
      <c r="D281" s="148">
        <f>$I$59</f>
        <v>44561</v>
      </c>
      <c r="E281" s="149">
        <f>$J$59</f>
        <v>44926</v>
      </c>
      <c r="F281" s="150">
        <f>$K$59</f>
        <v>45291</v>
      </c>
      <c r="H281" s="147"/>
      <c r="I281" s="147">
        <f>$F$246</f>
        <v>1</v>
      </c>
      <c r="J281" s="148">
        <f>$I$59</f>
        <v>44561</v>
      </c>
      <c r="K281" s="149">
        <f>$J$59</f>
        <v>44926</v>
      </c>
      <c r="L281" s="150">
        <f>$K$59</f>
        <v>45291</v>
      </c>
    </row>
    <row r="282" spans="3:12" outlineLevel="1" x14ac:dyDescent="0.25">
      <c r="C282" s="157" t="str">
        <f>$C$71</f>
        <v>Base</v>
      </c>
      <c r="D282" s="151">
        <f t="dataTable" ref="D282:F284" dt2D="1" dtr="1" r1="E28" r2="K11" ca="1"/>
        <v>8.8760341515872199E-2</v>
      </c>
      <c r="E282" s="151">
        <v>8.6545002641279734E-2</v>
      </c>
      <c r="F282" s="151">
        <v>8.2340798636595602E-2</v>
      </c>
      <c r="H282" s="144"/>
      <c r="I282" s="154" t="str">
        <f>$C$71</f>
        <v>Base</v>
      </c>
      <c r="J282" s="151">
        <f t="dataTable" ref="J282:L284" dt2D="1" dtr="1" r1="E28" r2="K11" ca="1"/>
        <v>1</v>
      </c>
      <c r="K282" s="151">
        <v>1</v>
      </c>
      <c r="L282" s="151">
        <v>1</v>
      </c>
    </row>
    <row r="283" spans="3:12" outlineLevel="1" x14ac:dyDescent="0.25">
      <c r="C283" s="158" t="str">
        <f>$C$72</f>
        <v>Downside</v>
      </c>
      <c r="D283" s="151">
        <v>8.3762423465264968E-2</v>
      </c>
      <c r="E283" s="151">
        <v>8.6545002641279734E-2</v>
      </c>
      <c r="F283" s="151">
        <v>8.2340798636595602E-2</v>
      </c>
      <c r="H283" s="152"/>
      <c r="I283" s="155" t="str">
        <f>$C$72</f>
        <v>Downside</v>
      </c>
      <c r="J283" s="151">
        <v>1</v>
      </c>
      <c r="K283" s="151">
        <v>1</v>
      </c>
      <c r="L283" s="151">
        <v>1</v>
      </c>
    </row>
    <row r="284" spans="3:12" outlineLevel="1" x14ac:dyDescent="0.25">
      <c r="C284" s="159" t="str">
        <f>$C$73</f>
        <v>Extreme Downside</v>
      </c>
      <c r="D284" s="151">
        <v>-1.7035075260295018E-2</v>
      </c>
      <c r="E284" s="151">
        <v>8.2873368455689489E-2</v>
      </c>
      <c r="F284" s="151">
        <v>8.2340798636595602E-2</v>
      </c>
      <c r="H284" s="153"/>
      <c r="I284" s="156" t="str">
        <f>$C$73</f>
        <v>Extreme Downside</v>
      </c>
      <c r="J284" s="151">
        <v>0.72671777689783046</v>
      </c>
      <c r="K284" s="151">
        <v>1</v>
      </c>
      <c r="L284" s="151">
        <v>1</v>
      </c>
    </row>
    <row r="285" spans="3:12" outlineLevel="1" x14ac:dyDescent="0.25"/>
    <row r="286" spans="3:12" outlineLevel="1" x14ac:dyDescent="0.25">
      <c r="C286" s="63" t="s">
        <v>209</v>
      </c>
      <c r="H286" s="63" t="s">
        <v>212</v>
      </c>
    </row>
    <row r="287" spans="3:12" outlineLevel="1" x14ac:dyDescent="0.25"/>
    <row r="288" spans="3:12" outlineLevel="1" x14ac:dyDescent="0.25">
      <c r="D288" s="144" t="str">
        <f>$D$272</f>
        <v>Exit Date:</v>
      </c>
      <c r="E288" s="145"/>
      <c r="F288" s="146"/>
      <c r="J288" s="144" t="str">
        <f>$D$272</f>
        <v>Exit Date:</v>
      </c>
      <c r="K288" s="145"/>
      <c r="L288" s="146"/>
    </row>
    <row r="289" spans="3:12" outlineLevel="1" x14ac:dyDescent="0.25">
      <c r="C289" s="147">
        <f>$F$261</f>
        <v>0.12720971571737372</v>
      </c>
      <c r="D289" s="148">
        <f>$I$59</f>
        <v>44561</v>
      </c>
      <c r="E289" s="149">
        <f>$J$59</f>
        <v>44926</v>
      </c>
      <c r="F289" s="150">
        <f>$K$59</f>
        <v>45291</v>
      </c>
      <c r="H289" s="147"/>
      <c r="I289" s="147">
        <f>$F$263</f>
        <v>1</v>
      </c>
      <c r="J289" s="148">
        <f>$I$59</f>
        <v>44561</v>
      </c>
      <c r="K289" s="149">
        <f>$J$59</f>
        <v>44926</v>
      </c>
      <c r="L289" s="150">
        <f>$K$59</f>
        <v>45291</v>
      </c>
    </row>
    <row r="290" spans="3:12" outlineLevel="1" x14ac:dyDescent="0.25">
      <c r="C290" s="157" t="str">
        <f>$C$71</f>
        <v>Base</v>
      </c>
      <c r="D290" s="151">
        <f t="dataTable" ref="D290:F292" dt2D="1" dtr="1" r1="E28" r2="K11"/>
        <v>0.14827910789637722</v>
      </c>
      <c r="E290" s="151">
        <v>0.13732071536432366</v>
      </c>
      <c r="F290" s="151">
        <v>0.12720971571737372</v>
      </c>
      <c r="H290" s="144"/>
      <c r="I290" s="154" t="str">
        <f>$C$71</f>
        <v>Base</v>
      </c>
      <c r="J290" s="151">
        <f t="dataTable" ref="J290:L292" dt2D="1" dtr="1" r1="E28" r2="K11" ca="1"/>
        <v>1</v>
      </c>
      <c r="K290" s="151">
        <v>1</v>
      </c>
      <c r="L290" s="151">
        <v>1</v>
      </c>
    </row>
    <row r="291" spans="3:12" outlineLevel="1" x14ac:dyDescent="0.25">
      <c r="C291" s="158" t="str">
        <f>$C$72</f>
        <v>Downside</v>
      </c>
      <c r="D291" s="151">
        <v>5.2980703149118957E-2</v>
      </c>
      <c r="E291" s="151">
        <v>0.11892832000956943</v>
      </c>
      <c r="F291" s="151">
        <v>0.1142457216616537</v>
      </c>
      <c r="H291" s="152"/>
      <c r="I291" s="155" t="str">
        <f>$C$72</f>
        <v>Downside</v>
      </c>
      <c r="J291" s="151">
        <v>0.86839712375989053</v>
      </c>
      <c r="K291" s="151">
        <v>1</v>
      </c>
      <c r="L291" s="151">
        <v>1</v>
      </c>
    </row>
    <row r="292" spans="3:12" outlineLevel="1" x14ac:dyDescent="0.25">
      <c r="C292" s="159" t="str">
        <f>$C$73</f>
        <v>Extreme Downside</v>
      </c>
      <c r="D292" s="151" t="e">
        <v>#NUM!</v>
      </c>
      <c r="E292" s="151">
        <v>3.6845902839959255E-2</v>
      </c>
      <c r="F292" s="151">
        <v>0.10520489501324159</v>
      </c>
      <c r="H292" s="153"/>
      <c r="I292" s="156" t="str">
        <f>$C$73</f>
        <v>Extreme Downside</v>
      </c>
      <c r="J292" s="151">
        <v>0</v>
      </c>
      <c r="K292" s="151">
        <v>0.7814862073368426</v>
      </c>
      <c r="L292" s="151">
        <v>1</v>
      </c>
    </row>
    <row r="293" spans="3:12" outlineLevel="1" x14ac:dyDescent="0.25"/>
    <row r="294" spans="3:12" outlineLevel="1" x14ac:dyDescent="0.25">
      <c r="C294" s="63" t="s">
        <v>223</v>
      </c>
    </row>
    <row r="295" spans="3:12" outlineLevel="1" x14ac:dyDescent="0.25"/>
    <row r="296" spans="3:12" outlineLevel="1" x14ac:dyDescent="0.25">
      <c r="D296" s="144" t="str">
        <f>$D$272</f>
        <v>Exit Date:</v>
      </c>
      <c r="E296" s="145"/>
      <c r="F296" s="146"/>
    </row>
    <row r="297" spans="3:12" outlineLevel="1" x14ac:dyDescent="0.25">
      <c r="C297" s="147">
        <f>$F$210</f>
        <v>0.19781142463715362</v>
      </c>
      <c r="D297" s="148">
        <f>$I$59</f>
        <v>44561</v>
      </c>
      <c r="E297" s="149">
        <f>$J$59</f>
        <v>44926</v>
      </c>
      <c r="F297" s="150">
        <f>$K$59</f>
        <v>45291</v>
      </c>
    </row>
    <row r="298" spans="3:12" outlineLevel="1" x14ac:dyDescent="0.25">
      <c r="C298" s="157" t="str">
        <f>$C$71</f>
        <v>Base</v>
      </c>
      <c r="D298" s="151">
        <f t="dataTable" ref="D298:F300" dt2D="1" dtr="1" r1="E28" r2="K11" ca="1"/>
        <v>0.23536697317378819</v>
      </c>
      <c r="E298" s="151">
        <v>0.21365719869334643</v>
      </c>
      <c r="F298" s="151">
        <v>0.19781142463715362</v>
      </c>
    </row>
    <row r="299" spans="3:12" outlineLevel="1" x14ac:dyDescent="0.25">
      <c r="C299" s="158" t="str">
        <f>$C$72</f>
        <v>Downside</v>
      </c>
      <c r="D299" s="151">
        <v>-0.70212633570799388</v>
      </c>
      <c r="E299" s="151">
        <v>-5.7054424955422345E-2</v>
      </c>
      <c r="F299" s="151">
        <v>9.6993953038866376E-3</v>
      </c>
    </row>
    <row r="300" spans="3:12" outlineLevel="1" x14ac:dyDescent="0.25">
      <c r="C300" s="159" t="str">
        <f>$C$73</f>
        <v>Extreme Downside</v>
      </c>
      <c r="D300" s="151">
        <v>-0.75132932931539276</v>
      </c>
      <c r="E300" s="151" t="e">
        <v>#NUM!</v>
      </c>
      <c r="F300" s="151">
        <v>-0.27824947654146504</v>
      </c>
    </row>
    <row r="302" spans="3:12" outlineLevel="1" x14ac:dyDescent="0.25">
      <c r="C302" s="63" t="s">
        <v>215</v>
      </c>
    </row>
    <row r="303" spans="3:12" outlineLevel="1" x14ac:dyDescent="0.25"/>
    <row r="304" spans="3:12" outlineLevel="1" x14ac:dyDescent="0.25">
      <c r="C304" s="171" t="s">
        <v>217</v>
      </c>
      <c r="D304" s="162" t="s">
        <v>216</v>
      </c>
      <c r="E304" s="162"/>
      <c r="F304" s="162"/>
      <c r="G304" s="162"/>
      <c r="H304" s="162"/>
      <c r="I304" s="162"/>
      <c r="J304" s="162"/>
      <c r="K304" s="162"/>
      <c r="L304" s="167"/>
    </row>
    <row r="305" spans="3:12" outlineLevel="1" x14ac:dyDescent="0.25">
      <c r="C305" s="170">
        <f>$F$229</f>
        <v>1</v>
      </c>
      <c r="D305" s="177">
        <v>0.05</v>
      </c>
      <c r="E305" s="178">
        <f>+D305+0.25%</f>
        <v>5.2500000000000005E-2</v>
      </c>
      <c r="F305" s="173">
        <f t="shared" ref="F305:L305" si="75">+E305+0.25%</f>
        <v>5.5000000000000007E-2</v>
      </c>
      <c r="G305" s="173">
        <f t="shared" si="75"/>
        <v>5.7500000000000009E-2</v>
      </c>
      <c r="H305" s="173">
        <f t="shared" si="75"/>
        <v>6.0000000000000012E-2</v>
      </c>
      <c r="I305" s="173">
        <f t="shared" si="75"/>
        <v>6.2500000000000014E-2</v>
      </c>
      <c r="J305" s="173">
        <f t="shared" si="75"/>
        <v>6.5000000000000016E-2</v>
      </c>
      <c r="K305" s="173">
        <f t="shared" si="75"/>
        <v>6.7500000000000018E-2</v>
      </c>
      <c r="L305" s="174">
        <f t="shared" si="75"/>
        <v>7.0000000000000021E-2</v>
      </c>
    </row>
    <row r="306" spans="3:12" outlineLevel="1" x14ac:dyDescent="0.25">
      <c r="C306" s="183" t="str">
        <f>$C$71</f>
        <v>Base</v>
      </c>
      <c r="D306" s="180">
        <f t="dataTable" ref="D306:L308" dt2D="1" dtr="1" r1="K191" r2="K11" ca="1"/>
        <v>1</v>
      </c>
      <c r="E306" s="168">
        <v>1</v>
      </c>
      <c r="F306" s="151">
        <v>1</v>
      </c>
      <c r="G306" s="151">
        <v>1</v>
      </c>
      <c r="H306" s="151">
        <v>1</v>
      </c>
      <c r="I306" s="151">
        <v>1</v>
      </c>
      <c r="J306" s="151">
        <v>1</v>
      </c>
      <c r="K306" s="151">
        <v>1</v>
      </c>
      <c r="L306" s="151">
        <v>1</v>
      </c>
    </row>
    <row r="307" spans="3:12" outlineLevel="1" x14ac:dyDescent="0.25">
      <c r="C307" s="158" t="str">
        <f>$C$72</f>
        <v>Downside</v>
      </c>
      <c r="D307" s="175">
        <v>1</v>
      </c>
      <c r="E307" s="168">
        <v>1</v>
      </c>
      <c r="F307" s="151">
        <v>1</v>
      </c>
      <c r="G307" s="151">
        <v>1</v>
      </c>
      <c r="H307" s="151">
        <v>1</v>
      </c>
      <c r="I307" s="151">
        <v>1</v>
      </c>
      <c r="J307" s="151">
        <v>1</v>
      </c>
      <c r="K307" s="151">
        <v>1</v>
      </c>
      <c r="L307" s="151">
        <v>1</v>
      </c>
    </row>
    <row r="308" spans="3:12" outlineLevel="1" x14ac:dyDescent="0.25">
      <c r="C308" s="159" t="str">
        <f>$C$73</f>
        <v>Extreme Downside</v>
      </c>
      <c r="D308" s="169">
        <v>1</v>
      </c>
      <c r="E308" s="176">
        <v>1</v>
      </c>
      <c r="F308" s="151">
        <v>1</v>
      </c>
      <c r="G308" s="151">
        <v>1</v>
      </c>
      <c r="H308" s="151">
        <v>1</v>
      </c>
      <c r="I308" s="151">
        <v>1</v>
      </c>
      <c r="J308" s="151">
        <v>1</v>
      </c>
      <c r="K308" s="151">
        <v>1</v>
      </c>
      <c r="L308" s="151">
        <v>1</v>
      </c>
    </row>
    <row r="309" spans="3:12" outlineLevel="1" x14ac:dyDescent="0.25"/>
    <row r="310" spans="3:12" outlineLevel="1" x14ac:dyDescent="0.25">
      <c r="C310" s="63" t="s">
        <v>218</v>
      </c>
    </row>
    <row r="311" spans="3:12" outlineLevel="1" x14ac:dyDescent="0.25"/>
    <row r="312" spans="3:12" outlineLevel="1" x14ac:dyDescent="0.25">
      <c r="C312" s="171" t="s">
        <v>217</v>
      </c>
      <c r="D312" s="162" t="s">
        <v>216</v>
      </c>
      <c r="E312" s="162"/>
      <c r="F312" s="162"/>
      <c r="G312" s="162"/>
      <c r="H312" s="162"/>
      <c r="I312" s="162"/>
      <c r="J312" s="162"/>
      <c r="K312" s="162"/>
      <c r="L312" s="167"/>
    </row>
    <row r="313" spans="3:12" outlineLevel="1" x14ac:dyDescent="0.25">
      <c r="C313" s="170">
        <f>$F$246</f>
        <v>1</v>
      </c>
      <c r="D313" s="179">
        <f>+D305</f>
        <v>0.05</v>
      </c>
      <c r="E313" s="178">
        <f t="shared" ref="E313:L313" si="76">+E305</f>
        <v>5.2500000000000005E-2</v>
      </c>
      <c r="F313" s="173">
        <f t="shared" si="76"/>
        <v>5.5000000000000007E-2</v>
      </c>
      <c r="G313" s="173">
        <f t="shared" si="76"/>
        <v>5.7500000000000009E-2</v>
      </c>
      <c r="H313" s="173">
        <f t="shared" si="76"/>
        <v>6.0000000000000012E-2</v>
      </c>
      <c r="I313" s="173">
        <f t="shared" si="76"/>
        <v>6.2500000000000014E-2</v>
      </c>
      <c r="J313" s="173">
        <f t="shared" si="76"/>
        <v>6.5000000000000016E-2</v>
      </c>
      <c r="K313" s="173">
        <f t="shared" si="76"/>
        <v>6.7500000000000018E-2</v>
      </c>
      <c r="L313" s="174">
        <f t="shared" si="76"/>
        <v>7.0000000000000021E-2</v>
      </c>
    </row>
    <row r="314" spans="3:12" outlineLevel="1" x14ac:dyDescent="0.25">
      <c r="C314" s="183" t="str">
        <f>$C$71</f>
        <v>Base</v>
      </c>
      <c r="D314" s="180">
        <f t="dataTable" ref="D314:L316" dt2D="1" dtr="1" r1="K191" r2="K11" ca="1"/>
        <v>1</v>
      </c>
      <c r="E314" s="168">
        <v>1</v>
      </c>
      <c r="F314" s="151">
        <v>1</v>
      </c>
      <c r="G314" s="151">
        <v>1</v>
      </c>
      <c r="H314" s="151">
        <v>1</v>
      </c>
      <c r="I314" s="151">
        <v>1</v>
      </c>
      <c r="J314" s="151">
        <v>1</v>
      </c>
      <c r="K314" s="151">
        <v>1</v>
      </c>
      <c r="L314" s="151">
        <v>1</v>
      </c>
    </row>
    <row r="315" spans="3:12" outlineLevel="1" x14ac:dyDescent="0.25">
      <c r="C315" s="158" t="str">
        <f>$C$72</f>
        <v>Downside</v>
      </c>
      <c r="D315" s="175">
        <v>1</v>
      </c>
      <c r="E315" s="168">
        <v>1</v>
      </c>
      <c r="F315" s="151">
        <v>1</v>
      </c>
      <c r="G315" s="151">
        <v>1</v>
      </c>
      <c r="H315" s="151">
        <v>1</v>
      </c>
      <c r="I315" s="151">
        <v>1</v>
      </c>
      <c r="J315" s="151">
        <v>1</v>
      </c>
      <c r="K315" s="151">
        <v>1</v>
      </c>
      <c r="L315" s="151">
        <v>1</v>
      </c>
    </row>
    <row r="316" spans="3:12" outlineLevel="1" x14ac:dyDescent="0.25">
      <c r="C316" s="159" t="str">
        <f>$C$73</f>
        <v>Extreme Downside</v>
      </c>
      <c r="D316" s="169">
        <v>1</v>
      </c>
      <c r="E316" s="176">
        <v>1</v>
      </c>
      <c r="F316" s="151">
        <v>1</v>
      </c>
      <c r="G316" s="151">
        <v>1</v>
      </c>
      <c r="H316" s="151">
        <v>1</v>
      </c>
      <c r="I316" s="151">
        <v>1</v>
      </c>
      <c r="J316" s="151">
        <v>1</v>
      </c>
      <c r="K316" s="151">
        <v>1</v>
      </c>
      <c r="L316" s="151">
        <v>0.85342377583461015</v>
      </c>
    </row>
    <row r="317" spans="3:12" outlineLevel="1" x14ac:dyDescent="0.25"/>
    <row r="318" spans="3:12" outlineLevel="1" x14ac:dyDescent="0.25">
      <c r="C318" s="63" t="s">
        <v>219</v>
      </c>
    </row>
    <row r="319" spans="3:12" outlineLevel="1" x14ac:dyDescent="0.25"/>
    <row r="320" spans="3:12" outlineLevel="1" x14ac:dyDescent="0.25">
      <c r="C320" s="171" t="s">
        <v>217</v>
      </c>
      <c r="D320" s="162" t="s">
        <v>216</v>
      </c>
      <c r="E320" s="162"/>
      <c r="F320" s="162"/>
      <c r="G320" s="162"/>
      <c r="H320" s="162"/>
      <c r="I320" s="162"/>
      <c r="J320" s="162"/>
      <c r="K320" s="162"/>
      <c r="L320" s="167"/>
    </row>
    <row r="321" spans="3:12" outlineLevel="1" x14ac:dyDescent="0.25">
      <c r="C321" s="170">
        <f>$F$263</f>
        <v>1</v>
      </c>
      <c r="D321" s="179">
        <f t="shared" ref="D321:L321" si="77">+D313</f>
        <v>0.05</v>
      </c>
      <c r="E321" s="178">
        <f t="shared" si="77"/>
        <v>5.2500000000000005E-2</v>
      </c>
      <c r="F321" s="173">
        <f t="shared" si="77"/>
        <v>5.5000000000000007E-2</v>
      </c>
      <c r="G321" s="173">
        <f t="shared" si="77"/>
        <v>5.7500000000000009E-2</v>
      </c>
      <c r="H321" s="173">
        <f t="shared" si="77"/>
        <v>6.0000000000000012E-2</v>
      </c>
      <c r="I321" s="173">
        <f t="shared" si="77"/>
        <v>6.2500000000000014E-2</v>
      </c>
      <c r="J321" s="173">
        <f t="shared" si="77"/>
        <v>6.5000000000000016E-2</v>
      </c>
      <c r="K321" s="173">
        <f t="shared" si="77"/>
        <v>6.7500000000000018E-2</v>
      </c>
      <c r="L321" s="174">
        <f t="shared" si="77"/>
        <v>7.0000000000000021E-2</v>
      </c>
    </row>
    <row r="322" spans="3:12" outlineLevel="1" x14ac:dyDescent="0.25">
      <c r="C322" s="183" t="str">
        <f>$C$71</f>
        <v>Base</v>
      </c>
      <c r="D322" s="180">
        <f t="dataTable" ref="D322:L324" dt2D="1" dtr="1" r1="K191" r2="K11" ca="1"/>
        <v>1</v>
      </c>
      <c r="E322" s="168">
        <v>1</v>
      </c>
      <c r="F322" s="151">
        <v>1</v>
      </c>
      <c r="G322" s="151">
        <v>1</v>
      </c>
      <c r="H322" s="151">
        <v>1</v>
      </c>
      <c r="I322" s="151">
        <v>1</v>
      </c>
      <c r="J322" s="151">
        <v>1</v>
      </c>
      <c r="K322" s="151">
        <v>1</v>
      </c>
      <c r="L322" s="151">
        <v>0.92633789223749985</v>
      </c>
    </row>
    <row r="323" spans="3:12" outlineLevel="1" x14ac:dyDescent="0.25">
      <c r="C323" s="158" t="str">
        <f>$C$72</f>
        <v>Downside</v>
      </c>
      <c r="D323" s="175">
        <v>1</v>
      </c>
      <c r="E323" s="168">
        <v>1</v>
      </c>
      <c r="F323" s="151">
        <v>1</v>
      </c>
      <c r="G323" s="151">
        <v>1</v>
      </c>
      <c r="H323" s="151">
        <v>1</v>
      </c>
      <c r="I323" s="151">
        <v>0.85677229092614526</v>
      </c>
      <c r="J323" s="151">
        <v>0.65470000975754927</v>
      </c>
      <c r="K323" s="151">
        <v>0.4675960457125537</v>
      </c>
      <c r="L323" s="151">
        <v>0.29385665052791332</v>
      </c>
    </row>
    <row r="324" spans="3:12" outlineLevel="1" x14ac:dyDescent="0.25">
      <c r="C324" s="159" t="str">
        <f>$C$73</f>
        <v>Extreme Downside</v>
      </c>
      <c r="D324" s="169">
        <v>1</v>
      </c>
      <c r="E324" s="176">
        <v>1</v>
      </c>
      <c r="F324" s="151">
        <v>1</v>
      </c>
      <c r="G324" s="151">
        <v>0.82716800903530374</v>
      </c>
      <c r="H324" s="151">
        <v>0.60832505097655865</v>
      </c>
      <c r="I324" s="151">
        <v>0.40698952956251266</v>
      </c>
      <c r="J324" s="151">
        <v>0.22114135594954615</v>
      </c>
      <c r="K324" s="151">
        <v>4.9059713715318837E-2</v>
      </c>
      <c r="L324" s="151">
        <v>0</v>
      </c>
    </row>
    <row r="325" spans="3:12" outlineLevel="1" x14ac:dyDescent="0.25">
      <c r="C325" s="182"/>
      <c r="D325" s="181"/>
      <c r="E325" s="176"/>
      <c r="F325" s="151"/>
      <c r="G325" s="151"/>
      <c r="H325" s="151"/>
      <c r="I325" s="151"/>
      <c r="J325" s="151"/>
      <c r="K325" s="151"/>
      <c r="L325" s="151"/>
    </row>
    <row r="326" spans="3:12" outlineLevel="1" x14ac:dyDescent="0.25">
      <c r="C326" s="63" t="s">
        <v>220</v>
      </c>
    </row>
    <row r="327" spans="3:12" outlineLevel="1" x14ac:dyDescent="0.25"/>
    <row r="328" spans="3:12" outlineLevel="1" x14ac:dyDescent="0.25">
      <c r="C328" s="171" t="s">
        <v>217</v>
      </c>
      <c r="D328" s="162" t="s">
        <v>216</v>
      </c>
      <c r="E328" s="162"/>
      <c r="F328" s="162"/>
      <c r="G328" s="162"/>
      <c r="H328" s="162"/>
      <c r="I328" s="162"/>
      <c r="J328" s="162"/>
      <c r="K328" s="162"/>
      <c r="L328" s="167"/>
    </row>
    <row r="329" spans="3:12" outlineLevel="1" x14ac:dyDescent="0.25">
      <c r="C329" s="170">
        <f>$F$244</f>
        <v>8.2340798636595602E-2</v>
      </c>
      <c r="D329" s="179">
        <f>+D313</f>
        <v>0.05</v>
      </c>
      <c r="E329" s="178">
        <f t="shared" ref="E329:L329" si="78">+E313</f>
        <v>5.2500000000000005E-2</v>
      </c>
      <c r="F329" s="173">
        <f t="shared" si="78"/>
        <v>5.5000000000000007E-2</v>
      </c>
      <c r="G329" s="173">
        <f t="shared" si="78"/>
        <v>5.7500000000000009E-2</v>
      </c>
      <c r="H329" s="173">
        <f t="shared" si="78"/>
        <v>6.0000000000000012E-2</v>
      </c>
      <c r="I329" s="173">
        <f t="shared" si="78"/>
        <v>6.2500000000000014E-2</v>
      </c>
      <c r="J329" s="173">
        <f t="shared" si="78"/>
        <v>6.5000000000000016E-2</v>
      </c>
      <c r="K329" s="173">
        <f t="shared" si="78"/>
        <v>6.7500000000000018E-2</v>
      </c>
      <c r="L329" s="174">
        <f t="shared" si="78"/>
        <v>7.0000000000000021E-2</v>
      </c>
    </row>
    <row r="330" spans="3:12" outlineLevel="1" x14ac:dyDescent="0.25">
      <c r="C330" s="183" t="str">
        <f>$C$71</f>
        <v>Base</v>
      </c>
      <c r="D330" s="180">
        <f t="dataTable" ref="D330:L332" dt2D="1" dtr="1" r1="K191" r2="K11" ca="1"/>
        <v>8.2340798636595602E-2</v>
      </c>
      <c r="E330" s="168">
        <v>8.2340798636595602E-2</v>
      </c>
      <c r="F330" s="151">
        <v>8.2340798636595602E-2</v>
      </c>
      <c r="G330" s="151">
        <v>8.2340798636595602E-2</v>
      </c>
      <c r="H330" s="151">
        <v>8.2340798636595602E-2</v>
      </c>
      <c r="I330" s="151">
        <v>8.2340798636595602E-2</v>
      </c>
      <c r="J330" s="151">
        <v>8.2340798636595602E-2</v>
      </c>
      <c r="K330" s="151">
        <v>8.2340798636595602E-2</v>
      </c>
      <c r="L330" s="151">
        <v>8.2340798636595602E-2</v>
      </c>
    </row>
    <row r="331" spans="3:12" outlineLevel="1" x14ac:dyDescent="0.25">
      <c r="C331" s="158" t="str">
        <f>$C$72</f>
        <v>Downside</v>
      </c>
      <c r="D331" s="175">
        <v>8.2340798636595602E-2</v>
      </c>
      <c r="E331" s="168">
        <v>8.2340798636595602E-2</v>
      </c>
      <c r="F331" s="151">
        <v>8.2340798636595602E-2</v>
      </c>
      <c r="G331" s="151">
        <v>8.2340798636595602E-2</v>
      </c>
      <c r="H331" s="151">
        <v>8.2340798636595602E-2</v>
      </c>
      <c r="I331" s="151">
        <v>8.2340798636595602E-2</v>
      </c>
      <c r="J331" s="151">
        <v>8.2340798636595602E-2</v>
      </c>
      <c r="K331" s="151">
        <v>8.2340798636595602E-2</v>
      </c>
      <c r="L331" s="151">
        <v>8.2340798636595602E-2</v>
      </c>
    </row>
    <row r="332" spans="3:12" outlineLevel="1" x14ac:dyDescent="0.25">
      <c r="C332" s="159" t="str">
        <f>$C$73</f>
        <v>Extreme Downside</v>
      </c>
      <c r="D332" s="169">
        <v>8.2340798636595602E-2</v>
      </c>
      <c r="E332" s="176">
        <v>8.2340798636595602E-2</v>
      </c>
      <c r="F332" s="151">
        <v>8.2340798636595602E-2</v>
      </c>
      <c r="G332" s="151">
        <v>8.2340798636595602E-2</v>
      </c>
      <c r="H332" s="151">
        <v>8.2340798636595602E-2</v>
      </c>
      <c r="I332" s="151">
        <v>8.2340798636595602E-2</v>
      </c>
      <c r="J332" s="151">
        <v>8.2340798636595602E-2</v>
      </c>
      <c r="K332" s="151">
        <v>8.2340798636595602E-2</v>
      </c>
      <c r="L332" s="151">
        <v>5.2384556609772259E-2</v>
      </c>
    </row>
    <row r="333" spans="3:12" outlineLevel="1" x14ac:dyDescent="0.25"/>
    <row r="334" spans="3:12" outlineLevel="1" x14ac:dyDescent="0.25">
      <c r="C334" s="63" t="s">
        <v>221</v>
      </c>
    </row>
    <row r="335" spans="3:12" outlineLevel="1" x14ac:dyDescent="0.25"/>
    <row r="336" spans="3:12" outlineLevel="1" x14ac:dyDescent="0.25">
      <c r="C336" s="171" t="s">
        <v>217</v>
      </c>
      <c r="D336" s="162" t="s">
        <v>216</v>
      </c>
      <c r="E336" s="162"/>
      <c r="F336" s="162"/>
      <c r="G336" s="162"/>
      <c r="H336" s="162"/>
      <c r="I336" s="162"/>
      <c r="J336" s="162"/>
      <c r="K336" s="162"/>
      <c r="L336" s="167"/>
    </row>
    <row r="337" spans="2:17" outlineLevel="1" x14ac:dyDescent="0.25">
      <c r="C337" s="170">
        <f>$F$261</f>
        <v>0.12720971571737372</v>
      </c>
      <c r="D337" s="179">
        <f t="shared" ref="D337:L337" si="79">+D321</f>
        <v>0.05</v>
      </c>
      <c r="E337" s="178">
        <f t="shared" si="79"/>
        <v>5.2500000000000005E-2</v>
      </c>
      <c r="F337" s="173">
        <f t="shared" si="79"/>
        <v>5.5000000000000007E-2</v>
      </c>
      <c r="G337" s="173">
        <f t="shared" si="79"/>
        <v>5.7500000000000009E-2</v>
      </c>
      <c r="H337" s="173">
        <f t="shared" si="79"/>
        <v>6.0000000000000012E-2</v>
      </c>
      <c r="I337" s="173">
        <f t="shared" si="79"/>
        <v>6.2500000000000014E-2</v>
      </c>
      <c r="J337" s="173">
        <f t="shared" si="79"/>
        <v>6.5000000000000016E-2</v>
      </c>
      <c r="K337" s="173">
        <f t="shared" si="79"/>
        <v>6.7500000000000018E-2</v>
      </c>
      <c r="L337" s="174">
        <f t="shared" si="79"/>
        <v>7.0000000000000021E-2</v>
      </c>
    </row>
    <row r="338" spans="2:17" outlineLevel="1" x14ac:dyDescent="0.25">
      <c r="C338" s="183" t="str">
        <f>$C$71</f>
        <v>Base</v>
      </c>
      <c r="D338" s="180">
        <f t="dataTable" ref="D338:L340" dt2D="1" dtr="1" r1="K191" r2="K11" ca="1"/>
        <v>0.12326162732099566</v>
      </c>
      <c r="E338" s="168">
        <v>0.11964108366118698</v>
      </c>
      <c r="F338" s="151">
        <v>0.11630854559898918</v>
      </c>
      <c r="G338" s="151">
        <v>0.11323064584927911</v>
      </c>
      <c r="H338" s="151">
        <v>0.11037902116027576</v>
      </c>
      <c r="I338" s="151">
        <v>0.10772940165357769</v>
      </c>
      <c r="J338" s="151">
        <v>0.10526089324210886</v>
      </c>
      <c r="K338" s="151">
        <v>0.10295540675036285</v>
      </c>
      <c r="L338" s="151">
        <v>8.5474266731085935E-2</v>
      </c>
    </row>
    <row r="339" spans="2:17" outlineLevel="1" x14ac:dyDescent="0.25">
      <c r="C339" s="158" t="str">
        <f>$C$72</f>
        <v>Downside</v>
      </c>
      <c r="D339" s="175">
        <v>0.1142457216616537</v>
      </c>
      <c r="E339" s="168">
        <v>0.11092552865897476</v>
      </c>
      <c r="F339" s="151">
        <v>0.10787233933710461</v>
      </c>
      <c r="G339" s="151">
        <v>0.10505494383466529</v>
      </c>
      <c r="H339" s="151">
        <v>0.10244684667309745</v>
      </c>
      <c r="I339" s="151">
        <v>6.8657969191340928E-2</v>
      </c>
      <c r="J339" s="151">
        <v>1.2684390253816513E-2</v>
      </c>
      <c r="K339" s="151">
        <v>-5.3240193532342439E-2</v>
      </c>
      <c r="L339" s="151">
        <v>-0.13723453832785681</v>
      </c>
    </row>
    <row r="340" spans="2:17" outlineLevel="1" x14ac:dyDescent="0.25">
      <c r="C340" s="159" t="str">
        <f>$C$73</f>
        <v>Extreme Downside</v>
      </c>
      <c r="D340" s="169">
        <v>0.1083232721864773</v>
      </c>
      <c r="E340" s="176">
        <v>0.10520489501324159</v>
      </c>
      <c r="F340" s="151">
        <v>0.10233914088795837</v>
      </c>
      <c r="G340" s="151">
        <v>6.1168603524343057E-2</v>
      </c>
      <c r="H340" s="151">
        <v>-2.0867560277818553E-3</v>
      </c>
      <c r="I340" s="151">
        <v>-7.9163991782793874E-2</v>
      </c>
      <c r="J340" s="151">
        <v>-0.18492112026646101</v>
      </c>
      <c r="K340" s="151">
        <v>-0.39687039286111536</v>
      </c>
      <c r="L340" s="151" t="e">
        <v>#NUM!</v>
      </c>
    </row>
    <row r="341" spans="2:17" outlineLevel="1" x14ac:dyDescent="0.25"/>
    <row r="342" spans="2:17" outlineLevel="1" x14ac:dyDescent="0.25">
      <c r="C342" s="63" t="s">
        <v>222</v>
      </c>
    </row>
    <row r="343" spans="2:17" outlineLevel="1" x14ac:dyDescent="0.25"/>
    <row r="344" spans="2:17" outlineLevel="1" x14ac:dyDescent="0.25">
      <c r="C344" s="171" t="s">
        <v>217</v>
      </c>
      <c r="D344" s="162" t="s">
        <v>216</v>
      </c>
      <c r="E344" s="162"/>
      <c r="F344" s="162"/>
      <c r="G344" s="162"/>
      <c r="H344" s="162"/>
      <c r="I344" s="162"/>
      <c r="J344" s="162"/>
      <c r="K344" s="162"/>
      <c r="L344" s="167"/>
    </row>
    <row r="345" spans="2:17" outlineLevel="1" x14ac:dyDescent="0.25">
      <c r="C345" s="170">
        <f>$F$210</f>
        <v>0.19781142463715362</v>
      </c>
      <c r="D345" s="179">
        <f t="shared" ref="D345:L345" si="80">+D329</f>
        <v>0.05</v>
      </c>
      <c r="E345" s="178">
        <f t="shared" si="80"/>
        <v>5.2500000000000005E-2</v>
      </c>
      <c r="F345" s="173">
        <f t="shared" si="80"/>
        <v>5.5000000000000007E-2</v>
      </c>
      <c r="G345" s="173">
        <f t="shared" si="80"/>
        <v>5.7500000000000009E-2</v>
      </c>
      <c r="H345" s="173">
        <f t="shared" si="80"/>
        <v>6.0000000000000012E-2</v>
      </c>
      <c r="I345" s="173">
        <f t="shared" si="80"/>
        <v>6.2500000000000014E-2</v>
      </c>
      <c r="J345" s="173">
        <f t="shared" si="80"/>
        <v>6.5000000000000016E-2</v>
      </c>
      <c r="K345" s="173">
        <f t="shared" si="80"/>
        <v>6.7500000000000018E-2</v>
      </c>
      <c r="L345" s="174">
        <f t="shared" si="80"/>
        <v>7.0000000000000021E-2</v>
      </c>
    </row>
    <row r="346" spans="2:17" outlineLevel="1" x14ac:dyDescent="0.25">
      <c r="C346" s="183" t="str">
        <f>$C$71</f>
        <v>Base</v>
      </c>
      <c r="D346" s="180">
        <f t="dataTable" ref="D346:L348" dt2D="1" dtr="1" r1="K191" r2="K11" ca="1"/>
        <v>0.15797369719262777</v>
      </c>
      <c r="E346" s="168">
        <v>0.11621928922889224</v>
      </c>
      <c r="F346" s="151">
        <v>7.1584278572991433E-2</v>
      </c>
      <c r="G346" s="151">
        <v>2.2621821483797655E-2</v>
      </c>
      <c r="H346" s="151">
        <v>-3.308174554544252E-2</v>
      </c>
      <c r="I346" s="151">
        <v>-0.10019213397789328</v>
      </c>
      <c r="J346" s="151">
        <v>-0.19025138199003944</v>
      </c>
      <c r="K346" s="151">
        <v>-0.3559465389038281</v>
      </c>
      <c r="L346" s="151">
        <v>-0.54002627275690229</v>
      </c>
    </row>
    <row r="347" spans="2:17" outlineLevel="1" x14ac:dyDescent="0.25">
      <c r="C347" s="158" t="str">
        <f>$C$72</f>
        <v>Downside</v>
      </c>
      <c r="D347" s="175">
        <v>9.6993953038866376E-3</v>
      </c>
      <c r="E347" s="168">
        <v>-5.589758778504339E-2</v>
      </c>
      <c r="F347" s="151">
        <v>-0.13762919910744476</v>
      </c>
      <c r="G347" s="151">
        <v>-0.25669478530241097</v>
      </c>
      <c r="H347" s="151" t="e">
        <v>#NUM!</v>
      </c>
      <c r="I347" s="151" t="e">
        <v>#NUM!</v>
      </c>
      <c r="J347" s="151" t="e">
        <v>#NUM!</v>
      </c>
      <c r="K347" s="151" t="e">
        <v>#NUM!</v>
      </c>
      <c r="L347" s="151" t="e">
        <v>#NUM!</v>
      </c>
    </row>
    <row r="348" spans="2:17" outlineLevel="1" x14ac:dyDescent="0.25">
      <c r="C348" s="159" t="str">
        <f>$C$73</f>
        <v>Extreme Downside</v>
      </c>
      <c r="D348" s="169">
        <v>-0.1449838018753099</v>
      </c>
      <c r="E348" s="176">
        <v>-0.27824947654146504</v>
      </c>
      <c r="F348" s="151" t="e">
        <v>#NUM!</v>
      </c>
      <c r="G348" s="151" t="e">
        <v>#NUM!</v>
      </c>
      <c r="H348" s="151" t="e">
        <v>#NUM!</v>
      </c>
      <c r="I348" s="151" t="e">
        <v>#NUM!</v>
      </c>
      <c r="J348" s="151" t="e">
        <v>#NUM!</v>
      </c>
      <c r="K348" s="151" t="e">
        <v>#NUM!</v>
      </c>
      <c r="L348" s="151" t="e">
        <v>#NUM!</v>
      </c>
    </row>
    <row r="350" spans="2:17" x14ac:dyDescent="0.25">
      <c r="B350" s="7" t="s">
        <v>224</v>
      </c>
      <c r="C350" s="7"/>
      <c r="D350" s="8"/>
      <c r="E350" s="7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</row>
    <row r="351" spans="2:17" outlineLevel="1" x14ac:dyDescent="0.25"/>
    <row r="352" spans="2:17" outlineLevel="1" x14ac:dyDescent="0.25">
      <c r="C352" s="6" t="s">
        <v>225</v>
      </c>
      <c r="D352" s="15">
        <v>0.15</v>
      </c>
    </row>
    <row r="353" spans="3:9" outlineLevel="1" x14ac:dyDescent="0.25">
      <c r="C353" s="12" t="s">
        <v>226</v>
      </c>
      <c r="D353" s="184">
        <f>+Senior_LTV*(Senior_Loan_LIBOR_Spread+Senior_Loan_LIBOR_Floor)+Mezz_LTV*(Mezz_Cash_Interest_Rate+Mezz_PIK_Interest_Rate)+Pref_LTV*(Pref_Cash_Interest_Rate+Pref_PIK_Interest_Rate)+(1-Senior_LTV-Mezz_LTV-Pref_LTV)*Cost_of_Equity</f>
        <v>6.6500000000000004E-2</v>
      </c>
    </row>
    <row r="354" spans="3:9" outlineLevel="1" x14ac:dyDescent="0.25"/>
    <row r="355" spans="3:9" outlineLevel="1" x14ac:dyDescent="0.25">
      <c r="C355" s="185" t="s">
        <v>227</v>
      </c>
      <c r="D355" s="186"/>
      <c r="F355" s="185" t="s">
        <v>228</v>
      </c>
      <c r="G355" s="186"/>
      <c r="H355" s="186"/>
      <c r="I355" s="186"/>
    </row>
    <row r="356" spans="3:9" outlineLevel="1" x14ac:dyDescent="0.25">
      <c r="C356" s="187"/>
      <c r="D356" s="188"/>
      <c r="F356" s="188"/>
      <c r="G356" s="188"/>
      <c r="H356" s="188"/>
      <c r="I356" s="189"/>
    </row>
    <row r="357" spans="3:9" outlineLevel="1" x14ac:dyDescent="0.25">
      <c r="C357" s="189" t="s">
        <v>244</v>
      </c>
      <c r="D357" s="15">
        <v>5.0000000000000001E-3</v>
      </c>
      <c r="F357" s="188"/>
      <c r="G357" s="188"/>
      <c r="H357" s="188"/>
      <c r="I357" s="189"/>
    </row>
    <row r="358" spans="3:9" outlineLevel="1" x14ac:dyDescent="0.25">
      <c r="C358" s="187"/>
      <c r="D358" s="188"/>
      <c r="F358" s="188"/>
      <c r="G358" s="188"/>
      <c r="H358" s="188"/>
      <c r="I358" s="189"/>
    </row>
    <row r="359" spans="3:9" outlineLevel="1" x14ac:dyDescent="0.25">
      <c r="C359" s="6" t="s">
        <v>229</v>
      </c>
      <c r="D359" s="214">
        <f>+D357+K191</f>
        <v>5.2499999999999998E-2</v>
      </c>
      <c r="F359" s="191" t="s">
        <v>230</v>
      </c>
      <c r="G359" s="188"/>
      <c r="H359" s="192"/>
      <c r="I359" s="216">
        <v>1.3095732353203979E-2</v>
      </c>
    </row>
    <row r="360" spans="3:9" outlineLevel="1" x14ac:dyDescent="0.25">
      <c r="C360" s="191" t="s">
        <v>231</v>
      </c>
      <c r="D360" s="194">
        <f>+Q374/D359</f>
        <v>136798577.86776119</v>
      </c>
      <c r="F360" s="191" t="s">
        <v>231</v>
      </c>
      <c r="G360" s="188"/>
      <c r="H360" s="192"/>
      <c r="I360" s="194">
        <f>+Q377/(Discount_Rate-Terminal_Growth_Rate)*(1+Discount_Rate)^0.5</f>
        <v>136798577.86776119</v>
      </c>
    </row>
    <row r="361" spans="3:9" outlineLevel="1" x14ac:dyDescent="0.25">
      <c r="C361" s="191" t="s">
        <v>232</v>
      </c>
      <c r="D361" s="215">
        <f>-Q377*(1+Discount_Rate)^0.5/D360+Discount_Rate</f>
        <v>1.3095732353203979E-2</v>
      </c>
      <c r="F361" s="191" t="s">
        <v>233</v>
      </c>
      <c r="G361" s="188"/>
      <c r="H361" s="192"/>
      <c r="I361" s="215">
        <f>+Q374/I360</f>
        <v>5.2499999999999998E-2</v>
      </c>
    </row>
    <row r="362" spans="3:9" outlineLevel="1" x14ac:dyDescent="0.25">
      <c r="C362" s="187"/>
      <c r="D362" s="188"/>
      <c r="F362" s="195"/>
      <c r="G362" s="192"/>
      <c r="H362" s="192"/>
      <c r="I362" s="196"/>
    </row>
    <row r="363" spans="3:9" outlineLevel="1" x14ac:dyDescent="0.25">
      <c r="C363" s="197" t="s">
        <v>245</v>
      </c>
      <c r="D363" s="194">
        <f>+D360/((1+Discount_Rate)^P382)</f>
        <v>71857645.793786421</v>
      </c>
      <c r="F363" s="197" t="str">
        <f>$C$363</f>
        <v>(+) PV of Terminal Value:</v>
      </c>
      <c r="G363" s="198"/>
      <c r="H363" s="192"/>
      <c r="I363" s="194">
        <f>+I360/((1+Discount_Rate)^P382)</f>
        <v>71857645.793786421</v>
      </c>
    </row>
    <row r="364" spans="3:9" outlineLevel="1" x14ac:dyDescent="0.25">
      <c r="C364" s="199" t="s">
        <v>246</v>
      </c>
      <c r="D364" s="200">
        <f>SUM($G$380:$P$380)</f>
        <v>43641882.353702143</v>
      </c>
      <c r="F364" s="199" t="str">
        <f>$C$364</f>
        <v>(+) Sum of PV of Cash Flows:</v>
      </c>
      <c r="G364" s="200"/>
      <c r="H364" s="201"/>
      <c r="I364" s="200">
        <f>SUM($G$380:$P$380)</f>
        <v>43641882.353702143</v>
      </c>
    </row>
    <row r="365" spans="3:9" outlineLevel="1" x14ac:dyDescent="0.25">
      <c r="C365" s="202" t="s">
        <v>234</v>
      </c>
      <c r="D365" s="203">
        <f>SUM(D363:D364)</f>
        <v>115499528.14748856</v>
      </c>
      <c r="F365" s="202" t="str">
        <f>$C$365</f>
        <v>Implied Total Property Value:</v>
      </c>
      <c r="G365" s="203"/>
      <c r="H365" s="192"/>
      <c r="I365" s="203">
        <f>SUM(I363:I364)</f>
        <v>115499528.14748856</v>
      </c>
    </row>
    <row r="366" spans="3:9" outlineLevel="1" x14ac:dyDescent="0.25">
      <c r="C366" s="204"/>
      <c r="D366" s="204"/>
      <c r="F366" s="204"/>
      <c r="G366" s="204"/>
      <c r="H366" s="192"/>
      <c r="I366" s="204"/>
    </row>
    <row r="367" spans="3:9" outlineLevel="1" x14ac:dyDescent="0.25">
      <c r="C367" s="205" t="s">
        <v>247</v>
      </c>
      <c r="D367" s="206">
        <f>+D363/D365</f>
        <v>0.62214666108442374</v>
      </c>
      <c r="F367" s="205" t="str">
        <f>$C$367</f>
        <v>% Implied Value from PV of Terminal Value:</v>
      </c>
      <c r="G367" s="206"/>
      <c r="H367" s="192"/>
      <c r="I367" s="206">
        <f>+I363/I365</f>
        <v>0.62214666108442374</v>
      </c>
    </row>
    <row r="368" spans="3:9" outlineLevel="1" x14ac:dyDescent="0.25"/>
    <row r="369" spans="2:17" outlineLevel="1" x14ac:dyDescent="0.25">
      <c r="C369" s="207" t="s">
        <v>235</v>
      </c>
      <c r="D369" s="208">
        <f>+D365/Entry_Price-1</f>
        <v>0.10510414782876798</v>
      </c>
      <c r="F369" s="207" t="str">
        <f>$C$369</f>
        <v>Premium / (Discount) to Asking Price:</v>
      </c>
      <c r="G369" s="208"/>
      <c r="H369" s="209"/>
      <c r="I369" s="208">
        <f>+I365/Entry_Price-1</f>
        <v>0.10510414782876798</v>
      </c>
    </row>
    <row r="371" spans="2:17" x14ac:dyDescent="0.25">
      <c r="B371" s="37"/>
      <c r="C371" s="37"/>
      <c r="D371" s="38"/>
      <c r="E371" s="37"/>
      <c r="F371" s="39" t="str">
        <f>F58</f>
        <v>Historical:</v>
      </c>
      <c r="G371" s="40" t="str">
        <f>G58</f>
        <v>Projected:</v>
      </c>
      <c r="H371" s="41"/>
      <c r="I371" s="41"/>
      <c r="J371" s="41"/>
      <c r="K371" s="41"/>
      <c r="L371" s="41"/>
      <c r="M371" s="41"/>
      <c r="N371" s="41"/>
      <c r="O371" s="41"/>
      <c r="P371" s="41"/>
      <c r="Q371" s="51" t="s">
        <v>36</v>
      </c>
    </row>
    <row r="372" spans="2:17" x14ac:dyDescent="0.25">
      <c r="B372" s="7" t="s">
        <v>236</v>
      </c>
      <c r="C372" s="7"/>
      <c r="D372" s="8" t="str">
        <f>+$D$5</f>
        <v>Units:</v>
      </c>
      <c r="E372" s="7"/>
      <c r="F372" s="53">
        <f>F59</f>
        <v>43465</v>
      </c>
      <c r="G372" s="44">
        <f>G59</f>
        <v>43830</v>
      </c>
      <c r="H372" s="43">
        <f>H59</f>
        <v>44196</v>
      </c>
      <c r="I372" s="43">
        <f>I59</f>
        <v>44561</v>
      </c>
      <c r="J372" s="43">
        <f>J59</f>
        <v>44926</v>
      </c>
      <c r="K372" s="43">
        <f>K59</f>
        <v>45291</v>
      </c>
      <c r="L372" s="43">
        <f>EOMONTH(K372,Months)</f>
        <v>45657</v>
      </c>
      <c r="M372" s="43">
        <f>EOMONTH(L372,Months)</f>
        <v>46022</v>
      </c>
      <c r="N372" s="43">
        <f>EOMONTH(M372,Months)</f>
        <v>46387</v>
      </c>
      <c r="O372" s="43">
        <f>EOMONTH(N372,Months)</f>
        <v>46752</v>
      </c>
      <c r="P372" s="43">
        <f>EOMONTH(O372,Months)</f>
        <v>47118</v>
      </c>
      <c r="Q372" s="43" t="s">
        <v>46</v>
      </c>
    </row>
    <row r="373" spans="2:17" outlineLevel="1" x14ac:dyDescent="0.25"/>
    <row r="374" spans="2:17" outlineLevel="1" x14ac:dyDescent="0.25">
      <c r="C374" s="6" t="s">
        <v>29</v>
      </c>
      <c r="D374" s="210" t="s">
        <v>12</v>
      </c>
      <c r="F374" s="133">
        <f t="shared" ref="F374:L374" si="81">+F146</f>
        <v>4441188.4648846146</v>
      </c>
      <c r="G374" s="133">
        <f t="shared" si="81"/>
        <v>4703157.4144831793</v>
      </c>
      <c r="H374" s="133">
        <f t="shared" si="81"/>
        <v>5106360.7660819739</v>
      </c>
      <c r="I374" s="133">
        <f t="shared" si="81"/>
        <v>5511233.9212972512</v>
      </c>
      <c r="J374" s="133">
        <f t="shared" si="81"/>
        <v>5872720.8033248018</v>
      </c>
      <c r="K374" s="133">
        <f t="shared" si="81"/>
        <v>6117944.2541093724</v>
      </c>
      <c r="L374" s="133">
        <f t="shared" si="81"/>
        <v>6348530.8168331459</v>
      </c>
      <c r="M374" s="133">
        <f>+L374*(1+M375)</f>
        <v>6570729.3954223059</v>
      </c>
      <c r="N374" s="133">
        <f t="shared" ref="N374:Q374" si="82">+M374*(1+N375)</f>
        <v>6767851.2772849752</v>
      </c>
      <c r="O374" s="133">
        <f t="shared" si="82"/>
        <v>6937047.5592170991</v>
      </c>
      <c r="P374" s="133">
        <f t="shared" si="82"/>
        <v>7075788.5104014408</v>
      </c>
      <c r="Q374" s="133">
        <f t="shared" si="82"/>
        <v>7181925.3380574621</v>
      </c>
    </row>
    <row r="375" spans="2:17" outlineLevel="1" x14ac:dyDescent="0.25">
      <c r="C375" s="213" t="s">
        <v>242</v>
      </c>
      <c r="D375" s="9" t="s">
        <v>7</v>
      </c>
      <c r="F375" s="60" t="str">
        <f>IFERROR(+F374/E374-1,"N/A")</f>
        <v>N/A</v>
      </c>
      <c r="G375" s="60">
        <f t="shared" ref="G375:L375" si="83">IFERROR(+G374/F374-1,"N/A")</f>
        <v>5.8986226698076072E-2</v>
      </c>
      <c r="H375" s="60">
        <f t="shared" si="83"/>
        <v>8.5730354326892577E-2</v>
      </c>
      <c r="I375" s="60">
        <f t="shared" si="83"/>
        <v>7.9288004463877737E-2</v>
      </c>
      <c r="J375" s="60">
        <f t="shared" si="83"/>
        <v>6.5590916152305612E-2</v>
      </c>
      <c r="K375" s="60">
        <f t="shared" si="83"/>
        <v>4.1756361147926357E-2</v>
      </c>
      <c r="L375" s="60">
        <f t="shared" si="83"/>
        <v>3.7690203301360636E-2</v>
      </c>
      <c r="M375" s="193">
        <v>3.5000000000000003E-2</v>
      </c>
      <c r="N375" s="193">
        <v>0.03</v>
      </c>
      <c r="O375" s="193">
        <v>2.5000000000000001E-2</v>
      </c>
      <c r="P375" s="193">
        <v>0.02</v>
      </c>
      <c r="Q375" s="193">
        <v>1.4999999999999999E-2</v>
      </c>
    </row>
    <row r="376" spans="2:17" outlineLevel="1" x14ac:dyDescent="0.25"/>
    <row r="377" spans="2:17" outlineLevel="1" x14ac:dyDescent="0.25">
      <c r="C377" s="6" t="s">
        <v>237</v>
      </c>
      <c r="D377" s="210" t="s">
        <v>12</v>
      </c>
      <c r="F377" s="62">
        <f t="shared" ref="F377:L377" si="84">+F154</f>
        <v>4441188.4648846146</v>
      </c>
      <c r="G377" s="62">
        <f t="shared" si="84"/>
        <v>4703157.4144831793</v>
      </c>
      <c r="H377" s="62">
        <f t="shared" si="84"/>
        <v>5106360.7660819739</v>
      </c>
      <c r="I377" s="62">
        <f t="shared" si="84"/>
        <v>5434464.7805871516</v>
      </c>
      <c r="J377" s="62">
        <f t="shared" si="84"/>
        <v>5872720.8033248018</v>
      </c>
      <c r="K377" s="62">
        <f t="shared" si="84"/>
        <v>6113099.2583894385</v>
      </c>
      <c r="L377" s="62">
        <f t="shared" si="84"/>
        <v>6348530.8168331459</v>
      </c>
      <c r="M377" s="62">
        <f>+M378*M374</f>
        <v>6472168.4544909708</v>
      </c>
      <c r="N377" s="62">
        <f t="shared" ref="N377:Q377" si="85">+N378*N374</f>
        <v>6666333.5081257001</v>
      </c>
      <c r="O377" s="62">
        <f t="shared" si="85"/>
        <v>6832991.8458288424</v>
      </c>
      <c r="P377" s="62">
        <f t="shared" si="85"/>
        <v>6969651.6827454194</v>
      </c>
      <c r="Q377" s="62">
        <f t="shared" si="85"/>
        <v>7074196.4579865998</v>
      </c>
    </row>
    <row r="378" spans="2:17" outlineLevel="1" x14ac:dyDescent="0.25">
      <c r="B378" s="5"/>
      <c r="C378" s="61" t="s">
        <v>243</v>
      </c>
      <c r="D378" s="9" t="s">
        <v>7</v>
      </c>
      <c r="E378" s="33"/>
      <c r="F378" s="60">
        <f>+F377/F374</f>
        <v>1</v>
      </c>
      <c r="G378" s="60">
        <f t="shared" ref="G378:L378" si="86">+G377/G374</f>
        <v>1</v>
      </c>
      <c r="H378" s="60">
        <f t="shared" si="86"/>
        <v>1</v>
      </c>
      <c r="I378" s="60">
        <f t="shared" si="86"/>
        <v>0.98607042600506611</v>
      </c>
      <c r="J378" s="60">
        <f t="shared" si="86"/>
        <v>1</v>
      </c>
      <c r="K378" s="60">
        <f t="shared" si="86"/>
        <v>0.99920806801783468</v>
      </c>
      <c r="L378" s="60">
        <f t="shared" si="86"/>
        <v>1</v>
      </c>
      <c r="M378" s="193">
        <v>0.98499999999999999</v>
      </c>
      <c r="N378" s="190">
        <f>+M378</f>
        <v>0.98499999999999999</v>
      </c>
      <c r="O378" s="190">
        <f t="shared" ref="O378:Q378" si="87">+N378</f>
        <v>0.98499999999999999</v>
      </c>
      <c r="P378" s="190">
        <f t="shared" si="87"/>
        <v>0.98499999999999999</v>
      </c>
      <c r="Q378" s="190">
        <f t="shared" si="87"/>
        <v>0.98499999999999999</v>
      </c>
    </row>
    <row r="379" spans="2:17" outlineLevel="1" x14ac:dyDescent="0.25">
      <c r="G379" s="62"/>
      <c r="H379" s="62"/>
      <c r="I379" s="62"/>
      <c r="J379" s="62"/>
      <c r="K379" s="62"/>
      <c r="L379" s="62"/>
      <c r="M379" s="62"/>
      <c r="N379" s="62"/>
      <c r="O379" s="62"/>
      <c r="P379" s="62"/>
    </row>
    <row r="380" spans="2:17" outlineLevel="1" x14ac:dyDescent="0.25">
      <c r="C380" s="6" t="s">
        <v>238</v>
      </c>
      <c r="D380" s="210" t="s">
        <v>12</v>
      </c>
      <c r="G380" s="62">
        <f t="shared" ref="G380:P380" si="88">+G377/((1+Discount_Rate)^G383)</f>
        <v>4554168.3935263706</v>
      </c>
      <c r="H380" s="62">
        <f t="shared" si="88"/>
        <v>4636285.8542594668</v>
      </c>
      <c r="I380" s="62">
        <f t="shared" si="88"/>
        <v>4626521.9725083094</v>
      </c>
      <c r="J380" s="62">
        <f t="shared" si="88"/>
        <v>4687878.4785892442</v>
      </c>
      <c r="K380" s="62">
        <f t="shared" si="88"/>
        <v>4575489.662231667</v>
      </c>
      <c r="L380" s="62">
        <f t="shared" si="88"/>
        <v>4455418.4941701656</v>
      </c>
      <c r="M380" s="62">
        <f t="shared" si="88"/>
        <v>4258966.4972753199</v>
      </c>
      <c r="N380" s="62">
        <f t="shared" si="88"/>
        <v>4113207.2125584432</v>
      </c>
      <c r="O380" s="62">
        <f t="shared" si="88"/>
        <v>3953152.7359328684</v>
      </c>
      <c r="P380" s="62">
        <f t="shared" si="88"/>
        <v>3780793.0526502822</v>
      </c>
    </row>
    <row r="381" spans="2:17" outlineLevel="1" x14ac:dyDescent="0.25"/>
    <row r="382" spans="2:17" outlineLevel="1" x14ac:dyDescent="0.25">
      <c r="C382" s="6" t="s">
        <v>239</v>
      </c>
      <c r="D382" s="210" t="s">
        <v>240</v>
      </c>
      <c r="G382" s="211">
        <v>1</v>
      </c>
      <c r="H382" s="212">
        <f>+G382+1</f>
        <v>2</v>
      </c>
      <c r="I382" s="212">
        <f t="shared" ref="I382:Q383" si="89">+H382+1</f>
        <v>3</v>
      </c>
      <c r="J382" s="212">
        <f t="shared" si="89"/>
        <v>4</v>
      </c>
      <c r="K382" s="212">
        <f t="shared" si="89"/>
        <v>5</v>
      </c>
      <c r="L382" s="212">
        <f t="shared" si="89"/>
        <v>6</v>
      </c>
      <c r="M382" s="212">
        <f t="shared" si="89"/>
        <v>7</v>
      </c>
      <c r="N382" s="212">
        <f t="shared" si="89"/>
        <v>8</v>
      </c>
      <c r="O382" s="212">
        <f t="shared" si="89"/>
        <v>9</v>
      </c>
      <c r="P382" s="212">
        <f t="shared" si="89"/>
        <v>10</v>
      </c>
      <c r="Q382" s="212">
        <f t="shared" si="89"/>
        <v>11</v>
      </c>
    </row>
    <row r="383" spans="2:17" outlineLevel="1" x14ac:dyDescent="0.25">
      <c r="C383" s="6" t="s">
        <v>241</v>
      </c>
      <c r="D383" s="210" t="s">
        <v>240</v>
      </c>
      <c r="G383" s="211">
        <v>0.5</v>
      </c>
      <c r="H383" s="212">
        <f>+G383+1</f>
        <v>1.5</v>
      </c>
      <c r="I383" s="212">
        <f t="shared" si="89"/>
        <v>2.5</v>
      </c>
      <c r="J383" s="212">
        <f t="shared" si="89"/>
        <v>3.5</v>
      </c>
      <c r="K383" s="212">
        <f t="shared" si="89"/>
        <v>4.5</v>
      </c>
      <c r="L383" s="212">
        <f t="shared" si="89"/>
        <v>5.5</v>
      </c>
      <c r="M383" s="212">
        <f t="shared" si="89"/>
        <v>6.5</v>
      </c>
      <c r="N383" s="212">
        <f t="shared" si="89"/>
        <v>7.5</v>
      </c>
      <c r="O383" s="212">
        <f t="shared" si="89"/>
        <v>8.5</v>
      </c>
      <c r="P383" s="212">
        <f t="shared" si="89"/>
        <v>9.5</v>
      </c>
      <c r="Q383" s="212">
        <f t="shared" si="89"/>
        <v>10.5</v>
      </c>
    </row>
    <row r="384" spans="2:17" outlineLevel="1" x14ac:dyDescent="0.25"/>
    <row r="385" spans="3:12" outlineLevel="1" x14ac:dyDescent="0.25">
      <c r="C385" s="160"/>
      <c r="D385" s="161"/>
      <c r="E385" s="162" t="s">
        <v>248</v>
      </c>
      <c r="F385" s="163"/>
      <c r="G385" s="163"/>
      <c r="H385" s="163"/>
      <c r="I385" s="163"/>
      <c r="J385" s="163"/>
      <c r="K385" s="163"/>
      <c r="L385" s="164"/>
    </row>
    <row r="386" spans="3:12" outlineLevel="1" x14ac:dyDescent="0.25">
      <c r="C386" s="165"/>
      <c r="D386" s="166">
        <f>$D$365</f>
        <v>115499528.14748856</v>
      </c>
      <c r="E386" s="172">
        <v>5.7500000000000002E-2</v>
      </c>
      <c r="F386" s="173">
        <f>+E386+0.25%</f>
        <v>6.0000000000000005E-2</v>
      </c>
      <c r="G386" s="173">
        <f t="shared" ref="G386:L386" si="90">+F386+0.25%</f>
        <v>6.25E-2</v>
      </c>
      <c r="H386" s="178">
        <f t="shared" si="90"/>
        <v>6.5000000000000002E-2</v>
      </c>
      <c r="I386" s="178">
        <f t="shared" si="90"/>
        <v>6.7500000000000004E-2</v>
      </c>
      <c r="J386" s="173">
        <f t="shared" si="90"/>
        <v>7.0000000000000007E-2</v>
      </c>
      <c r="K386" s="173">
        <f t="shared" si="90"/>
        <v>7.2500000000000009E-2</v>
      </c>
      <c r="L386" s="174">
        <f t="shared" si="90"/>
        <v>7.5000000000000011E-2</v>
      </c>
    </row>
    <row r="387" spans="3:12" outlineLevel="1" x14ac:dyDescent="0.25">
      <c r="C387" s="293" t="s">
        <v>249</v>
      </c>
      <c r="D387" s="218">
        <f t="shared" ref="D387:D393" si="91">+D388+0.25%</f>
        <v>7.0000000000000021E-2</v>
      </c>
      <c r="E387" s="221">
        <f t="dataTable" ref="E387:L395" dt2D="1" dtr="1" r1="D353" r2="D359" ca="1"/>
        <v>104134127.87531725</v>
      </c>
      <c r="F387" s="221">
        <v>102244408.83881202</v>
      </c>
      <c r="G387" s="221">
        <v>100398898.35647056</v>
      </c>
      <c r="H387" s="222">
        <v>98596421.921328872</v>
      </c>
      <c r="I387" s="222">
        <v>96835839.369779035</v>
      </c>
      <c r="J387" s="221">
        <v>95116043.79236111</v>
      </c>
      <c r="K387" s="221">
        <v>93435960.481687248</v>
      </c>
      <c r="L387" s="221">
        <v>91794545.916144341</v>
      </c>
    </row>
    <row r="388" spans="3:12" outlineLevel="1" x14ac:dyDescent="0.25">
      <c r="C388" s="294"/>
      <c r="D388" s="219">
        <f t="shared" si="91"/>
        <v>6.7500000000000018E-2</v>
      </c>
      <c r="E388" s="223">
        <v>106306705.59449369</v>
      </c>
      <c r="F388" s="223">
        <v>104366286.93244463</v>
      </c>
      <c r="G388" s="223">
        <v>102471375.23741257</v>
      </c>
      <c r="H388" s="224">
        <v>100620759.81167161</v>
      </c>
      <c r="I388" s="224">
        <v>98813265.391125321</v>
      </c>
      <c r="J388" s="223">
        <v>97047751.020808667</v>
      </c>
      <c r="K388" s="223">
        <v>95323108.968743354</v>
      </c>
      <c r="L388" s="223">
        <v>93638263.676747471</v>
      </c>
    </row>
    <row r="389" spans="3:12" outlineLevel="1" x14ac:dyDescent="0.25">
      <c r="C389" s="294"/>
      <c r="D389" s="219">
        <f t="shared" si="91"/>
        <v>6.5000000000000016E-2</v>
      </c>
      <c r="E389" s="223">
        <v>108646404.67668369</v>
      </c>
      <c r="F389" s="223">
        <v>106651386.41789514</v>
      </c>
      <c r="G389" s="223">
        <v>104703273.41688859</v>
      </c>
      <c r="H389" s="224">
        <v>102800816.0012715</v>
      </c>
      <c r="I389" s="224">
        <v>100942801.10642132</v>
      </c>
      <c r="J389" s="223">
        <v>99128051.112982988</v>
      </c>
      <c r="K389" s="223">
        <v>97355422.724034548</v>
      </c>
      <c r="L389" s="223">
        <v>95623805.880473927</v>
      </c>
    </row>
    <row r="390" spans="3:12" outlineLevel="1" x14ac:dyDescent="0.25">
      <c r="C390" s="294"/>
      <c r="D390" s="219">
        <f t="shared" si="91"/>
        <v>6.2500000000000014E-2</v>
      </c>
      <c r="E390" s="223">
        <v>111173279.68544891</v>
      </c>
      <c r="F390" s="223">
        <v>109119293.86218169</v>
      </c>
      <c r="G390" s="223">
        <v>107113723.45072269</v>
      </c>
      <c r="H390" s="224">
        <v>105155276.68603936</v>
      </c>
      <c r="I390" s="224">
        <v>103242699.67894098</v>
      </c>
      <c r="J390" s="223">
        <v>101374775.21253124</v>
      </c>
      <c r="K390" s="223">
        <v>99550321.579749048</v>
      </c>
      <c r="L390" s="223">
        <v>97768191.460498482</v>
      </c>
    </row>
    <row r="391" spans="3:12" outlineLevel="1" x14ac:dyDescent="0.25">
      <c r="C391" s="294"/>
      <c r="D391" s="219">
        <f t="shared" si="91"/>
        <v>6.0000000000000012E-2</v>
      </c>
      <c r="E391" s="223">
        <v>113910727.61161122</v>
      </c>
      <c r="F391" s="223">
        <v>111792860.26015878</v>
      </c>
      <c r="G391" s="223">
        <v>109725044.32070962</v>
      </c>
      <c r="H391" s="224">
        <v>107705942.42787123</v>
      </c>
      <c r="I391" s="224">
        <v>105734256.4658373</v>
      </c>
      <c r="J391" s="223">
        <v>103808726.32037517</v>
      </c>
      <c r="K391" s="223">
        <v>101928128.67343974</v>
      </c>
      <c r="L391" s="223">
        <v>100091275.83885844</v>
      </c>
    </row>
    <row r="392" spans="3:12" outlineLevel="1" x14ac:dyDescent="0.25">
      <c r="C392" s="294"/>
      <c r="D392" s="220">
        <f t="shared" si="91"/>
        <v>5.7500000000000009E-2</v>
      </c>
      <c r="E392" s="224">
        <v>116886214.48787463</v>
      </c>
      <c r="F392" s="224">
        <v>114698910.69274256</v>
      </c>
      <c r="G392" s="224">
        <v>112563436.57069543</v>
      </c>
      <c r="H392" s="224">
        <v>110478405.19073194</v>
      </c>
      <c r="I392" s="224">
        <v>108442470.36463764</v>
      </c>
      <c r="J392" s="224">
        <v>106454325.35064033</v>
      </c>
      <c r="K392" s="224">
        <v>104512701.60136443</v>
      </c>
      <c r="L392" s="224">
        <v>102616367.55446708</v>
      </c>
    </row>
    <row r="393" spans="3:12" outlineLevel="1" x14ac:dyDescent="0.25">
      <c r="C393" s="294"/>
      <c r="D393" s="220">
        <f t="shared" si="91"/>
        <v>5.5000000000000007E-2</v>
      </c>
      <c r="E393" s="224">
        <v>120132200.17107102</v>
      </c>
      <c r="F393" s="224">
        <v>117869147.52828851</v>
      </c>
      <c r="G393" s="224">
        <v>115659864.47977085</v>
      </c>
      <c r="H393" s="224">
        <v>113502910.02294363</v>
      </c>
      <c r="I393" s="224">
        <v>111396885.52696531</v>
      </c>
      <c r="J393" s="224">
        <v>109340433.38365684</v>
      </c>
      <c r="K393" s="224">
        <v>107332235.70455498</v>
      </c>
      <c r="L393" s="224">
        <v>105371013.06240378</v>
      </c>
    </row>
    <row r="394" spans="3:12" outlineLevel="1" x14ac:dyDescent="0.25">
      <c r="C394" s="294"/>
      <c r="D394" s="220">
        <f>+D395+0.25%</f>
        <v>5.2500000000000005E-2</v>
      </c>
      <c r="E394" s="224">
        <v>123687327.34790522</v>
      </c>
      <c r="F394" s="224">
        <v>121341311.68150552</v>
      </c>
      <c r="G394" s="224">
        <v>119051190.28494869</v>
      </c>
      <c r="H394" s="224">
        <v>116815462.93441358</v>
      </c>
      <c r="I394" s="224">
        <v>114632673.56189558</v>
      </c>
      <c r="J394" s="224">
        <v>112501408.84838924</v>
      </c>
      <c r="K394" s="224">
        <v>110420296.86519226</v>
      </c>
      <c r="L394" s="224">
        <v>108388005.76157254</v>
      </c>
    </row>
    <row r="395" spans="3:12" outlineLevel="1" x14ac:dyDescent="0.25">
      <c r="C395" s="295"/>
      <c r="D395" s="217">
        <v>0.05</v>
      </c>
      <c r="E395" s="223">
        <v>127597967.24242279</v>
      </c>
      <c r="F395" s="223">
        <v>125160692.25004421</v>
      </c>
      <c r="G395" s="223">
        <v>122781648.67064431</v>
      </c>
      <c r="H395" s="224">
        <v>120459271.13703053</v>
      </c>
      <c r="I395" s="224">
        <v>118192040.40031889</v>
      </c>
      <c r="J395" s="223">
        <v>115978481.85959485</v>
      </c>
      <c r="K395" s="223">
        <v>113817164.14189327</v>
      </c>
      <c r="L395" s="223">
        <v>111706697.73065817</v>
      </c>
    </row>
  </sheetData>
  <mergeCells count="1">
    <mergeCell ref="C387:C395"/>
  </mergeCells>
  <dataValidations count="2">
    <dataValidation type="list" allowBlank="1" showInputMessage="1" showErrorMessage="1" sqref="K11">
      <formula1>$C$71:$C$73</formula1>
    </dataValidation>
    <dataValidation type="list" allowBlank="1" showInputMessage="1" showErrorMessage="1" sqref="E28">
      <formula1>$I$184:$K$184</formula1>
    </dataValidation>
  </dataValidations>
  <pageMargins left="0.7" right="0.7" top="0.75" bottom="0.75" header="0.3" footer="0.3"/>
  <pageSetup scale="32" orientation="portrait" r:id="rId1"/>
  <rowBreaks count="6" manualBreakCount="6">
    <brk id="57" max="17" man="1"/>
    <brk id="122" max="17" man="1"/>
    <brk id="182" max="17" man="1"/>
    <brk id="233" max="17" man="1"/>
    <brk id="301" max="17" man="1"/>
    <brk id="349" max="17" man="1"/>
  </rowBreaks>
  <ignoredErrors>
    <ignoredError sqref="E14 F74:L74 F80:L80 F86:L86 F92:L92 F191:K191 F106:L106 F114:L114 E21:E27 K33:K41 K23 G172:K172 H219:K219 H222:K222 H237:K237 H254:K254 H255:K255 E29:E32 H196:K196 C273 C281 I273 I281 I289 C297 D353 K7" unlockedFormula="1"/>
    <ignoredError sqref="H238:K238" formula="1"/>
    <ignoredError sqref="H239:K239" formula="1" unlockedFormula="1"/>
    <ignoredError sqref="D292 D363 D360" evalError="1"/>
    <ignoredError sqref="C289" evalError="1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N23"/>
  <sheetViews>
    <sheetView showGridLines="0" zoomScaleNormal="100" workbookViewId="0">
      <selection activeCell="B2" sqref="B2"/>
    </sheetView>
  </sheetViews>
  <sheetFormatPr defaultRowHeight="15.75" outlineLevelCol="1" x14ac:dyDescent="0.25"/>
  <cols>
    <col min="1" max="2" width="2.7109375" style="6" customWidth="1"/>
    <col min="3" max="3" width="21.7109375" style="6" bestFit="1" customWidth="1"/>
    <col min="4" max="4" width="29.140625" style="6" hidden="1" customWidth="1" outlineLevel="1"/>
    <col min="5" max="5" width="23.28515625" style="6" hidden="1" customWidth="1" outlineLevel="1"/>
    <col min="6" max="6" width="10.7109375" style="6" customWidth="1" collapsed="1"/>
    <col min="7" max="9" width="10.7109375" style="6" customWidth="1"/>
    <col min="10" max="10" width="11.5703125" style="6" bestFit="1" customWidth="1"/>
    <col min="11" max="11" width="14" style="6" bestFit="1" customWidth="1"/>
    <col min="12" max="14" width="10.7109375" style="6" customWidth="1"/>
    <col min="15" max="15" width="2.7109375" style="6" customWidth="1"/>
    <col min="16" max="16384" width="9.140625" style="6"/>
  </cols>
  <sheetData>
    <row r="2" spans="2:14" x14ac:dyDescent="0.25">
      <c r="B2" s="225" t="s">
        <v>250</v>
      </c>
      <c r="C2" s="225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</row>
    <row r="4" spans="2:14" x14ac:dyDescent="0.25">
      <c r="C4" s="229"/>
      <c r="D4" s="229"/>
      <c r="E4" s="229"/>
      <c r="F4" s="229"/>
      <c r="G4" s="230" t="s">
        <v>251</v>
      </c>
      <c r="H4" s="230" t="s">
        <v>252</v>
      </c>
      <c r="I4" s="230" t="s">
        <v>46</v>
      </c>
      <c r="J4" s="230" t="s">
        <v>253</v>
      </c>
      <c r="K4" s="230"/>
      <c r="L4" s="230" t="s">
        <v>254</v>
      </c>
      <c r="M4" s="230" t="s">
        <v>255</v>
      </c>
      <c r="N4" s="230" t="s">
        <v>256</v>
      </c>
    </row>
    <row r="5" spans="2:14" x14ac:dyDescent="0.25">
      <c r="C5" s="227" t="s">
        <v>257</v>
      </c>
      <c r="D5" s="227" t="s">
        <v>258</v>
      </c>
      <c r="E5" s="227" t="s">
        <v>259</v>
      </c>
      <c r="F5" s="227" t="s">
        <v>260</v>
      </c>
      <c r="G5" s="227" t="s">
        <v>261</v>
      </c>
      <c r="H5" s="227" t="s">
        <v>262</v>
      </c>
      <c r="I5" s="227" t="s">
        <v>263</v>
      </c>
      <c r="J5" s="227" t="s">
        <v>264</v>
      </c>
      <c r="K5" s="227" t="s">
        <v>265</v>
      </c>
      <c r="L5" s="227" t="s">
        <v>266</v>
      </c>
      <c r="M5" s="227" t="s">
        <v>267</v>
      </c>
      <c r="N5" s="227" t="s">
        <v>268</v>
      </c>
    </row>
    <row r="6" spans="2:14" x14ac:dyDescent="0.25">
      <c r="C6" s="6" t="s">
        <v>349</v>
      </c>
      <c r="D6" s="6" t="s">
        <v>352</v>
      </c>
      <c r="E6" s="6" t="s">
        <v>270</v>
      </c>
      <c r="F6" s="259">
        <v>233</v>
      </c>
      <c r="G6" s="259">
        <v>178392</v>
      </c>
      <c r="H6" s="260">
        <f t="shared" ref="H6:H21" si="0">+G6/F6</f>
        <v>765.63090128755368</v>
      </c>
      <c r="I6" s="258">
        <v>1991</v>
      </c>
      <c r="J6" s="270">
        <v>42390</v>
      </c>
      <c r="K6" s="234">
        <v>90750000</v>
      </c>
      <c r="L6" s="133">
        <f t="shared" ref="L6:L21" si="1">+K6/F6</f>
        <v>389484.97854077251</v>
      </c>
      <c r="M6" s="280">
        <f t="shared" ref="M6:M21" si="2">+K6/G6</f>
        <v>508.71115296650072</v>
      </c>
      <c r="N6" s="232">
        <v>3.9E-2</v>
      </c>
    </row>
    <row r="7" spans="2:14" x14ac:dyDescent="0.25">
      <c r="C7" s="6" t="s">
        <v>334</v>
      </c>
      <c r="D7" s="6" t="s">
        <v>338</v>
      </c>
      <c r="E7" s="6" t="s">
        <v>274</v>
      </c>
      <c r="F7" s="259">
        <v>61</v>
      </c>
      <c r="G7" s="259">
        <v>53679</v>
      </c>
      <c r="H7" s="260">
        <f t="shared" si="0"/>
        <v>879.98360655737702</v>
      </c>
      <c r="I7" s="258">
        <v>2010</v>
      </c>
      <c r="J7" s="270">
        <v>42429</v>
      </c>
      <c r="K7" s="231">
        <v>25866000</v>
      </c>
      <c r="L7" s="134">
        <f t="shared" si="1"/>
        <v>424032.78688524588</v>
      </c>
      <c r="M7" s="233">
        <f t="shared" si="2"/>
        <v>481.86441625216565</v>
      </c>
      <c r="N7" s="232">
        <v>0.04</v>
      </c>
    </row>
    <row r="8" spans="2:14" x14ac:dyDescent="0.25">
      <c r="C8" s="6" t="s">
        <v>348</v>
      </c>
      <c r="D8" s="6" t="s">
        <v>351</v>
      </c>
      <c r="E8" s="6" t="s">
        <v>270</v>
      </c>
      <c r="F8" s="259">
        <v>137</v>
      </c>
      <c r="G8" s="259">
        <v>62380</v>
      </c>
      <c r="H8" s="260">
        <f t="shared" si="0"/>
        <v>455.32846715328469</v>
      </c>
      <c r="I8" s="258">
        <v>1925</v>
      </c>
      <c r="J8" s="270">
        <v>42445</v>
      </c>
      <c r="K8" s="231">
        <v>29950000</v>
      </c>
      <c r="L8" s="134">
        <f t="shared" si="1"/>
        <v>218613.13868613139</v>
      </c>
      <c r="M8" s="233">
        <f t="shared" si="2"/>
        <v>480.12183392112854</v>
      </c>
      <c r="N8" s="232">
        <v>5.3999999999999999E-2</v>
      </c>
    </row>
    <row r="9" spans="2:14" x14ac:dyDescent="0.25">
      <c r="C9" s="6" t="s">
        <v>333</v>
      </c>
      <c r="D9" s="6" t="s">
        <v>337</v>
      </c>
      <c r="E9" s="6" t="s">
        <v>274</v>
      </c>
      <c r="F9" s="259">
        <v>54</v>
      </c>
      <c r="G9" s="259">
        <v>40297</v>
      </c>
      <c r="H9" s="260">
        <f t="shared" si="0"/>
        <v>746.24074074074076</v>
      </c>
      <c r="I9" s="258">
        <v>1927</v>
      </c>
      <c r="J9" s="270">
        <v>42573</v>
      </c>
      <c r="K9" s="231">
        <v>18230000</v>
      </c>
      <c r="L9" s="134">
        <f t="shared" si="1"/>
        <v>337592.59259259258</v>
      </c>
      <c r="M9" s="233">
        <f t="shared" si="2"/>
        <v>452.39099684840062</v>
      </c>
      <c r="N9" s="232">
        <v>4.2000000000000003E-2</v>
      </c>
    </row>
    <row r="10" spans="2:14" x14ac:dyDescent="0.25">
      <c r="C10" s="6" t="s">
        <v>343</v>
      </c>
      <c r="D10" s="6" t="s">
        <v>344</v>
      </c>
      <c r="E10" s="6" t="s">
        <v>269</v>
      </c>
      <c r="F10" s="259">
        <v>131</v>
      </c>
      <c r="G10" s="259">
        <v>134900</v>
      </c>
      <c r="H10" s="260">
        <f t="shared" si="0"/>
        <v>1029.7709923664122</v>
      </c>
      <c r="I10" s="258">
        <v>2014</v>
      </c>
      <c r="J10" s="270">
        <v>42583</v>
      </c>
      <c r="K10" s="231">
        <v>54750000</v>
      </c>
      <c r="L10" s="134">
        <f t="shared" si="1"/>
        <v>417938.93129770993</v>
      </c>
      <c r="M10" s="233">
        <f t="shared" si="2"/>
        <v>405.85618977020016</v>
      </c>
      <c r="N10" s="232">
        <v>4.3999999999999997E-2</v>
      </c>
    </row>
    <row r="11" spans="2:14" x14ac:dyDescent="0.25">
      <c r="C11" s="6" t="s">
        <v>347</v>
      </c>
      <c r="D11" s="6" t="s">
        <v>350</v>
      </c>
      <c r="E11" s="6" t="s">
        <v>270</v>
      </c>
      <c r="F11" s="259">
        <v>137</v>
      </c>
      <c r="G11" s="259">
        <v>98875</v>
      </c>
      <c r="H11" s="260">
        <f t="shared" si="0"/>
        <v>721.71532846715331</v>
      </c>
      <c r="I11" s="258">
        <v>2015</v>
      </c>
      <c r="J11" s="270">
        <v>42590</v>
      </c>
      <c r="K11" s="231">
        <v>76675000</v>
      </c>
      <c r="L11" s="134">
        <f t="shared" si="1"/>
        <v>559671.5328467153</v>
      </c>
      <c r="M11" s="233">
        <f t="shared" si="2"/>
        <v>775.47408343868517</v>
      </c>
      <c r="N11" s="232">
        <v>4.5999999999999999E-2</v>
      </c>
    </row>
    <row r="12" spans="2:14" x14ac:dyDescent="0.25">
      <c r="C12" s="6" t="s">
        <v>332</v>
      </c>
      <c r="D12" s="6" t="s">
        <v>336</v>
      </c>
      <c r="E12" s="6" t="s">
        <v>274</v>
      </c>
      <c r="F12" s="259">
        <v>90</v>
      </c>
      <c r="G12" s="259">
        <v>59391</v>
      </c>
      <c r="H12" s="260">
        <f t="shared" si="0"/>
        <v>659.9</v>
      </c>
      <c r="I12" s="258">
        <v>2015</v>
      </c>
      <c r="J12" s="270">
        <v>42594</v>
      </c>
      <c r="K12" s="231">
        <v>39663000</v>
      </c>
      <c r="L12" s="134">
        <f t="shared" si="1"/>
        <v>440700</v>
      </c>
      <c r="M12" s="233">
        <f t="shared" si="2"/>
        <v>667.82845885740267</v>
      </c>
      <c r="N12" s="232">
        <v>4.4999999999999998E-2</v>
      </c>
    </row>
    <row r="13" spans="2:14" x14ac:dyDescent="0.25">
      <c r="C13" s="6" t="s">
        <v>345</v>
      </c>
      <c r="D13" s="6" t="s">
        <v>346</v>
      </c>
      <c r="E13" s="6" t="s">
        <v>271</v>
      </c>
      <c r="F13" s="259">
        <v>120</v>
      </c>
      <c r="G13" s="259">
        <v>73813</v>
      </c>
      <c r="H13" s="260">
        <f t="shared" si="0"/>
        <v>615.10833333333335</v>
      </c>
      <c r="I13" s="258">
        <v>2015</v>
      </c>
      <c r="J13" s="270">
        <v>42628</v>
      </c>
      <c r="K13" s="231">
        <v>35034877</v>
      </c>
      <c r="L13" s="134">
        <f t="shared" si="1"/>
        <v>291957.30833333335</v>
      </c>
      <c r="M13" s="233">
        <f t="shared" si="2"/>
        <v>474.64372129570671</v>
      </c>
      <c r="N13" s="232">
        <v>5.1999999999999998E-2</v>
      </c>
    </row>
    <row r="14" spans="2:14" x14ac:dyDescent="0.25">
      <c r="C14" s="6" t="s">
        <v>341</v>
      </c>
      <c r="D14" s="6" t="s">
        <v>342</v>
      </c>
      <c r="E14" s="6" t="s">
        <v>269</v>
      </c>
      <c r="F14" s="259">
        <v>361</v>
      </c>
      <c r="G14" s="259">
        <v>343203</v>
      </c>
      <c r="H14" s="260">
        <f t="shared" si="0"/>
        <v>950.70083102493072</v>
      </c>
      <c r="I14" s="258">
        <v>2016</v>
      </c>
      <c r="J14" s="270">
        <v>42648</v>
      </c>
      <c r="K14" s="231">
        <v>151400000</v>
      </c>
      <c r="L14" s="134">
        <f t="shared" si="1"/>
        <v>419390.58171745151</v>
      </c>
      <c r="M14" s="233">
        <f t="shared" si="2"/>
        <v>441.1383350378639</v>
      </c>
      <c r="N14" s="232">
        <v>4.5999999999999999E-2</v>
      </c>
    </row>
    <row r="15" spans="2:14" x14ac:dyDescent="0.25">
      <c r="C15" s="6" t="s">
        <v>331</v>
      </c>
      <c r="D15" s="279" t="s">
        <v>335</v>
      </c>
      <c r="E15" s="6" t="s">
        <v>274</v>
      </c>
      <c r="F15" s="259">
        <v>52</v>
      </c>
      <c r="G15" s="259">
        <v>31602</v>
      </c>
      <c r="H15" s="260">
        <f t="shared" si="0"/>
        <v>607.73076923076928</v>
      </c>
      <c r="I15" s="258">
        <v>1949</v>
      </c>
      <c r="J15" s="270">
        <v>42734</v>
      </c>
      <c r="K15" s="231">
        <v>17000000</v>
      </c>
      <c r="L15" s="134">
        <f t="shared" si="1"/>
        <v>326923.07692307694</v>
      </c>
      <c r="M15" s="233">
        <f t="shared" si="2"/>
        <v>537.94063666856528</v>
      </c>
      <c r="N15" s="232">
        <v>4.2999999999999997E-2</v>
      </c>
    </row>
    <row r="16" spans="2:14" x14ac:dyDescent="0.25">
      <c r="C16" s="6" t="s">
        <v>355</v>
      </c>
      <c r="D16" s="6" t="s">
        <v>360</v>
      </c>
      <c r="E16" s="6" t="s">
        <v>269</v>
      </c>
      <c r="F16" s="259">
        <v>73</v>
      </c>
      <c r="G16" s="259">
        <v>86525</v>
      </c>
      <c r="H16" s="260">
        <f t="shared" si="0"/>
        <v>1185.2739726027398</v>
      </c>
      <c r="I16" s="258">
        <v>1994</v>
      </c>
      <c r="J16" s="270">
        <v>42747</v>
      </c>
      <c r="K16" s="231">
        <v>24000000</v>
      </c>
      <c r="L16" s="134">
        <f t="shared" si="1"/>
        <v>328767.12328767125</v>
      </c>
      <c r="M16" s="233">
        <f t="shared" si="2"/>
        <v>277.37648078590001</v>
      </c>
      <c r="N16" s="232">
        <v>4.5999999999999999E-2</v>
      </c>
    </row>
    <row r="17" spans="3:14" x14ac:dyDescent="0.25">
      <c r="C17" s="6" t="s">
        <v>354</v>
      </c>
      <c r="D17" s="6" t="s">
        <v>359</v>
      </c>
      <c r="E17" s="6" t="s">
        <v>269</v>
      </c>
      <c r="F17" s="259">
        <v>282</v>
      </c>
      <c r="G17" s="259">
        <v>225600</v>
      </c>
      <c r="H17" s="260">
        <f t="shared" si="0"/>
        <v>800</v>
      </c>
      <c r="I17" s="258">
        <v>2015</v>
      </c>
      <c r="J17" s="270">
        <v>42769</v>
      </c>
      <c r="K17" s="231">
        <v>141000000</v>
      </c>
      <c r="L17" s="134">
        <f t="shared" si="1"/>
        <v>500000</v>
      </c>
      <c r="M17" s="233">
        <f t="shared" si="2"/>
        <v>625</v>
      </c>
      <c r="N17" s="232">
        <v>0.04</v>
      </c>
    </row>
    <row r="18" spans="3:14" x14ac:dyDescent="0.25">
      <c r="C18" s="6" t="s">
        <v>353</v>
      </c>
      <c r="D18" s="6" t="s">
        <v>363</v>
      </c>
      <c r="E18" s="6" t="s">
        <v>357</v>
      </c>
      <c r="F18" s="259">
        <v>150</v>
      </c>
      <c r="G18" s="259">
        <v>121000</v>
      </c>
      <c r="H18" s="260">
        <f t="shared" si="0"/>
        <v>806.66666666666663</v>
      </c>
      <c r="I18" s="258">
        <v>2006</v>
      </c>
      <c r="J18" s="270">
        <v>42962</v>
      </c>
      <c r="K18" s="231">
        <v>53961430</v>
      </c>
      <c r="L18" s="134">
        <f t="shared" si="1"/>
        <v>359742.86666666664</v>
      </c>
      <c r="M18" s="233">
        <f t="shared" si="2"/>
        <v>445.96223140495869</v>
      </c>
      <c r="N18" s="232">
        <v>4.4999999999999998E-2</v>
      </c>
    </row>
    <row r="19" spans="3:14" x14ac:dyDescent="0.25">
      <c r="C19" s="6" t="s">
        <v>356</v>
      </c>
      <c r="D19" s="6" t="s">
        <v>361</v>
      </c>
      <c r="E19" s="6" t="s">
        <v>357</v>
      </c>
      <c r="F19" s="259">
        <v>184</v>
      </c>
      <c r="G19" s="259">
        <v>159716</v>
      </c>
      <c r="H19" s="260">
        <f t="shared" si="0"/>
        <v>868.02173913043475</v>
      </c>
      <c r="I19" s="258">
        <v>2015</v>
      </c>
      <c r="J19" s="270">
        <v>43020</v>
      </c>
      <c r="K19" s="231">
        <v>64400000</v>
      </c>
      <c r="L19" s="134">
        <f t="shared" si="1"/>
        <v>350000</v>
      </c>
      <c r="M19" s="233">
        <f t="shared" si="2"/>
        <v>403.21570788148966</v>
      </c>
      <c r="N19" s="232">
        <v>4.3999999999999997E-2</v>
      </c>
    </row>
    <row r="20" spans="3:14" x14ac:dyDescent="0.25">
      <c r="C20" s="6" t="s">
        <v>362</v>
      </c>
      <c r="D20" s="6" t="s">
        <v>358</v>
      </c>
      <c r="E20" s="6" t="s">
        <v>269</v>
      </c>
      <c r="F20" s="259">
        <v>211</v>
      </c>
      <c r="G20" s="259">
        <v>280000</v>
      </c>
      <c r="H20" s="260">
        <f t="shared" si="0"/>
        <v>1327.0142180094788</v>
      </c>
      <c r="I20" s="258">
        <v>2016</v>
      </c>
      <c r="J20" s="270">
        <v>43038</v>
      </c>
      <c r="K20" s="231">
        <v>101300000</v>
      </c>
      <c r="L20" s="134">
        <f t="shared" si="1"/>
        <v>480094.78672985779</v>
      </c>
      <c r="M20" s="233">
        <f t="shared" si="2"/>
        <v>361.78571428571428</v>
      </c>
      <c r="N20" s="232">
        <v>4.1000000000000002E-2</v>
      </c>
    </row>
    <row r="21" spans="3:14" x14ac:dyDescent="0.25">
      <c r="C21" s="6" t="s">
        <v>339</v>
      </c>
      <c r="D21" s="6" t="s">
        <v>340</v>
      </c>
      <c r="E21" s="6" t="s">
        <v>274</v>
      </c>
      <c r="F21" s="259">
        <v>49</v>
      </c>
      <c r="G21" s="259">
        <v>32398</v>
      </c>
      <c r="H21" s="260">
        <f t="shared" si="0"/>
        <v>661.18367346938771</v>
      </c>
      <c r="I21" s="258">
        <v>1912</v>
      </c>
      <c r="J21" s="270">
        <v>43161</v>
      </c>
      <c r="K21" s="231">
        <v>13995000</v>
      </c>
      <c r="L21" s="134">
        <f t="shared" si="1"/>
        <v>285612.24489795917</v>
      </c>
      <c r="M21" s="233">
        <f t="shared" si="2"/>
        <v>431.97110932773626</v>
      </c>
      <c r="N21" s="232">
        <v>3.5999999999999997E-2</v>
      </c>
    </row>
    <row r="23" spans="3:14" x14ac:dyDescent="0.25">
      <c r="C23" s="271" t="s">
        <v>275</v>
      </c>
      <c r="D23" s="272"/>
      <c r="E23" s="272"/>
      <c r="F23" s="273">
        <f t="shared" ref="F23:N23" si="3">MEDIAN(F6:F21)</f>
        <v>134</v>
      </c>
      <c r="G23" s="273">
        <f t="shared" si="3"/>
        <v>92700</v>
      </c>
      <c r="H23" s="273">
        <f t="shared" si="3"/>
        <v>782.81545064377679</v>
      </c>
      <c r="I23" s="274">
        <f t="shared" si="3"/>
        <v>2012</v>
      </c>
      <c r="J23" s="275">
        <f t="shared" si="3"/>
        <v>42638</v>
      </c>
      <c r="K23" s="276">
        <f t="shared" si="3"/>
        <v>46812215</v>
      </c>
      <c r="L23" s="276">
        <f t="shared" si="3"/>
        <v>374613.92260371958</v>
      </c>
      <c r="M23" s="277">
        <f t="shared" si="3"/>
        <v>463.51735907205364</v>
      </c>
      <c r="N23" s="278">
        <f t="shared" si="3"/>
        <v>4.3999999999999997E-2</v>
      </c>
    </row>
  </sheetData>
  <sortState ref="B6:N21">
    <sortCondition ref="J6:J21"/>
  </sortState>
  <pageMargins left="0.7" right="0.7" top="0.75" bottom="0.75" header="0.3" footer="0.3"/>
  <pageSetup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P19"/>
  <sheetViews>
    <sheetView showGridLines="0" zoomScaleNormal="100" workbookViewId="0">
      <selection activeCell="B2" sqref="B2"/>
    </sheetView>
  </sheetViews>
  <sheetFormatPr defaultRowHeight="15.75" x14ac:dyDescent="0.25"/>
  <cols>
    <col min="1" max="2" width="2.7109375" style="6" customWidth="1"/>
    <col min="3" max="3" width="22.7109375" style="6" bestFit="1" customWidth="1"/>
    <col min="4" max="4" width="23.7109375" style="6" bestFit="1" customWidth="1"/>
    <col min="5" max="5" width="16" style="6" bestFit="1" customWidth="1"/>
    <col min="6" max="6" width="6.140625" style="6" bestFit="1" customWidth="1"/>
    <col min="7" max="7" width="8.28515625" style="6" bestFit="1" customWidth="1"/>
    <col min="8" max="8" width="10.140625" style="6" bestFit="1" customWidth="1"/>
    <col min="9" max="9" width="10.42578125" style="6" bestFit="1" customWidth="1"/>
    <col min="10" max="11" width="14" style="6" bestFit="1" customWidth="1"/>
    <col min="12" max="13" width="14.7109375" style="6" bestFit="1" customWidth="1"/>
    <col min="14" max="14" width="11.7109375" style="6" bestFit="1" customWidth="1"/>
    <col min="15" max="15" width="13.28515625" style="6" bestFit="1" customWidth="1"/>
    <col min="16" max="16" width="26.7109375" style="6" customWidth="1"/>
    <col min="17" max="18" width="2.7109375" style="6" customWidth="1"/>
    <col min="19" max="16384" width="9.140625" style="6"/>
  </cols>
  <sheetData>
    <row r="2" spans="2:16" x14ac:dyDescent="0.25">
      <c r="B2" s="225" t="s">
        <v>276</v>
      </c>
      <c r="C2" s="225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57"/>
    </row>
    <row r="4" spans="2:16" x14ac:dyDescent="0.25">
      <c r="C4" s="229"/>
      <c r="D4" s="229"/>
      <c r="E4" s="229"/>
      <c r="F4" s="230" t="s">
        <v>46</v>
      </c>
      <c r="G4" s="229"/>
      <c r="H4" s="230" t="s">
        <v>251</v>
      </c>
      <c r="I4" s="230" t="s">
        <v>252</v>
      </c>
      <c r="J4" s="230" t="s">
        <v>380</v>
      </c>
      <c r="K4" s="230" t="s">
        <v>380</v>
      </c>
      <c r="L4" s="230" t="s">
        <v>277</v>
      </c>
      <c r="M4" s="230" t="s">
        <v>277</v>
      </c>
      <c r="N4" s="230" t="s">
        <v>278</v>
      </c>
      <c r="O4" s="230" t="s">
        <v>7</v>
      </c>
      <c r="P4" s="230"/>
    </row>
    <row r="5" spans="2:16" x14ac:dyDescent="0.25">
      <c r="C5" s="227" t="s">
        <v>257</v>
      </c>
      <c r="D5" s="227" t="s">
        <v>258</v>
      </c>
      <c r="E5" s="227" t="s">
        <v>259</v>
      </c>
      <c r="F5" s="227" t="s">
        <v>263</v>
      </c>
      <c r="G5" s="227" t="s">
        <v>260</v>
      </c>
      <c r="H5" s="227" t="s">
        <v>261</v>
      </c>
      <c r="I5" s="227" t="s">
        <v>262</v>
      </c>
      <c r="J5" s="227" t="s">
        <v>279</v>
      </c>
      <c r="K5" s="227" t="s">
        <v>280</v>
      </c>
      <c r="L5" s="227" t="s">
        <v>279</v>
      </c>
      <c r="M5" s="227" t="s">
        <v>280</v>
      </c>
      <c r="N5" s="227" t="s">
        <v>268</v>
      </c>
      <c r="O5" s="227" t="s">
        <v>281</v>
      </c>
      <c r="P5" s="227" t="s">
        <v>282</v>
      </c>
    </row>
    <row r="6" spans="2:16" ht="47.25" x14ac:dyDescent="0.25">
      <c r="C6" s="281" t="s">
        <v>283</v>
      </c>
      <c r="D6" s="281" t="s">
        <v>284</v>
      </c>
      <c r="E6" s="281" t="s">
        <v>274</v>
      </c>
      <c r="F6" s="282">
        <v>2010</v>
      </c>
      <c r="G6" s="283">
        <v>295</v>
      </c>
      <c r="H6" s="283">
        <v>222430</v>
      </c>
      <c r="I6" s="284">
        <f t="shared" ref="I6:I15" si="0">+H6/G6</f>
        <v>754</v>
      </c>
      <c r="J6" s="285">
        <v>2600</v>
      </c>
      <c r="K6" s="286">
        <f t="shared" ref="K6:K15" si="1">+J6/$I6</f>
        <v>3.4482758620689653</v>
      </c>
      <c r="L6" s="285">
        <v>2555</v>
      </c>
      <c r="M6" s="286">
        <f t="shared" ref="M6:M15" si="2">+L6/$I6</f>
        <v>3.3885941644562334</v>
      </c>
      <c r="N6" s="287">
        <v>0.99</v>
      </c>
      <c r="O6" s="288">
        <f t="shared" ref="O6:O15" si="3">(J6-L6)/J6</f>
        <v>1.7307692307692309E-2</v>
      </c>
      <c r="P6" s="289" t="s">
        <v>285</v>
      </c>
    </row>
    <row r="7" spans="2:16" ht="31.5" x14ac:dyDescent="0.25">
      <c r="C7" s="281" t="s">
        <v>286</v>
      </c>
      <c r="D7" s="281" t="s">
        <v>287</v>
      </c>
      <c r="E7" s="281" t="s">
        <v>274</v>
      </c>
      <c r="F7" s="282">
        <v>2010</v>
      </c>
      <c r="G7" s="283">
        <v>94</v>
      </c>
      <c r="H7" s="283">
        <v>61100</v>
      </c>
      <c r="I7" s="284">
        <f t="shared" si="0"/>
        <v>650</v>
      </c>
      <c r="J7" s="290">
        <v>2310</v>
      </c>
      <c r="K7" s="291">
        <f t="shared" si="1"/>
        <v>3.5538461538461537</v>
      </c>
      <c r="L7" s="290">
        <v>2250</v>
      </c>
      <c r="M7" s="291">
        <f t="shared" si="2"/>
        <v>3.4615384615384617</v>
      </c>
      <c r="N7" s="287">
        <v>0.95</v>
      </c>
      <c r="O7" s="288">
        <f t="shared" si="3"/>
        <v>2.5974025974025976E-2</v>
      </c>
      <c r="P7" s="289" t="s">
        <v>288</v>
      </c>
    </row>
    <row r="8" spans="2:16" ht="47.25" x14ac:dyDescent="0.25">
      <c r="C8" s="281" t="s">
        <v>289</v>
      </c>
      <c r="D8" s="281" t="s">
        <v>290</v>
      </c>
      <c r="E8" s="281" t="s">
        <v>274</v>
      </c>
      <c r="F8" s="282">
        <v>2012</v>
      </c>
      <c r="G8" s="283">
        <v>107</v>
      </c>
      <c r="H8" s="283">
        <v>64414</v>
      </c>
      <c r="I8" s="284">
        <f t="shared" si="0"/>
        <v>602</v>
      </c>
      <c r="J8" s="290">
        <v>1850</v>
      </c>
      <c r="K8" s="291">
        <f t="shared" si="1"/>
        <v>3.0730897009966776</v>
      </c>
      <c r="L8" s="290">
        <v>1825</v>
      </c>
      <c r="M8" s="291">
        <f t="shared" si="2"/>
        <v>3.0315614617940199</v>
      </c>
      <c r="N8" s="287">
        <v>0.95</v>
      </c>
      <c r="O8" s="288">
        <f t="shared" si="3"/>
        <v>1.3513513513513514E-2</v>
      </c>
      <c r="P8" s="289" t="s">
        <v>291</v>
      </c>
    </row>
    <row r="9" spans="2:16" ht="31.5" x14ac:dyDescent="0.25">
      <c r="C9" s="281" t="s">
        <v>292</v>
      </c>
      <c r="D9" s="281" t="s">
        <v>293</v>
      </c>
      <c r="E9" s="281" t="s">
        <v>274</v>
      </c>
      <c r="F9" s="282">
        <v>2011</v>
      </c>
      <c r="G9" s="283">
        <v>117</v>
      </c>
      <c r="H9" s="283">
        <v>80561</v>
      </c>
      <c r="I9" s="284">
        <f t="shared" si="0"/>
        <v>688.55555555555554</v>
      </c>
      <c r="J9" s="290">
        <v>2500</v>
      </c>
      <c r="K9" s="291">
        <f t="shared" si="1"/>
        <v>3.6307890914958851</v>
      </c>
      <c r="L9" s="290">
        <v>2465</v>
      </c>
      <c r="M9" s="291">
        <f t="shared" si="2"/>
        <v>3.5799580442149428</v>
      </c>
      <c r="N9" s="287">
        <v>0.92</v>
      </c>
      <c r="O9" s="288">
        <f t="shared" si="3"/>
        <v>1.4E-2</v>
      </c>
      <c r="P9" s="289" t="s">
        <v>294</v>
      </c>
    </row>
    <row r="10" spans="2:16" ht="31.5" x14ac:dyDescent="0.25">
      <c r="C10" s="281" t="s">
        <v>295</v>
      </c>
      <c r="D10" s="281" t="s">
        <v>296</v>
      </c>
      <c r="E10" s="281" t="s">
        <v>274</v>
      </c>
      <c r="F10" s="282">
        <v>2008</v>
      </c>
      <c r="G10" s="283">
        <v>80</v>
      </c>
      <c r="H10" s="283">
        <v>48160</v>
      </c>
      <c r="I10" s="284">
        <f t="shared" si="0"/>
        <v>602</v>
      </c>
      <c r="J10" s="290">
        <v>2105</v>
      </c>
      <c r="K10" s="291">
        <f t="shared" si="1"/>
        <v>3.4966777408637872</v>
      </c>
      <c r="L10" s="290">
        <v>2065</v>
      </c>
      <c r="M10" s="291">
        <f t="shared" si="2"/>
        <v>3.4302325581395348</v>
      </c>
      <c r="N10" s="287">
        <v>0.95</v>
      </c>
      <c r="O10" s="288">
        <f t="shared" si="3"/>
        <v>1.9002375296912115E-2</v>
      </c>
      <c r="P10" s="289" t="s">
        <v>297</v>
      </c>
    </row>
    <row r="11" spans="2:16" ht="31.5" x14ac:dyDescent="0.25">
      <c r="C11" s="281" t="s">
        <v>298</v>
      </c>
      <c r="D11" s="281" t="s">
        <v>299</v>
      </c>
      <c r="E11" s="281" t="s">
        <v>274</v>
      </c>
      <c r="F11" s="282">
        <v>2009</v>
      </c>
      <c r="G11" s="283">
        <v>61</v>
      </c>
      <c r="H11" s="283">
        <v>45124</v>
      </c>
      <c r="I11" s="284">
        <f t="shared" si="0"/>
        <v>739.73770491803282</v>
      </c>
      <c r="J11" s="290">
        <v>2434</v>
      </c>
      <c r="K11" s="291">
        <f t="shared" si="1"/>
        <v>3.2903554649410514</v>
      </c>
      <c r="L11" s="290">
        <v>2378</v>
      </c>
      <c r="M11" s="291">
        <f t="shared" si="2"/>
        <v>3.2146529562982002</v>
      </c>
      <c r="N11" s="287">
        <v>0.93</v>
      </c>
      <c r="O11" s="288">
        <f t="shared" si="3"/>
        <v>2.3007395234182416E-2</v>
      </c>
      <c r="P11" s="289" t="s">
        <v>300</v>
      </c>
    </row>
    <row r="12" spans="2:16" ht="31.5" x14ac:dyDescent="0.25">
      <c r="C12" s="281" t="s">
        <v>301</v>
      </c>
      <c r="D12" s="281" t="s">
        <v>302</v>
      </c>
      <c r="E12" s="281" t="s">
        <v>274</v>
      </c>
      <c r="F12" s="282">
        <v>2012</v>
      </c>
      <c r="G12" s="283">
        <v>108</v>
      </c>
      <c r="H12" s="283">
        <v>76140</v>
      </c>
      <c r="I12" s="284">
        <f t="shared" si="0"/>
        <v>705</v>
      </c>
      <c r="J12" s="290">
        <v>2395</v>
      </c>
      <c r="K12" s="291">
        <f t="shared" si="1"/>
        <v>3.397163120567376</v>
      </c>
      <c r="L12" s="290">
        <v>2345</v>
      </c>
      <c r="M12" s="291">
        <f t="shared" si="2"/>
        <v>3.3262411347517729</v>
      </c>
      <c r="N12" s="287">
        <v>0.99</v>
      </c>
      <c r="O12" s="288">
        <f t="shared" si="3"/>
        <v>2.0876826722338204E-2</v>
      </c>
      <c r="P12" s="289" t="s">
        <v>303</v>
      </c>
    </row>
    <row r="13" spans="2:16" ht="31.5" x14ac:dyDescent="0.25">
      <c r="C13" s="281" t="s">
        <v>304</v>
      </c>
      <c r="D13" s="281" t="s">
        <v>305</v>
      </c>
      <c r="E13" s="281" t="s">
        <v>274</v>
      </c>
      <c r="F13" s="282">
        <v>2014</v>
      </c>
      <c r="G13" s="283">
        <v>108</v>
      </c>
      <c r="H13" s="283">
        <v>60800</v>
      </c>
      <c r="I13" s="284">
        <f t="shared" si="0"/>
        <v>562.96296296296293</v>
      </c>
      <c r="J13" s="290">
        <v>2295</v>
      </c>
      <c r="K13" s="291">
        <f t="shared" si="1"/>
        <v>4.0766447368421055</v>
      </c>
      <c r="L13" s="290">
        <v>2250</v>
      </c>
      <c r="M13" s="291">
        <f t="shared" si="2"/>
        <v>3.9967105263157898</v>
      </c>
      <c r="N13" s="287">
        <v>0.97</v>
      </c>
      <c r="O13" s="288">
        <f t="shared" si="3"/>
        <v>1.9607843137254902E-2</v>
      </c>
      <c r="P13" s="289" t="s">
        <v>306</v>
      </c>
    </row>
    <row r="14" spans="2:16" ht="31.5" x14ac:dyDescent="0.25">
      <c r="C14" s="281" t="s">
        <v>307</v>
      </c>
      <c r="D14" s="281" t="s">
        <v>308</v>
      </c>
      <c r="E14" s="281" t="s">
        <v>274</v>
      </c>
      <c r="F14" s="282">
        <v>2014</v>
      </c>
      <c r="G14" s="283">
        <v>92</v>
      </c>
      <c r="H14" s="283">
        <v>71213</v>
      </c>
      <c r="I14" s="284">
        <f t="shared" si="0"/>
        <v>774.054347826087</v>
      </c>
      <c r="J14" s="290">
        <v>2550</v>
      </c>
      <c r="K14" s="291">
        <f t="shared" si="1"/>
        <v>3.2943423251372641</v>
      </c>
      <c r="L14" s="290">
        <v>2495</v>
      </c>
      <c r="M14" s="291">
        <f t="shared" si="2"/>
        <v>3.2232878828303821</v>
      </c>
      <c r="N14" s="287">
        <v>0.95</v>
      </c>
      <c r="O14" s="288">
        <f t="shared" si="3"/>
        <v>2.1568627450980392E-2</v>
      </c>
      <c r="P14" s="289" t="s">
        <v>303</v>
      </c>
    </row>
    <row r="15" spans="2:16" ht="31.5" x14ac:dyDescent="0.25">
      <c r="C15" s="281" t="s">
        <v>272</v>
      </c>
      <c r="D15" s="281" t="s">
        <v>273</v>
      </c>
      <c r="E15" s="281" t="s">
        <v>274</v>
      </c>
      <c r="F15" s="282">
        <v>2014</v>
      </c>
      <c r="G15" s="283">
        <v>70</v>
      </c>
      <c r="H15" s="283">
        <v>56035</v>
      </c>
      <c r="I15" s="284">
        <f t="shared" si="0"/>
        <v>800.5</v>
      </c>
      <c r="J15" s="290">
        <v>2750</v>
      </c>
      <c r="K15" s="291">
        <f t="shared" si="1"/>
        <v>3.4353529044347284</v>
      </c>
      <c r="L15" s="290">
        <v>2700</v>
      </c>
      <c r="M15" s="291">
        <f t="shared" si="2"/>
        <v>3.3728919425359152</v>
      </c>
      <c r="N15" s="287">
        <v>0.98</v>
      </c>
      <c r="O15" s="288">
        <f t="shared" si="3"/>
        <v>1.8181818181818181E-2</v>
      </c>
      <c r="P15" s="289" t="s">
        <v>309</v>
      </c>
    </row>
    <row r="17" spans="3:16" x14ac:dyDescent="0.25">
      <c r="C17" s="261" t="s">
        <v>310</v>
      </c>
      <c r="D17" s="262"/>
      <c r="E17" s="262"/>
      <c r="F17" s="263">
        <f>AVERAGE(F6:F15)</f>
        <v>2011.4</v>
      </c>
      <c r="G17" s="264">
        <f>SUM(G6:G15)</f>
        <v>1132</v>
      </c>
      <c r="H17" s="264">
        <f>SUM(H6:H15)</f>
        <v>785977</v>
      </c>
      <c r="I17" s="264">
        <f>+H17/G17</f>
        <v>694.32597173144882</v>
      </c>
      <c r="J17" s="266">
        <f>SUMPRODUCT(G6:G15,J6:J15)/G17</f>
        <v>2407.3180212014136</v>
      </c>
      <c r="K17" s="265">
        <f>SUMPRODUCT(G6:G15,J6:J15)/H17</f>
        <v>3.4671294452636654</v>
      </c>
      <c r="L17" s="266">
        <f>SUMPRODUCT(G6:G15,L6:L15)/G17</f>
        <v>2362.1581272084804</v>
      </c>
      <c r="M17" s="265">
        <f>SUMPRODUCT(G6:G15,L6:L15)/H17</f>
        <v>3.4020881018146842</v>
      </c>
      <c r="N17" s="267">
        <f>SUMPRODUCT(G6:G15,N6:N15)/G17</f>
        <v>0.96382508833922254</v>
      </c>
      <c r="O17" s="268">
        <f>SUMPRODUCT(G6:G15,O6:O15)/G17</f>
        <v>1.8714046019757281E-2</v>
      </c>
    </row>
    <row r="19" spans="3:16" x14ac:dyDescent="0.25">
      <c r="C19" s="261" t="s">
        <v>275</v>
      </c>
      <c r="D19" s="262"/>
      <c r="E19" s="262"/>
      <c r="F19" s="263">
        <f>MEDIAN(F6:F15)</f>
        <v>2011.5</v>
      </c>
      <c r="G19" s="264">
        <f>MEDIAN(G6:G15)</f>
        <v>100.5</v>
      </c>
      <c r="H19" s="264">
        <f>MEDIAN(H6:H15)</f>
        <v>62757</v>
      </c>
      <c r="I19" s="264">
        <f>MEDIAN(I6:I15)</f>
        <v>696.77777777777783</v>
      </c>
      <c r="J19" s="266">
        <f t="shared" ref="J19:O19" si="4">MEDIAN(J6:J15)</f>
        <v>2414.5</v>
      </c>
      <c r="K19" s="265">
        <f t="shared" si="4"/>
        <v>3.4418143832518471</v>
      </c>
      <c r="L19" s="266">
        <f t="shared" si="4"/>
        <v>2361.5</v>
      </c>
      <c r="M19" s="265">
        <f t="shared" si="4"/>
        <v>3.3807430534960741</v>
      </c>
      <c r="N19" s="267">
        <f t="shared" si="4"/>
        <v>0.95</v>
      </c>
      <c r="O19" s="268">
        <f t="shared" si="4"/>
        <v>1.9305109217083508E-2</v>
      </c>
      <c r="P19" s="269"/>
    </row>
  </sheetData>
  <pageMargins left="0.7" right="0.7" top="0.75" bottom="0.75" header="0.3" footer="0.3"/>
  <pageSetup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H39"/>
  <sheetViews>
    <sheetView showGridLines="0" zoomScaleNormal="100" workbookViewId="0">
      <selection activeCell="B2" sqref="B2"/>
    </sheetView>
  </sheetViews>
  <sheetFormatPr defaultRowHeight="15.75" outlineLevelCol="1" x14ac:dyDescent="0.25"/>
  <cols>
    <col min="1" max="2" width="2.7109375" style="6" customWidth="1"/>
    <col min="3" max="3" width="35.42578125" style="6" bestFit="1" customWidth="1"/>
    <col min="4" max="4" width="19.140625" style="6" hidden="1" customWidth="1" outlineLevel="1"/>
    <col min="5" max="5" width="20.5703125" style="6" bestFit="1" customWidth="1" collapsed="1"/>
    <col min="6" max="6" width="10.85546875" style="6" bestFit="1" customWidth="1"/>
    <col min="7" max="7" width="10.7109375" style="6" customWidth="1"/>
    <col min="8" max="8" width="13.140625" style="6" bestFit="1" customWidth="1"/>
    <col min="9" max="10" width="2.7109375" style="6" customWidth="1"/>
    <col min="11" max="16384" width="9.140625" style="6"/>
  </cols>
  <sheetData>
    <row r="2" spans="2:8" x14ac:dyDescent="0.25">
      <c r="B2" s="225" t="s">
        <v>330</v>
      </c>
      <c r="C2" s="225"/>
      <c r="D2" s="225"/>
      <c r="E2" s="226"/>
      <c r="F2" s="226"/>
      <c r="G2" s="226"/>
      <c r="H2" s="226"/>
    </row>
    <row r="4" spans="2:8" x14ac:dyDescent="0.25">
      <c r="C4" s="227" t="s">
        <v>311</v>
      </c>
      <c r="D4" s="227"/>
      <c r="E4" s="227"/>
      <c r="F4" s="227"/>
      <c r="G4" s="227" t="s">
        <v>1</v>
      </c>
      <c r="H4" s="227" t="s">
        <v>312</v>
      </c>
    </row>
    <row r="5" spans="2:8" x14ac:dyDescent="0.25">
      <c r="C5" s="6" t="s">
        <v>313</v>
      </c>
      <c r="G5" s="228">
        <v>234</v>
      </c>
      <c r="H5" s="228">
        <v>186215</v>
      </c>
    </row>
    <row r="7" spans="2:8" x14ac:dyDescent="0.25">
      <c r="C7" s="229"/>
      <c r="D7" s="229"/>
      <c r="E7" s="229"/>
      <c r="F7" s="230" t="s">
        <v>314</v>
      </c>
      <c r="G7" s="230" t="s">
        <v>315</v>
      </c>
      <c r="H7" s="230" t="s">
        <v>316</v>
      </c>
    </row>
    <row r="8" spans="2:8" x14ac:dyDescent="0.25">
      <c r="C8" s="227" t="s">
        <v>317</v>
      </c>
      <c r="D8" s="227" t="s">
        <v>318</v>
      </c>
      <c r="E8" s="227" t="s">
        <v>319</v>
      </c>
      <c r="F8" s="227" t="s">
        <v>320</v>
      </c>
      <c r="G8" s="227" t="s">
        <v>266</v>
      </c>
      <c r="H8" s="227" t="s">
        <v>312</v>
      </c>
    </row>
    <row r="9" spans="2:8" x14ac:dyDescent="0.25">
      <c r="C9" s="63" t="s">
        <v>321</v>
      </c>
      <c r="D9" s="63"/>
      <c r="E9" s="231"/>
      <c r="F9" s="232"/>
      <c r="G9" s="134"/>
      <c r="H9" s="233"/>
    </row>
    <row r="10" spans="2:8" x14ac:dyDescent="0.25">
      <c r="C10" s="128" t="s">
        <v>364</v>
      </c>
      <c r="D10" s="128"/>
      <c r="E10" s="234">
        <v>22000000</v>
      </c>
      <c r="F10" s="232"/>
      <c r="G10" s="133">
        <f>+$E10/G$5</f>
        <v>94017.094017094016</v>
      </c>
      <c r="H10" s="235">
        <f>+$E10/H$5</f>
        <v>118.14300673952152</v>
      </c>
    </row>
    <row r="11" spans="2:8" x14ac:dyDescent="0.25">
      <c r="C11" s="128" t="s">
        <v>365</v>
      </c>
      <c r="D11" s="128"/>
      <c r="E11" s="231">
        <v>1700000</v>
      </c>
      <c r="F11" s="232"/>
      <c r="G11" s="134">
        <f t="shared" ref="G11:H11" si="0">+$E11/G$5</f>
        <v>7264.9572649572647</v>
      </c>
      <c r="H11" s="233">
        <f t="shared" si="0"/>
        <v>9.1292323389630265</v>
      </c>
    </row>
    <row r="12" spans="2:8" x14ac:dyDescent="0.25">
      <c r="C12" s="113" t="s">
        <v>322</v>
      </c>
      <c r="D12" s="113"/>
      <c r="E12" s="236">
        <f>SUM(E10:E11)</f>
        <v>23700000</v>
      </c>
      <c r="F12" s="237">
        <f>+E12/E$34</f>
        <v>0.24071836698609961</v>
      </c>
      <c r="G12" s="238">
        <f>SUM(G10:G11)</f>
        <v>101282.05128205128</v>
      </c>
      <c r="H12" s="239">
        <f>SUM(H10:H11)</f>
        <v>127.27223907848455</v>
      </c>
    </row>
    <row r="13" spans="2:8" x14ac:dyDescent="0.25">
      <c r="E13" s="231"/>
      <c r="F13" s="232"/>
      <c r="G13" s="134"/>
      <c r="H13" s="233"/>
    </row>
    <row r="14" spans="2:8" x14ac:dyDescent="0.25">
      <c r="C14" s="63" t="s">
        <v>323</v>
      </c>
      <c r="D14" s="63"/>
      <c r="E14" s="231"/>
      <c r="F14" s="232"/>
      <c r="G14" s="134"/>
      <c r="H14" s="233"/>
    </row>
    <row r="15" spans="2:8" x14ac:dyDescent="0.25">
      <c r="C15" s="128" t="s">
        <v>366</v>
      </c>
      <c r="D15" s="128"/>
      <c r="E15" s="231">
        <v>51035700</v>
      </c>
      <c r="F15" s="232"/>
      <c r="G15" s="134">
        <f t="shared" ref="G15:H17" si="1">+$E15/G$5</f>
        <v>218101.28205128206</v>
      </c>
      <c r="H15" s="233">
        <f t="shared" si="1"/>
        <v>274.068684048009</v>
      </c>
    </row>
    <row r="16" spans="2:8" x14ac:dyDescent="0.25">
      <c r="C16" s="128" t="s">
        <v>368</v>
      </c>
      <c r="D16" s="232">
        <v>0.03</v>
      </c>
      <c r="E16" s="240">
        <f>+D16*E$15</f>
        <v>1531071</v>
      </c>
      <c r="F16" s="232"/>
      <c r="G16" s="134">
        <f t="shared" si="1"/>
        <v>6543.0384615384619</v>
      </c>
      <c r="H16" s="233">
        <f t="shared" si="1"/>
        <v>8.2220605214402713</v>
      </c>
    </row>
    <row r="17" spans="3:8" x14ac:dyDescent="0.25">
      <c r="C17" s="128" t="s">
        <v>367</v>
      </c>
      <c r="D17" s="232">
        <v>0.05</v>
      </c>
      <c r="E17" s="240">
        <f t="shared" ref="E17" si="2">+D17*E$15</f>
        <v>2551785</v>
      </c>
      <c r="F17" s="232"/>
      <c r="G17" s="134">
        <f t="shared" si="1"/>
        <v>10905.064102564103</v>
      </c>
      <c r="H17" s="233">
        <f t="shared" si="1"/>
        <v>13.703434202400452</v>
      </c>
    </row>
    <row r="18" spans="3:8" x14ac:dyDescent="0.25">
      <c r="C18" s="113" t="s">
        <v>324</v>
      </c>
      <c r="D18" s="113"/>
      <c r="E18" s="236">
        <f>SUM(E15:E17)</f>
        <v>55118556</v>
      </c>
      <c r="F18" s="237">
        <f>+E18/E$34</f>
        <v>0.55983328231864482</v>
      </c>
      <c r="G18" s="238">
        <f>SUM(G15:G17)</f>
        <v>235549.38461538462</v>
      </c>
      <c r="H18" s="239">
        <f>SUM(H15:H17)</f>
        <v>295.9941787718497</v>
      </c>
    </row>
    <row r="20" spans="3:8" x14ac:dyDescent="0.25">
      <c r="C20" s="63" t="s">
        <v>325</v>
      </c>
      <c r="D20" s="63"/>
    </row>
    <row r="21" spans="3:8" x14ac:dyDescent="0.25">
      <c r="C21" s="128" t="s">
        <v>369</v>
      </c>
      <c r="D21" s="128"/>
      <c r="E21" s="231">
        <v>2495150</v>
      </c>
      <c r="F21" s="232"/>
      <c r="G21" s="134">
        <f t="shared" ref="G21:H29" si="3">+$E21/G$5</f>
        <v>10663.034188034188</v>
      </c>
      <c r="H21" s="233">
        <f t="shared" si="3"/>
        <v>13.399296512096234</v>
      </c>
    </row>
    <row r="22" spans="3:8" x14ac:dyDescent="0.25">
      <c r="C22" s="128" t="s">
        <v>370</v>
      </c>
      <c r="D22" s="128"/>
      <c r="E22" s="231">
        <v>600000</v>
      </c>
      <c r="F22" s="232"/>
      <c r="G22" s="134">
        <f t="shared" si="3"/>
        <v>2564.102564102564</v>
      </c>
      <c r="H22" s="233">
        <f t="shared" si="3"/>
        <v>3.2220820019869505</v>
      </c>
    </row>
    <row r="23" spans="3:8" x14ac:dyDescent="0.25">
      <c r="C23" s="128" t="s">
        <v>371</v>
      </c>
      <c r="D23" s="128"/>
      <c r="E23" s="231">
        <v>748000</v>
      </c>
      <c r="F23" s="232"/>
      <c r="G23" s="134">
        <f t="shared" si="3"/>
        <v>3196.5811965811968</v>
      </c>
      <c r="H23" s="233">
        <f t="shared" si="3"/>
        <v>4.0168622291437321</v>
      </c>
    </row>
    <row r="24" spans="3:8" x14ac:dyDescent="0.25">
      <c r="C24" s="128" t="s">
        <v>372</v>
      </c>
      <c r="D24" s="128"/>
      <c r="E24" s="231">
        <v>745123</v>
      </c>
      <c r="F24" s="232"/>
      <c r="G24" s="134">
        <f t="shared" si="3"/>
        <v>3184.2863247863247</v>
      </c>
      <c r="H24" s="233">
        <f t="shared" si="3"/>
        <v>4.0014123459442041</v>
      </c>
    </row>
    <row r="25" spans="3:8" x14ac:dyDescent="0.25">
      <c r="C25" s="128" t="s">
        <v>373</v>
      </c>
      <c r="D25" s="128"/>
      <c r="E25" s="231">
        <v>345178</v>
      </c>
      <c r="F25" s="232"/>
      <c r="G25" s="134">
        <f t="shared" si="3"/>
        <v>1475.1196581196582</v>
      </c>
      <c r="H25" s="233">
        <f t="shared" si="3"/>
        <v>1.8536530354697527</v>
      </c>
    </row>
    <row r="26" spans="3:8" x14ac:dyDescent="0.25">
      <c r="C26" s="128" t="s">
        <v>374</v>
      </c>
      <c r="D26" s="128"/>
      <c r="E26" s="231">
        <v>415415</v>
      </c>
      <c r="F26" s="232"/>
      <c r="G26" s="134">
        <f t="shared" si="3"/>
        <v>1775.2777777777778</v>
      </c>
      <c r="H26" s="233">
        <f t="shared" si="3"/>
        <v>2.2308353247590151</v>
      </c>
    </row>
    <row r="27" spans="3:8" x14ac:dyDescent="0.25">
      <c r="C27" s="128" t="s">
        <v>375</v>
      </c>
      <c r="D27" s="128"/>
      <c r="E27" s="231">
        <v>3589012</v>
      </c>
      <c r="F27" s="232"/>
      <c r="G27" s="134">
        <f t="shared" si="3"/>
        <v>15337.658119658119</v>
      </c>
      <c r="H27" s="233">
        <f t="shared" si="3"/>
        <v>19.273484950191982</v>
      </c>
    </row>
    <row r="28" spans="3:8" x14ac:dyDescent="0.25">
      <c r="C28" s="128" t="s">
        <v>368</v>
      </c>
      <c r="D28" s="128"/>
      <c r="E28" s="231">
        <v>1500000</v>
      </c>
      <c r="F28" s="232"/>
      <c r="G28" s="134">
        <f t="shared" si="3"/>
        <v>6410.2564102564102</v>
      </c>
      <c r="H28" s="233">
        <f t="shared" si="3"/>
        <v>8.0552050049673767</v>
      </c>
    </row>
    <row r="29" spans="3:8" x14ac:dyDescent="0.25">
      <c r="C29" s="128" t="s">
        <v>376</v>
      </c>
      <c r="D29" s="128"/>
      <c r="E29" s="231">
        <v>2415975</v>
      </c>
      <c r="F29" s="232"/>
      <c r="G29" s="134">
        <f t="shared" si="3"/>
        <v>10324.679487179486</v>
      </c>
      <c r="H29" s="233">
        <f t="shared" si="3"/>
        <v>12.974115941250705</v>
      </c>
    </row>
    <row r="30" spans="3:8" x14ac:dyDescent="0.25">
      <c r="C30" s="113" t="s">
        <v>326</v>
      </c>
      <c r="D30" s="113"/>
      <c r="E30" s="236">
        <f>SUM(E21:E29)</f>
        <v>12853853</v>
      </c>
      <c r="F30" s="237">
        <f>+E30/E$34</f>
        <v>0.13055521112402435</v>
      </c>
      <c r="G30" s="238">
        <f>SUM(G21:G29)</f>
        <v>54930.995726495719</v>
      </c>
      <c r="H30" s="239">
        <f>SUM(H21:H29)</f>
        <v>69.026947345809944</v>
      </c>
    </row>
    <row r="32" spans="3:8" x14ac:dyDescent="0.25">
      <c r="C32" s="63" t="s">
        <v>377</v>
      </c>
      <c r="D32" s="63"/>
      <c r="E32" s="241">
        <v>6782895</v>
      </c>
      <c r="F32" s="242">
        <f>+E32/E$34</f>
        <v>6.8893139571231221E-2</v>
      </c>
      <c r="G32" s="243">
        <f t="shared" ref="G32:H38" si="4">+$E32/G$5</f>
        <v>28986.73076923077</v>
      </c>
      <c r="H32" s="244">
        <f t="shared" si="4"/>
        <v>36.425073168112128</v>
      </c>
    </row>
    <row r="34" spans="3:8" x14ac:dyDescent="0.25">
      <c r="C34" s="245" t="s">
        <v>327</v>
      </c>
      <c r="D34" s="245"/>
      <c r="E34" s="246">
        <f>+E12+E18+E30+E32</f>
        <v>98455304</v>
      </c>
      <c r="F34" s="247">
        <f>+E34/E$34</f>
        <v>1</v>
      </c>
      <c r="G34" s="246">
        <f t="shared" si="4"/>
        <v>420749.16239316238</v>
      </c>
      <c r="H34" s="248">
        <f t="shared" si="4"/>
        <v>528.71843836425637</v>
      </c>
    </row>
    <row r="35" spans="3:8" x14ac:dyDescent="0.25">
      <c r="C35" s="249"/>
      <c r="D35" s="249"/>
      <c r="E35" s="250"/>
      <c r="F35" s="89"/>
      <c r="G35" s="250"/>
      <c r="H35" s="251"/>
    </row>
    <row r="36" spans="3:8" x14ac:dyDescent="0.25">
      <c r="C36" s="63" t="s">
        <v>328</v>
      </c>
      <c r="D36" s="232">
        <v>0.2</v>
      </c>
      <c r="E36" s="252">
        <f>+D36*E34</f>
        <v>19691060.800000001</v>
      </c>
      <c r="G36" s="243">
        <f t="shared" si="4"/>
        <v>84149.832478632481</v>
      </c>
      <c r="H36" s="244">
        <f t="shared" si="4"/>
        <v>105.74368767285128</v>
      </c>
    </row>
    <row r="37" spans="3:8" ht="16.5" thickBot="1" x14ac:dyDescent="0.3"/>
    <row r="38" spans="3:8" ht="17.25" thickTop="1" thickBot="1" x14ac:dyDescent="0.3">
      <c r="C38" s="253" t="s">
        <v>329</v>
      </c>
      <c r="D38" s="253"/>
      <c r="E38" s="254">
        <f>+E34+E36</f>
        <v>118146364.8</v>
      </c>
      <c r="F38" s="255"/>
      <c r="G38" s="254">
        <f t="shared" si="4"/>
        <v>504898.99487179489</v>
      </c>
      <c r="H38" s="256">
        <f t="shared" si="4"/>
        <v>634.46212603710762</v>
      </c>
    </row>
    <row r="39" spans="3:8" ht="16.5" thickTop="1" x14ac:dyDescent="0.25"/>
  </sheetData>
  <pageMargins left="0.7" right="0.7" top="0.75" bottom="0.75" header="0.3" footer="0.3"/>
  <pageSetup scale="54" orientation="portrait" r:id="rId1"/>
  <colBreaks count="1" manualBreakCount="1">
    <brk id="9" max="1048575" man="1"/>
  </colBreaks>
  <ignoredErrors>
    <ignoredError sqref="F12 F18 F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44</vt:i4>
      </vt:variant>
    </vt:vector>
  </HeadingPairs>
  <TitlesOfParts>
    <vt:vector size="48" baseType="lpstr">
      <vt:lpstr>Lyric-PF-DCF</vt:lpstr>
      <vt:lpstr>Comp-Sales</vt:lpstr>
      <vt:lpstr>Apt-Comps</vt:lpstr>
      <vt:lpstr>Replacement-Cost</vt:lpstr>
      <vt:lpstr>Apt_Units</vt:lpstr>
      <vt:lpstr>Cost_of_Equity</vt:lpstr>
      <vt:lpstr>Discount_Rate</vt:lpstr>
      <vt:lpstr>Entry_Fee_Pct</vt:lpstr>
      <vt:lpstr>Entry_Price</vt:lpstr>
      <vt:lpstr>Exit_Cap_Rate</vt:lpstr>
      <vt:lpstr>Exit_Fee_Pct</vt:lpstr>
      <vt:lpstr>Exit_Price</vt:lpstr>
      <vt:lpstr>Gross_SF</vt:lpstr>
      <vt:lpstr>Issuance_Fee</vt:lpstr>
      <vt:lpstr>Market_Scenario</vt:lpstr>
      <vt:lpstr>Mezz_Amount</vt:lpstr>
      <vt:lpstr>Mezz_Cash_Interest_Rate</vt:lpstr>
      <vt:lpstr>Mezz_LTV</vt:lpstr>
      <vt:lpstr>Mezz_Maturity</vt:lpstr>
      <vt:lpstr>Mezz_PIK_Interest_Rate</vt:lpstr>
      <vt:lpstr>Months</vt:lpstr>
      <vt:lpstr>Parking_Spots</vt:lpstr>
      <vt:lpstr>Pref_Amount</vt:lpstr>
      <vt:lpstr>Pref_Cash_Interest_Rate</vt:lpstr>
      <vt:lpstr>Pref_Equity_Pct</vt:lpstr>
      <vt:lpstr>Pref_LTV</vt:lpstr>
      <vt:lpstr>Pref_Maturity</vt:lpstr>
      <vt:lpstr>Pref_PIK_Interest_Rate</vt:lpstr>
      <vt:lpstr>Prepayment_Fee</vt:lpstr>
      <vt:lpstr>'Apt-Comps'!Print_Area</vt:lpstr>
      <vt:lpstr>'Comp-Sales'!Print_Area</vt:lpstr>
      <vt:lpstr>'Lyric-PF-DCF'!Print_Area</vt:lpstr>
      <vt:lpstr>'Replacement-Cost'!Print_Area</vt:lpstr>
      <vt:lpstr>Prop_Mgmt_Fee</vt:lpstr>
      <vt:lpstr>Property_Name</vt:lpstr>
      <vt:lpstr>Purchase_Cap_Rate</vt:lpstr>
      <vt:lpstr>Rentable_SF</vt:lpstr>
      <vt:lpstr>RSF_per_Unit</vt:lpstr>
      <vt:lpstr>Sale_Date</vt:lpstr>
      <vt:lpstr>Senior_Loan</vt:lpstr>
      <vt:lpstr>Senior_Loan_Amort_Period</vt:lpstr>
      <vt:lpstr>Senior_Loan_IO_Period</vt:lpstr>
      <vt:lpstr>Senior_Loan_LIBOR_Floor</vt:lpstr>
      <vt:lpstr>Senior_Loan_LIBOR_Spread</vt:lpstr>
      <vt:lpstr>Senior_Loan_Maturity</vt:lpstr>
      <vt:lpstr>Senior_LTV</vt:lpstr>
      <vt:lpstr>Start_Date</vt:lpstr>
      <vt:lpstr>Terminal_Growth_Rate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BIWS</dc:creator>
  <cp:lastModifiedBy>BIWS</cp:lastModifiedBy>
  <dcterms:created xsi:type="dcterms:W3CDTF">2015-04-15T02:33:42Z</dcterms:created>
  <dcterms:modified xsi:type="dcterms:W3CDTF">2018-02-08T12:09:58Z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gmt_Fee" linkTarget="Prop_Mgmt_Fee">
    <vt:r8>0.03</vt:r8>
  </property>
</Properties>
</file>