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Dropbox (BIWS)\BIWS-All-Courses\80-Real-Estate-2017-2018-Edition\RE-03-Hotel-Acquisition-Renovation\"/>
    </mc:Choice>
  </mc:AlternateContent>
  <bookViews>
    <workbookView xWindow="0" yWindow="0" windowWidth="23040" windowHeight="10665"/>
  </bookViews>
  <sheets>
    <sheet name="Hotel-Pro-Forma" sheetId="1" r:id="rId1"/>
  </sheets>
  <definedNames>
    <definedName name="Acq_Loan">'Hotel-Pro-Forma'!$E$53</definedName>
    <definedName name="Acq_Loan_Amort_Period">'Hotel-Pro-Forma'!$E$55</definedName>
    <definedName name="Acq_Loan_Interest_Rate">'Hotel-Pro-Forma'!$E$54</definedName>
    <definedName name="Acq_Loan_Term">'Hotel-Pro-Forma'!$E$56</definedName>
    <definedName name="Acq_LTV">'Hotel-Pro-Forma'!$E$52</definedName>
    <definedName name="Entry_Fee_Pct">'Hotel-Pro-Forma'!$E$49</definedName>
    <definedName name="Entry_Price">'Hotel-Pro-Forma'!$E$46</definedName>
    <definedName name="Exit_Cap_Rate">'Hotel-Pro-Forma'!$E$60</definedName>
    <definedName name="Exit_Fee_Pct">'Hotel-Pro-Forma'!$E$64</definedName>
    <definedName name="Exit_Price">'Hotel-Pro-Forma'!$E$62</definedName>
    <definedName name="FB_Margin">'Hotel-Pro-Forma'!$E$30</definedName>
    <definedName name="Franchise_Fee_Pct">'Hotel-Pro-Forma'!$E$25</definedName>
    <definedName name="GP_Name">'Hotel-Pro-Forma'!$E$46</definedName>
    <definedName name="Incentive_Fee_Pct">'Hotel-Pro-Forma'!$E$27</definedName>
    <definedName name="Keys">'Hotel-Pro-Forma'!$E$12</definedName>
    <definedName name="Loan_Fees">'Hotel-Pro-Forma'!$E$50</definedName>
    <definedName name="Market_Scenario">'Hotel-Pro-Forma'!$E$16</definedName>
    <definedName name="Mezzanine">'Hotel-Pro-Forma'!$K$54</definedName>
    <definedName name="Mezzanine_Cash_Interest">'Hotel-Pro-Forma'!$K$56</definedName>
    <definedName name="Mezzanine_LTV">'Hotel-Pro-Forma'!$K$53</definedName>
    <definedName name="Mezzanine_PIK_Interest">'Hotel-Pro-Forma'!$K$57</definedName>
    <definedName name="Mgmt_Fee_Pct">'Hotel-Pro-Forma'!$E$24</definedName>
    <definedName name="Months">'Hotel-Pro-Forma'!$E$11</definedName>
    <definedName name="NOI_Margin_Hurdle">'Hotel-Pro-Forma'!$E$26</definedName>
    <definedName name="Op_Scenario">'Hotel-Pro-Forma'!$E$17</definedName>
    <definedName name="Other_Margin">'Hotel-Pro-Forma'!$E$31</definedName>
    <definedName name="Perm_Loan_Fees">'Hotel-Pro-Forma'!$K$44</definedName>
    <definedName name="_xlnm.Print_Area" localSheetId="0">'Hotel-Pro-Forma'!$A$1:$M$278</definedName>
    <definedName name="Prop_ADR_Pct">'Hotel-Pro-Forma'!$E$21</definedName>
    <definedName name="Prop_Occ_Pct">'Hotel-Pro-Forma'!$E$20</definedName>
    <definedName name="Property_Name">'Hotel-Pro-Forma'!$E$7</definedName>
    <definedName name="Renovation_End">'Hotel-Pro-Forma'!$E$14</definedName>
    <definedName name="Renovation_per_Room">'Hotel-Pro-Forma'!$E$22</definedName>
    <definedName name="Renovation_Years">'Hotel-Pro-Forma'!$E$13</definedName>
    <definedName name="Room_Margin">'Hotel-Pro-Forma'!$E$29</definedName>
    <definedName name="Sale_Date">'Hotel-Pro-Forma'!$E$59</definedName>
    <definedName name="Senior_Loan">'Hotel-Pro-Forma'!$K$47</definedName>
    <definedName name="Senior_Loan_Amort_Period">'Hotel-Pro-Forma'!$K$50</definedName>
    <definedName name="Senior_Loan_Interest_Rate">'Hotel-Pro-Forma'!$K$49</definedName>
    <definedName name="Senior_Loan_LTV">'Hotel-Pro-Forma'!$K$46</definedName>
    <definedName name="Start_Date">'Hotel-Pro-Forma'!$E$42</definedName>
  </definedNames>
  <calcPr calcId="162913" iterate="1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6" i="1" l="1"/>
  <c r="E21" i="1"/>
  <c r="E20" i="1"/>
  <c r="K81" i="1"/>
  <c r="K93" i="1"/>
  <c r="K117" i="1"/>
  <c r="G89" i="1"/>
  <c r="G83" i="1"/>
  <c r="H89" i="1"/>
  <c r="H83" i="1"/>
  <c r="I89" i="1"/>
  <c r="I83" i="1"/>
  <c r="J89" i="1"/>
  <c r="J83" i="1"/>
  <c r="K89" i="1"/>
  <c r="K83" i="1"/>
  <c r="K94" i="1"/>
  <c r="K135" i="1"/>
  <c r="G101" i="1"/>
  <c r="G119" i="1"/>
  <c r="H101" i="1"/>
  <c r="H119" i="1"/>
  <c r="I101" i="1"/>
  <c r="I119" i="1"/>
  <c r="J101" i="1"/>
  <c r="J119" i="1"/>
  <c r="K101" i="1"/>
  <c r="K119" i="1"/>
  <c r="K136" i="1"/>
  <c r="G120" i="1"/>
  <c r="H120" i="1"/>
  <c r="I120" i="1"/>
  <c r="J120" i="1"/>
  <c r="K120" i="1"/>
  <c r="K137" i="1"/>
  <c r="K138" i="1"/>
  <c r="E29" i="1"/>
  <c r="K141" i="1"/>
  <c r="E30" i="1"/>
  <c r="K142" i="1"/>
  <c r="E31" i="1"/>
  <c r="K143" i="1"/>
  <c r="K144" i="1"/>
  <c r="K146" i="1"/>
  <c r="E33" i="1"/>
  <c r="K150" i="1"/>
  <c r="E34" i="1"/>
  <c r="K151" i="1"/>
  <c r="E35" i="1"/>
  <c r="K152" i="1"/>
  <c r="E25" i="1"/>
  <c r="K153" i="1"/>
  <c r="E24" i="1"/>
  <c r="K154" i="1"/>
  <c r="G107" i="1"/>
  <c r="G122" i="1"/>
  <c r="H107" i="1"/>
  <c r="H122" i="1"/>
  <c r="I107" i="1"/>
  <c r="I122" i="1"/>
  <c r="J107" i="1"/>
  <c r="J122" i="1"/>
  <c r="K107" i="1"/>
  <c r="K122" i="1"/>
  <c r="K155" i="1"/>
  <c r="K156" i="1"/>
  <c r="K158" i="1"/>
  <c r="G123" i="1"/>
  <c r="H123" i="1"/>
  <c r="I123" i="1"/>
  <c r="J123" i="1"/>
  <c r="K123" i="1"/>
  <c r="K162" i="1"/>
  <c r="G124" i="1"/>
  <c r="H124" i="1"/>
  <c r="I124" i="1"/>
  <c r="J124" i="1"/>
  <c r="K124" i="1"/>
  <c r="K163" i="1"/>
  <c r="E37" i="1"/>
  <c r="F125" i="1"/>
  <c r="G125" i="1"/>
  <c r="H125" i="1"/>
  <c r="I125" i="1"/>
  <c r="J125" i="1"/>
  <c r="K125" i="1"/>
  <c r="K164" i="1"/>
  <c r="G127" i="1"/>
  <c r="H127" i="1"/>
  <c r="I127" i="1"/>
  <c r="J127" i="1"/>
  <c r="K127" i="1"/>
  <c r="K165" i="1"/>
  <c r="K166" i="1"/>
  <c r="K168" i="1"/>
  <c r="K169" i="1"/>
  <c r="E26" i="1"/>
  <c r="E27" i="1"/>
  <c r="K171" i="1"/>
  <c r="K174" i="1"/>
  <c r="I81" i="1"/>
  <c r="I93" i="1"/>
  <c r="I117" i="1"/>
  <c r="I94" i="1"/>
  <c r="I135" i="1"/>
  <c r="I136" i="1"/>
  <c r="I137" i="1"/>
  <c r="I138" i="1"/>
  <c r="I141" i="1"/>
  <c r="I142" i="1"/>
  <c r="I143" i="1"/>
  <c r="I144" i="1"/>
  <c r="I146" i="1"/>
  <c r="I150" i="1"/>
  <c r="I151" i="1"/>
  <c r="I152" i="1"/>
  <c r="I153" i="1"/>
  <c r="I154" i="1"/>
  <c r="I155" i="1"/>
  <c r="I156" i="1"/>
  <c r="I158" i="1"/>
  <c r="I162" i="1"/>
  <c r="I163" i="1"/>
  <c r="I164" i="1"/>
  <c r="I165" i="1"/>
  <c r="I166" i="1"/>
  <c r="I168" i="1"/>
  <c r="H202" i="1"/>
  <c r="H206" i="1"/>
  <c r="H208" i="1"/>
  <c r="K43" i="1"/>
  <c r="K47" i="1"/>
  <c r="K177" i="1"/>
  <c r="G213" i="1"/>
  <c r="G188" i="1"/>
  <c r="H184" i="1"/>
  <c r="K54" i="1"/>
  <c r="H213" i="1"/>
  <c r="H188" i="1"/>
  <c r="I184" i="1"/>
  <c r="I213" i="1"/>
  <c r="I188" i="1"/>
  <c r="J184" i="1"/>
  <c r="J213" i="1"/>
  <c r="J188" i="1"/>
  <c r="K178" i="1"/>
  <c r="K179" i="1"/>
  <c r="K181" i="1"/>
  <c r="K216" i="1"/>
  <c r="J81" i="1"/>
  <c r="J93" i="1"/>
  <c r="J117" i="1"/>
  <c r="J94" i="1"/>
  <c r="J135" i="1"/>
  <c r="J136" i="1"/>
  <c r="J137" i="1"/>
  <c r="J138" i="1"/>
  <c r="J141" i="1"/>
  <c r="J142" i="1"/>
  <c r="J143" i="1"/>
  <c r="J144" i="1"/>
  <c r="J146" i="1"/>
  <c r="J150" i="1"/>
  <c r="J151" i="1"/>
  <c r="J152" i="1"/>
  <c r="J153" i="1"/>
  <c r="J154" i="1"/>
  <c r="J155" i="1"/>
  <c r="J156" i="1"/>
  <c r="J158" i="1"/>
  <c r="J162" i="1"/>
  <c r="J163" i="1"/>
  <c r="J164" i="1"/>
  <c r="J165" i="1"/>
  <c r="J166" i="1"/>
  <c r="J168" i="1"/>
  <c r="J169" i="1"/>
  <c r="J171" i="1"/>
  <c r="J174" i="1"/>
  <c r="J177" i="1"/>
  <c r="J178" i="1"/>
  <c r="J179" i="1"/>
  <c r="J181" i="1"/>
  <c r="J216" i="1"/>
  <c r="I169" i="1"/>
  <c r="I171" i="1"/>
  <c r="I174" i="1"/>
  <c r="I177" i="1"/>
  <c r="I178" i="1"/>
  <c r="I179" i="1"/>
  <c r="I181" i="1"/>
  <c r="I216" i="1"/>
  <c r="H81" i="1"/>
  <c r="H93" i="1"/>
  <c r="H117" i="1"/>
  <c r="H94" i="1"/>
  <c r="H135" i="1"/>
  <c r="H136" i="1"/>
  <c r="H137" i="1"/>
  <c r="H138" i="1"/>
  <c r="H141" i="1"/>
  <c r="H142" i="1"/>
  <c r="H143" i="1"/>
  <c r="H144" i="1"/>
  <c r="H146" i="1"/>
  <c r="H150" i="1"/>
  <c r="H151" i="1"/>
  <c r="H152" i="1"/>
  <c r="H153" i="1"/>
  <c r="H154" i="1"/>
  <c r="H155" i="1"/>
  <c r="H156" i="1"/>
  <c r="H158" i="1"/>
  <c r="H162" i="1"/>
  <c r="H163" i="1"/>
  <c r="H164" i="1"/>
  <c r="H165" i="1"/>
  <c r="H166" i="1"/>
  <c r="H168" i="1"/>
  <c r="H169" i="1"/>
  <c r="H171" i="1"/>
  <c r="E22" i="1"/>
  <c r="H113" i="1"/>
  <c r="H172" i="1"/>
  <c r="H174" i="1"/>
  <c r="H177" i="1"/>
  <c r="H178" i="1"/>
  <c r="H179" i="1"/>
  <c r="H181" i="1"/>
  <c r="H216" i="1"/>
  <c r="G81" i="1"/>
  <c r="G93" i="1"/>
  <c r="G117" i="1"/>
  <c r="G94" i="1"/>
  <c r="G135" i="1"/>
  <c r="G136" i="1"/>
  <c r="G137" i="1"/>
  <c r="G138" i="1"/>
  <c r="G141" i="1"/>
  <c r="G142" i="1"/>
  <c r="G143" i="1"/>
  <c r="G144" i="1"/>
  <c r="G146" i="1"/>
  <c r="G150" i="1"/>
  <c r="G151" i="1"/>
  <c r="G152" i="1"/>
  <c r="G153" i="1"/>
  <c r="G154" i="1"/>
  <c r="G155" i="1"/>
  <c r="G156" i="1"/>
  <c r="G158" i="1"/>
  <c r="G162" i="1"/>
  <c r="G163" i="1"/>
  <c r="G164" i="1"/>
  <c r="G165" i="1"/>
  <c r="G166" i="1"/>
  <c r="G168" i="1"/>
  <c r="G169" i="1"/>
  <c r="G171" i="1"/>
  <c r="G113" i="1"/>
  <c r="G172" i="1"/>
  <c r="G174" i="1"/>
  <c r="G177" i="1"/>
  <c r="G179" i="1"/>
  <c r="G181" i="1"/>
  <c r="G216" i="1"/>
  <c r="C86" i="1"/>
  <c r="F268" i="1"/>
  <c r="G268" i="1"/>
  <c r="H268" i="1"/>
  <c r="I268" i="1"/>
  <c r="J268" i="1"/>
  <c r="K268" i="1"/>
  <c r="L268" i="1"/>
  <c r="D270" i="1"/>
  <c r="D271" i="1"/>
  <c r="D272" i="1"/>
  <c r="D273" i="1"/>
  <c r="D274" i="1"/>
  <c r="D275" i="1"/>
  <c r="D276" i="1"/>
  <c r="D277" i="1"/>
  <c r="F256" i="1"/>
  <c r="G256" i="1"/>
  <c r="H256" i="1"/>
  <c r="I256" i="1"/>
  <c r="J256" i="1"/>
  <c r="K256" i="1"/>
  <c r="L256" i="1"/>
  <c r="D258" i="1"/>
  <c r="D259" i="1"/>
  <c r="D260" i="1"/>
  <c r="D261" i="1"/>
  <c r="D262" i="1"/>
  <c r="D263" i="1"/>
  <c r="D264" i="1"/>
  <c r="D265" i="1"/>
  <c r="D246" i="1"/>
  <c r="D247" i="1"/>
  <c r="D248" i="1"/>
  <c r="D249" i="1"/>
  <c r="D250" i="1"/>
  <c r="D251" i="1"/>
  <c r="D252" i="1"/>
  <c r="D253" i="1"/>
  <c r="D234" i="1"/>
  <c r="D235" i="1"/>
  <c r="D236" i="1"/>
  <c r="D237" i="1"/>
  <c r="D238" i="1"/>
  <c r="D239" i="1"/>
  <c r="D240" i="1"/>
  <c r="D241" i="1"/>
  <c r="F244" i="1"/>
  <c r="G244" i="1"/>
  <c r="H244" i="1"/>
  <c r="I244" i="1"/>
  <c r="J244" i="1"/>
  <c r="K244" i="1"/>
  <c r="L244" i="1"/>
  <c r="F232" i="1"/>
  <c r="G232" i="1"/>
  <c r="H232" i="1"/>
  <c r="I232" i="1"/>
  <c r="J232" i="1"/>
  <c r="K232" i="1"/>
  <c r="L232" i="1"/>
  <c r="F110" i="1"/>
  <c r="G110" i="1"/>
  <c r="G200" i="1"/>
  <c r="E14" i="1"/>
  <c r="G212" i="1"/>
  <c r="G214" i="1"/>
  <c r="G115" i="1"/>
  <c r="G116" i="1"/>
  <c r="C98" i="1"/>
  <c r="G132" i="1"/>
  <c r="C104" i="1"/>
  <c r="G178" i="1"/>
  <c r="G217" i="1"/>
  <c r="G218" i="1"/>
  <c r="G219" i="1"/>
  <c r="G215" i="1"/>
  <c r="G220" i="1"/>
  <c r="H110" i="1"/>
  <c r="I110" i="1"/>
  <c r="I115" i="1"/>
  <c r="I116" i="1"/>
  <c r="I132" i="1"/>
  <c r="K42" i="1"/>
  <c r="H200" i="1"/>
  <c r="H212" i="1"/>
  <c r="H214" i="1"/>
  <c r="H115" i="1"/>
  <c r="H116" i="1"/>
  <c r="H132" i="1"/>
  <c r="H217" i="1"/>
  <c r="H218" i="1"/>
  <c r="H219" i="1"/>
  <c r="F115" i="1"/>
  <c r="F116" i="1"/>
  <c r="F117" i="1"/>
  <c r="F135" i="1"/>
  <c r="F136" i="1"/>
  <c r="F137" i="1"/>
  <c r="F138" i="1"/>
  <c r="F144" i="1"/>
  <c r="F146" i="1"/>
  <c r="F156" i="1"/>
  <c r="F158" i="1"/>
  <c r="F166" i="1"/>
  <c r="F168" i="1"/>
  <c r="E46" i="1"/>
  <c r="E53" i="1"/>
  <c r="F186" i="1"/>
  <c r="G183" i="1"/>
  <c r="G186" i="1"/>
  <c r="H183" i="1"/>
  <c r="H215" i="1"/>
  <c r="H211" i="1"/>
  <c r="H220" i="1"/>
  <c r="I200" i="1"/>
  <c r="I212" i="1"/>
  <c r="I214" i="1"/>
  <c r="I172" i="1"/>
  <c r="I129" i="1"/>
  <c r="G184" i="1"/>
  <c r="I202" i="1"/>
  <c r="I206" i="1"/>
  <c r="I208" i="1"/>
  <c r="I217" i="1"/>
  <c r="I218" i="1"/>
  <c r="G187" i="1"/>
  <c r="H187" i="1"/>
  <c r="I187" i="1"/>
  <c r="H186" i="1"/>
  <c r="I215" i="1"/>
  <c r="I183" i="1"/>
  <c r="I186" i="1"/>
  <c r="I189" i="1"/>
  <c r="I219" i="1"/>
  <c r="I211" i="1"/>
  <c r="I220" i="1"/>
  <c r="J110" i="1"/>
  <c r="J200" i="1"/>
  <c r="J212" i="1"/>
  <c r="J214" i="1"/>
  <c r="J115" i="1"/>
  <c r="J116" i="1"/>
  <c r="J132" i="1"/>
  <c r="J172" i="1"/>
  <c r="J129" i="1"/>
  <c r="J217" i="1"/>
  <c r="J218" i="1"/>
  <c r="J219" i="1"/>
  <c r="J215" i="1"/>
  <c r="J211" i="1"/>
  <c r="J220" i="1"/>
  <c r="K110" i="1"/>
  <c r="K200" i="1"/>
  <c r="K212" i="1"/>
  <c r="K213" i="1"/>
  <c r="K214" i="1"/>
  <c r="K115" i="1"/>
  <c r="K116" i="1"/>
  <c r="K132" i="1"/>
  <c r="K172" i="1"/>
  <c r="K129" i="1"/>
  <c r="L81" i="1"/>
  <c r="L93" i="1"/>
  <c r="L110" i="1"/>
  <c r="L115" i="1"/>
  <c r="L116" i="1"/>
  <c r="L117" i="1"/>
  <c r="L89" i="1"/>
  <c r="L83" i="1"/>
  <c r="L94" i="1"/>
  <c r="L135" i="1"/>
  <c r="L101" i="1"/>
  <c r="L119" i="1"/>
  <c r="L136" i="1"/>
  <c r="L120" i="1"/>
  <c r="L137" i="1"/>
  <c r="L138" i="1"/>
  <c r="L141" i="1"/>
  <c r="L142" i="1"/>
  <c r="L143" i="1"/>
  <c r="L144" i="1"/>
  <c r="L146" i="1"/>
  <c r="L150" i="1"/>
  <c r="L151" i="1"/>
  <c r="L152" i="1"/>
  <c r="L132" i="1"/>
  <c r="L153" i="1"/>
  <c r="L154" i="1"/>
  <c r="L107" i="1"/>
  <c r="L122" i="1"/>
  <c r="L155" i="1"/>
  <c r="L156" i="1"/>
  <c r="L158" i="1"/>
  <c r="L125" i="1"/>
  <c r="L164" i="1"/>
  <c r="L123" i="1"/>
  <c r="L162" i="1"/>
  <c r="L124" i="1"/>
  <c r="L163" i="1"/>
  <c r="L127" i="1"/>
  <c r="L165" i="1"/>
  <c r="L166" i="1"/>
  <c r="L168" i="1"/>
  <c r="K202" i="1"/>
  <c r="K208" i="1"/>
  <c r="K217" i="1"/>
  <c r="K218" i="1"/>
  <c r="J187" i="1"/>
  <c r="K187" i="1"/>
  <c r="K184" i="1"/>
  <c r="K188" i="1"/>
  <c r="J183" i="1"/>
  <c r="J186" i="1"/>
  <c r="K215" i="1"/>
  <c r="K183" i="1"/>
  <c r="K186" i="1"/>
  <c r="K189" i="1"/>
  <c r="K219" i="1"/>
  <c r="K211" i="1"/>
  <c r="K220" i="1"/>
  <c r="K71" i="1"/>
  <c r="K69" i="1"/>
  <c r="K70" i="1"/>
  <c r="K72" i="1"/>
  <c r="E69" i="1"/>
  <c r="E70" i="1"/>
  <c r="F211" i="1"/>
  <c r="F220" i="1"/>
  <c r="F222" i="1"/>
  <c r="D268" i="1"/>
  <c r="D256" i="1"/>
  <c r="D244" i="1"/>
  <c r="D232" i="1"/>
  <c r="I9" i="1"/>
  <c r="F225" i="1"/>
  <c r="H227" i="1"/>
  <c r="I227" i="1"/>
  <c r="J227" i="1"/>
  <c r="K227" i="1"/>
  <c r="G227" i="1"/>
  <c r="F224" i="1"/>
  <c r="F226" i="1"/>
  <c r="H193" i="1"/>
  <c r="I193" i="1"/>
  <c r="J193" i="1"/>
  <c r="K193" i="1"/>
  <c r="H194" i="1"/>
  <c r="I194" i="1"/>
  <c r="J194" i="1"/>
  <c r="K194" i="1"/>
  <c r="H196" i="1"/>
  <c r="I196" i="1"/>
  <c r="J196" i="1"/>
  <c r="K196" i="1"/>
  <c r="H197" i="1"/>
  <c r="I197" i="1"/>
  <c r="J197" i="1"/>
  <c r="K197" i="1"/>
  <c r="G197" i="1"/>
  <c r="G196" i="1"/>
  <c r="G194" i="1"/>
  <c r="G193" i="1"/>
  <c r="K191" i="1"/>
  <c r="J191" i="1"/>
  <c r="I191" i="1"/>
  <c r="H191" i="1"/>
  <c r="G191" i="1"/>
  <c r="L129" i="1"/>
  <c r="H129" i="1"/>
  <c r="G129" i="1"/>
  <c r="F132" i="1"/>
  <c r="F129" i="1"/>
  <c r="J189" i="1"/>
  <c r="H189" i="1"/>
  <c r="G189" i="1"/>
  <c r="F189" i="1"/>
  <c r="E71" i="1"/>
  <c r="G202" i="1"/>
  <c r="J202" i="1"/>
  <c r="G206" i="1"/>
  <c r="J206" i="1"/>
  <c r="G208" i="1"/>
  <c r="J208" i="1"/>
  <c r="E62" i="1"/>
  <c r="E63" i="1"/>
  <c r="E60" i="1"/>
  <c r="F206" i="1"/>
  <c r="E47" i="1"/>
  <c r="L169" i="1"/>
  <c r="L171" i="1"/>
  <c r="L172" i="1"/>
  <c r="L174" i="1"/>
  <c r="G175" i="1"/>
  <c r="H175" i="1"/>
  <c r="I175" i="1"/>
  <c r="J175" i="1"/>
  <c r="K175" i="1"/>
  <c r="L175" i="1"/>
  <c r="F169" i="1"/>
  <c r="F171" i="1"/>
  <c r="F172" i="1"/>
  <c r="F174" i="1"/>
  <c r="F175" i="1"/>
  <c r="G159" i="1"/>
  <c r="H159" i="1"/>
  <c r="I159" i="1"/>
  <c r="J159" i="1"/>
  <c r="K159" i="1"/>
  <c r="L159" i="1"/>
  <c r="F159" i="1"/>
  <c r="G147" i="1"/>
  <c r="H147" i="1"/>
  <c r="I147" i="1"/>
  <c r="J147" i="1"/>
  <c r="K147" i="1"/>
  <c r="L147" i="1"/>
  <c r="F147" i="1"/>
  <c r="L95" i="1"/>
  <c r="K95" i="1"/>
  <c r="J95" i="1"/>
  <c r="I95" i="1"/>
  <c r="H95" i="1"/>
  <c r="G95" i="1"/>
  <c r="F95" i="1"/>
  <c r="G91" i="1"/>
  <c r="H91" i="1"/>
  <c r="I91" i="1"/>
  <c r="J91" i="1"/>
  <c r="K91" i="1"/>
  <c r="L91" i="1"/>
  <c r="F81" i="1"/>
  <c r="F91" i="1"/>
  <c r="F107" i="1"/>
  <c r="F101" i="1"/>
  <c r="F89" i="1"/>
  <c r="I21" i="1"/>
  <c r="J20" i="1"/>
  <c r="L21" i="1"/>
  <c r="K21" i="1"/>
  <c r="J21" i="1"/>
  <c r="L15" i="1"/>
  <c r="K15" i="1"/>
  <c r="J15" i="1"/>
  <c r="I18" i="1"/>
  <c r="I17" i="1"/>
  <c r="I16" i="1"/>
  <c r="I15" i="1"/>
  <c r="C87" i="1"/>
  <c r="C99" i="1"/>
  <c r="C105" i="1"/>
  <c r="C100" i="1"/>
  <c r="C106" i="1"/>
  <c r="C88" i="1"/>
  <c r="F75" i="1"/>
  <c r="G75" i="1"/>
  <c r="H75" i="1"/>
  <c r="I75" i="1"/>
  <c r="J75" i="1"/>
  <c r="K75" i="1"/>
  <c r="L75" i="1"/>
  <c r="D75" i="1"/>
  <c r="F200" i="1"/>
  <c r="G199" i="1"/>
  <c r="F199" i="1"/>
  <c r="G131" i="1"/>
  <c r="L131" i="1"/>
  <c r="F131" i="1"/>
  <c r="D110" i="1"/>
  <c r="D132" i="1"/>
  <c r="B2" i="1"/>
  <c r="J39" i="1"/>
  <c r="D200" i="1"/>
  <c r="G69" i="1"/>
  <c r="D39" i="1"/>
</calcChain>
</file>

<file path=xl/comments1.xml><?xml version="1.0" encoding="utf-8"?>
<comments xmlns="http://schemas.openxmlformats.org/spreadsheetml/2006/main">
  <authors>
    <author>BIWS</author>
  </authors>
  <commentList>
    <comment ref="E49" authorId="0" shapeId="0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4% tax on sales in Dubai; supposed to be split between the buyer and seller, but the buyer almost always pays.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Interest-only loan - no principal repayments.</t>
        </r>
      </text>
    </comment>
    <comment ref="K58" authorId="0" shapeId="0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Interest-only loan - no principal repayments.</t>
        </r>
      </text>
    </comment>
    <comment ref="F124" authorId="0" shapeId="0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No ongoing property taxes in the UAE - just taxes/fees on initial acquisition.</t>
        </r>
      </text>
    </comment>
    <comment ref="G211" authorId="0" shapeId="0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Only happens once; renovation equity classified under Cash Flow to Equity Investors.</t>
        </r>
      </text>
    </comment>
  </commentList>
</comments>
</file>

<file path=xl/sharedStrings.xml><?xml version="1.0" encoding="utf-8"?>
<sst xmlns="http://schemas.openxmlformats.org/spreadsheetml/2006/main" count="362" uniqueCount="204">
  <si>
    <t>Units:</t>
  </si>
  <si>
    <t>Location:</t>
  </si>
  <si>
    <t>Date</t>
  </si>
  <si>
    <t>#</t>
  </si>
  <si>
    <t>Months in Year:</t>
  </si>
  <si>
    <t>%</t>
  </si>
  <si>
    <t>Acquisition Date:</t>
  </si>
  <si>
    <t>Acquisition Price:</t>
  </si>
  <si>
    <t>$</t>
  </si>
  <si>
    <t># Years</t>
  </si>
  <si>
    <t>Exit Date:</t>
  </si>
  <si>
    <t>Exit Price:</t>
  </si>
  <si>
    <t>Selling Costs (% Gross Sale Price):</t>
  </si>
  <si>
    <t>Historical:</t>
  </si>
  <si>
    <t>Projected:</t>
  </si>
  <si>
    <t>Sources of Funds:</t>
  </si>
  <si>
    <t>Uses of 
Funds:</t>
  </si>
  <si>
    <t>Total Sources:</t>
  </si>
  <si>
    <t>Property Pro-Forma:</t>
  </si>
  <si>
    <t>Revenue:</t>
  </si>
  <si>
    <t>Net Operating Income (NOI):</t>
  </si>
  <si>
    <t>NOI Margin:</t>
  </si>
  <si>
    <t>Cash Flow to Equity Investors:</t>
  </si>
  <si>
    <t>x</t>
  </si>
  <si>
    <t>Name</t>
  </si>
  <si>
    <t>Total Uses:</t>
  </si>
  <si>
    <t>Invested Equity:</t>
  </si>
  <si>
    <t>Cash-on-Cash Multiple:</t>
  </si>
  <si>
    <t>Acquisition Sources and Uses of Funds:</t>
  </si>
  <si>
    <t>Adjusted NOI Margin:</t>
  </si>
  <si>
    <t>Year</t>
  </si>
  <si>
    <t>Debt Service Coverage Ratio (DSCR) - NOI:</t>
  </si>
  <si>
    <t>Interest Coverage Ratio - NOI:</t>
  </si>
  <si>
    <t>Interest Coverage Ratio - Adjusted NOI:</t>
  </si>
  <si>
    <t>Debt Service Coverage Ratio (DSCR) - Adjusted NOI:</t>
  </si>
  <si>
    <t>Cash Flow to Equity Investors (Leveraged IRR):</t>
  </si>
  <si>
    <t>Total Cash Flows to Equity (Leveraged IRR):</t>
  </si>
  <si>
    <t>Total Returns to Equity:</t>
  </si>
  <si>
    <t>Debt Yield:</t>
  </si>
  <si>
    <t xml:space="preserve">Numerical Year: </t>
  </si>
  <si>
    <t>Loan Issuance Fees:</t>
  </si>
  <si>
    <t>(+) Proceeds from Sale of Property:</t>
  </si>
  <si>
    <t>(-) Selling Costs:</t>
  </si>
  <si>
    <t>Mezzanine Loan-to-Value (LTV) Ratio:</t>
  </si>
  <si>
    <t>Mezzanine Maturity:</t>
  </si>
  <si>
    <t>Mezzanine Cash Interest Rate:</t>
  </si>
  <si>
    <t>Mezzanine PIK Interest Rate:</t>
  </si>
  <si>
    <t>N/A</t>
  </si>
  <si>
    <t>(-) Cash Interest Expense on Mezzanine:</t>
  </si>
  <si>
    <t>PIK Interest on Mezzanine:</t>
  </si>
  <si>
    <t>Total Debt Balance:</t>
  </si>
  <si>
    <t>(+) Ending Mezzanine Balance:</t>
  </si>
  <si>
    <t>Property Name:</t>
  </si>
  <si>
    <t>Internal Rate of Return (IRR):</t>
  </si>
  <si>
    <t>Annual Yield on Initial Investment:</t>
  </si>
  <si>
    <t># Keys:</t>
  </si>
  <si>
    <t>Revenue and Expense Assumptions:</t>
  </si>
  <si>
    <t>Acquisition Price per Key:</t>
  </si>
  <si>
    <t>$ / Key</t>
  </si>
  <si>
    <t>(+) Rooms:</t>
  </si>
  <si>
    <t>(+) Food &amp; Beverage:</t>
  </si>
  <si>
    <t>Total Revenue:</t>
  </si>
  <si>
    <t>Days in Period:</t>
  </si>
  <si>
    <t># Days</t>
  </si>
  <si>
    <t>Departmental Expenses:</t>
  </si>
  <si>
    <t>(-) Room Operating Expenses:</t>
  </si>
  <si>
    <t>Gross Operating Income:</t>
  </si>
  <si>
    <t>(-) Food &amp; Beverage:</t>
  </si>
  <si>
    <t>(-) Administrative &amp; General (A&amp;G):</t>
  </si>
  <si>
    <t>(-) Sales &amp; Marketing (S&amp;M):</t>
  </si>
  <si>
    <t>(-) Repairs &amp; Maintenance (R&amp;M):</t>
  </si>
  <si>
    <t>(-) Utilities:</t>
  </si>
  <si>
    <t>Total Undistributed Expenses:</t>
  </si>
  <si>
    <t>Undistributed Expenses:</t>
  </si>
  <si>
    <t>Administrative &amp; General % Revenue:</t>
  </si>
  <si>
    <t>Sales &amp; Marketing % Revenue:</t>
  </si>
  <si>
    <t>Repairs &amp; Maintenance % Revenue:</t>
  </si>
  <si>
    <t>(-) Insurance:</t>
  </si>
  <si>
    <t>(-) Property Taxes:</t>
  </si>
  <si>
    <t>(-) Ground Lease:</t>
  </si>
  <si>
    <t>Insurance per Available Room:</t>
  </si>
  <si>
    <t>Property Taxes per Available Room:</t>
  </si>
  <si>
    <t>Investor Equity:</t>
  </si>
  <si>
    <t>Property Type:</t>
  </si>
  <si>
    <t>Renovation Costs:</t>
  </si>
  <si>
    <t>Adjusted Net Operating Income (NOI):</t>
  </si>
  <si>
    <t>Exit Price per Key:</t>
  </si>
  <si>
    <t>Ground Lease:</t>
  </si>
  <si>
    <t>Acquisition Loan:</t>
  </si>
  <si>
    <t>Acquisition Loan Loan-to-Value (LTV) Ratio:</t>
  </si>
  <si>
    <t>Acquisition Loan Maturity:</t>
  </si>
  <si>
    <t>(+) Ending Acquisition Loan Balance:</t>
  </si>
  <si>
    <t>(-) Renovation Costs:</t>
  </si>
  <si>
    <t>Acquisition Financing:</t>
  </si>
  <si>
    <t>Property Value @ Refinancing:</t>
  </si>
  <si>
    <t>Permanent Loan Refinancing Date:</t>
  </si>
  <si>
    <t>Forward NOI:</t>
  </si>
  <si>
    <t>Implied Property Value:</t>
  </si>
  <si>
    <t>Returns to Equity Investors:</t>
  </si>
  <si>
    <t>(-) Permanent Loan Financing Fees:</t>
  </si>
  <si>
    <t>(+) Cash Flow to Equity Investors:</t>
  </si>
  <si>
    <t>(-) Acquisition Loan Refinanced:</t>
  </si>
  <si>
    <t>(-) Investor Equity:</t>
  </si>
  <si>
    <t>Loan Issuance Fees % Total Debt:</t>
  </si>
  <si>
    <t>Renovation Factor:</t>
  </si>
  <si>
    <t>Operating and Renovation Assumptions:</t>
  </si>
  <si>
    <t>Occupied Room Nights:</t>
  </si>
  <si>
    <t>Available Room Nights:</t>
  </si>
  <si>
    <t>Total Departmental Expenses:</t>
  </si>
  <si>
    <t>$ / Room Night</t>
  </si>
  <si>
    <t># Room Nights</t>
  </si>
  <si>
    <t>Gross Operating Margin:</t>
  </si>
  <si>
    <t>Fixed Expenses:</t>
  </si>
  <si>
    <t>Total Fixed Expenses:</t>
  </si>
  <si>
    <t>House Profit:</t>
  </si>
  <si>
    <t>House Profit Margin:</t>
  </si>
  <si>
    <t>Renovation Costs per Key:</t>
  </si>
  <si>
    <t>Utilities per Occupied Room Night:</t>
  </si>
  <si>
    <t>Jumeirah Beach Hotel</t>
  </si>
  <si>
    <t>Acquisition Costs % Acquisition Price:</t>
  </si>
  <si>
    <t>Exit Capitalization Rate:</t>
  </si>
  <si>
    <t>Acquisition Loan Amortization Period:</t>
  </si>
  <si>
    <t>Mezzanine Amortization Period:</t>
  </si>
  <si>
    <t>Stabilized:</t>
  </si>
  <si>
    <t>Dubai, UAE</t>
  </si>
  <si>
    <t>Acquisition Costs:</t>
  </si>
  <si>
    <t>5-Star Luxury Hotel</t>
  </si>
  <si>
    <t>Market Data and Scenarios:</t>
  </si>
  <si>
    <t>Market Occupancy Rate:</t>
  </si>
  <si>
    <t>Base</t>
  </si>
  <si>
    <t>Downside</t>
  </si>
  <si>
    <t>Upside</t>
  </si>
  <si>
    <t>Selected Market Occupancy Rate:</t>
  </si>
  <si>
    <t>Selected Market Scenario:</t>
  </si>
  <si>
    <t>Market Average Daily Rate (ADR):</t>
  </si>
  <si>
    <t>Market Average Daily Rate (ADR) Growth Rate:</t>
  </si>
  <si>
    <t>Selected Market ADR Growth Rate:</t>
  </si>
  <si>
    <t>Market RevPAR:</t>
  </si>
  <si>
    <t>Property's Occupancy Rate:</t>
  </si>
  <si>
    <t>Selected Operating Scenario:</t>
  </si>
  <si>
    <t>Property's Average Daily Rate (ADR):</t>
  </si>
  <si>
    <t>Property's RevPAR:</t>
  </si>
  <si>
    <t>Selected:</t>
  </si>
  <si>
    <t>Independent</t>
  </si>
  <si>
    <t>Franchise</t>
  </si>
  <si>
    <t>Management Fee % Revenue:</t>
  </si>
  <si>
    <t>Property Occupancy % Market Occupancy:</t>
  </si>
  <si>
    <t>Property ADR % Market ADR:</t>
  </si>
  <si>
    <t>FF&amp;E Reserves per Available Room:</t>
  </si>
  <si>
    <t>NOI Margin Hurdle for Management Incentive:</t>
  </si>
  <si>
    <t># of Renovation Years:</t>
  </si>
  <si>
    <t>(+) Other:</t>
  </si>
  <si>
    <t>(-) Other:</t>
  </si>
  <si>
    <t>($ USD in $ as Stated, Unless Otherwise Noted)</t>
  </si>
  <si>
    <t>Room Margin Through Holding Period:</t>
  </si>
  <si>
    <t>Initial FF&amp;E Reserves per Available Room:</t>
  </si>
  <si>
    <t>Other Revenue Growth Rate:</t>
  </si>
  <si>
    <t>Expense Growth Rate:</t>
  </si>
  <si>
    <t>Selected Expense Growth Rate:</t>
  </si>
  <si>
    <t>F&amp;B Revenue per Occupied Room Night:</t>
  </si>
  <si>
    <t>Other Revenue per Occupied Room Night:</t>
  </si>
  <si>
    <t>F&amp;B Margin Through Holding Period:</t>
  </si>
  <si>
    <t>Other Revenue Margin Through Holding Period:</t>
  </si>
  <si>
    <t>Permanent Loan Refinancing:</t>
  </si>
  <si>
    <t>Senior Loan Loan-to-Value (LTV) Ratio:</t>
  </si>
  <si>
    <t>Senior Loan Interest Rate:</t>
  </si>
  <si>
    <t>Senior Loan Amortization Period:</t>
  </si>
  <si>
    <t>Senior Loan Maturity:</t>
  </si>
  <si>
    <t>Exit Assumptions:</t>
  </si>
  <si>
    <t>Operating Scenarios:</t>
  </si>
  <si>
    <t>(-) FF&amp;E Reserves:</t>
  </si>
  <si>
    <t>(-) Cash Interest Expense on Senior Loan:</t>
  </si>
  <si>
    <t>(-) Senior Loan Principal Repayment:</t>
  </si>
  <si>
    <t>(+) Ending Senior Loan Balance:</t>
  </si>
  <si>
    <t>Assumed Growth of In-Place NOI w/o Renovation:</t>
  </si>
  <si>
    <t>Going-In Cap Rate:</t>
  </si>
  <si>
    <t>Renovation End Date:</t>
  </si>
  <si>
    <t>Acquisition Loan Amount:</t>
  </si>
  <si>
    <t>$ / Room / Yr.</t>
  </si>
  <si>
    <t>Applicable Capitalization Rates:</t>
  </si>
  <si>
    <t>Selected Capitalization Rate:</t>
  </si>
  <si>
    <t>(+) Senior Loan Issued:</t>
  </si>
  <si>
    <t>(+) Mezzanine Issued:</t>
  </si>
  <si>
    <t>PIK Interest on Acquisition Loan:</t>
  </si>
  <si>
    <t>Acquisition Loan PIK Interest Rate:</t>
  </si>
  <si>
    <t>Permanent Loan Issuance Fees:</t>
  </si>
  <si>
    <t>Senior Loan Amount:</t>
  </si>
  <si>
    <t>$ / Yr.</t>
  </si>
  <si>
    <t>(-) Debt Repayment Upon Exit:</t>
  </si>
  <si>
    <t>(-) Incentive Fee to Management:</t>
  </si>
  <si>
    <t>Incentive Fee % NOI Above Hurdle:</t>
  </si>
  <si>
    <t>Sensitivity Analyses:</t>
  </si>
  <si>
    <t>Sensitivity Analysis - Equity IRR in Different Scenarios:</t>
  </si>
  <si>
    <t>Senior Loan LTV:</t>
  </si>
  <si>
    <t>Acquisition Loan LTV:</t>
  </si>
  <si>
    <t>Acquisition Loan Interest Rate (PIK Interest):</t>
  </si>
  <si>
    <t>Senior Loan Interest Rate (Cash Interest):</t>
  </si>
  <si>
    <t>Exit Cap Rate:</t>
  </si>
  <si>
    <t>Property Occupancy Rate % Market Occupancy Rate:</t>
  </si>
  <si>
    <t>Acquisition, Financing, and Exit Assumptions:</t>
  </si>
  <si>
    <t>Franchise Fee % Revenue:</t>
  </si>
  <si>
    <t>(-) Franchise Fee:</t>
  </si>
  <si>
    <t>(-) Management Fee:</t>
  </si>
  <si>
    <t>Mezzanine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</si>
</sst>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\-_);@_)"/>
    <numFmt numFmtId="165" formatCode="yyyy\-mm\-dd"/>
    <numFmt numFmtId="166" formatCode="0.00%_);\(0.00%\);\-_);@_)"/>
    <numFmt numFmtId="167" formatCode="0.0%_);\(0.0%\);\-_);@_)"/>
    <numFmt numFmtId="168" formatCode="&quot;FY&quot;yy"/>
    <numFmt numFmtId="169" formatCode="0.00\ \x_);\(0.00\ \x\);\-_);@_)"/>
    <numFmt numFmtId="170" formatCode="0.0%"/>
    <numFmt numFmtId="171" formatCode="0.0\ \x"/>
    <numFmt numFmtId="172" formatCode="_(&quot;$&quot;* #,##0_);_(&quot;$&quot;* \(#,##0\);_(&quot;$&quot;* &quot;-&quot;??_);_(@_)"/>
    <numFmt numFmtId="173" formatCode="0.00%_);\(0.00%\);\-_%_);@_)"/>
    <numFmt numFmtId="174" formatCode="_([$€-2]\ * #,##0.00_);_([$€-2]\ * \(#,##0.00\);_([$€-2]\ * &quot;-&quot;??_);_(@_)"/>
  </numFmts>
  <fonts count="30" x14ac:knownFonts="1"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FF"/>
      <name val="Calibri"/>
      <family val="2"/>
    </font>
    <font>
      <sz val="1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theme="0"/>
      <name val="Calibri"/>
      <family val="2"/>
    </font>
    <font>
      <b/>
      <sz val="12"/>
      <color indexed="9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27" fillId="0" borderId="0"/>
  </cellStyleXfs>
  <cellXfs count="208">
    <xf numFmtId="0" fontId="0" fillId="0" borderId="0" xfId="0"/>
    <xf numFmtId="0" fontId="4" fillId="0" borderId="0" xfId="0" applyNumberFormat="1" applyFont="1" applyBorder="1"/>
    <xf numFmtId="0" fontId="7" fillId="0" borderId="0" xfId="0" applyNumberFormat="1" applyFont="1" applyBorder="1"/>
    <xf numFmtId="0" fontId="8" fillId="0" borderId="0" xfId="0" applyFont="1" applyBorder="1"/>
    <xf numFmtId="0" fontId="9" fillId="0" borderId="0" xfId="0" applyNumberFormat="1" applyFont="1" applyBorder="1" applyAlignment="1">
      <alignment horizontal="left"/>
    </xf>
    <xf numFmtId="0" fontId="8" fillId="0" borderId="0" xfId="0" applyNumberFormat="1" applyFont="1" applyBorder="1"/>
    <xf numFmtId="0" fontId="8" fillId="0" borderId="0" xfId="0" applyFont="1"/>
    <xf numFmtId="0" fontId="6" fillId="2" borderId="2" xfId="0" applyNumberFormat="1" applyFont="1" applyFill="1" applyBorder="1" applyAlignment="1">
      <alignment horizontal="left"/>
    </xf>
    <xf numFmtId="0" fontId="10" fillId="2" borderId="2" xfId="0" applyNumberFormat="1" applyFont="1" applyFill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 indent="1"/>
    </xf>
    <xf numFmtId="44" fontId="11" fillId="3" borderId="1" xfId="0" applyNumberFormat="1" applyFont="1" applyFill="1" applyBorder="1" applyAlignment="1" applyProtection="1">
      <alignment horizontal="center"/>
      <protection locked="0"/>
    </xf>
    <xf numFmtId="0" fontId="12" fillId="0" borderId="0" xfId="0" applyNumberFormat="1" applyFont="1" applyBorder="1"/>
    <xf numFmtId="165" fontId="11" fillId="3" borderId="1" xfId="0" applyNumberFormat="1" applyFont="1" applyFill="1" applyBorder="1" applyAlignment="1" applyProtection="1">
      <alignment horizontal="center"/>
      <protection locked="0"/>
    </xf>
    <xf numFmtId="166" fontId="11" fillId="3" borderId="1" xfId="0" applyNumberFormat="1" applyFont="1" applyFill="1" applyBorder="1" applyAlignment="1" applyProtection="1">
      <alignment horizontal="center"/>
      <protection locked="0"/>
    </xf>
    <xf numFmtId="164" fontId="11" fillId="3" borderId="1" xfId="0" applyNumberFormat="1" applyFont="1" applyFill="1" applyBorder="1" applyAlignment="1" applyProtection="1">
      <alignment horizontal="center"/>
      <protection locked="0"/>
    </xf>
    <xf numFmtId="167" fontId="11" fillId="3" borderId="1" xfId="0" applyNumberFormat="1" applyFont="1" applyFill="1" applyBorder="1" applyAlignment="1" applyProtection="1">
      <alignment horizontal="center"/>
      <protection locked="0"/>
    </xf>
    <xf numFmtId="0" fontId="12" fillId="0" borderId="0" xfId="0" applyNumberFormat="1" applyFont="1" applyBorder="1" applyAlignment="1">
      <alignment horizontal="right"/>
    </xf>
    <xf numFmtId="0" fontId="9" fillId="0" borderId="0" xfId="0" quotePrefix="1" applyNumberFormat="1" applyFont="1" applyBorder="1" applyAlignment="1">
      <alignment horizontal="center"/>
    </xf>
    <xf numFmtId="42" fontId="12" fillId="0" borderId="0" xfId="0" applyNumberFormat="1" applyFont="1" applyFill="1" applyBorder="1" applyProtection="1">
      <protection locked="0"/>
    </xf>
    <xf numFmtId="0" fontId="7" fillId="5" borderId="2" xfId="0" applyNumberFormat="1" applyFont="1" applyFill="1" applyBorder="1" applyAlignment="1">
      <alignment horizontal="centerContinuous"/>
    </xf>
    <xf numFmtId="0" fontId="9" fillId="0" borderId="0" xfId="0" quotePrefix="1" applyNumberFormat="1" applyFont="1" applyBorder="1" applyAlignment="1">
      <alignment horizontal="left"/>
    </xf>
    <xf numFmtId="0" fontId="10" fillId="2" borderId="2" xfId="0" applyNumberFormat="1" applyFont="1" applyFill="1" applyBorder="1" applyAlignment="1">
      <alignment horizontal="left"/>
    </xf>
    <xf numFmtId="164" fontId="8" fillId="0" borderId="0" xfId="0" applyNumberFormat="1" applyFont="1" applyBorder="1" applyAlignment="1">
      <alignment horizontal="left" indent="1"/>
    </xf>
    <xf numFmtId="42" fontId="8" fillId="0" borderId="0" xfId="0" applyNumberFormat="1" applyFont="1" applyBorder="1"/>
    <xf numFmtId="9" fontId="8" fillId="0" borderId="0" xfId="0" applyNumberFormat="1" applyFont="1" applyBorder="1"/>
    <xf numFmtId="164" fontId="8" fillId="0" borderId="0" xfId="0" applyNumberFormat="1" applyFont="1" applyBorder="1"/>
    <xf numFmtId="41" fontId="8" fillId="0" borderId="0" xfId="0" applyNumberFormat="1" applyFont="1" applyBorder="1"/>
    <xf numFmtId="164" fontId="7" fillId="0" borderId="7" xfId="0" applyNumberFormat="1" applyFont="1" applyBorder="1"/>
    <xf numFmtId="42" fontId="7" fillId="0" borderId="7" xfId="0" applyNumberFormat="1" applyFont="1" applyBorder="1"/>
    <xf numFmtId="0" fontId="6" fillId="2" borderId="0" xfId="0" applyNumberFormat="1" applyFont="1" applyFill="1" applyBorder="1" applyAlignment="1">
      <alignment horizontal="left"/>
    </xf>
    <xf numFmtId="0" fontId="10" fillId="2" borderId="0" xfId="0" applyNumberFormat="1" applyFont="1" applyFill="1" applyBorder="1" applyAlignment="1">
      <alignment horizontal="left"/>
    </xf>
    <xf numFmtId="0" fontId="6" fillId="2" borderId="3" xfId="0" applyNumberFormat="1" applyFont="1" applyFill="1" applyBorder="1" applyAlignment="1">
      <alignment horizontal="center"/>
    </xf>
    <xf numFmtId="0" fontId="6" fillId="2" borderId="4" xfId="0" applyNumberFormat="1" applyFont="1" applyFill="1" applyBorder="1" applyAlignment="1">
      <alignment horizontal="centerContinuous"/>
    </xf>
    <xf numFmtId="0" fontId="6" fillId="2" borderId="5" xfId="0" applyNumberFormat="1" applyFont="1" applyFill="1" applyBorder="1" applyAlignment="1">
      <alignment horizontal="centerContinuous"/>
    </xf>
    <xf numFmtId="168" fontId="6" fillId="2" borderId="2" xfId="0" applyNumberFormat="1" applyFont="1" applyFill="1" applyBorder="1" applyAlignment="1">
      <alignment horizontal="center"/>
    </xf>
    <xf numFmtId="168" fontId="6" fillId="2" borderId="6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left" indent="1"/>
    </xf>
    <xf numFmtId="0" fontId="7" fillId="0" borderId="0" xfId="0" applyFont="1" applyBorder="1"/>
    <xf numFmtId="0" fontId="1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2" borderId="0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168" fontId="6" fillId="2" borderId="8" xfId="0" applyNumberFormat="1" applyFont="1" applyFill="1" applyBorder="1" applyAlignment="1">
      <alignment horizontal="center"/>
    </xf>
    <xf numFmtId="164" fontId="8" fillId="0" borderId="7" xfId="0" applyNumberFormat="1" applyFont="1" applyBorder="1"/>
    <xf numFmtId="0" fontId="9" fillId="0" borderId="0" xfId="0" applyFont="1" applyBorder="1" applyAlignment="1">
      <alignment horizontal="left"/>
    </xf>
    <xf numFmtId="0" fontId="9" fillId="0" borderId="2" xfId="0" applyNumberFormat="1" applyFont="1" applyBorder="1" applyAlignment="1">
      <alignment horizontal="center"/>
    </xf>
    <xf numFmtId="0" fontId="7" fillId="0" borderId="7" xfId="0" applyNumberFormat="1" applyFont="1" applyBorder="1"/>
    <xf numFmtId="0" fontId="9" fillId="0" borderId="0" xfId="0" applyNumberFormat="1" applyFont="1" applyBorder="1" applyAlignment="1">
      <alignment horizontal="left" indent="1"/>
    </xf>
    <xf numFmtId="167" fontId="9" fillId="0" borderId="0" xfId="0" applyNumberFormat="1" applyFont="1" applyBorder="1"/>
    <xf numFmtId="164" fontId="8" fillId="0" borderId="0" xfId="0" applyNumberFormat="1" applyFont="1"/>
    <xf numFmtId="0" fontId="16" fillId="0" borderId="0" xfId="0" applyFont="1"/>
    <xf numFmtId="0" fontId="14" fillId="0" borderId="0" xfId="0" applyNumberFormat="1" applyFont="1" applyBorder="1"/>
    <xf numFmtId="169" fontId="9" fillId="0" borderId="0" xfId="0" applyNumberFormat="1" applyFont="1" applyBorder="1"/>
    <xf numFmtId="0" fontId="16" fillId="0" borderId="0" xfId="0" applyNumberFormat="1" applyFont="1" applyBorder="1"/>
    <xf numFmtId="0" fontId="16" fillId="0" borderId="7" xfId="0" applyNumberFormat="1" applyFont="1" applyBorder="1"/>
    <xf numFmtId="0" fontId="8" fillId="0" borderId="7" xfId="0" applyNumberFormat="1" applyFont="1" applyBorder="1"/>
    <xf numFmtId="42" fontId="16" fillId="0" borderId="7" xfId="0" applyNumberFormat="1" applyFont="1" applyBorder="1"/>
    <xf numFmtId="0" fontId="16" fillId="4" borderId="9" xfId="0" applyNumberFormat="1" applyFont="1" applyFill="1" applyBorder="1" applyAlignment="1">
      <alignment horizontal="left"/>
    </xf>
    <xf numFmtId="0" fontId="15" fillId="4" borderId="10" xfId="0" applyNumberFormat="1" applyFont="1" applyFill="1" applyBorder="1" applyAlignment="1">
      <alignment horizontal="center"/>
    </xf>
    <xf numFmtId="0" fontId="16" fillId="4" borderId="10" xfId="0" applyNumberFormat="1" applyFont="1" applyFill="1" applyBorder="1"/>
    <xf numFmtId="0" fontId="8" fillId="0" borderId="0" xfId="0" applyFont="1" applyBorder="1" applyAlignment="1">
      <alignment horizontal="left" indent="1"/>
    </xf>
    <xf numFmtId="165" fontId="11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Border="1" applyAlignment="1">
      <alignment horizontal="left"/>
    </xf>
    <xf numFmtId="0" fontId="16" fillId="0" borderId="7" xfId="0" applyNumberFormat="1" applyFont="1" applyBorder="1" applyAlignment="1">
      <alignment horizontal="left"/>
    </xf>
    <xf numFmtId="0" fontId="9" fillId="0" borderId="7" xfId="0" applyNumberFormat="1" applyFont="1" applyBorder="1" applyAlignment="1">
      <alignment horizontal="center"/>
    </xf>
    <xf numFmtId="167" fontId="11" fillId="0" borderId="0" xfId="0" applyNumberFormat="1" applyFont="1" applyFill="1" applyBorder="1" applyAlignment="1" applyProtection="1">
      <alignment horizontal="center"/>
      <protection locked="0"/>
    </xf>
    <xf numFmtId="0" fontId="11" fillId="3" borderId="1" xfId="0" applyNumberFormat="1" applyFont="1" applyFill="1" applyBorder="1" applyAlignment="1" applyProtection="1">
      <alignment horizontal="centerContinuous"/>
      <protection locked="0"/>
    </xf>
    <xf numFmtId="41" fontId="17" fillId="0" borderId="0" xfId="0" applyNumberFormat="1" applyFont="1" applyBorder="1"/>
    <xf numFmtId="167" fontId="14" fillId="0" borderId="0" xfId="0" quotePrefix="1" applyNumberFormat="1" applyFont="1" applyBorder="1" applyAlignment="1"/>
    <xf numFmtId="41" fontId="18" fillId="0" borderId="0" xfId="0" applyNumberFormat="1" applyFont="1" applyBorder="1"/>
    <xf numFmtId="41" fontId="8" fillId="0" borderId="0" xfId="0" applyNumberFormat="1" applyFont="1"/>
    <xf numFmtId="41" fontId="16" fillId="0" borderId="7" xfId="0" applyNumberFormat="1" applyFont="1" applyBorder="1"/>
    <xf numFmtId="0" fontId="8" fillId="0" borderId="0" xfId="0" applyFont="1" applyAlignment="1">
      <alignment horizontal="left" indent="1"/>
    </xf>
    <xf numFmtId="1" fontId="11" fillId="3" borderId="1" xfId="0" applyNumberFormat="1" applyFont="1" applyFill="1" applyBorder="1" applyAlignment="1" applyProtection="1">
      <alignment horizontal="center"/>
      <protection locked="0"/>
    </xf>
    <xf numFmtId="170" fontId="8" fillId="0" borderId="0" xfId="0" applyNumberFormat="1" applyFont="1" applyBorder="1"/>
    <xf numFmtId="42" fontId="16" fillId="0" borderId="0" xfId="0" applyNumberFormat="1" applyFont="1" applyBorder="1"/>
    <xf numFmtId="167" fontId="12" fillId="0" borderId="0" xfId="0" applyNumberFormat="1" applyFont="1" applyFill="1" applyBorder="1" applyAlignment="1" applyProtection="1">
      <alignment horizontal="center"/>
      <protection locked="0"/>
    </xf>
    <xf numFmtId="164" fontId="16" fillId="0" borderId="7" xfId="0" applyNumberFormat="1" applyFont="1" applyBorder="1"/>
    <xf numFmtId="167" fontId="7" fillId="4" borderId="11" xfId="0" applyNumberFormat="1" applyFont="1" applyFill="1" applyBorder="1" applyAlignment="1">
      <alignment horizontal="center"/>
    </xf>
    <xf numFmtId="171" fontId="3" fillId="0" borderId="0" xfId="0" applyNumberFormat="1" applyFont="1" applyBorder="1" applyAlignment="1">
      <alignment horizontal="center"/>
    </xf>
    <xf numFmtId="0" fontId="22" fillId="0" borderId="0" xfId="1" applyFont="1" applyFill="1" applyBorder="1"/>
    <xf numFmtId="0" fontId="7" fillId="0" borderId="0" xfId="0" applyFont="1" applyBorder="1" applyAlignment="1">
      <alignment horizontal="left"/>
    </xf>
    <xf numFmtId="168" fontId="6" fillId="2" borderId="4" xfId="0" applyNumberFormat="1" applyFont="1" applyFill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/>
    <xf numFmtId="0" fontId="14" fillId="0" borderId="0" xfId="0" applyNumberFormat="1" applyFont="1" applyBorder="1" applyAlignment="1">
      <alignment horizontal="left" indent="1"/>
    </xf>
    <xf numFmtId="41" fontId="16" fillId="0" borderId="0" xfId="0" applyNumberFormat="1" applyFont="1" applyBorder="1"/>
    <xf numFmtId="172" fontId="11" fillId="3" borderId="1" xfId="0" applyNumberFormat="1" applyFont="1" applyFill="1" applyBorder="1" applyAlignment="1" applyProtection="1">
      <alignment horizontal="center"/>
      <protection locked="0"/>
    </xf>
    <xf numFmtId="0" fontId="8" fillId="0" borderId="2" xfId="0" applyNumberFormat="1" applyFont="1" applyBorder="1" applyAlignment="1">
      <alignment horizontal="left" indent="1"/>
    </xf>
    <xf numFmtId="164" fontId="8" fillId="0" borderId="2" xfId="0" applyNumberFormat="1" applyFont="1" applyBorder="1"/>
    <xf numFmtId="164" fontId="16" fillId="0" borderId="0" xfId="0" applyNumberFormat="1" applyFont="1" applyBorder="1"/>
    <xf numFmtId="172" fontId="12" fillId="0" borderId="0" xfId="0" applyNumberFormat="1" applyFont="1" applyFill="1" applyBorder="1" applyProtection="1">
      <protection locked="0"/>
    </xf>
    <xf numFmtId="0" fontId="2" fillId="0" borderId="0" xfId="0" applyNumberFormat="1" applyFont="1" applyFill="1" applyBorder="1" applyAlignment="1">
      <alignment horizontal="left" indent="1"/>
    </xf>
    <xf numFmtId="0" fontId="21" fillId="5" borderId="2" xfId="0" applyFont="1" applyFill="1" applyBorder="1"/>
    <xf numFmtId="0" fontId="23" fillId="5" borderId="2" xfId="0" applyFont="1" applyFill="1" applyBorder="1"/>
    <xf numFmtId="0" fontId="12" fillId="0" borderId="0" xfId="0" applyFont="1" applyAlignment="1">
      <alignment horizontal="left" indent="1"/>
    </xf>
    <xf numFmtId="0" fontId="12" fillId="0" borderId="0" xfId="0" applyFont="1"/>
    <xf numFmtId="0" fontId="13" fillId="0" borderId="0" xfId="0" applyNumberFormat="1" applyFont="1" applyBorder="1" applyAlignment="1">
      <alignment horizontal="center"/>
    </xf>
    <xf numFmtId="10" fontId="11" fillId="3" borderId="1" xfId="0" applyNumberFormat="1" applyFont="1" applyFill="1" applyBorder="1" applyAlignment="1" applyProtection="1">
      <alignment horizontal="center"/>
      <protection locked="0"/>
    </xf>
    <xf numFmtId="41" fontId="11" fillId="3" borderId="1" xfId="0" applyNumberFormat="1" applyFont="1" applyFill="1" applyBorder="1" applyProtection="1">
      <protection locked="0"/>
    </xf>
    <xf numFmtId="167" fontId="18" fillId="0" borderId="0" xfId="0" quotePrefix="1" applyNumberFormat="1" applyFont="1" applyBorder="1" applyAlignment="1"/>
    <xf numFmtId="165" fontId="12" fillId="0" borderId="0" xfId="0" applyNumberFormat="1" applyFont="1" applyFill="1" applyBorder="1" applyAlignment="1" applyProtection="1">
      <alignment horizontal="center"/>
      <protection locked="0"/>
    </xf>
    <xf numFmtId="164" fontId="18" fillId="0" borderId="0" xfId="0" applyNumberFormat="1" applyFont="1"/>
    <xf numFmtId="164" fontId="18" fillId="0" borderId="0" xfId="0" applyNumberFormat="1" applyFont="1" applyBorder="1"/>
    <xf numFmtId="164" fontId="8" fillId="3" borderId="1" xfId="0" applyNumberFormat="1" applyFont="1" applyFill="1" applyBorder="1"/>
    <xf numFmtId="166" fontId="12" fillId="0" borderId="12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Border="1" applyAlignment="1">
      <alignment horizontal="left"/>
    </xf>
    <xf numFmtId="0" fontId="9" fillId="0" borderId="0" xfId="0" applyNumberFormat="1" applyFont="1" applyBorder="1" applyAlignment="1">
      <alignment horizontal="center"/>
    </xf>
    <xf numFmtId="0" fontId="9" fillId="0" borderId="0" xfId="0" quotePrefix="1" applyNumberFormat="1" applyFont="1" applyBorder="1" applyAlignment="1">
      <alignment horizontal="center"/>
    </xf>
    <xf numFmtId="0" fontId="9" fillId="0" borderId="0" xfId="0" quotePrefix="1" applyNumberFormat="1" applyFont="1" applyBorder="1" applyAlignment="1">
      <alignment horizontal="left"/>
    </xf>
    <xf numFmtId="0" fontId="9" fillId="0" borderId="0" xfId="0" applyNumberFormat="1" applyFont="1" applyBorder="1" applyAlignment="1">
      <alignment horizontal="center"/>
    </xf>
    <xf numFmtId="0" fontId="9" fillId="0" borderId="0" xfId="0" quotePrefix="1" applyNumberFormat="1" applyFont="1" applyBorder="1" applyAlignment="1">
      <alignment horizontal="center"/>
    </xf>
    <xf numFmtId="0" fontId="13" fillId="0" borderId="0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0" fontId="9" fillId="0" borderId="7" xfId="0" quotePrefix="1" applyNumberFormat="1" applyFont="1" applyBorder="1" applyAlignment="1">
      <alignment horizontal="left"/>
    </xf>
    <xf numFmtId="0" fontId="9" fillId="0" borderId="2" xfId="0" quotePrefix="1" applyNumberFormat="1" applyFont="1" applyBorder="1" applyAlignment="1">
      <alignment horizontal="center"/>
    </xf>
    <xf numFmtId="0" fontId="12" fillId="3" borderId="1" xfId="0" applyNumberFormat="1" applyFont="1" applyFill="1" applyBorder="1" applyAlignment="1" applyProtection="1">
      <alignment horizontal="center"/>
      <protection locked="0"/>
    </xf>
    <xf numFmtId="167" fontId="11" fillId="0" borderId="2" xfId="0" applyNumberFormat="1" applyFont="1" applyFill="1" applyBorder="1" applyAlignment="1" applyProtection="1">
      <alignment horizontal="center"/>
      <protection locked="0"/>
    </xf>
    <xf numFmtId="167" fontId="11" fillId="3" borderId="14" xfId="0" applyNumberFormat="1" applyFont="1" applyFill="1" applyBorder="1" applyAlignment="1" applyProtection="1">
      <alignment horizontal="center"/>
      <protection locked="0"/>
    </xf>
    <xf numFmtId="167" fontId="21" fillId="0" borderId="7" xfId="0" applyNumberFormat="1" applyFont="1" applyFill="1" applyBorder="1" applyAlignment="1" applyProtection="1">
      <alignment horizontal="center"/>
      <protection locked="0"/>
    </xf>
    <xf numFmtId="0" fontId="9" fillId="0" borderId="2" xfId="0" quotePrefix="1" applyNumberFormat="1" applyFont="1" applyBorder="1" applyAlignment="1">
      <alignment horizontal="left"/>
    </xf>
    <xf numFmtId="44" fontId="12" fillId="0" borderId="13" xfId="0" applyNumberFormat="1" applyFont="1" applyFill="1" applyBorder="1" applyAlignment="1" applyProtection="1">
      <alignment horizontal="center"/>
      <protection locked="0"/>
    </xf>
    <xf numFmtId="44" fontId="12" fillId="0" borderId="0" xfId="0" applyNumberFormat="1" applyFont="1" applyFill="1" applyBorder="1" applyAlignment="1" applyProtection="1">
      <alignment horizontal="center"/>
      <protection locked="0"/>
    </xf>
    <xf numFmtId="0" fontId="21" fillId="5" borderId="2" xfId="0" applyFont="1" applyFill="1" applyBorder="1" applyAlignment="1">
      <alignment horizontal="center"/>
    </xf>
    <xf numFmtId="167" fontId="12" fillId="3" borderId="1" xfId="0" applyNumberFormat="1" applyFont="1" applyFill="1" applyBorder="1" applyAlignment="1" applyProtection="1">
      <alignment horizontal="center"/>
      <protection locked="0"/>
    </xf>
    <xf numFmtId="0" fontId="16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/>
    <xf numFmtId="0" fontId="21" fillId="0" borderId="0" xfId="0" applyFont="1" applyFill="1" applyBorder="1" applyAlignment="1">
      <alignment horizontal="center"/>
    </xf>
    <xf numFmtId="0" fontId="12" fillId="0" borderId="0" xfId="0" applyNumberFormat="1" applyFont="1" applyBorder="1" applyAlignment="1">
      <alignment horizontal="left" indent="1"/>
    </xf>
    <xf numFmtId="172" fontId="12" fillId="3" borderId="1" xfId="0" applyNumberFormat="1" applyFont="1" applyFill="1" applyBorder="1" applyAlignment="1" applyProtection="1">
      <alignment horizontal="center"/>
      <protection locked="0"/>
    </xf>
    <xf numFmtId="43" fontId="8" fillId="0" borderId="0" xfId="0" applyNumberFormat="1" applyFont="1" applyBorder="1"/>
    <xf numFmtId="42" fontId="11" fillId="0" borderId="0" xfId="0" applyNumberFormat="1" applyFont="1" applyFill="1" applyBorder="1" applyProtection="1">
      <protection locked="0"/>
    </xf>
    <xf numFmtId="0" fontId="16" fillId="0" borderId="0" xfId="0" applyNumberFormat="1" applyFont="1" applyFill="1" applyBorder="1" applyAlignment="1">
      <alignment horizontal="left"/>
    </xf>
    <xf numFmtId="43" fontId="11" fillId="3" borderId="1" xfId="0" applyNumberFormat="1" applyFont="1" applyFill="1" applyBorder="1" applyAlignment="1" applyProtection="1">
      <alignment horizontal="center"/>
      <protection locked="0"/>
    </xf>
    <xf numFmtId="43" fontId="8" fillId="0" borderId="13" xfId="0" applyNumberFormat="1" applyFont="1" applyBorder="1" applyAlignment="1">
      <alignment horizontal="left" indent="1"/>
    </xf>
    <xf numFmtId="43" fontId="8" fillId="0" borderId="0" xfId="0" applyNumberFormat="1" applyFont="1" applyBorder="1" applyAlignment="1">
      <alignment horizontal="left" indent="1"/>
    </xf>
    <xf numFmtId="0" fontId="8" fillId="0" borderId="0" xfId="0" applyFont="1" applyFill="1" applyBorder="1"/>
    <xf numFmtId="0" fontId="23" fillId="0" borderId="0" xfId="0" applyFont="1" applyFill="1" applyBorder="1"/>
    <xf numFmtId="41" fontId="8" fillId="0" borderId="0" xfId="0" applyNumberFormat="1" applyFont="1" applyBorder="1" applyAlignment="1">
      <alignment horizontal="left" indent="1"/>
    </xf>
    <xf numFmtId="0" fontId="21" fillId="5" borderId="2" xfId="0" applyFont="1" applyFill="1" applyBorder="1" applyAlignment="1"/>
    <xf numFmtId="172" fontId="12" fillId="0" borderId="0" xfId="0" applyNumberFormat="1" applyFont="1" applyFill="1" applyBorder="1" applyAlignment="1" applyProtection="1">
      <alignment horizontal="center"/>
      <protection locked="0"/>
    </xf>
    <xf numFmtId="165" fontId="12" fillId="3" borderId="1" xfId="0" applyNumberFormat="1" applyFont="1" applyFill="1" applyBorder="1" applyAlignment="1" applyProtection="1">
      <alignment horizontal="center"/>
      <protection locked="0"/>
    </xf>
    <xf numFmtId="0" fontId="16" fillId="0" borderId="7" xfId="0" applyFont="1" applyBorder="1"/>
    <xf numFmtId="0" fontId="8" fillId="0" borderId="7" xfId="0" applyFont="1" applyBorder="1"/>
    <xf numFmtId="166" fontId="21" fillId="0" borderId="7" xfId="0" applyNumberFormat="1" applyFont="1" applyFill="1" applyBorder="1" applyAlignment="1" applyProtection="1">
      <alignment horizontal="center"/>
      <protection locked="0"/>
    </xf>
    <xf numFmtId="166" fontId="11" fillId="3" borderId="15" xfId="0" applyNumberFormat="1" applyFont="1" applyFill="1" applyBorder="1" applyAlignment="1" applyProtection="1">
      <alignment horizontal="center"/>
      <protection locked="0"/>
    </xf>
    <xf numFmtId="41" fontId="11" fillId="3" borderId="1" xfId="0" applyNumberFormat="1" applyFont="1" applyFill="1" applyBorder="1" applyAlignment="1" applyProtection="1">
      <alignment horizontal="center"/>
      <protection locked="0"/>
    </xf>
    <xf numFmtId="44" fontId="8" fillId="0" borderId="0" xfId="0" applyNumberFormat="1" applyFont="1" applyBorder="1"/>
    <xf numFmtId="164" fontId="17" fillId="0" borderId="0" xfId="0" applyNumberFormat="1" applyFont="1" applyBorder="1"/>
    <xf numFmtId="164" fontId="17" fillId="0" borderId="2" xfId="0" applyNumberFormat="1" applyFont="1" applyBorder="1"/>
    <xf numFmtId="167" fontId="24" fillId="0" borderId="0" xfId="0" applyNumberFormat="1" applyFont="1" applyProtection="1">
      <protection locked="0"/>
    </xf>
    <xf numFmtId="167" fontId="18" fillId="0" borderId="0" xfId="0" quotePrefix="1" applyNumberFormat="1" applyFont="1" applyBorder="1" applyAlignment="1">
      <alignment horizontal="center"/>
    </xf>
    <xf numFmtId="1" fontId="12" fillId="0" borderId="13" xfId="0" applyNumberFormat="1" applyFont="1" applyFill="1" applyBorder="1" applyAlignment="1" applyProtection="1">
      <alignment horizontal="center"/>
      <protection locked="0"/>
    </xf>
    <xf numFmtId="164" fontId="17" fillId="3" borderId="17" xfId="0" applyNumberFormat="1" applyFont="1" applyFill="1" applyBorder="1"/>
    <xf numFmtId="164" fontId="17" fillId="3" borderId="16" xfId="0" applyNumberFormat="1" applyFont="1" applyFill="1" applyBorder="1"/>
    <xf numFmtId="0" fontId="25" fillId="2" borderId="2" xfId="1" applyFont="1" applyFill="1" applyBorder="1"/>
    <xf numFmtId="0" fontId="12" fillId="2" borderId="18" xfId="1" applyFont="1" applyFill="1" applyBorder="1"/>
    <xf numFmtId="0" fontId="12" fillId="2" borderId="10" xfId="1" applyFont="1" applyFill="1" applyBorder="1"/>
    <xf numFmtId="0" fontId="6" fillId="2" borderId="10" xfId="1" applyFont="1" applyFill="1" applyBorder="1" applyAlignment="1">
      <alignment horizontal="centerContinuous"/>
    </xf>
    <xf numFmtId="0" fontId="21" fillId="2" borderId="10" xfId="1" applyFont="1" applyFill="1" applyBorder="1" applyAlignment="1">
      <alignment horizontal="centerContinuous"/>
    </xf>
    <xf numFmtId="0" fontId="21" fillId="2" borderId="11" xfId="1" applyFont="1" applyFill="1" applyBorder="1" applyAlignment="1">
      <alignment horizontal="centerContinuous"/>
    </xf>
    <xf numFmtId="0" fontId="12" fillId="2" borderId="19" xfId="1" applyFont="1" applyFill="1" applyBorder="1"/>
    <xf numFmtId="173" fontId="11" fillId="5" borderId="10" xfId="1" applyNumberFormat="1" applyFont="1" applyFill="1" applyBorder="1" applyAlignment="1">
      <alignment horizontal="center"/>
    </xf>
    <xf numFmtId="173" fontId="12" fillId="5" borderId="10" xfId="1" applyNumberFormat="1" applyFont="1" applyFill="1" applyBorder="1" applyAlignment="1">
      <alignment horizontal="center"/>
    </xf>
    <xf numFmtId="173" fontId="12" fillId="5" borderId="11" xfId="1" applyNumberFormat="1" applyFont="1" applyFill="1" applyBorder="1" applyAlignment="1">
      <alignment horizontal="center"/>
    </xf>
    <xf numFmtId="174" fontId="12" fillId="0" borderId="0" xfId="2" applyNumberFormat="1" applyFont="1" applyFill="1" applyBorder="1" applyAlignment="1"/>
    <xf numFmtId="43" fontId="12" fillId="0" borderId="0" xfId="2" applyNumberFormat="1" applyFont="1" applyFill="1" applyBorder="1" applyAlignment="1"/>
    <xf numFmtId="43" fontId="21" fillId="0" borderId="0" xfId="2" applyNumberFormat="1" applyFont="1" applyFill="1" applyBorder="1" applyAlignment="1"/>
    <xf numFmtId="0" fontId="1" fillId="0" borderId="0" xfId="2" applyFont="1"/>
    <xf numFmtId="173" fontId="11" fillId="5" borderId="20" xfId="1" applyNumberFormat="1" applyFont="1" applyFill="1" applyBorder="1" applyAlignment="1">
      <alignment horizontal="center"/>
    </xf>
    <xf numFmtId="173" fontId="12" fillId="5" borderId="20" xfId="1" applyNumberFormat="1" applyFont="1" applyFill="1" applyBorder="1" applyAlignment="1">
      <alignment horizontal="center"/>
    </xf>
    <xf numFmtId="173" fontId="12" fillId="5" borderId="21" xfId="1" applyNumberFormat="1" applyFont="1" applyFill="1" applyBorder="1" applyAlignment="1">
      <alignment horizontal="center"/>
    </xf>
    <xf numFmtId="0" fontId="21" fillId="6" borderId="7" xfId="1" applyFont="1" applyFill="1" applyBorder="1" applyAlignment="1">
      <alignment horizontal="centerContinuous"/>
    </xf>
    <xf numFmtId="0" fontId="21" fillId="6" borderId="22" xfId="1" applyFont="1" applyFill="1" applyBorder="1" applyAlignment="1">
      <alignment horizontal="centerContinuous"/>
    </xf>
    <xf numFmtId="0" fontId="21" fillId="6" borderId="19" xfId="1" applyFont="1" applyFill="1" applyBorder="1" applyAlignment="1">
      <alignment horizontal="centerContinuous"/>
    </xf>
    <xf numFmtId="0" fontId="21" fillId="6" borderId="21" xfId="1" applyFont="1" applyFill="1" applyBorder="1" applyAlignment="1">
      <alignment horizontal="centerContinuous"/>
    </xf>
    <xf numFmtId="0" fontId="21" fillId="6" borderId="9" xfId="1" applyFont="1" applyFill="1" applyBorder="1" applyAlignment="1">
      <alignment horizontal="centerContinuous"/>
    </xf>
    <xf numFmtId="0" fontId="21" fillId="6" borderId="11" xfId="1" applyFont="1" applyFill="1" applyBorder="1" applyAlignment="1">
      <alignment horizontal="centerContinuous"/>
    </xf>
    <xf numFmtId="168" fontId="21" fillId="6" borderId="23" xfId="1" applyNumberFormat="1" applyFont="1" applyFill="1" applyBorder="1" applyAlignment="1">
      <alignment horizontal="centerContinuous"/>
    </xf>
    <xf numFmtId="0" fontId="21" fillId="6" borderId="18" xfId="1" applyFont="1" applyFill="1" applyBorder="1" applyAlignment="1">
      <alignment horizontal="centerContinuous"/>
    </xf>
    <xf numFmtId="0" fontId="21" fillId="6" borderId="25" xfId="1" applyFont="1" applyFill="1" applyBorder="1" applyAlignment="1">
      <alignment horizontal="centerContinuous"/>
    </xf>
    <xf numFmtId="168" fontId="21" fillId="6" borderId="2" xfId="1" applyNumberFormat="1" applyFont="1" applyFill="1" applyBorder="1" applyAlignment="1">
      <alignment horizontal="centerContinuous"/>
    </xf>
    <xf numFmtId="168" fontId="21" fillId="6" borderId="24" xfId="1" applyNumberFormat="1" applyFont="1" applyFill="1" applyBorder="1" applyAlignment="1">
      <alignment horizontal="centerContinuous"/>
    </xf>
    <xf numFmtId="167" fontId="18" fillId="0" borderId="0" xfId="0" quotePrefix="1" applyNumberFormat="1" applyFont="1" applyFill="1" applyBorder="1" applyAlignment="1">
      <alignment horizontal="center"/>
    </xf>
    <xf numFmtId="0" fontId="25" fillId="0" borderId="0" xfId="1" applyFont="1" applyFill="1" applyBorder="1"/>
    <xf numFmtId="173" fontId="12" fillId="0" borderId="0" xfId="1" applyNumberFormat="1" applyFont="1" applyFill="1" applyBorder="1" applyAlignment="1">
      <alignment horizontal="center"/>
    </xf>
    <xf numFmtId="0" fontId="1" fillId="0" borderId="0" xfId="2" applyFont="1" applyFill="1" applyBorder="1"/>
    <xf numFmtId="167" fontId="26" fillId="5" borderId="0" xfId="1" applyNumberFormat="1" applyFont="1" applyFill="1" applyBorder="1"/>
    <xf numFmtId="167" fontId="11" fillId="5" borderId="10" xfId="1" applyNumberFormat="1" applyFont="1" applyFill="1" applyBorder="1" applyAlignment="1">
      <alignment horizontal="center"/>
    </xf>
    <xf numFmtId="167" fontId="12" fillId="5" borderId="10" xfId="1" applyNumberFormat="1" applyFont="1" applyFill="1" applyBorder="1" applyAlignment="1">
      <alignment horizontal="center"/>
    </xf>
    <xf numFmtId="167" fontId="12" fillId="5" borderId="11" xfId="1" applyNumberFormat="1" applyFont="1" applyFill="1" applyBorder="1" applyAlignment="1">
      <alignment horizontal="center"/>
    </xf>
    <xf numFmtId="167" fontId="11" fillId="5" borderId="20" xfId="1" applyNumberFormat="1" applyFont="1" applyFill="1" applyBorder="1" applyAlignment="1">
      <alignment horizontal="center"/>
    </xf>
    <xf numFmtId="167" fontId="12" fillId="5" borderId="20" xfId="1" applyNumberFormat="1" applyFont="1" applyFill="1" applyBorder="1" applyAlignment="1">
      <alignment horizontal="center"/>
    </xf>
    <xf numFmtId="167" fontId="12" fillId="5" borderId="21" xfId="1" applyNumberFormat="1" applyFont="1" applyFill="1" applyBorder="1" applyAlignment="1">
      <alignment horizontal="center"/>
    </xf>
    <xf numFmtId="0" fontId="21" fillId="0" borderId="0" xfId="1" applyFont="1" applyFill="1" applyBorder="1" applyAlignment="1"/>
    <xf numFmtId="173" fontId="21" fillId="5" borderId="20" xfId="1" applyNumberFormat="1" applyFont="1" applyFill="1" applyBorder="1" applyAlignment="1">
      <alignment horizontal="center"/>
    </xf>
    <xf numFmtId="167" fontId="28" fillId="0" borderId="0" xfId="0" quotePrefix="1" applyNumberFormat="1" applyFont="1" applyBorder="1" applyAlignment="1">
      <alignment horizontal="center"/>
    </xf>
    <xf numFmtId="167" fontId="21" fillId="5" borderId="10" xfId="1" applyNumberFormat="1" applyFont="1" applyFill="1" applyBorder="1" applyAlignment="1">
      <alignment horizontal="center"/>
    </xf>
    <xf numFmtId="167" fontId="21" fillId="5" borderId="20" xfId="1" applyNumberFormat="1" applyFont="1" applyFill="1" applyBorder="1" applyAlignment="1">
      <alignment horizontal="center"/>
    </xf>
    <xf numFmtId="167" fontId="29" fillId="5" borderId="20" xfId="1" applyNumberFormat="1" applyFont="1" applyFill="1" applyBorder="1" applyAlignment="1">
      <alignment horizontal="center"/>
    </xf>
    <xf numFmtId="167" fontId="21" fillId="5" borderId="11" xfId="1" applyNumberFormat="1" applyFont="1" applyFill="1" applyBorder="1" applyAlignment="1">
      <alignment horizontal="center"/>
    </xf>
    <xf numFmtId="173" fontId="21" fillId="5" borderId="10" xfId="1" applyNumberFormat="1" applyFont="1" applyFill="1" applyBorder="1" applyAlignment="1">
      <alignment horizontal="center"/>
    </xf>
    <xf numFmtId="0" fontId="6" fillId="2" borderId="19" xfId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D9D9D9"/>
      <color rgb="FF0000FF"/>
      <color rgb="FFFFFF99"/>
      <color rgb="FFB2B2B2"/>
      <color rgb="FFBDD7EE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B2:M309"/>
  <sheetViews>
    <sheetView showGridLines="0" tabSelected="1" zoomScaleNormal="100" zoomScaleSheetLayoutView="40" workbookViewId="0">
      <selection activeCell="B2" sqref="B2"/>
    </sheetView>
  </sheetViews>
  <sheetFormatPr defaultRowHeight="15.75" outlineLevelRow="1" x14ac:dyDescent="0.25"/>
  <cols>
    <col min="1" max="2" width="2.7109375" style="6" customWidth="1"/>
    <col min="3" max="3" width="50.5703125" style="6" bestFit="1" customWidth="1"/>
    <col min="4" max="12" width="15.140625" style="6" customWidth="1"/>
    <col min="13" max="14" width="2.7109375" style="6" customWidth="1"/>
    <col min="15" max="16384" width="9.140625" style="6"/>
  </cols>
  <sheetData>
    <row r="2" spans="2:12" ht="18.75" x14ac:dyDescent="0.3">
      <c r="B2" s="1" t="str">
        <f>Property_Name&amp;" - Acquisition and Renovation Model"</f>
        <v>Jumeirah Beach Hotel - Acquisition and Renovation Model</v>
      </c>
      <c r="C2" s="3"/>
      <c r="D2" s="4"/>
      <c r="E2" s="5"/>
      <c r="F2" s="5"/>
      <c r="G2" s="5"/>
      <c r="H2" s="5"/>
      <c r="I2" s="5"/>
      <c r="J2" s="5"/>
      <c r="K2" s="5"/>
    </row>
    <row r="3" spans="2:12" x14ac:dyDescent="0.25">
      <c r="B3" s="5" t="s">
        <v>153</v>
      </c>
      <c r="C3" s="3"/>
      <c r="D3" s="4"/>
      <c r="E3" s="5"/>
      <c r="F3" s="5"/>
      <c r="G3" s="5"/>
      <c r="H3" s="5"/>
      <c r="I3" s="5"/>
      <c r="J3" s="5"/>
      <c r="K3" s="5"/>
    </row>
    <row r="4" spans="2:12" x14ac:dyDescent="0.25">
      <c r="B4" s="5"/>
      <c r="C4" s="5"/>
      <c r="D4" s="4"/>
      <c r="E4" s="5"/>
      <c r="F4" s="5"/>
      <c r="G4" s="5"/>
      <c r="H4" s="5"/>
      <c r="I4" s="5"/>
      <c r="J4" s="5"/>
      <c r="K4" s="5"/>
    </row>
    <row r="5" spans="2:12" x14ac:dyDescent="0.25">
      <c r="B5" s="7" t="s">
        <v>105</v>
      </c>
      <c r="C5" s="8"/>
      <c r="D5" s="8" t="s">
        <v>0</v>
      </c>
      <c r="E5" s="7"/>
      <c r="F5" s="7"/>
      <c r="G5" s="7"/>
      <c r="H5" s="7"/>
      <c r="I5" s="7"/>
      <c r="J5" s="8"/>
      <c r="K5" s="7"/>
      <c r="L5" s="7"/>
    </row>
    <row r="6" spans="2:12" outlineLevel="1" x14ac:dyDescent="0.25">
      <c r="B6" s="5"/>
      <c r="C6" s="5"/>
      <c r="D6" s="4"/>
      <c r="E6" s="5"/>
      <c r="F6" s="5"/>
      <c r="G6" s="5"/>
      <c r="H6" s="5"/>
      <c r="I6" s="5"/>
      <c r="J6" s="5"/>
      <c r="K6" s="5"/>
    </row>
    <row r="7" spans="2:12" outlineLevel="1" x14ac:dyDescent="0.25">
      <c r="B7" s="5"/>
      <c r="C7" s="5" t="s">
        <v>52</v>
      </c>
      <c r="D7" s="9" t="s">
        <v>24</v>
      </c>
      <c r="E7" s="67" t="s">
        <v>118</v>
      </c>
      <c r="F7" s="67"/>
      <c r="I7" s="158" t="s">
        <v>192</v>
      </c>
      <c r="J7" s="158"/>
      <c r="K7" s="158"/>
      <c r="L7" s="158"/>
    </row>
    <row r="8" spans="2:12" outlineLevel="1" x14ac:dyDescent="0.25">
      <c r="B8" s="5"/>
      <c r="C8" s="5" t="s">
        <v>83</v>
      </c>
      <c r="D8" s="9" t="s">
        <v>24</v>
      </c>
      <c r="E8" s="67" t="s">
        <v>126</v>
      </c>
      <c r="F8" s="67"/>
      <c r="I8" s="12"/>
      <c r="J8" s="12"/>
      <c r="K8" s="17"/>
    </row>
    <row r="9" spans="2:12" outlineLevel="1" x14ac:dyDescent="0.25">
      <c r="B9" s="12"/>
      <c r="C9" s="5" t="s">
        <v>1</v>
      </c>
      <c r="D9" s="9" t="s">
        <v>24</v>
      </c>
      <c r="E9" s="67" t="s">
        <v>124</v>
      </c>
      <c r="F9" s="67"/>
      <c r="H9" s="5"/>
      <c r="I9" s="153">
        <f>$F$222</f>
        <v>0.21934813653562535</v>
      </c>
      <c r="J9" s="179" t="s">
        <v>143</v>
      </c>
      <c r="K9" s="180" t="s">
        <v>144</v>
      </c>
    </row>
    <row r="10" spans="2:12" outlineLevel="1" x14ac:dyDescent="0.25">
      <c r="B10" s="12"/>
      <c r="H10" s="5"/>
      <c r="I10" s="176" t="s">
        <v>129</v>
      </c>
      <c r="J10" s="154">
        <f t="dataTable" ref="J10:K12" dt2D="1" dtr="1" r1="E17" r2="E16" ca="1"/>
        <v>0.21934813653562535</v>
      </c>
      <c r="K10" s="154">
        <v>0.20934674783348939</v>
      </c>
    </row>
    <row r="11" spans="2:12" outlineLevel="1" x14ac:dyDescent="0.25">
      <c r="B11" s="12"/>
      <c r="C11" s="5" t="s">
        <v>4</v>
      </c>
      <c r="D11" s="9" t="s">
        <v>3</v>
      </c>
      <c r="E11" s="74">
        <v>12</v>
      </c>
      <c r="H11" s="5"/>
      <c r="I11" s="177" t="s">
        <v>130</v>
      </c>
      <c r="J11" s="154">
        <v>0.10420414448344695</v>
      </c>
      <c r="K11" s="154">
        <v>9.5147075407675752E-2</v>
      </c>
    </row>
    <row r="12" spans="2:12" outlineLevel="1" x14ac:dyDescent="0.25">
      <c r="B12" s="12"/>
      <c r="C12" s="5" t="s">
        <v>55</v>
      </c>
      <c r="D12" s="9" t="s">
        <v>3</v>
      </c>
      <c r="E12" s="74">
        <v>618</v>
      </c>
      <c r="H12" s="5"/>
      <c r="I12" s="178" t="s">
        <v>131</v>
      </c>
      <c r="J12" s="154">
        <v>0.34976894126024116</v>
      </c>
      <c r="K12" s="154">
        <v>0.33987462818464653</v>
      </c>
    </row>
    <row r="13" spans="2:12" outlineLevel="1" x14ac:dyDescent="0.25">
      <c r="B13" s="12"/>
      <c r="C13" s="6" t="s">
        <v>150</v>
      </c>
      <c r="D13" s="111" t="s">
        <v>3</v>
      </c>
      <c r="E13" s="74">
        <v>2</v>
      </c>
      <c r="H13" s="5"/>
    </row>
    <row r="14" spans="2:12" outlineLevel="1" x14ac:dyDescent="0.25">
      <c r="B14" s="12"/>
      <c r="C14" s="6" t="s">
        <v>176</v>
      </c>
      <c r="D14" s="111" t="s">
        <v>2</v>
      </c>
      <c r="E14" s="144">
        <f>EOMONTH(Start_Date,Renovation_Years*Months)</f>
        <v>43465</v>
      </c>
      <c r="H14" s="5"/>
      <c r="J14" s="182" t="s">
        <v>10</v>
      </c>
      <c r="K14" s="175"/>
      <c r="L14" s="183"/>
    </row>
    <row r="15" spans="2:12" outlineLevel="1" x14ac:dyDescent="0.25">
      <c r="B15" s="12"/>
      <c r="H15" s="5"/>
      <c r="I15" s="153">
        <f>$F$222</f>
        <v>0.21934813653562535</v>
      </c>
      <c r="J15" s="181">
        <f>$I$200</f>
        <v>43830</v>
      </c>
      <c r="K15" s="184">
        <f>$J$200</f>
        <v>44196</v>
      </c>
      <c r="L15" s="185">
        <f>$K$200</f>
        <v>44561</v>
      </c>
    </row>
    <row r="16" spans="2:12" outlineLevel="1" x14ac:dyDescent="0.25">
      <c r="B16" s="12"/>
      <c r="C16" s="6" t="s">
        <v>133</v>
      </c>
      <c r="D16" s="111" t="s">
        <v>24</v>
      </c>
      <c r="E16" s="118" t="s">
        <v>129</v>
      </c>
      <c r="F16" s="155"/>
      <c r="H16" s="5"/>
      <c r="I16" s="176" t="str">
        <f>$I$10</f>
        <v>Base</v>
      </c>
      <c r="J16" s="154">
        <f t="dataTable" ref="J16:L18" dt2D="1" dtr="1" r1="E59" r2="E16" ca="1"/>
        <v>0.14377495618434932</v>
      </c>
      <c r="K16" s="154">
        <v>0.1996217305451351</v>
      </c>
      <c r="L16" s="154">
        <v>0.21934813653562535</v>
      </c>
    </row>
    <row r="17" spans="2:12" outlineLevel="1" x14ac:dyDescent="0.25">
      <c r="B17" s="12"/>
      <c r="C17" s="6" t="s">
        <v>139</v>
      </c>
      <c r="D17" s="111" t="s">
        <v>24</v>
      </c>
      <c r="E17" s="118" t="s">
        <v>143</v>
      </c>
      <c r="F17" s="155"/>
      <c r="H17" s="5"/>
      <c r="I17" s="177" t="str">
        <f>$I$11</f>
        <v>Downside</v>
      </c>
      <c r="J17" s="154">
        <v>-1.9335479191064042E-2</v>
      </c>
      <c r="K17" s="154">
        <v>6.0623996693525806E-2</v>
      </c>
      <c r="L17" s="154">
        <v>0.10420414448344695</v>
      </c>
    </row>
    <row r="18" spans="2:12" outlineLevel="1" x14ac:dyDescent="0.25">
      <c r="B18" s="12"/>
      <c r="H18" s="5"/>
      <c r="I18" s="178" t="str">
        <f>$I$12</f>
        <v>Upside</v>
      </c>
      <c r="J18" s="154">
        <v>0.32135940425886411</v>
      </c>
      <c r="K18" s="154">
        <v>0.35305742340021795</v>
      </c>
      <c r="L18" s="154">
        <v>0.34976894126024116</v>
      </c>
    </row>
    <row r="19" spans="2:12" outlineLevel="1" x14ac:dyDescent="0.25">
      <c r="B19" s="12"/>
      <c r="C19" s="142" t="s">
        <v>169</v>
      </c>
      <c r="D19" s="125"/>
      <c r="E19" s="125" t="s">
        <v>142</v>
      </c>
      <c r="F19" s="125" t="s">
        <v>143</v>
      </c>
      <c r="G19" s="125" t="s">
        <v>144</v>
      </c>
      <c r="H19" s="130"/>
      <c r="I19" s="12"/>
      <c r="J19" s="12"/>
      <c r="K19" s="17"/>
    </row>
    <row r="20" spans="2:12" outlineLevel="1" x14ac:dyDescent="0.25">
      <c r="B20" s="12"/>
      <c r="C20" s="73" t="s">
        <v>146</v>
      </c>
      <c r="D20" s="112" t="s">
        <v>5</v>
      </c>
      <c r="E20" s="126">
        <f>INDEX(F20:G20,1,MATCH(Op_Scenario,$F$19:$G$19,0))</f>
        <v>0.95</v>
      </c>
      <c r="F20" s="16">
        <v>0.95</v>
      </c>
      <c r="G20" s="16">
        <v>1</v>
      </c>
      <c r="H20" s="129"/>
      <c r="J20" s="182" t="str">
        <f>$J$14</f>
        <v>Exit Date:</v>
      </c>
      <c r="K20" s="175"/>
      <c r="L20" s="183"/>
    </row>
    <row r="21" spans="2:12" outlineLevel="1" x14ac:dyDescent="0.25">
      <c r="B21" s="12"/>
      <c r="C21" s="73" t="s">
        <v>147</v>
      </c>
      <c r="D21" s="112" t="s">
        <v>5</v>
      </c>
      <c r="E21" s="126">
        <f>INDEX(F21:G21,1,MATCH(Op_Scenario,$F$19:$G$19,0))</f>
        <v>0.9</v>
      </c>
      <c r="F21" s="16">
        <v>0.9</v>
      </c>
      <c r="G21" s="16">
        <v>0.95</v>
      </c>
      <c r="H21" s="129"/>
      <c r="I21" s="153">
        <f>$F$222</f>
        <v>0.21934813653562535</v>
      </c>
      <c r="J21" s="181">
        <f>$I$200</f>
        <v>43830</v>
      </c>
      <c r="K21" s="184">
        <f>$J$200</f>
        <v>44196</v>
      </c>
      <c r="L21" s="185">
        <f>$K$200</f>
        <v>44561</v>
      </c>
    </row>
    <row r="22" spans="2:12" outlineLevel="1" x14ac:dyDescent="0.25">
      <c r="B22" s="12"/>
      <c r="C22" s="131" t="s">
        <v>116</v>
      </c>
      <c r="D22" s="111" t="s">
        <v>58</v>
      </c>
      <c r="E22" s="132">
        <f>INDEX(F22:G22,1,MATCH(Op_Scenario,$F$19:$G$19,0))</f>
        <v>35000</v>
      </c>
      <c r="F22" s="88">
        <v>35000</v>
      </c>
      <c r="G22" s="88">
        <v>40000</v>
      </c>
      <c r="H22" s="129"/>
      <c r="I22" s="176" t="s">
        <v>143</v>
      </c>
      <c r="J22" s="154">
        <f t="dataTable" ref="J22:L23" dt2D="1" dtr="1" r1="E59" r2="E17" ca="1"/>
        <v>0.14377495618434932</v>
      </c>
      <c r="K22" s="154">
        <v>0.1996217305451351</v>
      </c>
      <c r="L22" s="154">
        <v>0.21934813653562535</v>
      </c>
    </row>
    <row r="23" spans="2:12" outlineLevel="1" x14ac:dyDescent="0.25">
      <c r="B23" s="12"/>
      <c r="H23" s="129"/>
      <c r="I23" s="178" t="s">
        <v>144</v>
      </c>
      <c r="J23" s="154">
        <v>0.11109760347578779</v>
      </c>
      <c r="K23" s="154">
        <v>0.18234508426668539</v>
      </c>
      <c r="L23" s="154">
        <v>0.20934674783348939</v>
      </c>
    </row>
    <row r="24" spans="2:12" outlineLevel="1" x14ac:dyDescent="0.25">
      <c r="B24" s="12"/>
      <c r="C24" s="37" t="s">
        <v>145</v>
      </c>
      <c r="D24" s="112" t="s">
        <v>5</v>
      </c>
      <c r="E24" s="126">
        <f>INDEX(F24:G24,1,MATCH(Op_Scenario,$F$19:$G$19,0))</f>
        <v>0.02</v>
      </c>
      <c r="F24" s="16">
        <v>0.02</v>
      </c>
      <c r="G24" s="16">
        <v>0.03</v>
      </c>
      <c r="H24" s="129"/>
    </row>
    <row r="25" spans="2:12" outlineLevel="1" x14ac:dyDescent="0.25">
      <c r="B25" s="12"/>
      <c r="C25" s="37" t="s">
        <v>200</v>
      </c>
      <c r="D25" s="112" t="s">
        <v>5</v>
      </c>
      <c r="E25" s="126">
        <f>INDEX(F25:G25,1,MATCH(Op_Scenario,$F$19:$G$19,0))</f>
        <v>0</v>
      </c>
      <c r="F25" s="16">
        <v>0</v>
      </c>
      <c r="G25" s="16">
        <v>0.03</v>
      </c>
      <c r="H25" s="129"/>
    </row>
    <row r="26" spans="2:12" outlineLevel="1" x14ac:dyDescent="0.25">
      <c r="B26" s="12"/>
      <c r="C26" s="37" t="s">
        <v>149</v>
      </c>
      <c r="D26" s="112" t="s">
        <v>5</v>
      </c>
      <c r="E26" s="126">
        <f>INDEX(F26:G26,1,MATCH(Op_Scenario,$F$19:$G$19,0))</f>
        <v>0.2</v>
      </c>
      <c r="F26" s="16">
        <v>0.2</v>
      </c>
      <c r="G26" s="16">
        <v>0.3</v>
      </c>
      <c r="H26" s="129"/>
    </row>
    <row r="27" spans="2:12" outlineLevel="1" x14ac:dyDescent="0.25">
      <c r="B27" s="12"/>
      <c r="C27" s="37" t="s">
        <v>190</v>
      </c>
      <c r="D27" s="112" t="s">
        <v>5</v>
      </c>
      <c r="E27" s="126">
        <f>INDEX(F27:G27,1,MATCH(Op_Scenario,$F$19:$G$19,0))</f>
        <v>0.3</v>
      </c>
      <c r="F27" s="16">
        <v>0.3</v>
      </c>
      <c r="G27" s="16">
        <v>0.2</v>
      </c>
      <c r="H27" s="129"/>
    </row>
    <row r="28" spans="2:12" outlineLevel="1" x14ac:dyDescent="0.25">
      <c r="B28" s="12"/>
      <c r="C28" s="127"/>
      <c r="D28" s="128"/>
      <c r="E28" s="129"/>
      <c r="F28" s="129"/>
      <c r="G28" s="129"/>
      <c r="H28" s="129"/>
    </row>
    <row r="29" spans="2:12" outlineLevel="1" x14ac:dyDescent="0.25">
      <c r="B29" s="12"/>
      <c r="C29" s="37" t="s">
        <v>154</v>
      </c>
      <c r="D29" s="112" t="s">
        <v>5</v>
      </c>
      <c r="E29" s="126">
        <f>INDEX(F29:G29,1,MATCH(Op_Scenario,$F$19:$G$19,0))</f>
        <v>0.81</v>
      </c>
      <c r="F29" s="16">
        <v>0.81</v>
      </c>
      <c r="G29" s="16">
        <v>0.81</v>
      </c>
      <c r="H29" s="129"/>
      <c r="I29" s="12"/>
      <c r="J29" s="12"/>
      <c r="K29" s="17"/>
    </row>
    <row r="30" spans="2:12" outlineLevel="1" x14ac:dyDescent="0.25">
      <c r="B30" s="12"/>
      <c r="C30" s="37" t="s">
        <v>161</v>
      </c>
      <c r="D30" s="112" t="s">
        <v>5</v>
      </c>
      <c r="E30" s="126">
        <f>INDEX(F30:G30,1,MATCH(Op_Scenario,$F$19:$G$19,0))</f>
        <v>0.25</v>
      </c>
      <c r="F30" s="16">
        <v>0.25</v>
      </c>
      <c r="G30" s="16">
        <v>0.25</v>
      </c>
      <c r="H30" s="129"/>
      <c r="I30" s="12"/>
      <c r="J30" s="12"/>
      <c r="K30" s="17"/>
    </row>
    <row r="31" spans="2:12" outlineLevel="1" x14ac:dyDescent="0.25">
      <c r="B31" s="12"/>
      <c r="C31" s="37" t="s">
        <v>162</v>
      </c>
      <c r="D31" s="112" t="s">
        <v>5</v>
      </c>
      <c r="E31" s="126">
        <f>INDEX(F31:G31,1,MATCH(Op_Scenario,$F$19:$G$19,0))</f>
        <v>0.11</v>
      </c>
      <c r="F31" s="16">
        <v>0.11</v>
      </c>
      <c r="G31" s="16">
        <v>0.11</v>
      </c>
      <c r="H31" s="129"/>
      <c r="I31" s="12"/>
      <c r="J31" s="12"/>
      <c r="K31" s="17"/>
    </row>
    <row r="32" spans="2:12" outlineLevel="1" x14ac:dyDescent="0.25">
      <c r="B32" s="12"/>
      <c r="C32" s="37"/>
      <c r="D32" s="112"/>
      <c r="E32" s="77"/>
      <c r="F32" s="66"/>
      <c r="G32" s="66"/>
      <c r="H32" s="129"/>
      <c r="I32" s="12"/>
      <c r="J32" s="12"/>
      <c r="K32" s="17"/>
    </row>
    <row r="33" spans="2:12" outlineLevel="1" x14ac:dyDescent="0.25">
      <c r="B33" s="12"/>
      <c r="C33" s="37" t="s">
        <v>74</v>
      </c>
      <c r="D33" s="112" t="s">
        <v>5</v>
      </c>
      <c r="E33" s="126">
        <f>INDEX(F33:G33,1,MATCH(Op_Scenario,$F$19:$G$19,0))</f>
        <v>0.05</v>
      </c>
      <c r="F33" s="16">
        <v>0.05</v>
      </c>
      <c r="G33" s="16">
        <v>0.06</v>
      </c>
      <c r="H33" s="129"/>
      <c r="I33" s="12"/>
      <c r="J33" s="12"/>
      <c r="K33" s="17"/>
    </row>
    <row r="34" spans="2:12" outlineLevel="1" x14ac:dyDescent="0.25">
      <c r="B34" s="12"/>
      <c r="C34" s="37" t="s">
        <v>75</v>
      </c>
      <c r="D34" s="112" t="s">
        <v>5</v>
      </c>
      <c r="E34" s="126">
        <f>INDEX(F34:G34,1,MATCH(Op_Scenario,$F$19:$G$19,0))</f>
        <v>7.0000000000000007E-2</v>
      </c>
      <c r="F34" s="16">
        <v>7.0000000000000007E-2</v>
      </c>
      <c r="G34" s="16">
        <v>0.08</v>
      </c>
      <c r="H34" s="129"/>
      <c r="I34" s="12"/>
      <c r="J34" s="12"/>
      <c r="K34" s="17"/>
    </row>
    <row r="35" spans="2:12" outlineLevel="1" x14ac:dyDescent="0.25">
      <c r="B35" s="12"/>
      <c r="C35" s="37" t="s">
        <v>76</v>
      </c>
      <c r="D35" s="112" t="s">
        <v>5</v>
      </c>
      <c r="E35" s="126">
        <f>INDEX(F35:G35,1,MATCH(Op_Scenario,$F$19:$G$19,0))</f>
        <v>3.5000000000000003E-2</v>
      </c>
      <c r="F35" s="16">
        <v>3.5000000000000003E-2</v>
      </c>
      <c r="G35" s="16">
        <v>3.5000000000000003E-2</v>
      </c>
      <c r="H35" s="129"/>
      <c r="I35" s="12"/>
      <c r="J35" s="12"/>
      <c r="K35" s="17"/>
    </row>
    <row r="36" spans="2:12" outlineLevel="1" x14ac:dyDescent="0.25">
      <c r="B36" s="12"/>
      <c r="C36" s="37"/>
      <c r="D36" s="112"/>
      <c r="E36" s="77"/>
      <c r="F36" s="66"/>
      <c r="G36" s="66"/>
      <c r="H36" s="129"/>
      <c r="I36" s="12"/>
      <c r="J36" s="12"/>
      <c r="K36" s="17"/>
    </row>
    <row r="37" spans="2:12" outlineLevel="1" x14ac:dyDescent="0.25">
      <c r="B37" s="12"/>
      <c r="C37" s="37" t="s">
        <v>155</v>
      </c>
      <c r="D37" s="111" t="s">
        <v>58</v>
      </c>
      <c r="E37" s="132">
        <f>INDEX(F37:G37,1,MATCH(Op_Scenario,$F$19:$G$19,0))</f>
        <v>2100</v>
      </c>
      <c r="F37" s="88">
        <v>2100</v>
      </c>
      <c r="G37" s="88">
        <v>2300</v>
      </c>
      <c r="H37" s="129"/>
      <c r="I37" s="12"/>
      <c r="J37" s="12"/>
      <c r="K37" s="17"/>
    </row>
    <row r="38" spans="2:12" x14ac:dyDescent="0.25">
      <c r="B38" s="12"/>
      <c r="C38" s="127"/>
      <c r="D38" s="128"/>
      <c r="E38" s="129"/>
      <c r="F38" s="129"/>
      <c r="G38" s="129"/>
      <c r="H38" s="129"/>
      <c r="I38" s="12"/>
      <c r="J38" s="12"/>
      <c r="K38" s="17"/>
    </row>
    <row r="39" spans="2:12" x14ac:dyDescent="0.25">
      <c r="B39" s="7" t="s">
        <v>199</v>
      </c>
      <c r="C39" s="7"/>
      <c r="D39" s="8" t="str">
        <f>+$D$5</f>
        <v>Units:</v>
      </c>
      <c r="E39" s="7"/>
      <c r="F39" s="7"/>
      <c r="G39" s="7"/>
      <c r="H39" s="7"/>
      <c r="I39" s="7"/>
      <c r="J39" s="8" t="str">
        <f>+$D$5</f>
        <v>Units:</v>
      </c>
      <c r="K39" s="7"/>
      <c r="L39" s="7"/>
    </row>
    <row r="40" spans="2:12" outlineLevel="1" x14ac:dyDescent="0.25">
      <c r="B40" s="5"/>
      <c r="C40" s="5"/>
      <c r="D40" s="4"/>
      <c r="E40" s="5"/>
      <c r="F40" s="5"/>
      <c r="G40" s="5"/>
      <c r="H40" s="5"/>
      <c r="I40" s="5"/>
      <c r="J40" s="5"/>
      <c r="K40" s="5"/>
    </row>
    <row r="41" spans="2:12" outlineLevel="1" x14ac:dyDescent="0.25">
      <c r="B41" s="5"/>
      <c r="C41" s="94" t="s">
        <v>93</v>
      </c>
      <c r="D41" s="94"/>
      <c r="E41" s="95"/>
      <c r="F41" s="5"/>
      <c r="G41" s="94" t="s">
        <v>163</v>
      </c>
      <c r="H41" s="94"/>
      <c r="I41" s="95"/>
      <c r="J41" s="95"/>
      <c r="K41" s="95"/>
    </row>
    <row r="42" spans="2:12" outlineLevel="1" x14ac:dyDescent="0.25">
      <c r="B42" s="5"/>
      <c r="C42" s="10" t="s">
        <v>6</v>
      </c>
      <c r="D42" s="9" t="s">
        <v>2</v>
      </c>
      <c r="E42" s="13">
        <v>42735</v>
      </c>
      <c r="F42" s="5"/>
      <c r="G42" s="96" t="s">
        <v>95</v>
      </c>
      <c r="H42" s="97"/>
      <c r="J42" s="115" t="s">
        <v>2</v>
      </c>
      <c r="K42" s="102">
        <f>Renovation_End</f>
        <v>43465</v>
      </c>
    </row>
    <row r="43" spans="2:12" outlineLevel="1" x14ac:dyDescent="0.25">
      <c r="B43" s="5"/>
      <c r="C43" s="61" t="s">
        <v>175</v>
      </c>
      <c r="D43" s="112" t="s">
        <v>5</v>
      </c>
      <c r="E43" s="14">
        <v>9.5000000000000001E-2</v>
      </c>
      <c r="F43" s="5"/>
      <c r="G43" s="96" t="s">
        <v>94</v>
      </c>
      <c r="H43" s="97"/>
      <c r="J43" s="114" t="s">
        <v>8</v>
      </c>
      <c r="K43" s="19">
        <f>INDEX($G$200:$K$208,9,MATCH(K42,$G$200:$K$200,0))</f>
        <v>274186596.91293657</v>
      </c>
    </row>
    <row r="44" spans="2:12" outlineLevel="1" x14ac:dyDescent="0.25">
      <c r="B44" s="5"/>
      <c r="F44" s="5"/>
      <c r="G44" s="96" t="s">
        <v>185</v>
      </c>
      <c r="H44" s="97"/>
      <c r="J44" s="113" t="s">
        <v>5</v>
      </c>
      <c r="K44" s="99">
        <v>0.01</v>
      </c>
    </row>
    <row r="45" spans="2:12" outlineLevel="1" x14ac:dyDescent="0.25">
      <c r="B45" s="5"/>
      <c r="C45" s="73" t="s">
        <v>174</v>
      </c>
      <c r="D45" s="112" t="s">
        <v>5</v>
      </c>
      <c r="E45" s="16">
        <v>0.03</v>
      </c>
      <c r="F45" s="5"/>
    </row>
    <row r="46" spans="2:12" outlineLevel="1" x14ac:dyDescent="0.25">
      <c r="B46" s="5"/>
      <c r="C46" s="10" t="s">
        <v>7</v>
      </c>
      <c r="D46" s="18" t="s">
        <v>8</v>
      </c>
      <c r="E46" s="19">
        <f>+F168*(1+E45)/E43</f>
        <v>227965465.56268418</v>
      </c>
      <c r="F46" s="5"/>
      <c r="G46" s="96" t="s">
        <v>164</v>
      </c>
      <c r="H46" s="97"/>
      <c r="J46" s="113" t="s">
        <v>5</v>
      </c>
      <c r="K46" s="16">
        <v>0.75</v>
      </c>
    </row>
    <row r="47" spans="2:12" outlineLevel="1" x14ac:dyDescent="0.25">
      <c r="B47" s="5"/>
      <c r="C47" s="10" t="s">
        <v>57</v>
      </c>
      <c r="D47" s="9" t="s">
        <v>58</v>
      </c>
      <c r="E47" s="143">
        <f>+Entry_Price/Keys</f>
        <v>368876.157868421</v>
      </c>
      <c r="G47" s="96" t="s">
        <v>186</v>
      </c>
      <c r="J47" s="114" t="s">
        <v>8</v>
      </c>
      <c r="K47" s="19">
        <f>+K43*Senior_Loan_LTV</f>
        <v>205639947.68470243</v>
      </c>
    </row>
    <row r="48" spans="2:12" outlineLevel="1" x14ac:dyDescent="0.25">
      <c r="B48" s="5"/>
      <c r="F48" s="5"/>
    </row>
    <row r="49" spans="2:11" outlineLevel="1" x14ac:dyDescent="0.25">
      <c r="B49" s="5"/>
      <c r="C49" s="10" t="s">
        <v>119</v>
      </c>
      <c r="D49" s="9" t="s">
        <v>5</v>
      </c>
      <c r="E49" s="14">
        <v>0.04</v>
      </c>
      <c r="F49" s="5"/>
      <c r="G49" s="96" t="s">
        <v>165</v>
      </c>
      <c r="H49" s="97"/>
      <c r="J49" s="113" t="s">
        <v>5</v>
      </c>
      <c r="K49" s="99">
        <v>3.5000000000000003E-2</v>
      </c>
    </row>
    <row r="50" spans="2:11" outlineLevel="1" x14ac:dyDescent="0.25">
      <c r="B50" s="5"/>
      <c r="C50" s="37" t="s">
        <v>103</v>
      </c>
      <c r="D50" s="9" t="s">
        <v>5</v>
      </c>
      <c r="E50" s="14">
        <v>1.4999999999999999E-2</v>
      </c>
      <c r="F50" s="5"/>
      <c r="G50" s="96" t="s">
        <v>166</v>
      </c>
      <c r="H50" s="97"/>
      <c r="J50" s="114" t="s">
        <v>9</v>
      </c>
      <c r="K50" s="15">
        <v>30</v>
      </c>
    </row>
    <row r="51" spans="2:11" outlineLevel="1" x14ac:dyDescent="0.25">
      <c r="B51" s="5"/>
      <c r="C51" s="73"/>
      <c r="F51" s="5"/>
      <c r="G51" s="96" t="s">
        <v>167</v>
      </c>
      <c r="H51" s="97"/>
      <c r="J51" s="112" t="s">
        <v>9</v>
      </c>
      <c r="K51" s="15">
        <v>10</v>
      </c>
    </row>
    <row r="52" spans="2:11" outlineLevel="1" x14ac:dyDescent="0.25">
      <c r="B52" s="5"/>
      <c r="C52" s="37" t="s">
        <v>89</v>
      </c>
      <c r="D52" s="18" t="s">
        <v>5</v>
      </c>
      <c r="E52" s="16">
        <v>0.65</v>
      </c>
      <c r="F52" s="5"/>
    </row>
    <row r="53" spans="2:11" outlineLevel="1" x14ac:dyDescent="0.25">
      <c r="B53" s="5"/>
      <c r="C53" s="37" t="s">
        <v>177</v>
      </c>
      <c r="D53" s="114" t="s">
        <v>8</v>
      </c>
      <c r="E53" s="19">
        <f>+Entry_Price*Acq_LTV</f>
        <v>148177552.61574471</v>
      </c>
      <c r="F53" s="5"/>
      <c r="G53" s="37" t="s">
        <v>43</v>
      </c>
      <c r="J53" s="18" t="s">
        <v>5</v>
      </c>
      <c r="K53" s="16">
        <v>0.1</v>
      </c>
    </row>
    <row r="54" spans="2:11" outlineLevel="1" x14ac:dyDescent="0.25">
      <c r="B54" s="5"/>
      <c r="C54" s="37" t="s">
        <v>184</v>
      </c>
      <c r="D54" s="18" t="s">
        <v>5</v>
      </c>
      <c r="E54" s="14">
        <v>0.08</v>
      </c>
      <c r="F54" s="5"/>
      <c r="G54" s="73" t="s">
        <v>203</v>
      </c>
      <c r="J54" s="114" t="s">
        <v>8</v>
      </c>
      <c r="K54" s="19">
        <f>+K43*Mezzanine_LTV</f>
        <v>27418659.691293657</v>
      </c>
    </row>
    <row r="55" spans="2:11" outlineLevel="1" x14ac:dyDescent="0.25">
      <c r="B55" s="5"/>
      <c r="C55" s="37" t="s">
        <v>121</v>
      </c>
      <c r="D55" s="18" t="s">
        <v>9</v>
      </c>
      <c r="E55" s="15" t="s">
        <v>47</v>
      </c>
      <c r="F55" s="5"/>
    </row>
    <row r="56" spans="2:11" outlineLevel="1" x14ac:dyDescent="0.25">
      <c r="B56" s="5"/>
      <c r="C56" s="37" t="s">
        <v>90</v>
      </c>
      <c r="D56" s="18" t="s">
        <v>9</v>
      </c>
      <c r="E56" s="15">
        <v>10</v>
      </c>
      <c r="G56" s="37" t="s">
        <v>45</v>
      </c>
      <c r="J56" s="18" t="s">
        <v>5</v>
      </c>
      <c r="K56" s="14">
        <v>0.04</v>
      </c>
    </row>
    <row r="57" spans="2:11" outlineLevel="1" x14ac:dyDescent="0.25">
      <c r="B57" s="5"/>
      <c r="G57" s="37" t="s">
        <v>46</v>
      </c>
      <c r="J57" s="18" t="s">
        <v>5</v>
      </c>
      <c r="K57" s="14">
        <v>0.04</v>
      </c>
    </row>
    <row r="58" spans="2:11" outlineLevel="1" x14ac:dyDescent="0.25">
      <c r="B58" s="5"/>
      <c r="C58" s="94" t="s">
        <v>168</v>
      </c>
      <c r="D58" s="95"/>
      <c r="E58" s="95"/>
      <c r="G58" s="37" t="s">
        <v>122</v>
      </c>
      <c r="J58" s="18" t="s">
        <v>9</v>
      </c>
      <c r="K58" s="15" t="s">
        <v>47</v>
      </c>
    </row>
    <row r="59" spans="2:11" outlineLevel="1" x14ac:dyDescent="0.25">
      <c r="B59" s="5"/>
      <c r="C59" s="61" t="s">
        <v>10</v>
      </c>
      <c r="D59" s="111" t="s">
        <v>2</v>
      </c>
      <c r="E59" s="144">
        <v>44561</v>
      </c>
      <c r="G59" s="37" t="s">
        <v>44</v>
      </c>
      <c r="J59" s="18" t="s">
        <v>9</v>
      </c>
      <c r="K59" s="15">
        <v>5</v>
      </c>
    </row>
    <row r="60" spans="2:11" outlineLevel="1" x14ac:dyDescent="0.25">
      <c r="B60" s="5"/>
      <c r="C60" s="61" t="s">
        <v>120</v>
      </c>
      <c r="D60" s="112" t="s">
        <v>5</v>
      </c>
      <c r="E60" s="106">
        <f>INDEX($G$200:$K$208,7,MATCH(Sale_Date,$G$200:$K$200,0))</f>
        <v>0.09</v>
      </c>
      <c r="G60" s="139"/>
      <c r="H60" s="139"/>
      <c r="I60" s="139"/>
      <c r="J60" s="139"/>
      <c r="K60" s="139"/>
    </row>
    <row r="61" spans="2:11" outlineLevel="1" x14ac:dyDescent="0.25">
      <c r="B61" s="5"/>
      <c r="C61" s="61"/>
      <c r="D61" s="111"/>
      <c r="E61" s="62"/>
      <c r="F61" s="5"/>
      <c r="G61" s="139"/>
      <c r="H61" s="139"/>
      <c r="I61" s="140"/>
      <c r="J61" s="139"/>
      <c r="K61" s="139"/>
    </row>
    <row r="62" spans="2:11" outlineLevel="1" x14ac:dyDescent="0.25">
      <c r="B62" s="5"/>
      <c r="C62" s="61" t="s">
        <v>11</v>
      </c>
      <c r="D62" s="112" t="s">
        <v>8</v>
      </c>
      <c r="E62" s="19">
        <f>INDEX($G$200:$K$208,9,MATCH(Sale_Date,$G$200:$K$200,0))</f>
        <v>329242018.1673739</v>
      </c>
      <c r="F62" s="5"/>
      <c r="G62" s="139"/>
      <c r="H62" s="139"/>
      <c r="I62" s="139"/>
      <c r="J62" s="139"/>
      <c r="K62" s="139"/>
    </row>
    <row r="63" spans="2:11" outlineLevel="1" x14ac:dyDescent="0.25">
      <c r="B63" s="5"/>
      <c r="C63" s="37" t="s">
        <v>86</v>
      </c>
      <c r="D63" s="111" t="s">
        <v>58</v>
      </c>
      <c r="E63" s="92">
        <f>+Exit_Price/Keys</f>
        <v>532754.07470448851</v>
      </c>
      <c r="F63" s="5"/>
      <c r="G63" s="10"/>
      <c r="H63" s="5"/>
      <c r="I63" s="5"/>
      <c r="J63" s="5"/>
      <c r="K63" s="5"/>
    </row>
    <row r="64" spans="2:11" outlineLevel="1" x14ac:dyDescent="0.25">
      <c r="B64" s="5"/>
      <c r="C64" s="10" t="s">
        <v>12</v>
      </c>
      <c r="D64" s="111" t="s">
        <v>5</v>
      </c>
      <c r="E64" s="14">
        <v>0.02</v>
      </c>
      <c r="F64" s="5"/>
      <c r="G64" s="10"/>
      <c r="H64" s="5"/>
      <c r="I64" s="5"/>
      <c r="J64" s="5"/>
      <c r="K64" s="5"/>
    </row>
    <row r="65" spans="2:12" x14ac:dyDescent="0.25">
      <c r="B65" s="5"/>
      <c r="C65" s="5"/>
      <c r="D65" s="110"/>
      <c r="E65" s="110"/>
      <c r="F65" s="5"/>
      <c r="G65" s="10"/>
      <c r="H65" s="5"/>
      <c r="I65" s="5"/>
      <c r="J65" s="5"/>
      <c r="K65" s="5"/>
    </row>
    <row r="66" spans="2:12" x14ac:dyDescent="0.25">
      <c r="B66" s="7" t="s">
        <v>28</v>
      </c>
      <c r="C66" s="22"/>
      <c r="D66" s="7"/>
      <c r="E66" s="7"/>
      <c r="F66" s="7"/>
      <c r="G66" s="7"/>
      <c r="H66" s="7"/>
      <c r="I66" s="7"/>
      <c r="J66" s="7"/>
      <c r="K66" s="7"/>
      <c r="L66" s="7"/>
    </row>
    <row r="67" spans="2:12" outlineLevel="1" x14ac:dyDescent="0.25">
      <c r="B67" s="5"/>
      <c r="C67" s="10"/>
      <c r="D67" s="4"/>
      <c r="E67" s="5"/>
      <c r="F67" s="5"/>
      <c r="G67" s="5"/>
      <c r="H67" s="5"/>
      <c r="I67" s="5"/>
      <c r="J67" s="5"/>
      <c r="K67" s="5"/>
    </row>
    <row r="68" spans="2:12" outlineLevel="1" x14ac:dyDescent="0.25">
      <c r="B68" s="5"/>
      <c r="C68" s="20" t="s">
        <v>15</v>
      </c>
      <c r="D68" s="20"/>
      <c r="E68" s="20"/>
      <c r="F68" s="5"/>
      <c r="G68" s="20" t="s">
        <v>16</v>
      </c>
      <c r="H68" s="20"/>
      <c r="I68" s="20"/>
      <c r="J68" s="20"/>
      <c r="K68" s="20"/>
    </row>
    <row r="69" spans="2:12" outlineLevel="1" x14ac:dyDescent="0.25">
      <c r="B69" s="5"/>
      <c r="C69" s="23" t="s">
        <v>88</v>
      </c>
      <c r="D69" s="23"/>
      <c r="E69" s="24">
        <f>+Entry_Price*Acq_LTV</f>
        <v>148177552.61574471</v>
      </c>
      <c r="F69" s="25"/>
      <c r="G69" s="23" t="str">
        <f>C46</f>
        <v>Acquisition Price:</v>
      </c>
      <c r="H69" s="26"/>
      <c r="I69" s="26"/>
      <c r="J69" s="26"/>
      <c r="K69" s="24">
        <f>+Entry_Price</f>
        <v>227965465.56268418</v>
      </c>
      <c r="L69" s="71"/>
    </row>
    <row r="70" spans="2:12" outlineLevel="1" x14ac:dyDescent="0.25">
      <c r="B70" s="5"/>
      <c r="C70" s="23" t="s">
        <v>82</v>
      </c>
      <c r="D70" s="23"/>
      <c r="E70" s="27">
        <f>+K72-E69</f>
        <v>91129194.85868299</v>
      </c>
      <c r="F70" s="5"/>
      <c r="G70" s="73" t="s">
        <v>125</v>
      </c>
      <c r="K70" s="27">
        <f>+Entry_Price*Entry_Fee_Pct</f>
        <v>9118618.6225073673</v>
      </c>
    </row>
    <row r="71" spans="2:12" outlineLevel="1" x14ac:dyDescent="0.25">
      <c r="B71" s="5"/>
      <c r="C71" s="28" t="s">
        <v>17</v>
      </c>
      <c r="D71" s="28"/>
      <c r="E71" s="29">
        <f>SUM(E69:E70)</f>
        <v>239306747.4744277</v>
      </c>
      <c r="F71" s="5"/>
      <c r="G71" s="23" t="s">
        <v>40</v>
      </c>
      <c r="K71" s="26">
        <f>+Entry_Price*Acq_LTV*Loan_Fees</f>
        <v>2222663.2892361707</v>
      </c>
    </row>
    <row r="72" spans="2:12" outlineLevel="1" x14ac:dyDescent="0.25">
      <c r="B72" s="5"/>
      <c r="F72" s="5"/>
      <c r="G72" s="28" t="s">
        <v>25</v>
      </c>
      <c r="H72" s="28"/>
      <c r="I72" s="28"/>
      <c r="J72" s="28"/>
      <c r="K72" s="29">
        <f>SUM(K69:K71)</f>
        <v>239306747.4744277</v>
      </c>
    </row>
    <row r="73" spans="2:12" x14ac:dyDescent="0.25">
      <c r="B73" s="5"/>
      <c r="C73" s="5"/>
      <c r="D73" s="21"/>
      <c r="E73" s="21"/>
      <c r="F73" s="5"/>
      <c r="G73" s="10"/>
      <c r="H73" s="5"/>
      <c r="I73" s="5"/>
      <c r="J73" s="5"/>
      <c r="K73" s="5"/>
    </row>
    <row r="74" spans="2:12" x14ac:dyDescent="0.25">
      <c r="B74" s="30"/>
      <c r="C74" s="30"/>
      <c r="D74" s="31"/>
      <c r="E74" s="41"/>
      <c r="F74" s="32" t="s">
        <v>13</v>
      </c>
      <c r="G74" s="33" t="s">
        <v>14</v>
      </c>
      <c r="H74" s="34"/>
      <c r="I74" s="34"/>
      <c r="J74" s="34"/>
      <c r="K74" s="34"/>
      <c r="L74" s="83" t="s">
        <v>123</v>
      </c>
    </row>
    <row r="75" spans="2:12" x14ac:dyDescent="0.25">
      <c r="B75" s="7" t="s">
        <v>127</v>
      </c>
      <c r="C75" s="7"/>
      <c r="D75" s="8" t="str">
        <f>+$D$5</f>
        <v>Units:</v>
      </c>
      <c r="E75" s="42"/>
      <c r="F75" s="43">
        <f>Start_Date</f>
        <v>42735</v>
      </c>
      <c r="G75" s="36">
        <f t="shared" ref="G75" si="0">EOMONTH(F75,Months)</f>
        <v>43100</v>
      </c>
      <c r="H75" s="35">
        <f t="shared" ref="H75" si="1">EOMONTH(G75,Months)</f>
        <v>43465</v>
      </c>
      <c r="I75" s="35">
        <f t="shared" ref="I75" si="2">EOMONTH(H75,Months)</f>
        <v>43830</v>
      </c>
      <c r="J75" s="35">
        <f t="shared" ref="J75" si="3">EOMONTH(I75,Months)</f>
        <v>44196</v>
      </c>
      <c r="K75" s="35">
        <f t="shared" ref="K75" si="4">EOMONTH(J75,Months)</f>
        <v>44561</v>
      </c>
      <c r="L75" s="36">
        <f t="shared" ref="L75" si="5">EOMONTH(K75,Months)</f>
        <v>44926</v>
      </c>
    </row>
    <row r="76" spans="2:12" outlineLevel="1" x14ac:dyDescent="0.25">
      <c r="B76" s="5"/>
      <c r="C76" s="5"/>
      <c r="D76" s="110"/>
      <c r="E76" s="110"/>
      <c r="F76" s="5"/>
      <c r="G76" s="10"/>
      <c r="H76" s="5"/>
      <c r="I76" s="5"/>
      <c r="J76" s="5"/>
      <c r="K76" s="5"/>
    </row>
    <row r="77" spans="2:12" outlineLevel="1" x14ac:dyDescent="0.25">
      <c r="B77" s="5"/>
      <c r="C77" s="54" t="s">
        <v>128</v>
      </c>
      <c r="D77" s="110"/>
      <c r="E77" s="110"/>
      <c r="F77" s="5"/>
      <c r="G77" s="10"/>
      <c r="H77" s="5"/>
      <c r="I77" s="5"/>
      <c r="J77" s="5"/>
      <c r="K77" s="5"/>
    </row>
    <row r="78" spans="2:12" outlineLevel="1" x14ac:dyDescent="0.25">
      <c r="B78" s="5"/>
      <c r="C78" s="96" t="s">
        <v>129</v>
      </c>
      <c r="D78" s="112" t="s">
        <v>5</v>
      </c>
      <c r="E78" s="110"/>
      <c r="F78" s="66">
        <v>0.85</v>
      </c>
      <c r="G78" s="16">
        <v>0.84</v>
      </c>
      <c r="H78" s="16">
        <v>0.82</v>
      </c>
      <c r="I78" s="16">
        <v>0.83</v>
      </c>
      <c r="J78" s="16">
        <v>0.83499999999999996</v>
      </c>
      <c r="K78" s="16">
        <v>0.84</v>
      </c>
      <c r="L78" s="16">
        <v>0.84499999999999997</v>
      </c>
    </row>
    <row r="79" spans="2:12" outlineLevel="1" x14ac:dyDescent="0.25">
      <c r="B79" s="5"/>
      <c r="C79" s="96" t="s">
        <v>130</v>
      </c>
      <c r="D79" s="112" t="s">
        <v>5</v>
      </c>
      <c r="E79" s="110"/>
      <c r="F79" s="66">
        <v>0.85</v>
      </c>
      <c r="G79" s="16">
        <v>0.83</v>
      </c>
      <c r="H79" s="16">
        <v>0.81</v>
      </c>
      <c r="I79" s="16">
        <v>0.81499999999999995</v>
      </c>
      <c r="J79" s="16">
        <v>0.82</v>
      </c>
      <c r="K79" s="16">
        <v>0.82499999999999996</v>
      </c>
      <c r="L79" s="16">
        <v>0.83</v>
      </c>
    </row>
    <row r="80" spans="2:12" outlineLevel="1" x14ac:dyDescent="0.25">
      <c r="B80" s="5"/>
      <c r="C80" s="96" t="s">
        <v>131</v>
      </c>
      <c r="D80" s="117" t="s">
        <v>5</v>
      </c>
      <c r="E80" s="110"/>
      <c r="F80" s="119">
        <v>0.85</v>
      </c>
      <c r="G80" s="120">
        <v>0.84499999999999997</v>
      </c>
      <c r="H80" s="16">
        <v>0.84</v>
      </c>
      <c r="I80" s="16">
        <v>0.85</v>
      </c>
      <c r="J80" s="16">
        <v>0.86</v>
      </c>
      <c r="K80" s="16">
        <v>0.87</v>
      </c>
      <c r="L80" s="16">
        <v>0.87</v>
      </c>
    </row>
    <row r="81" spans="2:12" outlineLevel="1" x14ac:dyDescent="0.25">
      <c r="B81" s="5"/>
      <c r="C81" s="55" t="s">
        <v>132</v>
      </c>
      <c r="D81" s="112" t="s">
        <v>5</v>
      </c>
      <c r="E81" s="116"/>
      <c r="F81" s="121">
        <f t="shared" ref="F81:L81" si="6">INDEX(F78:F80,MATCH(Market_Scenario,$C78:$C80,0))</f>
        <v>0.85</v>
      </c>
      <c r="G81" s="121">
        <f t="shared" si="6"/>
        <v>0.84</v>
      </c>
      <c r="H81" s="121">
        <f t="shared" si="6"/>
        <v>0.82</v>
      </c>
      <c r="I81" s="121">
        <f t="shared" si="6"/>
        <v>0.83</v>
      </c>
      <c r="J81" s="121">
        <f t="shared" si="6"/>
        <v>0.83499999999999996</v>
      </c>
      <c r="K81" s="121">
        <f t="shared" si="6"/>
        <v>0.84</v>
      </c>
      <c r="L81" s="121">
        <f t="shared" si="6"/>
        <v>0.84499999999999997</v>
      </c>
    </row>
    <row r="82" spans="2:12" outlineLevel="1" x14ac:dyDescent="0.25">
      <c r="B82" s="5"/>
      <c r="C82" s="5"/>
      <c r="D82" s="110"/>
      <c r="E82" s="110"/>
      <c r="F82" s="5"/>
      <c r="G82" s="10"/>
      <c r="H82" s="5"/>
      <c r="I82" s="5"/>
      <c r="J82" s="5"/>
      <c r="K82" s="5"/>
    </row>
    <row r="83" spans="2:12" outlineLevel="1" x14ac:dyDescent="0.25">
      <c r="B83" s="5"/>
      <c r="C83" s="5" t="s">
        <v>134</v>
      </c>
      <c r="D83" s="111" t="s">
        <v>109</v>
      </c>
      <c r="E83" s="110"/>
      <c r="F83" s="11">
        <v>450</v>
      </c>
      <c r="G83" s="123">
        <f>+F83*(1+G89)</f>
        <v>432</v>
      </c>
      <c r="H83" s="124">
        <f t="shared" ref="H83:L83" si="7">+G83*(1+H89)</f>
        <v>423.36</v>
      </c>
      <c r="I83" s="124">
        <f t="shared" si="7"/>
        <v>440.29440000000005</v>
      </c>
      <c r="J83" s="124">
        <f t="shared" si="7"/>
        <v>457.90617600000007</v>
      </c>
      <c r="K83" s="124">
        <f t="shared" si="7"/>
        <v>471.64336128000008</v>
      </c>
      <c r="L83" s="124">
        <f t="shared" si="7"/>
        <v>481.07622850560011</v>
      </c>
    </row>
    <row r="84" spans="2:12" outlineLevel="1" x14ac:dyDescent="0.25">
      <c r="B84" s="5"/>
      <c r="C84" s="5"/>
      <c r="D84" s="110"/>
      <c r="E84" s="110"/>
      <c r="F84" s="5"/>
      <c r="G84" s="10"/>
      <c r="H84" s="5"/>
      <c r="I84" s="5"/>
      <c r="J84" s="5"/>
      <c r="K84" s="5"/>
    </row>
    <row r="85" spans="2:12" outlineLevel="1" x14ac:dyDescent="0.25">
      <c r="B85" s="5"/>
      <c r="C85" s="54" t="s">
        <v>135</v>
      </c>
      <c r="D85" s="110"/>
      <c r="E85" s="110"/>
      <c r="F85" s="5"/>
      <c r="G85" s="10"/>
      <c r="H85" s="5"/>
      <c r="I85" s="5"/>
      <c r="J85" s="5"/>
      <c r="K85" s="5"/>
    </row>
    <row r="86" spans="2:12" outlineLevel="1" x14ac:dyDescent="0.25">
      <c r="B86" s="5"/>
      <c r="C86" s="10" t="str">
        <f>$C$78</f>
        <v>Base</v>
      </c>
      <c r="D86" s="112" t="s">
        <v>5</v>
      </c>
      <c r="E86" s="110"/>
      <c r="F86" s="66">
        <v>-0.05</v>
      </c>
      <c r="G86" s="16">
        <v>-0.04</v>
      </c>
      <c r="H86" s="16">
        <v>-0.02</v>
      </c>
      <c r="I86" s="16">
        <v>0.04</v>
      </c>
      <c r="J86" s="16">
        <v>0.04</v>
      </c>
      <c r="K86" s="16">
        <v>0.03</v>
      </c>
      <c r="L86" s="16">
        <v>0.02</v>
      </c>
    </row>
    <row r="87" spans="2:12" outlineLevel="1" x14ac:dyDescent="0.25">
      <c r="B87" s="5"/>
      <c r="C87" s="10" t="str">
        <f>$C$79</f>
        <v>Downside</v>
      </c>
      <c r="D87" s="112" t="s">
        <v>5</v>
      </c>
      <c r="E87" s="110"/>
      <c r="F87" s="66">
        <v>-0.05</v>
      </c>
      <c r="G87" s="16">
        <v>-7.0000000000000007E-2</v>
      </c>
      <c r="H87" s="16">
        <v>-0.05</v>
      </c>
      <c r="I87" s="16">
        <v>0.04</v>
      </c>
      <c r="J87" s="16">
        <v>0.03</v>
      </c>
      <c r="K87" s="16">
        <v>0.02</v>
      </c>
      <c r="L87" s="16">
        <v>0.02</v>
      </c>
    </row>
    <row r="88" spans="2:12" outlineLevel="1" x14ac:dyDescent="0.25">
      <c r="B88" s="5"/>
      <c r="C88" s="89" t="str">
        <f>$C$80</f>
        <v>Upside</v>
      </c>
      <c r="D88" s="117" t="s">
        <v>5</v>
      </c>
      <c r="E88" s="122"/>
      <c r="F88" s="119">
        <v>-0.05</v>
      </c>
      <c r="G88" s="120">
        <v>-0.02</v>
      </c>
      <c r="H88" s="16">
        <v>0.04</v>
      </c>
      <c r="I88" s="16">
        <v>0.03</v>
      </c>
      <c r="J88" s="16">
        <v>0.03</v>
      </c>
      <c r="K88" s="16">
        <v>0.03</v>
      </c>
      <c r="L88" s="16">
        <v>0.02</v>
      </c>
    </row>
    <row r="89" spans="2:12" outlineLevel="1" x14ac:dyDescent="0.25">
      <c r="B89" s="5"/>
      <c r="C89" s="54" t="s">
        <v>136</v>
      </c>
      <c r="D89" s="112" t="s">
        <v>5</v>
      </c>
      <c r="E89" s="110"/>
      <c r="F89" s="121">
        <f t="shared" ref="F89:L89" si="8">INDEX(F86:F88,MATCH(Market_Scenario,$C86:$C88,0))</f>
        <v>-0.05</v>
      </c>
      <c r="G89" s="121">
        <f t="shared" si="8"/>
        <v>-0.04</v>
      </c>
      <c r="H89" s="121">
        <f t="shared" si="8"/>
        <v>-0.02</v>
      </c>
      <c r="I89" s="121">
        <f t="shared" si="8"/>
        <v>0.04</v>
      </c>
      <c r="J89" s="121">
        <f t="shared" si="8"/>
        <v>0.04</v>
      </c>
      <c r="K89" s="121">
        <f t="shared" si="8"/>
        <v>0.03</v>
      </c>
      <c r="L89" s="121">
        <f t="shared" si="8"/>
        <v>0.02</v>
      </c>
    </row>
    <row r="90" spans="2:12" outlineLevel="1" x14ac:dyDescent="0.25">
      <c r="B90" s="5"/>
      <c r="C90" s="5"/>
      <c r="D90" s="110"/>
      <c r="E90" s="110"/>
      <c r="F90" s="5"/>
      <c r="G90" s="10"/>
      <c r="H90" s="5"/>
      <c r="I90" s="5"/>
      <c r="J90" s="5"/>
      <c r="K90" s="5"/>
    </row>
    <row r="91" spans="2:12" outlineLevel="1" x14ac:dyDescent="0.25">
      <c r="B91" s="5"/>
      <c r="C91" s="5" t="s">
        <v>137</v>
      </c>
      <c r="D91" s="111" t="s">
        <v>109</v>
      </c>
      <c r="E91" s="110"/>
      <c r="F91" s="133">
        <f>+F83*F81</f>
        <v>382.5</v>
      </c>
      <c r="G91" s="133">
        <f t="shared" ref="G91:L91" si="9">+G83*G81</f>
        <v>362.88</v>
      </c>
      <c r="H91" s="133">
        <f t="shared" si="9"/>
        <v>347.15519999999998</v>
      </c>
      <c r="I91" s="133">
        <f t="shared" si="9"/>
        <v>365.44435200000004</v>
      </c>
      <c r="J91" s="133">
        <f t="shared" si="9"/>
        <v>382.35165696000007</v>
      </c>
      <c r="K91" s="133">
        <f t="shared" si="9"/>
        <v>396.18042347520003</v>
      </c>
      <c r="L91" s="133">
        <f t="shared" si="9"/>
        <v>406.50941308723208</v>
      </c>
    </row>
    <row r="92" spans="2:12" outlineLevel="1" x14ac:dyDescent="0.25">
      <c r="B92" s="5"/>
      <c r="C92" s="5"/>
      <c r="D92" s="110"/>
      <c r="E92" s="110"/>
      <c r="F92" s="150"/>
      <c r="G92" s="150"/>
      <c r="H92" s="150"/>
      <c r="I92" s="150"/>
      <c r="J92" s="5"/>
      <c r="K92" s="5"/>
    </row>
    <row r="93" spans="2:12" outlineLevel="1" x14ac:dyDescent="0.25">
      <c r="B93" s="5"/>
      <c r="C93" s="5" t="s">
        <v>138</v>
      </c>
      <c r="D93" s="112" t="s">
        <v>5</v>
      </c>
      <c r="E93" s="110"/>
      <c r="F93" s="16">
        <v>0.78</v>
      </c>
      <c r="G93" s="77">
        <f t="shared" ref="G93:L93" si="10">+G81*Prop_Occ_Pct</f>
        <v>0.79799999999999993</v>
      </c>
      <c r="H93" s="77">
        <f t="shared" si="10"/>
        <v>0.77899999999999991</v>
      </c>
      <c r="I93" s="77">
        <f t="shared" si="10"/>
        <v>0.78849999999999998</v>
      </c>
      <c r="J93" s="77">
        <f t="shared" si="10"/>
        <v>0.7932499999999999</v>
      </c>
      <c r="K93" s="77">
        <f t="shared" si="10"/>
        <v>0.79799999999999993</v>
      </c>
      <c r="L93" s="77">
        <f t="shared" si="10"/>
        <v>0.80274999999999996</v>
      </c>
    </row>
    <row r="94" spans="2:12" outlineLevel="1" x14ac:dyDescent="0.25">
      <c r="B94" s="5"/>
      <c r="C94" s="5" t="s">
        <v>140</v>
      </c>
      <c r="D94" s="111" t="s">
        <v>109</v>
      </c>
      <c r="E94" s="110"/>
      <c r="F94" s="136">
        <v>350</v>
      </c>
      <c r="G94" s="133">
        <f t="shared" ref="G94:L94" si="11">+G83*Prop_ADR_Pct</f>
        <v>388.8</v>
      </c>
      <c r="H94" s="133">
        <f t="shared" si="11"/>
        <v>381.024</v>
      </c>
      <c r="I94" s="133">
        <f t="shared" si="11"/>
        <v>396.26496000000003</v>
      </c>
      <c r="J94" s="133">
        <f t="shared" si="11"/>
        <v>412.11555840000005</v>
      </c>
      <c r="K94" s="133">
        <f t="shared" si="11"/>
        <v>424.47902515200008</v>
      </c>
      <c r="L94" s="133">
        <f t="shared" si="11"/>
        <v>432.96860565504011</v>
      </c>
    </row>
    <row r="95" spans="2:12" outlineLevel="1" x14ac:dyDescent="0.25">
      <c r="B95" s="5"/>
      <c r="C95" s="5" t="s">
        <v>141</v>
      </c>
      <c r="D95" s="111" t="s">
        <v>109</v>
      </c>
      <c r="E95" s="110"/>
      <c r="F95" s="133">
        <f>+F93*F94</f>
        <v>273</v>
      </c>
      <c r="G95" s="133">
        <f>+G93*G94</f>
        <v>310.26239999999996</v>
      </c>
      <c r="H95" s="133">
        <f t="shared" ref="H95:L95" si="12">+H93*H94</f>
        <v>296.81769599999996</v>
      </c>
      <c r="I95" s="133">
        <f t="shared" si="12"/>
        <v>312.45492096000004</v>
      </c>
      <c r="J95" s="133">
        <f t="shared" si="12"/>
        <v>326.91066670079999</v>
      </c>
      <c r="K95" s="133">
        <f t="shared" si="12"/>
        <v>338.73426207129603</v>
      </c>
      <c r="L95" s="133">
        <f t="shared" si="12"/>
        <v>347.56554818958341</v>
      </c>
    </row>
    <row r="96" spans="2:12" outlineLevel="1" x14ac:dyDescent="0.25">
      <c r="B96" s="5"/>
      <c r="C96" s="5"/>
      <c r="D96" s="110"/>
      <c r="E96" s="110"/>
      <c r="F96" s="150"/>
      <c r="G96" s="10"/>
      <c r="H96" s="5"/>
      <c r="I96" s="5"/>
      <c r="J96" s="5"/>
      <c r="K96" s="5"/>
    </row>
    <row r="97" spans="2:12" outlineLevel="1" x14ac:dyDescent="0.25">
      <c r="B97" s="5"/>
      <c r="C97" s="135" t="s">
        <v>156</v>
      </c>
      <c r="D97" s="110"/>
      <c r="E97" s="110"/>
      <c r="F97" s="5"/>
      <c r="G97" s="10"/>
      <c r="H97" s="5"/>
      <c r="I97" s="5"/>
      <c r="J97" s="5"/>
      <c r="K97" s="5"/>
    </row>
    <row r="98" spans="2:12" outlineLevel="1" x14ac:dyDescent="0.25">
      <c r="B98" s="5"/>
      <c r="C98" s="10" t="str">
        <f>$C$78</f>
        <v>Base</v>
      </c>
      <c r="D98" s="112" t="s">
        <v>5</v>
      </c>
      <c r="E98" s="110"/>
      <c r="F98" s="66">
        <v>-0.02</v>
      </c>
      <c r="G98" s="16">
        <v>-0.02</v>
      </c>
      <c r="H98" s="16">
        <v>-0.01</v>
      </c>
      <c r="I98" s="16">
        <v>0.03</v>
      </c>
      <c r="J98" s="16">
        <v>0.02</v>
      </c>
      <c r="K98" s="16">
        <v>0.02</v>
      </c>
      <c r="L98" s="16">
        <v>0.02</v>
      </c>
    </row>
    <row r="99" spans="2:12" outlineLevel="1" x14ac:dyDescent="0.25">
      <c r="B99" s="5"/>
      <c r="C99" s="10" t="str">
        <f>$C$79</f>
        <v>Downside</v>
      </c>
      <c r="D99" s="112" t="s">
        <v>5</v>
      </c>
      <c r="E99" s="110"/>
      <c r="F99" s="66">
        <v>-0.02</v>
      </c>
      <c r="G99" s="16">
        <v>-0.05</v>
      </c>
      <c r="H99" s="16">
        <v>-0.03</v>
      </c>
      <c r="I99" s="16">
        <v>0.02</v>
      </c>
      <c r="J99" s="16">
        <v>0.02</v>
      </c>
      <c r="K99" s="16">
        <v>0.02</v>
      </c>
      <c r="L99" s="16">
        <v>0.02</v>
      </c>
    </row>
    <row r="100" spans="2:12" outlineLevel="1" x14ac:dyDescent="0.25">
      <c r="B100" s="5"/>
      <c r="C100" s="89" t="str">
        <f>$C$80</f>
        <v>Upside</v>
      </c>
      <c r="D100" s="117" t="s">
        <v>5</v>
      </c>
      <c r="E100" s="122"/>
      <c r="F100" s="119">
        <v>-0.02</v>
      </c>
      <c r="G100" s="120">
        <v>0</v>
      </c>
      <c r="H100" s="16">
        <v>0.01</v>
      </c>
      <c r="I100" s="16">
        <v>0.02</v>
      </c>
      <c r="J100" s="16">
        <v>0.02</v>
      </c>
      <c r="K100" s="16">
        <v>0.02</v>
      </c>
      <c r="L100" s="16">
        <v>0.02</v>
      </c>
    </row>
    <row r="101" spans="2:12" outlineLevel="1" x14ac:dyDescent="0.25">
      <c r="B101" s="5"/>
      <c r="C101" s="54" t="s">
        <v>156</v>
      </c>
      <c r="D101" s="112" t="s">
        <v>5</v>
      </c>
      <c r="E101" s="110"/>
      <c r="F101" s="121">
        <f t="shared" ref="F101:L101" si="13">INDEX(F98:F100,MATCH(Market_Scenario,$C98:$C100,0))</f>
        <v>-0.02</v>
      </c>
      <c r="G101" s="121">
        <f t="shared" si="13"/>
        <v>-0.02</v>
      </c>
      <c r="H101" s="121">
        <f t="shared" si="13"/>
        <v>-0.01</v>
      </c>
      <c r="I101" s="121">
        <f t="shared" si="13"/>
        <v>0.03</v>
      </c>
      <c r="J101" s="121">
        <f t="shared" si="13"/>
        <v>0.02</v>
      </c>
      <c r="K101" s="121">
        <f t="shared" si="13"/>
        <v>0.02</v>
      </c>
      <c r="L101" s="121">
        <f t="shared" si="13"/>
        <v>0.02</v>
      </c>
    </row>
    <row r="102" spans="2:12" outlineLevel="1" x14ac:dyDescent="0.25">
      <c r="B102" s="5"/>
      <c r="C102" s="5"/>
      <c r="D102" s="110"/>
      <c r="E102" s="110"/>
      <c r="F102" s="5"/>
      <c r="G102" s="10"/>
      <c r="H102" s="5"/>
      <c r="I102" s="5"/>
      <c r="J102" s="5"/>
      <c r="K102" s="5"/>
    </row>
    <row r="103" spans="2:12" outlineLevel="1" x14ac:dyDescent="0.25">
      <c r="B103" s="5"/>
      <c r="C103" s="135" t="s">
        <v>157</v>
      </c>
      <c r="D103" s="110"/>
      <c r="E103" s="110"/>
      <c r="F103" s="5"/>
      <c r="G103" s="10"/>
      <c r="H103" s="5"/>
      <c r="I103" s="5"/>
      <c r="J103" s="5"/>
      <c r="K103" s="5"/>
    </row>
    <row r="104" spans="2:12" outlineLevel="1" x14ac:dyDescent="0.25">
      <c r="B104" s="5"/>
      <c r="C104" s="10" t="str">
        <f>$C$78</f>
        <v>Base</v>
      </c>
      <c r="D104" s="112" t="s">
        <v>5</v>
      </c>
      <c r="E104" s="110"/>
      <c r="F104" s="66">
        <v>0.03</v>
      </c>
      <c r="G104" s="16">
        <v>0.01</v>
      </c>
      <c r="H104" s="16">
        <v>0.01</v>
      </c>
      <c r="I104" s="16">
        <v>0.02</v>
      </c>
      <c r="J104" s="16">
        <v>0.02</v>
      </c>
      <c r="K104" s="16">
        <v>0.02</v>
      </c>
      <c r="L104" s="16">
        <v>0.02</v>
      </c>
    </row>
    <row r="105" spans="2:12" outlineLevel="1" x14ac:dyDescent="0.25">
      <c r="B105" s="5"/>
      <c r="C105" s="10" t="str">
        <f>$C$79</f>
        <v>Downside</v>
      </c>
      <c r="D105" s="112" t="s">
        <v>5</v>
      </c>
      <c r="E105" s="110"/>
      <c r="F105" s="66">
        <v>0.03</v>
      </c>
      <c r="G105" s="16">
        <v>5.0000000000000001E-3</v>
      </c>
      <c r="H105" s="16">
        <v>5.0000000000000001E-3</v>
      </c>
      <c r="I105" s="16">
        <v>0.01</v>
      </c>
      <c r="J105" s="16">
        <v>0.01</v>
      </c>
      <c r="K105" s="16">
        <v>0.02</v>
      </c>
      <c r="L105" s="16">
        <v>0.02</v>
      </c>
    </row>
    <row r="106" spans="2:12" outlineLevel="1" x14ac:dyDescent="0.25">
      <c r="B106" s="5"/>
      <c r="C106" s="89" t="str">
        <f>$C$80</f>
        <v>Upside</v>
      </c>
      <c r="D106" s="117" t="s">
        <v>5</v>
      </c>
      <c r="E106" s="122"/>
      <c r="F106" s="119">
        <v>0.03</v>
      </c>
      <c r="G106" s="120">
        <v>1.4999999999999999E-2</v>
      </c>
      <c r="H106" s="16">
        <v>1.4999999999999999E-2</v>
      </c>
      <c r="I106" s="16">
        <v>0.02</v>
      </c>
      <c r="J106" s="16">
        <v>0.02</v>
      </c>
      <c r="K106" s="16">
        <v>0.02</v>
      </c>
      <c r="L106" s="16">
        <v>0.02</v>
      </c>
    </row>
    <row r="107" spans="2:12" outlineLevel="1" x14ac:dyDescent="0.25">
      <c r="B107" s="5"/>
      <c r="C107" s="54" t="s">
        <v>158</v>
      </c>
      <c r="D107" s="112" t="s">
        <v>5</v>
      </c>
      <c r="E107" s="110"/>
      <c r="F107" s="121">
        <f t="shared" ref="F107:L107" si="14">INDEX(F104:F106,MATCH(Market_Scenario,$C104:$C106,0))</f>
        <v>0.03</v>
      </c>
      <c r="G107" s="121">
        <f t="shared" si="14"/>
        <v>0.01</v>
      </c>
      <c r="H107" s="121">
        <f t="shared" si="14"/>
        <v>0.01</v>
      </c>
      <c r="I107" s="121">
        <f t="shared" si="14"/>
        <v>0.02</v>
      </c>
      <c r="J107" s="121">
        <f t="shared" si="14"/>
        <v>0.02</v>
      </c>
      <c r="K107" s="121">
        <f t="shared" si="14"/>
        <v>0.02</v>
      </c>
      <c r="L107" s="121">
        <f t="shared" si="14"/>
        <v>0.02</v>
      </c>
    </row>
    <row r="108" spans="2:12" x14ac:dyDescent="0.25">
      <c r="B108" s="5"/>
      <c r="C108" s="5"/>
      <c r="D108" s="110"/>
      <c r="E108" s="110"/>
      <c r="F108" s="5"/>
      <c r="G108" s="10"/>
      <c r="H108" s="5"/>
      <c r="I108" s="5"/>
      <c r="J108" s="5"/>
      <c r="K108" s="5"/>
    </row>
    <row r="109" spans="2:12" x14ac:dyDescent="0.25">
      <c r="B109" s="30"/>
      <c r="C109" s="30"/>
      <c r="D109" s="31"/>
      <c r="E109" s="41"/>
      <c r="F109" s="32" t="s">
        <v>13</v>
      </c>
      <c r="G109" s="33" t="s">
        <v>14</v>
      </c>
      <c r="H109" s="34"/>
      <c r="I109" s="34"/>
      <c r="J109" s="34"/>
      <c r="K109" s="34"/>
      <c r="L109" s="83" t="s">
        <v>123</v>
      </c>
    </row>
    <row r="110" spans="2:12" x14ac:dyDescent="0.25">
      <c r="B110" s="7" t="s">
        <v>56</v>
      </c>
      <c r="C110" s="7"/>
      <c r="D110" s="8" t="str">
        <f>+$D$5</f>
        <v>Units:</v>
      </c>
      <c r="E110" s="42"/>
      <c r="F110" s="43">
        <f>Start_Date</f>
        <v>42735</v>
      </c>
      <c r="G110" s="36">
        <f t="shared" ref="G110:L110" si="15">EOMONTH(F110,Months)</f>
        <v>43100</v>
      </c>
      <c r="H110" s="35">
        <f t="shared" si="15"/>
        <v>43465</v>
      </c>
      <c r="I110" s="35">
        <f t="shared" si="15"/>
        <v>43830</v>
      </c>
      <c r="J110" s="35">
        <f t="shared" si="15"/>
        <v>44196</v>
      </c>
      <c r="K110" s="35">
        <f t="shared" si="15"/>
        <v>44561</v>
      </c>
      <c r="L110" s="36">
        <f t="shared" si="15"/>
        <v>44926</v>
      </c>
    </row>
    <row r="111" spans="2:12" outlineLevel="1" x14ac:dyDescent="0.25">
      <c r="B111" s="5"/>
      <c r="C111" s="10"/>
      <c r="D111" s="4"/>
      <c r="E111" s="5"/>
      <c r="F111" s="5"/>
      <c r="G111" s="5"/>
      <c r="H111" s="5"/>
      <c r="I111" s="5"/>
      <c r="J111" s="5"/>
      <c r="K111" s="5"/>
    </row>
    <row r="112" spans="2:12" outlineLevel="1" x14ac:dyDescent="0.25">
      <c r="B112" s="5"/>
      <c r="C112" s="5" t="s">
        <v>104</v>
      </c>
      <c r="D112" s="109" t="s">
        <v>5</v>
      </c>
      <c r="E112" s="26"/>
      <c r="F112" s="16">
        <v>0</v>
      </c>
      <c r="G112" s="16">
        <v>0.25</v>
      </c>
      <c r="H112" s="16">
        <v>0.5</v>
      </c>
      <c r="I112" s="16">
        <v>0</v>
      </c>
      <c r="J112" s="16">
        <v>0</v>
      </c>
      <c r="K112" s="16">
        <v>0</v>
      </c>
      <c r="L112" s="16">
        <v>0</v>
      </c>
    </row>
    <row r="113" spans="2:12" outlineLevel="1" x14ac:dyDescent="0.25">
      <c r="B113" s="5"/>
      <c r="C113" s="63" t="s">
        <v>84</v>
      </c>
      <c r="D113" s="111" t="s">
        <v>8</v>
      </c>
      <c r="E113" s="5"/>
      <c r="F113" s="134">
        <v>0</v>
      </c>
      <c r="G113" s="19">
        <f>+Renovation_per_Room*Keys/Renovation_Years</f>
        <v>10815000</v>
      </c>
      <c r="H113" s="19">
        <f>+Renovation_per_Room*Keys/Renovation_Years</f>
        <v>10815000</v>
      </c>
      <c r="I113" s="134">
        <v>0</v>
      </c>
      <c r="J113" s="134">
        <v>0</v>
      </c>
      <c r="K113" s="134">
        <v>0</v>
      </c>
      <c r="L113" s="134">
        <v>0</v>
      </c>
    </row>
    <row r="114" spans="2:12" outlineLevel="1" x14ac:dyDescent="0.25">
      <c r="B114" s="5"/>
      <c r="C114" s="10"/>
      <c r="D114" s="107"/>
      <c r="E114" s="5"/>
      <c r="F114" s="5"/>
      <c r="G114" s="5"/>
      <c r="H114" s="5"/>
      <c r="I114" s="5"/>
      <c r="J114" s="5"/>
      <c r="K114" s="5"/>
    </row>
    <row r="115" spans="2:12" outlineLevel="1" x14ac:dyDescent="0.25">
      <c r="B115" s="5"/>
      <c r="C115" s="5" t="s">
        <v>62</v>
      </c>
      <c r="D115" s="109" t="s">
        <v>63</v>
      </c>
      <c r="E115" s="21"/>
      <c r="F115" s="84">
        <f>+F110-EOMONTH(F110,-Months)</f>
        <v>366</v>
      </c>
      <c r="G115" s="84">
        <f>+G110-F110</f>
        <v>365</v>
      </c>
      <c r="H115" s="84">
        <f t="shared" ref="H115:L115" si="16">+H110-G110</f>
        <v>365</v>
      </c>
      <c r="I115" s="84">
        <f t="shared" si="16"/>
        <v>365</v>
      </c>
      <c r="J115" s="84">
        <f t="shared" si="16"/>
        <v>366</v>
      </c>
      <c r="K115" s="84">
        <f t="shared" si="16"/>
        <v>365</v>
      </c>
      <c r="L115" s="84">
        <f t="shared" si="16"/>
        <v>365</v>
      </c>
    </row>
    <row r="116" spans="2:12" outlineLevel="1" x14ac:dyDescent="0.25">
      <c r="B116" s="5"/>
      <c r="C116" s="5" t="s">
        <v>107</v>
      </c>
      <c r="D116" s="109" t="s">
        <v>110</v>
      </c>
      <c r="E116" s="21"/>
      <c r="F116" s="85">
        <f t="shared" ref="F116:L116" si="17">+F115*Keys</f>
        <v>226188</v>
      </c>
      <c r="G116" s="85">
        <f t="shared" si="17"/>
        <v>225570</v>
      </c>
      <c r="H116" s="85">
        <f t="shared" si="17"/>
        <v>225570</v>
      </c>
      <c r="I116" s="85">
        <f t="shared" si="17"/>
        <v>225570</v>
      </c>
      <c r="J116" s="85">
        <f t="shared" si="17"/>
        <v>226188</v>
      </c>
      <c r="K116" s="85">
        <f t="shared" si="17"/>
        <v>225570</v>
      </c>
      <c r="L116" s="85">
        <f t="shared" si="17"/>
        <v>225570</v>
      </c>
    </row>
    <row r="117" spans="2:12" outlineLevel="1" x14ac:dyDescent="0.25">
      <c r="B117" s="5"/>
      <c r="C117" s="5" t="s">
        <v>106</v>
      </c>
      <c r="D117" s="109" t="s">
        <v>110</v>
      </c>
      <c r="E117" s="21"/>
      <c r="F117" s="85">
        <f>+F93*F116*(1-F112)</f>
        <v>176426.64</v>
      </c>
      <c r="G117" s="85">
        <f>+G93*G116*(1-G112)</f>
        <v>135003.64499999999</v>
      </c>
      <c r="H117" s="85">
        <f t="shared" ref="H117:L117" si="18">+H93*H116*(1-H112)</f>
        <v>87859.514999999985</v>
      </c>
      <c r="I117" s="85">
        <f t="shared" si="18"/>
        <v>177861.94500000001</v>
      </c>
      <c r="J117" s="85">
        <f t="shared" si="18"/>
        <v>179423.63099999996</v>
      </c>
      <c r="K117" s="85">
        <f t="shared" si="18"/>
        <v>180004.86</v>
      </c>
      <c r="L117" s="85">
        <f t="shared" si="18"/>
        <v>181076.3175</v>
      </c>
    </row>
    <row r="118" spans="2:12" outlineLevel="1" x14ac:dyDescent="0.25">
      <c r="B118" s="5"/>
      <c r="C118" s="5"/>
      <c r="D118" s="110"/>
      <c r="E118" s="21"/>
      <c r="F118" s="5"/>
      <c r="G118" s="10"/>
      <c r="H118" s="5"/>
      <c r="I118" s="5"/>
      <c r="J118" s="5"/>
      <c r="K118" s="5"/>
    </row>
    <row r="119" spans="2:12" outlineLevel="1" x14ac:dyDescent="0.25">
      <c r="B119" s="5"/>
      <c r="C119" s="5" t="s">
        <v>159</v>
      </c>
      <c r="D119" s="108" t="s">
        <v>109</v>
      </c>
      <c r="E119" s="21"/>
      <c r="F119" s="136">
        <v>125</v>
      </c>
      <c r="G119" s="138">
        <f>+F119*(1+G$101)</f>
        <v>122.5</v>
      </c>
      <c r="H119" s="138">
        <f t="shared" ref="H119:L119" si="19">+G119*(1+H$101)</f>
        <v>121.27500000000001</v>
      </c>
      <c r="I119" s="138">
        <f t="shared" si="19"/>
        <v>124.91325000000001</v>
      </c>
      <c r="J119" s="138">
        <f t="shared" si="19"/>
        <v>127.41151500000001</v>
      </c>
      <c r="K119" s="138">
        <f t="shared" si="19"/>
        <v>129.95974530000001</v>
      </c>
      <c r="L119" s="138">
        <f t="shared" si="19"/>
        <v>132.55894020600002</v>
      </c>
    </row>
    <row r="120" spans="2:12" outlineLevel="1" x14ac:dyDescent="0.25">
      <c r="B120" s="5"/>
      <c r="C120" s="5" t="s">
        <v>160</v>
      </c>
      <c r="D120" s="108" t="s">
        <v>109</v>
      </c>
      <c r="E120" s="21"/>
      <c r="F120" s="136">
        <v>25</v>
      </c>
      <c r="G120" s="137">
        <f>+F120*(1+G$101)</f>
        <v>24.5</v>
      </c>
      <c r="H120" s="138">
        <f t="shared" ref="H120:L120" si="20">+G120*(1+H$101)</f>
        <v>24.254999999999999</v>
      </c>
      <c r="I120" s="138">
        <f t="shared" si="20"/>
        <v>24.98265</v>
      </c>
      <c r="J120" s="138">
        <f t="shared" si="20"/>
        <v>25.482303000000002</v>
      </c>
      <c r="K120" s="138">
        <f t="shared" si="20"/>
        <v>25.991949060000003</v>
      </c>
      <c r="L120" s="138">
        <f t="shared" si="20"/>
        <v>26.511788041200003</v>
      </c>
    </row>
    <row r="121" spans="2:12" outlineLevel="1" x14ac:dyDescent="0.25">
      <c r="B121" s="5"/>
      <c r="C121" s="5"/>
      <c r="D121" s="110"/>
      <c r="E121" s="21"/>
      <c r="F121" s="5"/>
      <c r="G121" s="10"/>
      <c r="H121" s="5"/>
      <c r="I121" s="5"/>
      <c r="J121" s="5"/>
      <c r="K121" s="5"/>
      <c r="L121" s="3"/>
    </row>
    <row r="122" spans="2:12" outlineLevel="1" x14ac:dyDescent="0.25">
      <c r="B122" s="5"/>
      <c r="C122" s="63" t="s">
        <v>117</v>
      </c>
      <c r="D122" s="108" t="s">
        <v>109</v>
      </c>
      <c r="E122" s="21"/>
      <c r="F122" s="136">
        <v>10</v>
      </c>
      <c r="G122" s="138">
        <f>+F122*(1+G$107)</f>
        <v>10.1</v>
      </c>
      <c r="H122" s="138">
        <f t="shared" ref="H122:L122" si="21">+G122*(1+H$107)</f>
        <v>10.201000000000001</v>
      </c>
      <c r="I122" s="138">
        <f t="shared" si="21"/>
        <v>10.40502</v>
      </c>
      <c r="J122" s="138">
        <f t="shared" si="21"/>
        <v>10.613120400000001</v>
      </c>
      <c r="K122" s="138">
        <f t="shared" si="21"/>
        <v>10.825382808000002</v>
      </c>
      <c r="L122" s="138">
        <f t="shared" si="21"/>
        <v>11.041890464160003</v>
      </c>
    </row>
    <row r="123" spans="2:12" outlineLevel="1" x14ac:dyDescent="0.25">
      <c r="C123" s="6" t="s">
        <v>80</v>
      </c>
      <c r="D123" s="111" t="s">
        <v>178</v>
      </c>
      <c r="F123" s="149">
        <v>1500</v>
      </c>
      <c r="G123" s="141">
        <f t="shared" ref="G123:L127" si="22">+F123*(1+G$107)</f>
        <v>1515</v>
      </c>
      <c r="H123" s="141">
        <f t="shared" si="22"/>
        <v>1530.15</v>
      </c>
      <c r="I123" s="141">
        <f t="shared" si="22"/>
        <v>1560.7530000000002</v>
      </c>
      <c r="J123" s="141">
        <f t="shared" si="22"/>
        <v>1591.9680600000002</v>
      </c>
      <c r="K123" s="141">
        <f t="shared" si="22"/>
        <v>1623.8074212000001</v>
      </c>
      <c r="L123" s="141">
        <f t="shared" si="22"/>
        <v>1656.2835696240002</v>
      </c>
    </row>
    <row r="124" spans="2:12" outlineLevel="1" x14ac:dyDescent="0.25">
      <c r="B124" s="5"/>
      <c r="C124" s="6" t="s">
        <v>81</v>
      </c>
      <c r="D124" s="111" t="s">
        <v>178</v>
      </c>
      <c r="F124" s="149">
        <v>0</v>
      </c>
      <c r="G124" s="141">
        <f t="shared" si="22"/>
        <v>0</v>
      </c>
      <c r="H124" s="141">
        <f t="shared" si="22"/>
        <v>0</v>
      </c>
      <c r="I124" s="141">
        <f t="shared" si="22"/>
        <v>0</v>
      </c>
      <c r="J124" s="141">
        <f t="shared" si="22"/>
        <v>0</v>
      </c>
      <c r="K124" s="141">
        <f t="shared" si="22"/>
        <v>0</v>
      </c>
      <c r="L124" s="141">
        <f t="shared" si="22"/>
        <v>0</v>
      </c>
    </row>
    <row r="125" spans="2:12" outlineLevel="1" x14ac:dyDescent="0.25">
      <c r="B125" s="5"/>
      <c r="C125" s="6" t="s">
        <v>148</v>
      </c>
      <c r="D125" s="111" t="s">
        <v>178</v>
      </c>
      <c r="E125" s="21"/>
      <c r="F125" s="27">
        <f>E37</f>
        <v>2100</v>
      </c>
      <c r="G125" s="141">
        <f t="shared" si="22"/>
        <v>2121</v>
      </c>
      <c r="H125" s="141">
        <f t="shared" si="22"/>
        <v>2142.21</v>
      </c>
      <c r="I125" s="141">
        <f t="shared" si="22"/>
        <v>2185.0542</v>
      </c>
      <c r="J125" s="141">
        <f t="shared" si="22"/>
        <v>2228.7552840000003</v>
      </c>
      <c r="K125" s="141">
        <f t="shared" si="22"/>
        <v>2273.3303896800003</v>
      </c>
      <c r="L125" s="141">
        <f t="shared" si="22"/>
        <v>2318.7969974736002</v>
      </c>
    </row>
    <row r="126" spans="2:12" outlineLevel="1" x14ac:dyDescent="0.25">
      <c r="B126" s="5"/>
      <c r="C126" s="5"/>
      <c r="D126" s="110"/>
      <c r="E126" s="110"/>
      <c r="F126" s="5"/>
      <c r="G126" s="10"/>
      <c r="H126" s="5"/>
      <c r="I126" s="5"/>
      <c r="J126" s="5"/>
      <c r="K126" s="5"/>
    </row>
    <row r="127" spans="2:12" outlineLevel="1" x14ac:dyDescent="0.25">
      <c r="B127" s="5"/>
      <c r="C127" s="5" t="s">
        <v>87</v>
      </c>
      <c r="D127" s="108" t="s">
        <v>187</v>
      </c>
      <c r="E127" s="21"/>
      <c r="F127" s="88">
        <v>15563119.8015</v>
      </c>
      <c r="G127" s="19">
        <f t="shared" si="22"/>
        <v>15718750.999515001</v>
      </c>
      <c r="H127" s="19">
        <f t="shared" si="22"/>
        <v>15875938.50951015</v>
      </c>
      <c r="I127" s="19">
        <f t="shared" si="22"/>
        <v>16193457.279700354</v>
      </c>
      <c r="J127" s="19">
        <f t="shared" si="22"/>
        <v>16517326.425294362</v>
      </c>
      <c r="K127" s="19">
        <f t="shared" si="22"/>
        <v>16847672.95380025</v>
      </c>
      <c r="L127" s="19">
        <f t="shared" si="22"/>
        <v>17184626.412876256</v>
      </c>
    </row>
    <row r="128" spans="2:12" outlineLevel="1" x14ac:dyDescent="0.25">
      <c r="B128" s="5"/>
      <c r="C128" s="5"/>
      <c r="D128" s="21"/>
      <c r="E128" s="21"/>
      <c r="F128" s="133"/>
      <c r="G128" s="10"/>
      <c r="H128" s="5"/>
      <c r="I128" s="27"/>
      <c r="J128" s="5"/>
      <c r="K128" s="5"/>
    </row>
    <row r="129" spans="2:12" outlineLevel="1" x14ac:dyDescent="0.25">
      <c r="B129" s="38"/>
      <c r="C129" s="82" t="s">
        <v>39</v>
      </c>
      <c r="D129" s="39" t="s">
        <v>30</v>
      </c>
      <c r="E129" s="38"/>
      <c r="F129" s="40">
        <f>YEAR(F132)</f>
        <v>2016</v>
      </c>
      <c r="G129" s="40">
        <f t="shared" ref="G129:L129" si="23">YEAR(G132)</f>
        <v>2017</v>
      </c>
      <c r="H129" s="40">
        <f t="shared" si="23"/>
        <v>2018</v>
      </c>
      <c r="I129" s="40">
        <f t="shared" si="23"/>
        <v>2019</v>
      </c>
      <c r="J129" s="40">
        <f t="shared" si="23"/>
        <v>2020</v>
      </c>
      <c r="K129" s="40">
        <f t="shared" si="23"/>
        <v>2021</v>
      </c>
      <c r="L129" s="40">
        <f t="shared" si="23"/>
        <v>2022</v>
      </c>
    </row>
    <row r="130" spans="2:12" x14ac:dyDescent="0.25">
      <c r="B130" s="5"/>
      <c r="C130" s="5"/>
      <c r="D130" s="4"/>
      <c r="E130" s="5"/>
      <c r="F130" s="5"/>
      <c r="G130" s="5"/>
      <c r="H130" s="5"/>
      <c r="I130" s="5"/>
      <c r="J130" s="5"/>
      <c r="K130" s="5"/>
    </row>
    <row r="131" spans="2:12" x14ac:dyDescent="0.25">
      <c r="B131" s="30"/>
      <c r="C131" s="30"/>
      <c r="D131" s="31"/>
      <c r="E131" s="41"/>
      <c r="F131" s="32" t="str">
        <f>+$F$109</f>
        <v>Historical:</v>
      </c>
      <c r="G131" s="33" t="str">
        <f>+$G$109</f>
        <v>Projected:</v>
      </c>
      <c r="H131" s="34"/>
      <c r="I131" s="34"/>
      <c r="J131" s="34"/>
      <c r="K131" s="34"/>
      <c r="L131" s="83" t="str">
        <f>+$L$109</f>
        <v>Stabilized:</v>
      </c>
    </row>
    <row r="132" spans="2:12" x14ac:dyDescent="0.25">
      <c r="B132" s="7" t="s">
        <v>18</v>
      </c>
      <c r="C132" s="7"/>
      <c r="D132" s="8" t="str">
        <f>+$D$110</f>
        <v>Units:</v>
      </c>
      <c r="E132" s="42"/>
      <c r="F132" s="43">
        <f>+$F$110</f>
        <v>42735</v>
      </c>
      <c r="G132" s="36">
        <f>+$G$110</f>
        <v>43100</v>
      </c>
      <c r="H132" s="35">
        <f>+$H$110</f>
        <v>43465</v>
      </c>
      <c r="I132" s="35">
        <f>+$I$110</f>
        <v>43830</v>
      </c>
      <c r="J132" s="35">
        <f>+$J$110</f>
        <v>44196</v>
      </c>
      <c r="K132" s="35">
        <f>+$K$110</f>
        <v>44561</v>
      </c>
      <c r="L132" s="36">
        <f>+$L$110</f>
        <v>44926</v>
      </c>
    </row>
    <row r="133" spans="2:12" outlineLevel="1" x14ac:dyDescent="0.25">
      <c r="B133" s="5"/>
      <c r="C133" s="5"/>
      <c r="D133" s="4"/>
      <c r="E133" s="26"/>
      <c r="F133" s="26"/>
      <c r="G133" s="26"/>
      <c r="H133" s="26"/>
      <c r="I133" s="26"/>
      <c r="J133" s="26"/>
      <c r="K133" s="26"/>
    </row>
    <row r="134" spans="2:12" outlineLevel="1" x14ac:dyDescent="0.25">
      <c r="B134" s="5"/>
      <c r="C134" s="2" t="s">
        <v>19</v>
      </c>
      <c r="D134" s="4"/>
      <c r="E134" s="26"/>
      <c r="F134" s="25"/>
      <c r="G134" s="26"/>
      <c r="H134" s="25"/>
      <c r="I134" s="26"/>
      <c r="J134" s="26"/>
      <c r="K134" s="26"/>
    </row>
    <row r="135" spans="2:12" outlineLevel="1" x14ac:dyDescent="0.25">
      <c r="B135" s="5"/>
      <c r="C135" s="10" t="s">
        <v>59</v>
      </c>
      <c r="D135" s="9" t="s">
        <v>8</v>
      </c>
      <c r="E135" s="26"/>
      <c r="F135" s="24">
        <f>+F117*F94</f>
        <v>61749324.000000007</v>
      </c>
      <c r="G135" s="24">
        <f t="shared" ref="G135:L135" si="24">+G117*G94</f>
        <v>52489417.175999999</v>
      </c>
      <c r="H135" s="24">
        <f t="shared" si="24"/>
        <v>33476583.843359996</v>
      </c>
      <c r="I135" s="24">
        <f t="shared" si="24"/>
        <v>70480456.520947203</v>
      </c>
      <c r="J135" s="24">
        <f t="shared" si="24"/>
        <v>73943269.879720539</v>
      </c>
      <c r="K135" s="24">
        <f t="shared" si="24"/>
        <v>76408287.495422244</v>
      </c>
      <c r="L135" s="24">
        <f t="shared" si="24"/>
        <v>78400360.705124334</v>
      </c>
    </row>
    <row r="136" spans="2:12" outlineLevel="1" x14ac:dyDescent="0.25">
      <c r="B136" s="5"/>
      <c r="C136" s="10" t="s">
        <v>60</v>
      </c>
      <c r="D136" s="9" t="s">
        <v>8</v>
      </c>
      <c r="E136" s="26"/>
      <c r="F136" s="27">
        <f>+F119*F$117</f>
        <v>22053330</v>
      </c>
      <c r="G136" s="27">
        <f t="shared" ref="G136:L136" si="25">+G119*G$117</f>
        <v>16537946.512499999</v>
      </c>
      <c r="H136" s="27">
        <f t="shared" si="25"/>
        <v>10655162.681624999</v>
      </c>
      <c r="I136" s="27">
        <f t="shared" si="25"/>
        <v>22217313.601271253</v>
      </c>
      <c r="J136" s="27">
        <f t="shared" si="25"/>
        <v>22860636.652510963</v>
      </c>
      <c r="K136" s="27">
        <f t="shared" si="25"/>
        <v>23393385.758362159</v>
      </c>
      <c r="L136" s="27">
        <f t="shared" si="25"/>
        <v>24003284.744205177</v>
      </c>
    </row>
    <row r="137" spans="2:12" outlineLevel="1" x14ac:dyDescent="0.25">
      <c r="B137" s="5"/>
      <c r="C137" s="10" t="s">
        <v>151</v>
      </c>
      <c r="D137" s="9" t="s">
        <v>8</v>
      </c>
      <c r="E137" s="26"/>
      <c r="F137" s="27">
        <f>+F120*F$117</f>
        <v>4410666</v>
      </c>
      <c r="G137" s="27">
        <f t="shared" ref="G137:L137" si="26">+G120*G$117</f>
        <v>3307589.3024999998</v>
      </c>
      <c r="H137" s="27">
        <f t="shared" si="26"/>
        <v>2131032.5363249998</v>
      </c>
      <c r="I137" s="27">
        <f t="shared" si="26"/>
        <v>4443462.7202542499</v>
      </c>
      <c r="J137" s="27">
        <f t="shared" si="26"/>
        <v>4572127.3305021925</v>
      </c>
      <c r="K137" s="27">
        <f t="shared" si="26"/>
        <v>4678677.1516724322</v>
      </c>
      <c r="L137" s="27">
        <f t="shared" si="26"/>
        <v>4800656.9488410344</v>
      </c>
    </row>
    <row r="138" spans="2:12" outlineLevel="1" x14ac:dyDescent="0.25">
      <c r="B138" s="5"/>
      <c r="C138" s="64" t="s">
        <v>61</v>
      </c>
      <c r="D138" s="65" t="s">
        <v>8</v>
      </c>
      <c r="E138" s="44"/>
      <c r="F138" s="72">
        <f>SUM(F135:F137)</f>
        <v>88213320</v>
      </c>
      <c r="G138" s="72">
        <f t="shared" ref="G138:L138" si="27">SUM(G135:G137)</f>
        <v>72334952.990999997</v>
      </c>
      <c r="H138" s="72">
        <f t="shared" si="27"/>
        <v>46262779.061309993</v>
      </c>
      <c r="I138" s="72">
        <f t="shared" si="27"/>
        <v>97141232.842472702</v>
      </c>
      <c r="J138" s="72">
        <f t="shared" si="27"/>
        <v>101376033.86273371</v>
      </c>
      <c r="K138" s="72">
        <f t="shared" si="27"/>
        <v>104480350.40545684</v>
      </c>
      <c r="L138" s="72">
        <f t="shared" si="27"/>
        <v>107204302.39817055</v>
      </c>
    </row>
    <row r="139" spans="2:12" outlineLevel="1" x14ac:dyDescent="0.25">
      <c r="B139" s="5"/>
      <c r="C139" s="5"/>
      <c r="D139" s="4"/>
      <c r="E139" s="26"/>
      <c r="F139" s="26"/>
      <c r="G139" s="26"/>
      <c r="H139" s="26"/>
      <c r="I139" s="26"/>
      <c r="J139" s="26"/>
      <c r="K139" s="26"/>
      <c r="L139" s="26"/>
    </row>
    <row r="140" spans="2:12" outlineLevel="1" x14ac:dyDescent="0.25">
      <c r="B140" s="5"/>
      <c r="C140" s="2" t="s">
        <v>64</v>
      </c>
      <c r="D140" s="4"/>
      <c r="E140" s="26"/>
      <c r="F140" s="75"/>
      <c r="G140" s="75"/>
      <c r="H140" s="75"/>
      <c r="I140" s="75"/>
      <c r="J140" s="75"/>
      <c r="K140" s="75"/>
      <c r="L140" s="75"/>
    </row>
    <row r="141" spans="2:12" outlineLevel="1" x14ac:dyDescent="0.25">
      <c r="B141" s="5"/>
      <c r="C141" s="10" t="s">
        <v>65</v>
      </c>
      <c r="D141" s="9" t="s">
        <v>8</v>
      </c>
      <c r="E141" s="26"/>
      <c r="F141" s="151">
        <v>-11732371.559999999</v>
      </c>
      <c r="G141" s="26">
        <f t="shared" ref="G141:L141" si="28">-G135*(1-Room_Margin)</f>
        <v>-9972989.2634399962</v>
      </c>
      <c r="H141" s="26">
        <f t="shared" si="28"/>
        <v>-6360550.9302383978</v>
      </c>
      <c r="I141" s="26">
        <f t="shared" si="28"/>
        <v>-13391286.738979965</v>
      </c>
      <c r="J141" s="26">
        <f t="shared" si="28"/>
        <v>-14049221.277146898</v>
      </c>
      <c r="K141" s="26">
        <f t="shared" si="28"/>
        <v>-14517574.624130223</v>
      </c>
      <c r="L141" s="26">
        <f t="shared" si="28"/>
        <v>-14896068.533973619</v>
      </c>
    </row>
    <row r="142" spans="2:12" outlineLevel="1" x14ac:dyDescent="0.25">
      <c r="B142" s="5"/>
      <c r="C142" s="10" t="s">
        <v>67</v>
      </c>
      <c r="D142" s="9" t="s">
        <v>8</v>
      </c>
      <c r="E142" s="26"/>
      <c r="F142" s="151">
        <v>-16539997.5</v>
      </c>
      <c r="G142" s="26">
        <f t="shared" ref="G142:L142" si="29">-G136*(1-FB_Margin)</f>
        <v>-12403459.884374999</v>
      </c>
      <c r="H142" s="26">
        <f t="shared" si="29"/>
        <v>-7991372.011218749</v>
      </c>
      <c r="I142" s="26">
        <f t="shared" si="29"/>
        <v>-16662985.200953439</v>
      </c>
      <c r="J142" s="26">
        <f t="shared" si="29"/>
        <v>-17145477.489383221</v>
      </c>
      <c r="K142" s="26">
        <f t="shared" si="29"/>
        <v>-17545039.318771619</v>
      </c>
      <c r="L142" s="26">
        <f t="shared" si="29"/>
        <v>-18002463.558153883</v>
      </c>
    </row>
    <row r="143" spans="2:12" outlineLevel="1" x14ac:dyDescent="0.25">
      <c r="B143" s="5"/>
      <c r="C143" s="10" t="s">
        <v>152</v>
      </c>
      <c r="D143" s="46" t="s">
        <v>8</v>
      </c>
      <c r="E143" s="26"/>
      <c r="F143" s="151">
        <v>-3925492.74</v>
      </c>
      <c r="G143" s="26">
        <f t="shared" ref="G143:L143" si="30">-G137*(1-Other_Margin)</f>
        <v>-2943754.4792249999</v>
      </c>
      <c r="H143" s="26">
        <f t="shared" si="30"/>
        <v>-1896618.9573292497</v>
      </c>
      <c r="I143" s="26">
        <f t="shared" si="30"/>
        <v>-3954681.8210262824</v>
      </c>
      <c r="J143" s="26">
        <f t="shared" si="30"/>
        <v>-4069193.3241469515</v>
      </c>
      <c r="K143" s="26">
        <f t="shared" si="30"/>
        <v>-4164022.6649884647</v>
      </c>
      <c r="L143" s="26">
        <f t="shared" si="30"/>
        <v>-4272584.6844685208</v>
      </c>
    </row>
    <row r="144" spans="2:12" outlineLevel="1" x14ac:dyDescent="0.25">
      <c r="B144" s="5"/>
      <c r="C144" s="47" t="s">
        <v>108</v>
      </c>
      <c r="D144" s="9" t="s">
        <v>8</v>
      </c>
      <c r="E144" s="44"/>
      <c r="F144" s="28">
        <f>SUM(F141:F143)</f>
        <v>-32197861.799999997</v>
      </c>
      <c r="G144" s="28">
        <f>SUM(G141:G143)</f>
        <v>-25320203.627039995</v>
      </c>
      <c r="H144" s="28">
        <f t="shared" ref="H144:L144" si="31">SUM(H141:H143)</f>
        <v>-16248541.898786396</v>
      </c>
      <c r="I144" s="28">
        <f t="shared" si="31"/>
        <v>-34008953.760959685</v>
      </c>
      <c r="J144" s="28">
        <f t="shared" si="31"/>
        <v>-35263892.090677068</v>
      </c>
      <c r="K144" s="28">
        <f t="shared" si="31"/>
        <v>-36226636.607890308</v>
      </c>
      <c r="L144" s="28">
        <f t="shared" si="31"/>
        <v>-37171116.776596025</v>
      </c>
    </row>
    <row r="145" spans="2:12" outlineLevel="1" x14ac:dyDescent="0.25">
      <c r="B145" s="5"/>
      <c r="C145" s="5"/>
      <c r="D145" s="4"/>
      <c r="E145" s="26"/>
      <c r="F145" s="26"/>
      <c r="G145" s="26"/>
      <c r="H145" s="26"/>
      <c r="I145" s="26"/>
      <c r="J145" s="26"/>
      <c r="K145" s="26"/>
      <c r="L145" s="26"/>
    </row>
    <row r="146" spans="2:12" outlineLevel="1" x14ac:dyDescent="0.25">
      <c r="B146" s="5"/>
      <c r="C146" s="54" t="s">
        <v>66</v>
      </c>
      <c r="D146" s="9" t="s">
        <v>8</v>
      </c>
      <c r="E146" s="26"/>
      <c r="F146" s="87">
        <f>+F138+F144</f>
        <v>56015458.200000003</v>
      </c>
      <c r="G146" s="87">
        <f t="shared" ref="G146:L146" si="32">+G138+G144</f>
        <v>47014749.363959998</v>
      </c>
      <c r="H146" s="87">
        <f t="shared" si="32"/>
        <v>30014237.162523597</v>
      </c>
      <c r="I146" s="87">
        <f t="shared" si="32"/>
        <v>63132279.081513017</v>
      </c>
      <c r="J146" s="87">
        <f t="shared" si="32"/>
        <v>66112141.772056639</v>
      </c>
      <c r="K146" s="87">
        <f t="shared" si="32"/>
        <v>68253713.797566533</v>
      </c>
      <c r="L146" s="87">
        <f t="shared" si="32"/>
        <v>70033185.621574521</v>
      </c>
    </row>
    <row r="147" spans="2:12" outlineLevel="1" x14ac:dyDescent="0.25">
      <c r="B147" s="5"/>
      <c r="C147" s="86" t="s">
        <v>111</v>
      </c>
      <c r="D147" s="18" t="s">
        <v>5</v>
      </c>
      <c r="E147" s="26"/>
      <c r="F147" s="49">
        <f>+F146/F138</f>
        <v>0.63500000000000001</v>
      </c>
      <c r="G147" s="49">
        <f t="shared" ref="G147:L147" si="33">+G146/G138</f>
        <v>0.64995893990294884</v>
      </c>
      <c r="H147" s="49">
        <f t="shared" si="33"/>
        <v>0.64877721943048583</v>
      </c>
      <c r="I147" s="49">
        <f t="shared" si="33"/>
        <v>0.64990197503350944</v>
      </c>
      <c r="J147" s="49">
        <f t="shared" si="33"/>
        <v>0.65214764528640501</v>
      </c>
      <c r="K147" s="49">
        <f t="shared" si="33"/>
        <v>0.6532684235140328</v>
      </c>
      <c r="L147" s="49">
        <f t="shared" si="33"/>
        <v>0.6532684235140328</v>
      </c>
    </row>
    <row r="148" spans="2:12" outlineLevel="1" x14ac:dyDescent="0.25">
      <c r="B148" s="5"/>
      <c r="C148" s="5"/>
      <c r="D148" s="4"/>
      <c r="E148" s="26"/>
      <c r="F148" s="26"/>
      <c r="G148" s="26"/>
      <c r="H148" s="26"/>
      <c r="I148" s="26"/>
      <c r="J148" s="26"/>
      <c r="K148" s="26"/>
      <c r="L148" s="26"/>
    </row>
    <row r="149" spans="2:12" outlineLevel="1" x14ac:dyDescent="0.25">
      <c r="B149" s="5"/>
      <c r="C149" s="54" t="s">
        <v>73</v>
      </c>
      <c r="D149" s="4"/>
      <c r="E149" s="26"/>
      <c r="F149" s="26"/>
      <c r="G149" s="26"/>
      <c r="H149" s="26"/>
      <c r="I149" s="26"/>
      <c r="J149" s="26"/>
      <c r="K149" s="26"/>
      <c r="L149" s="26"/>
    </row>
    <row r="150" spans="2:12" outlineLevel="1" x14ac:dyDescent="0.25">
      <c r="B150" s="5"/>
      <c r="C150" s="10" t="s">
        <v>68</v>
      </c>
      <c r="D150" s="9" t="s">
        <v>8</v>
      </c>
      <c r="E150" s="26"/>
      <c r="F150" s="151">
        <v>-4410666</v>
      </c>
      <c r="G150" s="26">
        <f>-$E33*G$138</f>
        <v>-3616747.6495500002</v>
      </c>
      <c r="H150" s="26">
        <f t="shared" ref="H150:L150" si="34">-$E33*H$138</f>
        <v>-2313138.9530654997</v>
      </c>
      <c r="I150" s="26">
        <f t="shared" si="34"/>
        <v>-4857061.6421236349</v>
      </c>
      <c r="J150" s="26">
        <f t="shared" si="34"/>
        <v>-5068801.6931366855</v>
      </c>
      <c r="K150" s="26">
        <f t="shared" si="34"/>
        <v>-5224017.5202728426</v>
      </c>
      <c r="L150" s="26">
        <f t="shared" si="34"/>
        <v>-5360215.1199085275</v>
      </c>
    </row>
    <row r="151" spans="2:12" outlineLevel="1" x14ac:dyDescent="0.25">
      <c r="B151" s="5"/>
      <c r="C151" s="10" t="s">
        <v>69</v>
      </c>
      <c r="D151" s="9" t="s">
        <v>8</v>
      </c>
      <c r="E151" s="26"/>
      <c r="F151" s="151">
        <v>-6174932.4000000004</v>
      </c>
      <c r="G151" s="26">
        <f t="shared" ref="G151:L152" si="35">-$E34*G$138</f>
        <v>-5063446.7093700003</v>
      </c>
      <c r="H151" s="26">
        <f t="shared" si="35"/>
        <v>-3238394.5342917</v>
      </c>
      <c r="I151" s="26">
        <f t="shared" si="35"/>
        <v>-6799886.29897309</v>
      </c>
      <c r="J151" s="26">
        <f t="shared" si="35"/>
        <v>-7096322.3703913605</v>
      </c>
      <c r="K151" s="26">
        <f t="shared" si="35"/>
        <v>-7313624.52838198</v>
      </c>
      <c r="L151" s="26">
        <f t="shared" si="35"/>
        <v>-7504301.167871939</v>
      </c>
    </row>
    <row r="152" spans="2:12" outlineLevel="1" x14ac:dyDescent="0.25">
      <c r="B152" s="5"/>
      <c r="C152" s="10" t="s">
        <v>70</v>
      </c>
      <c r="D152" s="9" t="s">
        <v>8</v>
      </c>
      <c r="E152" s="26"/>
      <c r="F152" s="151">
        <v>-3087466.2</v>
      </c>
      <c r="G152" s="26">
        <f t="shared" si="35"/>
        <v>-2531723.3546850001</v>
      </c>
      <c r="H152" s="26">
        <f t="shared" si="35"/>
        <v>-1619197.26714585</v>
      </c>
      <c r="I152" s="26">
        <f t="shared" si="35"/>
        <v>-3399943.149486545</v>
      </c>
      <c r="J152" s="26">
        <f t="shared" si="35"/>
        <v>-3548161.1851956802</v>
      </c>
      <c r="K152" s="26">
        <f t="shared" si="35"/>
        <v>-3656812.26419099</v>
      </c>
      <c r="L152" s="26">
        <f t="shared" si="35"/>
        <v>-3752150.5839359695</v>
      </c>
    </row>
    <row r="153" spans="2:12" outlineLevel="1" x14ac:dyDescent="0.25">
      <c r="B153" s="5"/>
      <c r="C153" s="10" t="s">
        <v>201</v>
      </c>
      <c r="D153" s="111" t="s">
        <v>8</v>
      </c>
      <c r="E153" s="26"/>
      <c r="F153" s="151">
        <v>0</v>
      </c>
      <c r="G153" s="26">
        <f t="shared" ref="G153:L153" si="36">IF(G132&gt;Renovation_End,-G138*Franchise_Fee_Pct,0)</f>
        <v>0</v>
      </c>
      <c r="H153" s="26">
        <f t="shared" si="36"/>
        <v>0</v>
      </c>
      <c r="I153" s="26">
        <f t="shared" si="36"/>
        <v>0</v>
      </c>
      <c r="J153" s="26">
        <f t="shared" si="36"/>
        <v>0</v>
      </c>
      <c r="K153" s="26">
        <f t="shared" si="36"/>
        <v>0</v>
      </c>
      <c r="L153" s="26">
        <f t="shared" si="36"/>
        <v>0</v>
      </c>
    </row>
    <row r="154" spans="2:12" outlineLevel="1" x14ac:dyDescent="0.25">
      <c r="B154" s="5"/>
      <c r="C154" s="10" t="s">
        <v>202</v>
      </c>
      <c r="D154" s="9" t="s">
        <v>8</v>
      </c>
      <c r="E154" s="26"/>
      <c r="F154" s="151">
        <v>-1764266.4000000001</v>
      </c>
      <c r="G154" s="26">
        <f t="shared" ref="G154:L154" si="37">-Mgmt_Fee_Pct*G$138</f>
        <v>-1446699.0598199998</v>
      </c>
      <c r="H154" s="26">
        <f t="shared" si="37"/>
        <v>-925255.58122619987</v>
      </c>
      <c r="I154" s="26">
        <f t="shared" si="37"/>
        <v>-1942824.6568494542</v>
      </c>
      <c r="J154" s="26">
        <f t="shared" si="37"/>
        <v>-2027520.6772546743</v>
      </c>
      <c r="K154" s="26">
        <f t="shared" si="37"/>
        <v>-2089607.008109137</v>
      </c>
      <c r="L154" s="26">
        <f t="shared" si="37"/>
        <v>-2144086.0479634111</v>
      </c>
    </row>
    <row r="155" spans="2:12" outlineLevel="1" x14ac:dyDescent="0.25">
      <c r="B155" s="5"/>
      <c r="C155" s="10" t="s">
        <v>71</v>
      </c>
      <c r="D155" s="46" t="s">
        <v>8</v>
      </c>
      <c r="E155" s="26"/>
      <c r="F155" s="151">
        <v>-1764266.4000000001</v>
      </c>
      <c r="G155" s="26">
        <f>-G122*G117</f>
        <v>-1363536.8144999999</v>
      </c>
      <c r="H155" s="26">
        <f t="shared" ref="H155:L155" si="38">-H122*H117</f>
        <v>-896254.91251499986</v>
      </c>
      <c r="I155" s="26">
        <f t="shared" si="38"/>
        <v>-1850657.0949639</v>
      </c>
      <c r="J155" s="26">
        <f t="shared" si="38"/>
        <v>-1904244.5984081724</v>
      </c>
      <c r="K155" s="26">
        <f t="shared" si="38"/>
        <v>-1948621.5168004471</v>
      </c>
      <c r="L155" s="26">
        <f t="shared" si="38"/>
        <v>-1999424.8634884593</v>
      </c>
    </row>
    <row r="156" spans="2:12" outlineLevel="1" x14ac:dyDescent="0.25">
      <c r="B156" s="5"/>
      <c r="C156" s="55" t="s">
        <v>72</v>
      </c>
      <c r="D156" s="9" t="s">
        <v>8</v>
      </c>
      <c r="E156" s="44"/>
      <c r="F156" s="78">
        <f>SUM(F150:F155)</f>
        <v>-17201597.400000002</v>
      </c>
      <c r="G156" s="78">
        <f>SUM(G150:G155)</f>
        <v>-14022153.587925002</v>
      </c>
      <c r="H156" s="78">
        <f t="shared" ref="H156:L156" si="39">SUM(H150:H155)</f>
        <v>-8992241.2482442483</v>
      </c>
      <c r="I156" s="78">
        <f t="shared" si="39"/>
        <v>-18850372.842396624</v>
      </c>
      <c r="J156" s="78">
        <f t="shared" si="39"/>
        <v>-19645050.524386574</v>
      </c>
      <c r="K156" s="78">
        <f t="shared" si="39"/>
        <v>-20232682.837755397</v>
      </c>
      <c r="L156" s="78">
        <f t="shared" si="39"/>
        <v>-20760177.783168305</v>
      </c>
    </row>
    <row r="157" spans="2:12" outlineLevel="1" x14ac:dyDescent="0.25">
      <c r="B157" s="5"/>
      <c r="C157" s="5"/>
      <c r="D157" s="4"/>
      <c r="E157" s="26"/>
      <c r="F157" s="26"/>
      <c r="G157" s="26"/>
      <c r="H157" s="26"/>
      <c r="I157" s="26"/>
      <c r="J157" s="26"/>
      <c r="K157" s="26"/>
      <c r="L157" s="26"/>
    </row>
    <row r="158" spans="2:12" outlineLevel="1" x14ac:dyDescent="0.25">
      <c r="B158" s="5"/>
      <c r="C158" s="54" t="s">
        <v>114</v>
      </c>
      <c r="D158" s="9" t="s">
        <v>8</v>
      </c>
      <c r="E158" s="26"/>
      <c r="F158" s="87">
        <f>+F146+F156</f>
        <v>38813860.799999997</v>
      </c>
      <c r="G158" s="87">
        <f t="shared" ref="G158:L158" si="40">+G146+G156</f>
        <v>32992595.776034996</v>
      </c>
      <c r="H158" s="87">
        <f t="shared" si="40"/>
        <v>21021995.914279349</v>
      </c>
      <c r="I158" s="87">
        <f t="shared" si="40"/>
        <v>44281906.239116393</v>
      </c>
      <c r="J158" s="87">
        <f t="shared" si="40"/>
        <v>46467091.247670069</v>
      </c>
      <c r="K158" s="87">
        <f t="shared" si="40"/>
        <v>48021030.959811136</v>
      </c>
      <c r="L158" s="87">
        <f t="shared" si="40"/>
        <v>49273007.83840622</v>
      </c>
    </row>
    <row r="159" spans="2:12" outlineLevel="1" x14ac:dyDescent="0.25">
      <c r="B159" s="5"/>
      <c r="C159" s="86" t="s">
        <v>115</v>
      </c>
      <c r="D159" s="18" t="s">
        <v>5</v>
      </c>
      <c r="E159" s="26"/>
      <c r="F159" s="49">
        <f>+F158/F138</f>
        <v>0.43999999999999995</v>
      </c>
      <c r="G159" s="49">
        <f t="shared" ref="G159:L159" si="41">+G158/G138</f>
        <v>0.45610862262038071</v>
      </c>
      <c r="H159" s="49">
        <f t="shared" si="41"/>
        <v>0.45440408770990254</v>
      </c>
      <c r="I159" s="49">
        <f t="shared" si="41"/>
        <v>0.45585077462343238</v>
      </c>
      <c r="J159" s="49">
        <f t="shared" si="41"/>
        <v>0.45836367312009813</v>
      </c>
      <c r="K159" s="49">
        <f t="shared" si="41"/>
        <v>0.45961782070462004</v>
      </c>
      <c r="L159" s="49">
        <f t="shared" si="41"/>
        <v>0.45961782070462004</v>
      </c>
    </row>
    <row r="160" spans="2:12" outlineLevel="1" x14ac:dyDescent="0.25">
      <c r="B160" s="5"/>
      <c r="C160" s="5"/>
      <c r="D160" s="4"/>
      <c r="E160" s="26"/>
      <c r="F160" s="26"/>
      <c r="G160" s="26"/>
      <c r="H160" s="26"/>
      <c r="I160" s="26"/>
      <c r="J160" s="26"/>
      <c r="K160" s="26"/>
      <c r="L160" s="26"/>
    </row>
    <row r="161" spans="2:12" outlineLevel="1" x14ac:dyDescent="0.25">
      <c r="B161" s="5"/>
      <c r="C161" s="54" t="s">
        <v>112</v>
      </c>
      <c r="D161" s="4"/>
      <c r="E161" s="26"/>
      <c r="F161" s="26"/>
      <c r="G161" s="26"/>
      <c r="H161" s="26"/>
      <c r="I161" s="26"/>
      <c r="J161" s="26"/>
      <c r="K161" s="26"/>
      <c r="L161" s="26"/>
    </row>
    <row r="162" spans="2:12" outlineLevel="1" x14ac:dyDescent="0.25">
      <c r="B162" s="5"/>
      <c r="C162" s="10" t="s">
        <v>77</v>
      </c>
      <c r="D162" s="9" t="s">
        <v>8</v>
      </c>
      <c r="E162" s="26"/>
      <c r="F162" s="151">
        <v>-927000</v>
      </c>
      <c r="G162" s="26">
        <f t="shared" ref="G162:L164" si="42">-G123*Keys</f>
        <v>-936270</v>
      </c>
      <c r="H162" s="26">
        <f t="shared" si="42"/>
        <v>-945632.70000000007</v>
      </c>
      <c r="I162" s="26">
        <f t="shared" si="42"/>
        <v>-964545.35400000005</v>
      </c>
      <c r="J162" s="26">
        <f t="shared" si="42"/>
        <v>-983836.26108000008</v>
      </c>
      <c r="K162" s="26">
        <f t="shared" si="42"/>
        <v>-1003512.9863016001</v>
      </c>
      <c r="L162" s="26">
        <f t="shared" si="42"/>
        <v>-1023583.2460276322</v>
      </c>
    </row>
    <row r="163" spans="2:12" outlineLevel="1" x14ac:dyDescent="0.25">
      <c r="B163" s="5"/>
      <c r="C163" s="10" t="s">
        <v>78</v>
      </c>
      <c r="D163" s="9" t="s">
        <v>8</v>
      </c>
      <c r="E163" s="26"/>
      <c r="F163" s="151">
        <v>0</v>
      </c>
      <c r="G163" s="26">
        <f t="shared" si="42"/>
        <v>0</v>
      </c>
      <c r="H163" s="26">
        <f t="shared" si="42"/>
        <v>0</v>
      </c>
      <c r="I163" s="26">
        <f t="shared" si="42"/>
        <v>0</v>
      </c>
      <c r="J163" s="26">
        <f t="shared" si="42"/>
        <v>0</v>
      </c>
      <c r="K163" s="26">
        <f t="shared" si="42"/>
        <v>0</v>
      </c>
      <c r="L163" s="26">
        <f t="shared" si="42"/>
        <v>0</v>
      </c>
    </row>
    <row r="164" spans="2:12" outlineLevel="1" x14ac:dyDescent="0.25">
      <c r="B164" s="5"/>
      <c r="C164" s="10" t="s">
        <v>170</v>
      </c>
      <c r="D164" s="9" t="s">
        <v>8</v>
      </c>
      <c r="E164" s="26"/>
      <c r="F164" s="151">
        <v>-1297800</v>
      </c>
      <c r="G164" s="26">
        <f t="shared" si="42"/>
        <v>-1310778</v>
      </c>
      <c r="H164" s="26">
        <f t="shared" si="42"/>
        <v>-1323885.78</v>
      </c>
      <c r="I164" s="26">
        <f t="shared" si="42"/>
        <v>-1350363.4956</v>
      </c>
      <c r="J164" s="26">
        <f t="shared" si="42"/>
        <v>-1377370.7655120001</v>
      </c>
      <c r="K164" s="26">
        <f t="shared" si="42"/>
        <v>-1404918.1808222402</v>
      </c>
      <c r="L164" s="26">
        <f t="shared" si="42"/>
        <v>-1433016.5444386848</v>
      </c>
    </row>
    <row r="165" spans="2:12" outlineLevel="1" x14ac:dyDescent="0.25">
      <c r="B165" s="5"/>
      <c r="C165" s="89" t="s">
        <v>79</v>
      </c>
      <c r="D165" s="46" t="s">
        <v>8</v>
      </c>
      <c r="E165" s="90"/>
      <c r="F165" s="152">
        <v>-15563119.8015</v>
      </c>
      <c r="G165" s="90">
        <f>-G127</f>
        <v>-15718750.999515001</v>
      </c>
      <c r="H165" s="90">
        <f t="shared" ref="H165:L165" si="43">-H127</f>
        <v>-15875938.50951015</v>
      </c>
      <c r="I165" s="90">
        <f t="shared" si="43"/>
        <v>-16193457.279700354</v>
      </c>
      <c r="J165" s="90">
        <f t="shared" si="43"/>
        <v>-16517326.425294362</v>
      </c>
      <c r="K165" s="90">
        <f t="shared" si="43"/>
        <v>-16847672.95380025</v>
      </c>
      <c r="L165" s="90">
        <f t="shared" si="43"/>
        <v>-17184626.412876256</v>
      </c>
    </row>
    <row r="166" spans="2:12" outlineLevel="1" x14ac:dyDescent="0.25">
      <c r="B166" s="5"/>
      <c r="C166" s="54" t="s">
        <v>113</v>
      </c>
      <c r="D166" s="9" t="s">
        <v>8</v>
      </c>
      <c r="E166" s="26"/>
      <c r="F166" s="91">
        <f>SUM(F162:F165)</f>
        <v>-17787919.8015</v>
      </c>
      <c r="G166" s="91">
        <f>SUM(G162:G165)</f>
        <v>-17965798.999515001</v>
      </c>
      <c r="H166" s="91">
        <f t="shared" ref="H166:L166" si="44">SUM(H162:H165)</f>
        <v>-18145456.989510149</v>
      </c>
      <c r="I166" s="91">
        <f t="shared" si="44"/>
        <v>-18508366.129300356</v>
      </c>
      <c r="J166" s="91">
        <f t="shared" si="44"/>
        <v>-18878533.451886363</v>
      </c>
      <c r="K166" s="91">
        <f t="shared" si="44"/>
        <v>-19256104.120924089</v>
      </c>
      <c r="L166" s="91">
        <f t="shared" si="44"/>
        <v>-19641226.203342572</v>
      </c>
    </row>
    <row r="167" spans="2:12" outlineLevel="1" x14ac:dyDescent="0.25">
      <c r="B167" s="5"/>
      <c r="C167" s="5"/>
      <c r="D167" s="4"/>
      <c r="E167" s="26"/>
      <c r="F167" s="26"/>
      <c r="G167" s="26"/>
      <c r="H167" s="26"/>
      <c r="I167" s="26"/>
      <c r="J167" s="26"/>
      <c r="K167" s="26"/>
      <c r="L167" s="26"/>
    </row>
    <row r="168" spans="2:12" outlineLevel="1" x14ac:dyDescent="0.25">
      <c r="B168" s="5"/>
      <c r="C168" s="2" t="s">
        <v>20</v>
      </c>
      <c r="D168" s="9" t="s">
        <v>8</v>
      </c>
      <c r="E168" s="26"/>
      <c r="F168" s="87">
        <f>+F158+F166</f>
        <v>21025940.998499997</v>
      </c>
      <c r="G168" s="87">
        <f t="shared" ref="G168:L168" si="45">+G158+G166</f>
        <v>15026796.776519995</v>
      </c>
      <c r="H168" s="87">
        <f t="shared" si="45"/>
        <v>2876538.9247692004</v>
      </c>
      <c r="I168" s="87">
        <f t="shared" si="45"/>
        <v>25773540.109816037</v>
      </c>
      <c r="J168" s="87">
        <f t="shared" si="45"/>
        <v>27588557.795783706</v>
      </c>
      <c r="K168" s="87">
        <f t="shared" si="45"/>
        <v>28764926.838887047</v>
      </c>
      <c r="L168" s="87">
        <f t="shared" si="45"/>
        <v>29631781.635063648</v>
      </c>
    </row>
    <row r="169" spans="2:12" outlineLevel="1" x14ac:dyDescent="0.25">
      <c r="B169" s="5"/>
      <c r="C169" s="48" t="s">
        <v>21</v>
      </c>
      <c r="D169" s="9" t="s">
        <v>5</v>
      </c>
      <c r="E169" s="26"/>
      <c r="F169" s="49">
        <f>+F168/F138</f>
        <v>0.23835335750315256</v>
      </c>
      <c r="G169" s="49">
        <f t="shared" ref="G169:L169" si="46">+G168/G138</f>
        <v>0.20773908263118174</v>
      </c>
      <c r="H169" s="49">
        <f t="shared" si="46"/>
        <v>6.2178256108588979E-2</v>
      </c>
      <c r="I169" s="49">
        <f t="shared" si="46"/>
        <v>0.26532029042303001</v>
      </c>
      <c r="J169" s="49">
        <f t="shared" si="46"/>
        <v>0.27214082801009426</v>
      </c>
      <c r="K169" s="49">
        <f t="shared" si="46"/>
        <v>0.27531422633307612</v>
      </c>
      <c r="L169" s="49">
        <f t="shared" si="46"/>
        <v>0.27640478014592557</v>
      </c>
    </row>
    <row r="170" spans="2:12" outlineLevel="1" x14ac:dyDescent="0.25">
      <c r="B170" s="5"/>
      <c r="C170" s="5"/>
      <c r="D170" s="4"/>
      <c r="E170" s="26"/>
      <c r="F170" s="26"/>
      <c r="G170" s="26"/>
      <c r="H170" s="26"/>
      <c r="I170" s="26"/>
      <c r="J170" s="49"/>
      <c r="K170" s="49"/>
      <c r="L170" s="49"/>
    </row>
    <row r="171" spans="2:12" outlineLevel="1" x14ac:dyDescent="0.25">
      <c r="B171" s="5"/>
      <c r="C171" s="10" t="s">
        <v>189</v>
      </c>
      <c r="D171" s="111" t="s">
        <v>8</v>
      </c>
      <c r="E171" s="26"/>
      <c r="F171" s="26">
        <f t="shared" ref="F171:L171" si="47">IF(AND(F132&gt;Renovation_End,F169&gt;NOI_Margin_Hurdle),(F138*NOI_Margin_Hurdle-F168)*Incentive_Fee_Pct,0)</f>
        <v>0</v>
      </c>
      <c r="G171" s="26">
        <f t="shared" si="47"/>
        <v>0</v>
      </c>
      <c r="H171" s="26">
        <f t="shared" si="47"/>
        <v>0</v>
      </c>
      <c r="I171" s="26">
        <f t="shared" si="47"/>
        <v>-1903588.062396449</v>
      </c>
      <c r="J171" s="26">
        <f t="shared" si="47"/>
        <v>-2194005.306971089</v>
      </c>
      <c r="K171" s="26">
        <f t="shared" si="47"/>
        <v>-2360657.0273387027</v>
      </c>
      <c r="L171" s="26">
        <f t="shared" si="47"/>
        <v>-2457276.3466288615</v>
      </c>
    </row>
    <row r="172" spans="2:12" outlineLevel="1" x14ac:dyDescent="0.25">
      <c r="B172" s="5"/>
      <c r="C172" s="10" t="s">
        <v>92</v>
      </c>
      <c r="D172" s="9" t="s">
        <v>8</v>
      </c>
      <c r="E172" s="26"/>
      <c r="F172" s="26">
        <f>-F113</f>
        <v>0</v>
      </c>
      <c r="G172" s="26">
        <f t="shared" ref="G172:L172" si="48">-G113</f>
        <v>-10815000</v>
      </c>
      <c r="H172" s="26">
        <f t="shared" si="48"/>
        <v>-10815000</v>
      </c>
      <c r="I172" s="26">
        <f t="shared" si="48"/>
        <v>0</v>
      </c>
      <c r="J172" s="26">
        <f t="shared" si="48"/>
        <v>0</v>
      </c>
      <c r="K172" s="26">
        <f t="shared" si="48"/>
        <v>0</v>
      </c>
      <c r="L172" s="26">
        <f t="shared" si="48"/>
        <v>0</v>
      </c>
    </row>
    <row r="173" spans="2:12" outlineLevel="1" x14ac:dyDescent="0.25">
      <c r="B173" s="5"/>
      <c r="C173" s="5"/>
      <c r="D173" s="4"/>
      <c r="E173" s="26"/>
      <c r="F173" s="26"/>
      <c r="G173" s="26"/>
      <c r="H173" s="26"/>
      <c r="I173" s="26"/>
      <c r="J173" s="26"/>
      <c r="K173" s="26"/>
      <c r="L173" s="26"/>
    </row>
    <row r="174" spans="2:12" outlineLevel="1" x14ac:dyDescent="0.25">
      <c r="B174" s="5"/>
      <c r="C174" s="54" t="s">
        <v>85</v>
      </c>
      <c r="D174" s="9" t="s">
        <v>8</v>
      </c>
      <c r="E174" s="26"/>
      <c r="F174" s="87">
        <f>+F168+SUM(F171:F172)</f>
        <v>21025940.998499997</v>
      </c>
      <c r="G174" s="87">
        <f t="shared" ref="G174:L174" si="49">+G168+SUM(G171:G172)</f>
        <v>4211796.7765199952</v>
      </c>
      <c r="H174" s="87">
        <f t="shared" si="49"/>
        <v>-7938461.0752307996</v>
      </c>
      <c r="I174" s="87">
        <f t="shared" si="49"/>
        <v>23869952.047419589</v>
      </c>
      <c r="J174" s="87">
        <f t="shared" si="49"/>
        <v>25394552.488812618</v>
      </c>
      <c r="K174" s="87">
        <f t="shared" si="49"/>
        <v>26404269.811548345</v>
      </c>
      <c r="L174" s="87">
        <f t="shared" si="49"/>
        <v>27174505.288434789</v>
      </c>
    </row>
    <row r="175" spans="2:12" outlineLevel="1" x14ac:dyDescent="0.25">
      <c r="B175" s="5"/>
      <c r="C175" s="48" t="s">
        <v>29</v>
      </c>
      <c r="D175" s="9" t="s">
        <v>5</v>
      </c>
      <c r="E175" s="26"/>
      <c r="F175" s="49">
        <f>+F174/F138</f>
        <v>0.23835335750315256</v>
      </c>
      <c r="G175" s="49">
        <f t="shared" ref="G175:L175" si="50">+G174/G138</f>
        <v>5.8226301426421496E-2</v>
      </c>
      <c r="H175" s="49">
        <f t="shared" si="50"/>
        <v>-0.17159498923984468</v>
      </c>
      <c r="I175" s="49">
        <f t="shared" si="50"/>
        <v>0.24572420329612102</v>
      </c>
      <c r="J175" s="49">
        <f t="shared" si="50"/>
        <v>0.25049857960706601</v>
      </c>
      <c r="K175" s="49">
        <f t="shared" si="50"/>
        <v>0.25271995843315331</v>
      </c>
      <c r="L175" s="49">
        <f t="shared" si="50"/>
        <v>0.2534833461021479</v>
      </c>
    </row>
    <row r="176" spans="2:12" outlineLevel="1" x14ac:dyDescent="0.25">
      <c r="B176" s="5"/>
      <c r="C176" s="5"/>
      <c r="D176" s="4"/>
      <c r="E176" s="26"/>
      <c r="F176" s="26"/>
      <c r="G176" s="26"/>
      <c r="H176" s="26"/>
      <c r="I176" s="26"/>
      <c r="J176" s="26"/>
      <c r="K176" s="26"/>
      <c r="L176" s="26"/>
    </row>
    <row r="177" spans="2:12" outlineLevel="1" x14ac:dyDescent="0.25">
      <c r="B177" s="5"/>
      <c r="C177" s="10" t="s">
        <v>171</v>
      </c>
      <c r="D177" s="9" t="s">
        <v>8</v>
      </c>
      <c r="E177" s="26"/>
      <c r="F177" s="26"/>
      <c r="G177" s="26">
        <f>IF(G$132&gt;Renovation_End,IPMT(Senior_Loan_Interest_Rate,G$129-YEAR(Renovation_End),Senior_Loan_Amort_Period,Senior_Loan),0)</f>
        <v>0</v>
      </c>
      <c r="H177" s="26">
        <f>IF(H$132&gt;Renovation_End,IPMT(Senior_Loan_Interest_Rate,H$129-YEAR(Renovation_End),Senior_Loan_Amort_Period,Senior_Loan),0)</f>
        <v>0</v>
      </c>
      <c r="I177" s="26">
        <f>IF(I$132&gt;Renovation_End,IPMT(Senior_Loan_Interest_Rate,I$129-YEAR(Renovation_End),Senior_Loan_Amort_Period,Senior_Loan),0)</f>
        <v>-7197398.1689645862</v>
      </c>
      <c r="J177" s="26">
        <f>IF(J$132&gt;Renovation_End,IPMT(Senior_Loan_Interest_Rate,J$129-YEAR(Renovation_End),Senior_Loan_Amort_Period,Senior_Loan),0)</f>
        <v>-7057974.9823229089</v>
      </c>
      <c r="K177" s="26">
        <f>IF(K$132&gt;Renovation_End,IPMT(Senior_Loan_Interest_Rate,K$129-YEAR(Renovation_End),Senior_Loan_Amort_Period,Senior_Loan),0)</f>
        <v>-6913671.9841487762</v>
      </c>
      <c r="L177" s="26"/>
    </row>
    <row r="178" spans="2:12" outlineLevel="1" x14ac:dyDescent="0.25">
      <c r="C178" s="10" t="s">
        <v>48</v>
      </c>
      <c r="D178" s="9" t="s">
        <v>8</v>
      </c>
      <c r="G178" s="103">
        <f>IF(G$132&gt;Renovation_End,-F$188*Mezzanine_Cash_Interest,0)</f>
        <v>0</v>
      </c>
      <c r="H178" s="103">
        <f>IF(H$132&gt;Renovation_End,-G$188*Mezzanine_Cash_Interest,0)</f>
        <v>0</v>
      </c>
      <c r="I178" s="103">
        <f>IF(I$132&gt;Renovation_End,-H$188*Mezzanine_Cash_Interest,0)</f>
        <v>-1096746.3876517464</v>
      </c>
      <c r="J178" s="104">
        <f>IF(J$132&gt;Renovation_End,-I$188*Mezzanine_Cash_Interest,0)</f>
        <v>-1140616.2431578161</v>
      </c>
      <c r="K178" s="104">
        <f>IF(K$132&gt;Renovation_End,-J$188*Mezzanine_Cash_Interest,0)</f>
        <v>-1186240.8928841287</v>
      </c>
      <c r="L178" s="50"/>
    </row>
    <row r="179" spans="2:12" outlineLevel="1" x14ac:dyDescent="0.25">
      <c r="C179" s="10" t="s">
        <v>172</v>
      </c>
      <c r="D179" s="9" t="s">
        <v>8</v>
      </c>
      <c r="G179" s="103">
        <f>IF(G$132&gt;Renovation_End,PPMT(Senior_Loan_Interest_Rate,G$129-YEAR(Renovation_End),Senior_Loan_Amort_Period,Senior_Loan),0)</f>
        <v>0</v>
      </c>
      <c r="H179" s="103">
        <f>IF(H$132&gt;Renovation_End,PPMT(Senior_Loan_Interest_Rate,H$129-YEAR(Renovation_End),Senior_Loan_Amort_Period,Senior_Loan),0)</f>
        <v>0</v>
      </c>
      <c r="I179" s="103">
        <f>IF(I$132&gt;Renovation_End,PPMT(Senior_Loan_Interest_Rate,I$129-YEAR(Renovation_End),Senior_Loan_Amort_Period,Senior_Loan),0)</f>
        <v>-3983519.6183336005</v>
      </c>
      <c r="J179" s="103">
        <f>IF(J$132&gt;Renovation_End,PPMT(Senior_Loan_Interest_Rate,J$129-YEAR(Renovation_End),Senior_Loan_Amort_Period,Senior_Loan),0)</f>
        <v>-4122942.8049752773</v>
      </c>
      <c r="K179" s="103">
        <f>IF(K$132&gt;Renovation_End,PPMT(Senior_Loan_Interest_Rate,K$129-YEAR(Renovation_End),Senior_Loan_Amort_Period,Senior_Loan),0)</f>
        <v>-4267245.8031494115</v>
      </c>
      <c r="L179" s="50"/>
    </row>
    <row r="180" spans="2:12" outlineLevel="1" x14ac:dyDescent="0.25">
      <c r="G180" s="50"/>
      <c r="H180" s="50"/>
      <c r="I180" s="50"/>
      <c r="J180" s="50"/>
      <c r="K180" s="50"/>
      <c r="L180" s="50"/>
    </row>
    <row r="181" spans="2:12" outlineLevel="1" x14ac:dyDescent="0.25">
      <c r="C181" s="51" t="s">
        <v>22</v>
      </c>
      <c r="D181" s="9" t="s">
        <v>8</v>
      </c>
      <c r="F181" s="87"/>
      <c r="G181" s="87">
        <f>+G174+SUM(G177:G179)</f>
        <v>4211796.7765199952</v>
      </c>
      <c r="H181" s="87">
        <f t="shared" ref="H181:K181" si="51">+H174+SUM(H177:H179)</f>
        <v>-7938461.0752307996</v>
      </c>
      <c r="I181" s="87">
        <f t="shared" si="51"/>
        <v>11592287.872469656</v>
      </c>
      <c r="J181" s="87">
        <f t="shared" si="51"/>
        <v>13073018.458356615</v>
      </c>
      <c r="K181" s="87">
        <f t="shared" si="51"/>
        <v>14037111.131366029</v>
      </c>
      <c r="L181" s="87"/>
    </row>
    <row r="182" spans="2:12" outlineLevel="1" x14ac:dyDescent="0.25"/>
    <row r="183" spans="2:12" outlineLevel="1" x14ac:dyDescent="0.25">
      <c r="C183" s="6" t="s">
        <v>183</v>
      </c>
      <c r="D183" s="111" t="s">
        <v>8</v>
      </c>
      <c r="G183" s="104">
        <f>IF(G$132&lt;=Renovation_End,-F186*Acq_Loan_Interest_Rate,0)</f>
        <v>-11854204.209259577</v>
      </c>
      <c r="H183" s="104">
        <f>IF(H$132&lt;=Renovation_End,-G186*Acq_Loan_Interest_Rate,0)</f>
        <v>-12802540.546000343</v>
      </c>
      <c r="I183" s="104">
        <f>IF(I$132&lt;=Renovation_End,-H186*Acq_Loan_Interest_Rate,0)</f>
        <v>0</v>
      </c>
      <c r="J183" s="103">
        <f>IF(J$132&lt;=Renovation_End,-I186*Acq_Loan_Interest_Rate,0)</f>
        <v>0</v>
      </c>
      <c r="K183" s="103">
        <f>IF(K$132&lt;=Renovation_End,-J186*Acq_Loan_Interest_Rate,0)</f>
        <v>0</v>
      </c>
    </row>
    <row r="184" spans="2:12" outlineLevel="1" x14ac:dyDescent="0.25">
      <c r="C184" s="6" t="s">
        <v>49</v>
      </c>
      <c r="D184" s="9" t="s">
        <v>8</v>
      </c>
      <c r="G184" s="104">
        <f>IF(G$132&gt;Renovation_End,-F188*Mezzanine_PIK_Interest,0)</f>
        <v>0</v>
      </c>
      <c r="H184" s="104">
        <f>IF(H$132&gt;Renovation_End,-G188*Mezzanine_PIK_Interest,0)</f>
        <v>0</v>
      </c>
      <c r="I184" s="104">
        <f>IF(I$132&gt;Renovation_End,-H188*Mezzanine_PIK_Interest,0)</f>
        <v>-1096746.3876517464</v>
      </c>
      <c r="J184" s="103">
        <f>IF(J$132&gt;Renovation_End,-I188*Mezzanine_PIK_Interest,0)</f>
        <v>-1140616.2431578161</v>
      </c>
      <c r="K184" s="103">
        <f>IF(K$132&gt;Renovation_End,-J188*Mezzanine_PIK_Interest,0)</f>
        <v>-1186240.8928841287</v>
      </c>
      <c r="L184" s="26"/>
    </row>
    <row r="185" spans="2:12" outlineLevel="1" x14ac:dyDescent="0.25"/>
    <row r="186" spans="2:12" outlineLevel="1" x14ac:dyDescent="0.25">
      <c r="B186" s="5"/>
      <c r="C186" s="93" t="s">
        <v>91</v>
      </c>
      <c r="D186" s="9" t="s">
        <v>8</v>
      </c>
      <c r="E186" s="5"/>
      <c r="F186" s="105">
        <f>Acq_Loan</f>
        <v>148177552.61574471</v>
      </c>
      <c r="G186" s="26">
        <f>+F186+G215-G183</f>
        <v>160031756.82500428</v>
      </c>
      <c r="H186" s="26">
        <f t="shared" ref="H186:K186" si="52">+G186+H215-H183</f>
        <v>0</v>
      </c>
      <c r="I186" s="26">
        <f t="shared" si="52"/>
        <v>0</v>
      </c>
      <c r="J186" s="26">
        <f t="shared" si="52"/>
        <v>0</v>
      </c>
      <c r="K186" s="26">
        <f t="shared" si="52"/>
        <v>0</v>
      </c>
      <c r="L186" s="26"/>
    </row>
    <row r="187" spans="2:12" outlineLevel="1" x14ac:dyDescent="0.25">
      <c r="B187" s="5"/>
      <c r="C187" s="10" t="s">
        <v>173</v>
      </c>
      <c r="D187" s="111" t="s">
        <v>8</v>
      </c>
      <c r="E187" s="5"/>
      <c r="F187" s="156">
        <v>0</v>
      </c>
      <c r="G187" s="26">
        <f>+F187+G179+G212</f>
        <v>0</v>
      </c>
      <c r="H187" s="26">
        <f t="shared" ref="H187:K187" si="53">+G187+H179+H212</f>
        <v>205639947.68470243</v>
      </c>
      <c r="I187" s="26">
        <f t="shared" si="53"/>
        <v>201656428.06636882</v>
      </c>
      <c r="J187" s="26">
        <f t="shared" si="53"/>
        <v>197533485.26139355</v>
      </c>
      <c r="K187" s="26">
        <f t="shared" si="53"/>
        <v>193266239.45824414</v>
      </c>
      <c r="L187" s="26"/>
    </row>
    <row r="188" spans="2:12" outlineLevel="1" x14ac:dyDescent="0.25">
      <c r="B188" s="5"/>
      <c r="C188" s="10" t="s">
        <v>51</v>
      </c>
      <c r="D188" s="46" t="s">
        <v>8</v>
      </c>
      <c r="E188" s="5"/>
      <c r="F188" s="157">
        <v>0</v>
      </c>
      <c r="G188" s="26">
        <f>+F188-G184+G213</f>
        <v>0</v>
      </c>
      <c r="H188" s="26">
        <f t="shared" ref="H188:K188" si="54">+G188-H184+H213</f>
        <v>27418659.691293657</v>
      </c>
      <c r="I188" s="26">
        <f t="shared" si="54"/>
        <v>28515406.078945402</v>
      </c>
      <c r="J188" s="26">
        <f t="shared" si="54"/>
        <v>29656022.322103217</v>
      </c>
      <c r="K188" s="26">
        <f t="shared" si="54"/>
        <v>30842263.214987345</v>
      </c>
      <c r="L188" s="26"/>
    </row>
    <row r="189" spans="2:12" outlineLevel="1" x14ac:dyDescent="0.25">
      <c r="B189" s="5"/>
      <c r="C189" s="55" t="s">
        <v>50</v>
      </c>
      <c r="D189" s="9" t="s">
        <v>8</v>
      </c>
      <c r="E189" s="56"/>
      <c r="F189" s="76">
        <f>SUM(F186:F188)</f>
        <v>148177552.61574471</v>
      </c>
      <c r="G189" s="57">
        <f>SUM(G186:G188)</f>
        <v>160031756.82500428</v>
      </c>
      <c r="H189" s="57">
        <f t="shared" ref="H189:K189" si="55">SUM(H186:H188)</f>
        <v>233058607.37599608</v>
      </c>
      <c r="I189" s="57">
        <f t="shared" si="55"/>
        <v>230171834.14531422</v>
      </c>
      <c r="J189" s="57">
        <f t="shared" si="55"/>
        <v>227189507.58349675</v>
      </c>
      <c r="K189" s="57">
        <f t="shared" si="55"/>
        <v>224108502.67323148</v>
      </c>
      <c r="L189" s="76"/>
    </row>
    <row r="190" spans="2:12" outlineLevel="1" x14ac:dyDescent="0.25">
      <c r="B190" s="5"/>
      <c r="C190" s="5"/>
      <c r="D190" s="4"/>
      <c r="E190" s="5"/>
      <c r="F190" s="5"/>
      <c r="G190" s="5"/>
      <c r="H190" s="5"/>
      <c r="I190" s="5"/>
      <c r="J190" s="5"/>
      <c r="K190" s="5"/>
    </row>
    <row r="191" spans="2:12" outlineLevel="1" x14ac:dyDescent="0.25">
      <c r="B191" s="5"/>
      <c r="C191" s="52" t="s">
        <v>38</v>
      </c>
      <c r="D191" s="9" t="s">
        <v>5</v>
      </c>
      <c r="E191" s="5"/>
      <c r="F191" s="5"/>
      <c r="G191" s="69">
        <f>G168/IF(G$132&lt;=Renovation_End,Acq_Loan,Senior_Loan+Mezzanine)</f>
        <v>0.10141075021995816</v>
      </c>
      <c r="H191" s="69">
        <f>H168/IF(H$132&lt;=Renovation_End,Acq_Loan,Senior_Loan+Mezzanine)</f>
        <v>1.9412784689653132E-2</v>
      </c>
      <c r="I191" s="69">
        <f>I168/IF(I$132&lt;=Renovation_End,Acq_Loan,Senior_Loan+Mezzanine)</f>
        <v>0.11058823529411764</v>
      </c>
      <c r="J191" s="69">
        <f>J168/IF(J$132&lt;=Renovation_End,Acq_Loan,Senior_Loan+Mezzanine)</f>
        <v>0.11837605187125647</v>
      </c>
      <c r="K191" s="69">
        <f>K168/IF(K$132&lt;=Renovation_End,Acq_Loan,Senior_Loan+Mezzanine)</f>
        <v>0.12342357642462123</v>
      </c>
      <c r="L191" s="69"/>
    </row>
    <row r="192" spans="2:12" outlineLevel="1" x14ac:dyDescent="0.25">
      <c r="B192" s="5"/>
      <c r="C192" s="5"/>
      <c r="D192" s="4"/>
      <c r="E192" s="5"/>
      <c r="F192" s="5"/>
      <c r="G192" s="5"/>
      <c r="H192" s="5"/>
      <c r="I192" s="5"/>
      <c r="J192" s="5"/>
      <c r="K192" s="5"/>
    </row>
    <row r="193" spans="2:13" outlineLevel="1" x14ac:dyDescent="0.25">
      <c r="B193" s="5"/>
      <c r="C193" s="52" t="s">
        <v>32</v>
      </c>
      <c r="D193" s="9" t="s">
        <v>23</v>
      </c>
      <c r="E193" s="5"/>
      <c r="F193" s="5"/>
      <c r="G193" s="53">
        <f>-G168/SUM(G177:G178,G183:G184)</f>
        <v>1.267634377749477</v>
      </c>
      <c r="H193" s="53">
        <f t="shared" ref="H193:K193" si="56">-H168/SUM(H177:H178,H183:H184)</f>
        <v>0.22468500798209645</v>
      </c>
      <c r="I193" s="53">
        <f t="shared" si="56"/>
        <v>2.7445255474452548</v>
      </c>
      <c r="J193" s="53">
        <f t="shared" si="56"/>
        <v>2.9540577065481481</v>
      </c>
      <c r="K193" s="53">
        <f t="shared" si="56"/>
        <v>3.0976147446612923</v>
      </c>
      <c r="L193" s="53"/>
    </row>
    <row r="194" spans="2:13" outlineLevel="1" x14ac:dyDescent="0.25">
      <c r="B194" s="5"/>
      <c r="C194" s="52" t="s">
        <v>33</v>
      </c>
      <c r="D194" s="9" t="s">
        <v>23</v>
      </c>
      <c r="E194" s="5"/>
      <c r="F194" s="5"/>
      <c r="G194" s="53">
        <f>-G174/SUM(G177:G178,G183:G184)</f>
        <v>0.35529983305248519</v>
      </c>
      <c r="H194" s="53">
        <f t="shared" ref="H194:K194" si="57">-H174/SUM(H177:H178,H183:H184)</f>
        <v>-0.62006920007067379</v>
      </c>
      <c r="I194" s="53">
        <f t="shared" si="57"/>
        <v>2.5418197473573154</v>
      </c>
      <c r="J194" s="53">
        <f t="shared" si="57"/>
        <v>2.7191335639655305</v>
      </c>
      <c r="K194" s="53">
        <f t="shared" si="57"/>
        <v>2.8434021733611945</v>
      </c>
      <c r="L194" s="53"/>
    </row>
    <row r="195" spans="2:13" outlineLevel="1" x14ac:dyDescent="0.25">
      <c r="B195" s="5"/>
      <c r="C195" s="5"/>
      <c r="D195" s="4"/>
      <c r="E195" s="5"/>
      <c r="F195" s="5"/>
      <c r="G195" s="5"/>
      <c r="H195" s="5"/>
      <c r="I195" s="5"/>
      <c r="J195" s="5"/>
      <c r="K195" s="5"/>
    </row>
    <row r="196" spans="2:13" outlineLevel="1" x14ac:dyDescent="0.25">
      <c r="B196" s="5"/>
      <c r="C196" s="52" t="s">
        <v>31</v>
      </c>
      <c r="D196" s="9" t="s">
        <v>23</v>
      </c>
      <c r="E196" s="5"/>
      <c r="F196" s="5"/>
      <c r="G196" s="53">
        <f>-G168/SUM(G177:G179,G183:G184)</f>
        <v>1.267634377749477</v>
      </c>
      <c r="H196" s="53">
        <f t="shared" ref="H196:K196" si="58">-H168/SUM(H177:H179,H183:H184)</f>
        <v>0.22468500798209645</v>
      </c>
      <c r="I196" s="53">
        <f t="shared" si="58"/>
        <v>1.927078579588811</v>
      </c>
      <c r="J196" s="53">
        <f t="shared" si="58"/>
        <v>2.0493425816125401</v>
      </c>
      <c r="K196" s="53">
        <f t="shared" si="58"/>
        <v>2.1223403533419924</v>
      </c>
      <c r="L196" s="53"/>
    </row>
    <row r="197" spans="2:13" outlineLevel="1" x14ac:dyDescent="0.25">
      <c r="B197" s="5"/>
      <c r="C197" s="52" t="s">
        <v>34</v>
      </c>
      <c r="D197" s="9" t="s">
        <v>23</v>
      </c>
      <c r="E197" s="5"/>
      <c r="F197" s="5"/>
      <c r="G197" s="53">
        <f>-G174/SUM(G177:G179,G183:G184)</f>
        <v>0.35529983305248519</v>
      </c>
      <c r="H197" s="53">
        <f t="shared" ref="H197:K197" si="59">-H174/SUM(H177:H179,H183:H184)</f>
        <v>-0.62006920007067379</v>
      </c>
      <c r="I197" s="53">
        <f t="shared" si="59"/>
        <v>1.784747965952695</v>
      </c>
      <c r="J197" s="53">
        <f t="shared" si="59"/>
        <v>1.8863667373099107</v>
      </c>
      <c r="K197" s="53">
        <f t="shared" si="59"/>
        <v>1.9481658213648021</v>
      </c>
      <c r="L197" s="53"/>
    </row>
    <row r="198" spans="2:13" x14ac:dyDescent="0.25">
      <c r="B198" s="5"/>
      <c r="C198" s="5"/>
      <c r="D198" s="4"/>
      <c r="E198" s="5"/>
      <c r="F198" s="5"/>
      <c r="G198" s="5"/>
      <c r="H198" s="5"/>
      <c r="I198" s="5"/>
      <c r="J198" s="5"/>
      <c r="K198" s="5"/>
    </row>
    <row r="199" spans="2:13" x14ac:dyDescent="0.25">
      <c r="B199" s="30"/>
      <c r="C199" s="30"/>
      <c r="D199" s="31"/>
      <c r="E199" s="30"/>
      <c r="F199" s="32" t="str">
        <f>+$F$109</f>
        <v>Historical:</v>
      </c>
      <c r="G199" s="33" t="str">
        <f>+$G$109</f>
        <v>Projected:</v>
      </c>
      <c r="H199" s="34"/>
      <c r="I199" s="34"/>
      <c r="J199" s="34"/>
      <c r="K199" s="34"/>
    </row>
    <row r="200" spans="2:13" x14ac:dyDescent="0.25">
      <c r="B200" s="7" t="s">
        <v>98</v>
      </c>
      <c r="C200" s="7"/>
      <c r="D200" s="8" t="str">
        <f>+$D$5</f>
        <v>Units:</v>
      </c>
      <c r="E200" s="7"/>
      <c r="F200" s="43">
        <f>+$F$110</f>
        <v>42735</v>
      </c>
      <c r="G200" s="36">
        <f>+$G$110</f>
        <v>43100</v>
      </c>
      <c r="H200" s="35">
        <f>+$H$110</f>
        <v>43465</v>
      </c>
      <c r="I200" s="35">
        <f>+$I$110</f>
        <v>43830</v>
      </c>
      <c r="J200" s="35">
        <f>+$J$110</f>
        <v>44196</v>
      </c>
      <c r="K200" s="35">
        <f>+$K$110</f>
        <v>44561</v>
      </c>
    </row>
    <row r="201" spans="2:13" outlineLevel="1" x14ac:dyDescent="0.25">
      <c r="B201" s="5"/>
      <c r="C201" s="5"/>
      <c r="D201" s="4"/>
      <c r="E201" s="5"/>
      <c r="F201" s="44"/>
      <c r="G201" s="44"/>
      <c r="H201" s="26"/>
      <c r="I201" s="26"/>
      <c r="J201" s="26"/>
      <c r="K201" s="26"/>
      <c r="M201" s="81"/>
    </row>
    <row r="202" spans="2:13" outlineLevel="1" x14ac:dyDescent="0.25">
      <c r="B202" s="5"/>
      <c r="C202" s="6" t="s">
        <v>96</v>
      </c>
      <c r="D202" s="9" t="s">
        <v>8</v>
      </c>
      <c r="E202" s="5"/>
      <c r="F202" s="26"/>
      <c r="G202" s="24">
        <f>+H168</f>
        <v>2876538.9247692004</v>
      </c>
      <c r="H202" s="24">
        <f t="shared" ref="H202:K202" si="60">+I168</f>
        <v>25773540.109816037</v>
      </c>
      <c r="I202" s="24">
        <f t="shared" si="60"/>
        <v>27588557.795783706</v>
      </c>
      <c r="J202" s="24">
        <f t="shared" si="60"/>
        <v>28764926.838887047</v>
      </c>
      <c r="K202" s="24">
        <f t="shared" si="60"/>
        <v>29631781.635063648</v>
      </c>
    </row>
    <row r="203" spans="2:13" outlineLevel="1" x14ac:dyDescent="0.25">
      <c r="B203" s="5"/>
      <c r="C203" s="51" t="s">
        <v>179</v>
      </c>
      <c r="D203" s="111"/>
      <c r="E203" s="5"/>
      <c r="F203" s="26"/>
      <c r="G203" s="26"/>
      <c r="H203" s="26"/>
      <c r="I203" s="26"/>
      <c r="J203" s="26"/>
      <c r="K203" s="26"/>
    </row>
    <row r="204" spans="2:13" outlineLevel="1" x14ac:dyDescent="0.25">
      <c r="B204" s="5"/>
      <c r="C204" s="73" t="s">
        <v>143</v>
      </c>
      <c r="D204" s="9" t="s">
        <v>5</v>
      </c>
      <c r="E204" s="5"/>
      <c r="F204" s="14">
        <v>9.5000000000000001E-2</v>
      </c>
      <c r="G204" s="14">
        <v>9.7000000000000003E-2</v>
      </c>
      <c r="H204" s="14">
        <v>9.4E-2</v>
      </c>
      <c r="I204" s="14">
        <v>9.2499999999999999E-2</v>
      </c>
      <c r="J204" s="14">
        <v>9.0999999999999998E-2</v>
      </c>
      <c r="K204" s="14">
        <v>0.09</v>
      </c>
    </row>
    <row r="205" spans="2:13" outlineLevel="1" x14ac:dyDescent="0.25">
      <c r="B205" s="5"/>
      <c r="C205" s="73" t="s">
        <v>144</v>
      </c>
      <c r="D205" s="111" t="s">
        <v>5</v>
      </c>
      <c r="E205" s="5"/>
      <c r="F205" s="148">
        <v>9.5000000000000001E-2</v>
      </c>
      <c r="G205" s="148">
        <v>9.6000000000000002E-2</v>
      </c>
      <c r="H205" s="148">
        <v>9.2499999999999999E-2</v>
      </c>
      <c r="I205" s="148">
        <v>8.9499999999999996E-2</v>
      </c>
      <c r="J205" s="148">
        <v>8.6999999999999994E-2</v>
      </c>
      <c r="K205" s="148">
        <v>8.5000000000000006E-2</v>
      </c>
    </row>
    <row r="206" spans="2:13" outlineLevel="1" x14ac:dyDescent="0.25">
      <c r="C206" s="145" t="s">
        <v>180</v>
      </c>
      <c r="D206" s="65" t="s">
        <v>5</v>
      </c>
      <c r="E206" s="146"/>
      <c r="F206" s="147">
        <f t="shared" ref="F206:K206" si="61">INDEX(F204:F205,MATCH(Op_Scenario,$C204:$C205,0),1)</f>
        <v>9.5000000000000001E-2</v>
      </c>
      <c r="G206" s="147">
        <f t="shared" si="61"/>
        <v>9.7000000000000003E-2</v>
      </c>
      <c r="H206" s="147">
        <f t="shared" si="61"/>
        <v>9.4E-2</v>
      </c>
      <c r="I206" s="147">
        <f t="shared" si="61"/>
        <v>9.2499999999999999E-2</v>
      </c>
      <c r="J206" s="147">
        <f t="shared" si="61"/>
        <v>9.0999999999999998E-2</v>
      </c>
      <c r="K206" s="147">
        <f t="shared" si="61"/>
        <v>0.09</v>
      </c>
    </row>
    <row r="207" spans="2:13" outlineLevel="1" x14ac:dyDescent="0.25"/>
    <row r="208" spans="2:13" outlineLevel="1" x14ac:dyDescent="0.25">
      <c r="B208" s="5"/>
      <c r="C208" s="6" t="s">
        <v>97</v>
      </c>
      <c r="D208" s="9" t="s">
        <v>8</v>
      </c>
      <c r="E208" s="5"/>
      <c r="F208" s="26"/>
      <c r="G208" s="26">
        <f>+G202/G206</f>
        <v>29655040.461538147</v>
      </c>
      <c r="H208" s="26">
        <f t="shared" ref="H208:K208" si="62">+H202/H206</f>
        <v>274186596.91293657</v>
      </c>
      <c r="I208" s="26">
        <f t="shared" si="62"/>
        <v>298254678.87333739</v>
      </c>
      <c r="J208" s="26">
        <f t="shared" si="62"/>
        <v>316098097.13062692</v>
      </c>
      <c r="K208" s="26">
        <f t="shared" si="62"/>
        <v>329242018.1673739</v>
      </c>
    </row>
    <row r="209" spans="2:11" outlineLevel="1" x14ac:dyDescent="0.25">
      <c r="B209" s="5"/>
      <c r="C209" s="5"/>
      <c r="D209" s="4"/>
      <c r="E209" s="5"/>
      <c r="F209" s="26"/>
      <c r="G209" s="26"/>
      <c r="H209" s="26"/>
      <c r="I209" s="26"/>
      <c r="J209" s="26"/>
      <c r="K209" s="26"/>
    </row>
    <row r="210" spans="2:11" outlineLevel="1" x14ac:dyDescent="0.25">
      <c r="B210" s="5"/>
      <c r="C210" s="2" t="s">
        <v>35</v>
      </c>
      <c r="D210" s="4"/>
      <c r="E210" s="26"/>
      <c r="F210" s="26"/>
      <c r="G210" s="26"/>
      <c r="H210" s="26"/>
      <c r="I210" s="26"/>
      <c r="J210" s="26"/>
      <c r="K210" s="26"/>
    </row>
    <row r="211" spans="2:11" outlineLevel="1" x14ac:dyDescent="0.25">
      <c r="B211" s="5"/>
      <c r="C211" s="37" t="s">
        <v>102</v>
      </c>
      <c r="D211" s="9" t="s">
        <v>8</v>
      </c>
      <c r="E211" s="26"/>
      <c r="F211" s="27">
        <f>-E70</f>
        <v>-91129194.85868299</v>
      </c>
      <c r="G211" s="100">
        <v>0</v>
      </c>
      <c r="H211" s="71">
        <f>+G211</f>
        <v>0</v>
      </c>
      <c r="I211" s="71">
        <f t="shared" ref="I211:K211" si="63">+H211</f>
        <v>0</v>
      </c>
      <c r="J211" s="71">
        <f t="shared" si="63"/>
        <v>0</v>
      </c>
      <c r="K211" s="71">
        <f t="shared" si="63"/>
        <v>0</v>
      </c>
    </row>
    <row r="212" spans="2:11" outlineLevel="1" x14ac:dyDescent="0.25">
      <c r="B212" s="5"/>
      <c r="C212" s="37" t="s">
        <v>181</v>
      </c>
      <c r="D212" s="9" t="s">
        <v>8</v>
      </c>
      <c r="E212" s="26"/>
      <c r="F212" s="68"/>
      <c r="G212" s="70">
        <f>IF(G200=Renovation_End,Senior_Loan,0)</f>
        <v>0</v>
      </c>
      <c r="H212" s="70">
        <f>IF(H200=Renovation_End,Senior_Loan,0)</f>
        <v>205639947.68470243</v>
      </c>
      <c r="I212" s="70">
        <f>IF(I200=Renovation_End,Senior_Loan,0)</f>
        <v>0</v>
      </c>
      <c r="J212" s="70">
        <f>IF(J200=Renovation_End,Senior_Loan,0)</f>
        <v>0</v>
      </c>
      <c r="K212" s="70">
        <f>IF(K200=Renovation_End,Senior_Loan,0)</f>
        <v>0</v>
      </c>
    </row>
    <row r="213" spans="2:11" outlineLevel="1" x14ac:dyDescent="0.25">
      <c r="B213" s="5"/>
      <c r="C213" s="37" t="s">
        <v>182</v>
      </c>
      <c r="D213" s="111" t="s">
        <v>8</v>
      </c>
      <c r="E213" s="26"/>
      <c r="F213" s="68"/>
      <c r="G213" s="70">
        <f>IF(G200=Renovation_End,Mezzanine,0)</f>
        <v>0</v>
      </c>
      <c r="H213" s="70">
        <f>IF(H200=Renovation_End,Mezzanine,0)</f>
        <v>27418659.691293657</v>
      </c>
      <c r="I213" s="70">
        <f>IF(I200=Renovation_End,Mezzanine,0)</f>
        <v>0</v>
      </c>
      <c r="J213" s="70">
        <f>IF(J200=Renovation_End,Mezzanine,0)</f>
        <v>0</v>
      </c>
      <c r="K213" s="70">
        <f>IF(K200=Renovation_End,Mezzanine,0)</f>
        <v>0</v>
      </c>
    </row>
    <row r="214" spans="2:11" outlineLevel="1" x14ac:dyDescent="0.25">
      <c r="B214" s="5"/>
      <c r="C214" s="37" t="s">
        <v>99</v>
      </c>
      <c r="D214" s="9" t="s">
        <v>8</v>
      </c>
      <c r="E214" s="26"/>
      <c r="F214" s="68"/>
      <c r="G214" s="70">
        <f>-(G212+G213)*Perm_Loan_Fees</f>
        <v>0</v>
      </c>
      <c r="H214" s="70">
        <f>-(H212+H213)*Perm_Loan_Fees</f>
        <v>-2330586.0737599609</v>
      </c>
      <c r="I214" s="70">
        <f>-(I212+I213)*Perm_Loan_Fees</f>
        <v>0</v>
      </c>
      <c r="J214" s="70">
        <f>-(J212+J213)*Perm_Loan_Fees</f>
        <v>0</v>
      </c>
      <c r="K214" s="70">
        <f>-(K212+K213)*Perm_Loan_Fees</f>
        <v>0</v>
      </c>
    </row>
    <row r="215" spans="2:11" outlineLevel="1" x14ac:dyDescent="0.25">
      <c r="B215" s="5"/>
      <c r="C215" s="37" t="s">
        <v>101</v>
      </c>
      <c r="D215" s="9" t="s">
        <v>8</v>
      </c>
      <c r="E215" s="26"/>
      <c r="F215" s="68"/>
      <c r="G215" s="70">
        <f>IF(G200=Renovation_End,-F186+G183,0)</f>
        <v>0</v>
      </c>
      <c r="H215" s="70">
        <f>IF(H200=Renovation_End,-G186+H183,0)</f>
        <v>-172834297.37100461</v>
      </c>
      <c r="I215" s="70">
        <f>IF(I200=Renovation_End,-H186+I183,0)</f>
        <v>0</v>
      </c>
      <c r="J215" s="70">
        <f>IF(J200=Renovation_End,-I186+J183,0)</f>
        <v>0</v>
      </c>
      <c r="K215" s="70">
        <f>IF(K200=Renovation_End,-J186+K183,0)</f>
        <v>0</v>
      </c>
    </row>
    <row r="216" spans="2:11" outlineLevel="1" x14ac:dyDescent="0.25">
      <c r="B216" s="5"/>
      <c r="C216" s="37" t="s">
        <v>100</v>
      </c>
      <c r="D216" s="9" t="s">
        <v>8</v>
      </c>
      <c r="E216" s="26"/>
      <c r="F216" s="68"/>
      <c r="G216" s="70">
        <f>IF(G200&lt;=Sale_Date,G181,0)</f>
        <v>4211796.7765199952</v>
      </c>
      <c r="H216" s="70">
        <f>IF(H200&lt;=Sale_Date,H181,0)</f>
        <v>-7938461.0752307996</v>
      </c>
      <c r="I216" s="70">
        <f>IF(I200&lt;=Sale_Date,I181,0)</f>
        <v>11592287.872469656</v>
      </c>
      <c r="J216" s="70">
        <f>IF(J200&lt;=Sale_Date,J181,0)</f>
        <v>13073018.458356615</v>
      </c>
      <c r="K216" s="70">
        <f>IF(K200&lt;=Sale_Date,K181,0)</f>
        <v>14037111.131366029</v>
      </c>
    </row>
    <row r="217" spans="2:11" outlineLevel="1" x14ac:dyDescent="0.25">
      <c r="B217" s="5"/>
      <c r="C217" s="37" t="s">
        <v>41</v>
      </c>
      <c r="D217" s="9" t="s">
        <v>8</v>
      </c>
      <c r="E217" s="26"/>
      <c r="F217" s="68"/>
      <c r="G217" s="70">
        <f>IF(G200=Sale_Date,G208,0)</f>
        <v>0</v>
      </c>
      <c r="H217" s="70">
        <f>IF(H200=Sale_Date,H208,0)</f>
        <v>0</v>
      </c>
      <c r="I217" s="70">
        <f>IF(I200=Sale_Date,I208,0)</f>
        <v>0</v>
      </c>
      <c r="J217" s="70">
        <f>IF(J200=Sale_Date,J208,0)</f>
        <v>0</v>
      </c>
      <c r="K217" s="70">
        <f>IF(K200=Sale_Date,K208,0)</f>
        <v>329242018.1673739</v>
      </c>
    </row>
    <row r="218" spans="2:11" outlineLevel="1" x14ac:dyDescent="0.25">
      <c r="B218" s="5"/>
      <c r="C218" s="37" t="s">
        <v>42</v>
      </c>
      <c r="D218" s="9" t="s">
        <v>8</v>
      </c>
      <c r="E218" s="26"/>
      <c r="F218" s="27"/>
      <c r="G218" s="70">
        <f>-G217*Exit_Fee_Pct</f>
        <v>0</v>
      </c>
      <c r="H218" s="70">
        <f>-H217*Exit_Fee_Pct</f>
        <v>0</v>
      </c>
      <c r="I218" s="70">
        <f>-I217*Exit_Fee_Pct</f>
        <v>0</v>
      </c>
      <c r="J218" s="70">
        <f>-J217*Exit_Fee_Pct</f>
        <v>0</v>
      </c>
      <c r="K218" s="70">
        <f>-K217*Exit_Fee_Pct</f>
        <v>-6584840.3633474782</v>
      </c>
    </row>
    <row r="219" spans="2:11" outlineLevel="1" x14ac:dyDescent="0.25">
      <c r="B219" s="5"/>
      <c r="C219" s="37" t="s">
        <v>188</v>
      </c>
      <c r="D219" s="46" t="s">
        <v>8</v>
      </c>
      <c r="E219" s="26"/>
      <c r="F219" s="27"/>
      <c r="G219" s="70">
        <f>IF(G200=Sale_Date,-G189,0)</f>
        <v>0</v>
      </c>
      <c r="H219" s="70">
        <f>IF(H200=Sale_Date,-H189,0)</f>
        <v>0</v>
      </c>
      <c r="I219" s="70">
        <f>IF(I200=Sale_Date,-I189,0)</f>
        <v>0</v>
      </c>
      <c r="J219" s="70">
        <f>IF(J200=Sale_Date,-J189,0)</f>
        <v>0</v>
      </c>
      <c r="K219" s="70">
        <f>IF(K200=Sale_Date,-K189,0)</f>
        <v>-224108502.67323148</v>
      </c>
    </row>
    <row r="220" spans="2:11" outlineLevel="1" x14ac:dyDescent="0.25">
      <c r="B220" s="5"/>
      <c r="C220" s="47" t="s">
        <v>36</v>
      </c>
      <c r="D220" s="9" t="s">
        <v>8</v>
      </c>
      <c r="E220" s="44"/>
      <c r="F220" s="57">
        <f>SUM(F211:F219)</f>
        <v>-91129194.85868299</v>
      </c>
      <c r="G220" s="57">
        <f>SUM(G211:G219)</f>
        <v>4211796.7765199952</v>
      </c>
      <c r="H220" s="57">
        <f t="shared" ref="H220:K220" si="64">SUM(H211:H219)</f>
        <v>49955262.856000699</v>
      </c>
      <c r="I220" s="57">
        <f t="shared" si="64"/>
        <v>11592287.872469656</v>
      </c>
      <c r="J220" s="57">
        <f t="shared" si="64"/>
        <v>13073018.458356615</v>
      </c>
      <c r="K220" s="57">
        <f t="shared" si="64"/>
        <v>112585786.26216096</v>
      </c>
    </row>
    <row r="221" spans="2:11" outlineLevel="1" x14ac:dyDescent="0.25">
      <c r="B221" s="5"/>
      <c r="C221" s="5"/>
      <c r="D221" s="4"/>
      <c r="E221" s="5"/>
      <c r="F221" s="25"/>
      <c r="G221" s="26"/>
      <c r="H221" s="26"/>
      <c r="I221" s="26"/>
      <c r="J221" s="26"/>
      <c r="K221" s="26"/>
    </row>
    <row r="222" spans="2:11" outlineLevel="1" x14ac:dyDescent="0.25">
      <c r="B222" s="5"/>
      <c r="C222" s="58" t="s">
        <v>53</v>
      </c>
      <c r="D222" s="59" t="s">
        <v>5</v>
      </c>
      <c r="E222" s="60"/>
      <c r="F222" s="79">
        <f>IRR(F220:K220)</f>
        <v>0.21934813653562535</v>
      </c>
      <c r="G222" s="26"/>
      <c r="H222" s="26"/>
      <c r="I222" s="26"/>
      <c r="J222" s="26"/>
      <c r="K222" s="26"/>
    </row>
    <row r="223" spans="2:11" outlineLevel="1" x14ac:dyDescent="0.25">
      <c r="B223" s="3"/>
      <c r="C223" s="3"/>
      <c r="D223" s="45"/>
      <c r="E223" s="3"/>
      <c r="F223" s="3"/>
      <c r="G223" s="3"/>
      <c r="H223" s="3"/>
      <c r="I223" s="3"/>
      <c r="J223" s="3"/>
      <c r="K223" s="3"/>
    </row>
    <row r="224" spans="2:11" outlineLevel="1" x14ac:dyDescent="0.25">
      <c r="B224" s="3"/>
      <c r="C224" s="61" t="s">
        <v>37</v>
      </c>
      <c r="D224" s="9" t="s">
        <v>8</v>
      </c>
      <c r="E224" s="3"/>
      <c r="F224" s="26">
        <f>SUM(F212:K219)</f>
        <v>191418152.22550792</v>
      </c>
      <c r="G224" s="3"/>
      <c r="H224" s="3"/>
      <c r="I224" s="3"/>
      <c r="J224" s="3"/>
      <c r="K224" s="3"/>
    </row>
    <row r="225" spans="2:13" outlineLevel="1" x14ac:dyDescent="0.25">
      <c r="B225" s="3"/>
      <c r="C225" s="61" t="s">
        <v>26</v>
      </c>
      <c r="D225" s="9" t="s">
        <v>8</v>
      </c>
      <c r="E225" s="3"/>
      <c r="F225" s="26">
        <f>-SUM(F211:K211)</f>
        <v>91129194.85868299</v>
      </c>
      <c r="G225" s="3"/>
      <c r="H225" s="3"/>
      <c r="I225" s="3"/>
      <c r="J225" s="3"/>
      <c r="K225" s="3"/>
    </row>
    <row r="226" spans="2:13" outlineLevel="1" x14ac:dyDescent="0.25">
      <c r="B226" s="3"/>
      <c r="C226" s="61" t="s">
        <v>27</v>
      </c>
      <c r="D226" s="9" t="s">
        <v>23</v>
      </c>
      <c r="E226" s="3"/>
      <c r="F226" s="80">
        <f>+F224/F225</f>
        <v>2.1005140287077735</v>
      </c>
      <c r="G226" s="3"/>
      <c r="H226" s="3"/>
      <c r="I226" s="3"/>
      <c r="J226" s="3"/>
      <c r="K226" s="3"/>
    </row>
    <row r="227" spans="2:13" outlineLevel="1" x14ac:dyDescent="0.25">
      <c r="C227" s="96" t="s">
        <v>54</v>
      </c>
      <c r="D227" s="98" t="s">
        <v>5</v>
      </c>
      <c r="G227" s="101">
        <f>+G220/$F225</f>
        <v>4.6217864462111902E-2</v>
      </c>
      <c r="H227" s="101">
        <f t="shared" ref="H227:K227" si="65">+H220/$F225</f>
        <v>0.54818066738620874</v>
      </c>
      <c r="I227" s="101">
        <f t="shared" si="65"/>
        <v>0.12720717976764959</v>
      </c>
      <c r="J227" s="101">
        <f t="shared" si="65"/>
        <v>0.14345587578853705</v>
      </c>
      <c r="K227" s="101">
        <f t="shared" si="65"/>
        <v>1.2354524413032661</v>
      </c>
      <c r="M227" s="139"/>
    </row>
    <row r="228" spans="2:13" x14ac:dyDescent="0.25">
      <c r="M228" s="139"/>
    </row>
    <row r="229" spans="2:13" x14ac:dyDescent="0.25">
      <c r="B229" s="158" t="s">
        <v>191</v>
      </c>
      <c r="C229" s="158"/>
      <c r="D229" s="158"/>
      <c r="E229" s="158"/>
      <c r="F229" s="158"/>
      <c r="G229" s="158"/>
      <c r="H229" s="158"/>
      <c r="I229" s="158"/>
      <c r="J229" s="158"/>
      <c r="K229" s="158"/>
      <c r="L229" s="158"/>
      <c r="M229" s="187"/>
    </row>
    <row r="230" spans="2:13" outlineLevel="1" x14ac:dyDescent="0.25">
      <c r="M230" s="139"/>
    </row>
    <row r="231" spans="2:13" outlineLevel="1" x14ac:dyDescent="0.25">
      <c r="C231" s="159"/>
      <c r="D231" s="160"/>
      <c r="E231" s="161" t="s">
        <v>194</v>
      </c>
      <c r="F231" s="162"/>
      <c r="G231" s="162"/>
      <c r="H231" s="162"/>
      <c r="I231" s="162"/>
      <c r="J231" s="162"/>
      <c r="K231" s="162"/>
      <c r="L231" s="163"/>
      <c r="M231" s="197"/>
    </row>
    <row r="232" spans="2:13" outlineLevel="1" x14ac:dyDescent="0.25">
      <c r="C232" s="164"/>
      <c r="D232" s="190">
        <f>$F$222</f>
        <v>0.21934813653562535</v>
      </c>
      <c r="E232" s="191">
        <v>0.55000000000000004</v>
      </c>
      <c r="F232" s="192">
        <f>+E232+2.5%</f>
        <v>0.57500000000000007</v>
      </c>
      <c r="G232" s="192">
        <f t="shared" ref="G232:L232" si="66">+F232+2.5%</f>
        <v>0.60000000000000009</v>
      </c>
      <c r="H232" s="192">
        <f t="shared" si="66"/>
        <v>0.62500000000000011</v>
      </c>
      <c r="I232" s="200">
        <f t="shared" si="66"/>
        <v>0.65000000000000013</v>
      </c>
      <c r="J232" s="192">
        <f t="shared" si="66"/>
        <v>0.67500000000000016</v>
      </c>
      <c r="K232" s="192">
        <f t="shared" si="66"/>
        <v>0.70000000000000018</v>
      </c>
      <c r="L232" s="193">
        <f t="shared" si="66"/>
        <v>0.7250000000000002</v>
      </c>
      <c r="M232" s="188"/>
    </row>
    <row r="233" spans="2:13" outlineLevel="1" x14ac:dyDescent="0.25">
      <c r="C233" s="205" t="s">
        <v>195</v>
      </c>
      <c r="D233" s="194">
        <v>0.1</v>
      </c>
      <c r="E233" s="154">
        <f t="dataTable" ref="E233:L241" dt2D="1" dtr="1" r1="E52" r2="E54"/>
        <v>0.19224521220206126</v>
      </c>
      <c r="F233" s="154">
        <v>0.19468837847187159</v>
      </c>
      <c r="G233" s="154">
        <v>0.19728991109284699</v>
      </c>
      <c r="H233" s="154">
        <v>0.20006684034078903</v>
      </c>
      <c r="I233" s="199">
        <v>0.20303887739113025</v>
      </c>
      <c r="J233" s="154">
        <v>0.20622898977243631</v>
      </c>
      <c r="K233" s="154">
        <v>0.20966413776538095</v>
      </c>
      <c r="L233" s="154">
        <v>0.21337622862183059</v>
      </c>
      <c r="M233" s="186"/>
    </row>
    <row r="234" spans="2:13" outlineLevel="1" x14ac:dyDescent="0.25">
      <c r="C234" s="206"/>
      <c r="D234" s="195">
        <f>+D233-0.5%</f>
        <v>9.5000000000000001E-2</v>
      </c>
      <c r="E234" s="154">
        <v>0.19525761530728913</v>
      </c>
      <c r="F234" s="154">
        <v>0.19794024237547636</v>
      </c>
      <c r="G234" s="154">
        <v>0.20079822783138845</v>
      </c>
      <c r="H234" s="154">
        <v>0.20385067899824083</v>
      </c>
      <c r="I234" s="199">
        <v>0.2071197606214441</v>
      </c>
      <c r="J234" s="154">
        <v>0.21063136338912836</v>
      </c>
      <c r="K234" s="154">
        <v>0.21441596322098344</v>
      </c>
      <c r="L234" s="154">
        <v>0.21850974020139091</v>
      </c>
      <c r="M234" s="186"/>
    </row>
    <row r="235" spans="2:13" outlineLevel="1" x14ac:dyDescent="0.25">
      <c r="C235" s="206"/>
      <c r="D235" s="195">
        <f t="shared" ref="D235:D241" si="67">+D234-0.5%</f>
        <v>0.09</v>
      </c>
      <c r="E235" s="154">
        <v>0.19826379352125278</v>
      </c>
      <c r="F235" s="154">
        <v>0.2011864290758969</v>
      </c>
      <c r="G235" s="154">
        <v>0.20430168672855475</v>
      </c>
      <c r="H235" s="154">
        <v>0.20763082247939346</v>
      </c>
      <c r="I235" s="199">
        <v>0.21119854686514272</v>
      </c>
      <c r="J235" s="154">
        <v>0.2150337935976292</v>
      </c>
      <c r="K235" s="154">
        <v>0.21917071171022573</v>
      </c>
      <c r="L235" s="154">
        <v>0.22364996354353406</v>
      </c>
      <c r="M235" s="186"/>
    </row>
    <row r="236" spans="2:13" outlineLevel="1" x14ac:dyDescent="0.25">
      <c r="C236" s="206"/>
      <c r="D236" s="195">
        <f t="shared" si="67"/>
        <v>8.4999999999999992E-2</v>
      </c>
      <c r="E236" s="154">
        <v>0.20126355320334333</v>
      </c>
      <c r="F236" s="154">
        <v>0.20442670184132439</v>
      </c>
      <c r="G236" s="154">
        <v>0.20779999941047644</v>
      </c>
      <c r="H236" s="154">
        <v>0.21140692069211231</v>
      </c>
      <c r="I236" s="199">
        <v>0.21527481251145475</v>
      </c>
      <c r="J236" s="154">
        <v>0.21943576957845878</v>
      </c>
      <c r="K236" s="154">
        <v>0.2239277695556845</v>
      </c>
      <c r="L236" s="154">
        <v>0.22879616465279007</v>
      </c>
      <c r="M236" s="186"/>
    </row>
    <row r="237" spans="2:13" outlineLevel="1" x14ac:dyDescent="0.25">
      <c r="C237" s="206"/>
      <c r="D237" s="201">
        <f t="shared" si="67"/>
        <v>7.9999999999999988E-2</v>
      </c>
      <c r="E237" s="199">
        <v>0.20425670294769405</v>
      </c>
      <c r="F237" s="199">
        <v>0.20766082644609196</v>
      </c>
      <c r="G237" s="199">
        <v>0.21129288021309645</v>
      </c>
      <c r="H237" s="199">
        <v>0.21517862631834395</v>
      </c>
      <c r="I237" s="199">
        <v>0.21934813653562535</v>
      </c>
      <c r="J237" s="199">
        <v>0.22383678248196426</v>
      </c>
      <c r="K237" s="199">
        <v>0.22868652373374432</v>
      </c>
      <c r="L237" s="199">
        <v>0.23394760775314682</v>
      </c>
      <c r="M237" s="186"/>
    </row>
    <row r="238" spans="2:13" outlineLevel="1" x14ac:dyDescent="0.25">
      <c r="C238" s="206"/>
      <c r="D238" s="195">
        <f t="shared" si="67"/>
        <v>7.4999999999999983E-2</v>
      </c>
      <c r="E238" s="154">
        <v>0.2072430536190335</v>
      </c>
      <c r="F238" s="154">
        <v>0.21088857123136573</v>
      </c>
      <c r="G238" s="154">
        <v>0.21478004628001646</v>
      </c>
      <c r="H238" s="154">
        <v>0.21894559496650801</v>
      </c>
      <c r="I238" s="199">
        <v>0.22341810073003399</v>
      </c>
      <c r="J238" s="154">
        <v>0.22823632577121167</v>
      </c>
      <c r="K238" s="154">
        <v>0.23344636237340533</v>
      </c>
      <c r="L238" s="154">
        <v>0.23910355599981337</v>
      </c>
      <c r="M238" s="186"/>
    </row>
    <row r="239" spans="2:13" outlineLevel="1" x14ac:dyDescent="0.25">
      <c r="C239" s="206"/>
      <c r="D239" s="195">
        <f t="shared" si="67"/>
        <v>6.9999999999999979E-2</v>
      </c>
      <c r="E239" s="154">
        <v>0.21022241838606992</v>
      </c>
      <c r="F239" s="154">
        <v>0.21410970716237654</v>
      </c>
      <c r="G239" s="154">
        <v>0.21826121765564666</v>
      </c>
      <c r="H239" s="154">
        <v>0.22270748531771978</v>
      </c>
      <c r="I239" s="199">
        <v>0.22748428992756176</v>
      </c>
      <c r="J239" s="154">
        <v>0.23263389555577074</v>
      </c>
      <c r="K239" s="154">
        <v>0.23820667524562289</v>
      </c>
      <c r="L239" s="154">
        <v>0.24426327218366506</v>
      </c>
      <c r="M239" s="186"/>
    </row>
    <row r="240" spans="2:13" outlineLevel="1" x14ac:dyDescent="0.25">
      <c r="C240" s="206"/>
      <c r="D240" s="195">
        <f t="shared" si="67"/>
        <v>6.4999999999999974E-2</v>
      </c>
      <c r="E240" s="154">
        <v>0.21319461275242513</v>
      </c>
      <c r="F240" s="154">
        <v>0.21732400788221384</v>
      </c>
      <c r="G240" s="154">
        <v>0.22173611737364429</v>
      </c>
      <c r="H240" s="154">
        <v>0.22646395926574936</v>
      </c>
      <c r="I240" s="199">
        <v>0.23154629221695666</v>
      </c>
      <c r="J240" s="154">
        <v>0.23702899091587115</v>
      </c>
      <c r="K240" s="154">
        <v>0.24296685424215814</v>
      </c>
      <c r="L240" s="154">
        <v>0.24942601942653253</v>
      </c>
      <c r="M240" s="186"/>
    </row>
    <row r="241" spans="3:13" outlineLevel="1" x14ac:dyDescent="0.25">
      <c r="C241" s="207"/>
      <c r="D241" s="196">
        <f t="shared" si="67"/>
        <v>5.9999999999999977E-2</v>
      </c>
      <c r="E241" s="154">
        <v>0.21615945458515684</v>
      </c>
      <c r="F241" s="154">
        <v>0.22053124976220495</v>
      </c>
      <c r="G241" s="154">
        <v>0.22520447154063206</v>
      </c>
      <c r="H241" s="154">
        <v>0.23021468205064166</v>
      </c>
      <c r="I241" s="199">
        <v>0.23560369914999169</v>
      </c>
      <c r="J241" s="154">
        <v>0.24142111421645374</v>
      </c>
      <c r="K241" s="154">
        <v>0.24772629384298961</v>
      </c>
      <c r="L241" s="154">
        <v>0.25459106186555025</v>
      </c>
      <c r="M241" s="186"/>
    </row>
    <row r="242" spans="3:13" outlineLevel="1" x14ac:dyDescent="0.25"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89"/>
    </row>
    <row r="243" spans="3:13" outlineLevel="1" x14ac:dyDescent="0.25">
      <c r="C243" s="159"/>
      <c r="D243" s="160"/>
      <c r="E243" s="161" t="s">
        <v>193</v>
      </c>
      <c r="F243" s="162"/>
      <c r="G243" s="162"/>
      <c r="H243" s="162"/>
      <c r="I243" s="162"/>
      <c r="J243" s="162"/>
      <c r="K243" s="162"/>
      <c r="L243" s="163"/>
      <c r="M243" s="197"/>
    </row>
    <row r="244" spans="3:13" outlineLevel="1" x14ac:dyDescent="0.25">
      <c r="C244" s="164"/>
      <c r="D244" s="190">
        <f>$F$222</f>
        <v>0.21934813653562535</v>
      </c>
      <c r="E244" s="191">
        <v>0.65</v>
      </c>
      <c r="F244" s="192">
        <f>+E244+2.5%</f>
        <v>0.67500000000000004</v>
      </c>
      <c r="G244" s="192">
        <f t="shared" ref="G244:L244" si="68">+F244+2.5%</f>
        <v>0.70000000000000007</v>
      </c>
      <c r="H244" s="192">
        <f t="shared" si="68"/>
        <v>0.72500000000000009</v>
      </c>
      <c r="I244" s="200">
        <f t="shared" si="68"/>
        <v>0.75000000000000011</v>
      </c>
      <c r="J244" s="192">
        <f t="shared" si="68"/>
        <v>0.77500000000000013</v>
      </c>
      <c r="K244" s="192">
        <f t="shared" si="68"/>
        <v>0.80000000000000016</v>
      </c>
      <c r="L244" s="193">
        <f t="shared" si="68"/>
        <v>0.82500000000000018</v>
      </c>
      <c r="M244" s="188"/>
    </row>
    <row r="245" spans="3:13" outlineLevel="1" x14ac:dyDescent="0.25">
      <c r="C245" s="205" t="s">
        <v>196</v>
      </c>
      <c r="D245" s="172">
        <v>4.4999999999999998E-2</v>
      </c>
      <c r="E245" s="154">
        <f t="dataTable" ref="E245:L253" dt2D="1" dtr="1" r1="K46" r2="K49" ca="1"/>
        <v>0.18872684467177292</v>
      </c>
      <c r="F245" s="154">
        <v>0.19340654720120543</v>
      </c>
      <c r="G245" s="154">
        <v>0.19836174929954686</v>
      </c>
      <c r="H245" s="154">
        <v>0.20361252807104879</v>
      </c>
      <c r="I245" s="199">
        <v>0.20918026355178676</v>
      </c>
      <c r="J245" s="154">
        <v>0.21508761609795513</v>
      </c>
      <c r="K245" s="154">
        <v>0.22135846456560104</v>
      </c>
      <c r="L245" s="154">
        <v>0.22801779471373429</v>
      </c>
      <c r="M245" s="168"/>
    </row>
    <row r="246" spans="3:13" outlineLevel="1" x14ac:dyDescent="0.25">
      <c r="C246" s="206"/>
      <c r="D246" s="173">
        <f>+D245-0.25%</f>
        <v>4.2499999999999996E-2</v>
      </c>
      <c r="E246" s="154">
        <v>0.19077031905606257</v>
      </c>
      <c r="F246" s="154">
        <v>0.19557716500102718</v>
      </c>
      <c r="G246" s="154">
        <v>0.20066400669164652</v>
      </c>
      <c r="H246" s="154">
        <v>0.20605084178873301</v>
      </c>
      <c r="I246" s="199">
        <v>0.21175889983087126</v>
      </c>
      <c r="J246" s="154">
        <v>0.21781060508181804</v>
      </c>
      <c r="K246" s="154">
        <v>0.22422949893207145</v>
      </c>
      <c r="L246" s="154">
        <v>0.23104011177550277</v>
      </c>
      <c r="M246" s="169"/>
    </row>
    <row r="247" spans="3:13" outlineLevel="1" x14ac:dyDescent="0.25">
      <c r="C247" s="206"/>
      <c r="D247" s="173">
        <f t="shared" ref="D247:D253" si="69">+D246-0.25%</f>
        <v>3.9999999999999994E-2</v>
      </c>
      <c r="E247" s="154">
        <v>0.19279855439681537</v>
      </c>
      <c r="F247" s="154">
        <v>0.1977306053385437</v>
      </c>
      <c r="G247" s="154">
        <v>0.2029469201366787</v>
      </c>
      <c r="H247" s="154">
        <v>0.20846739454093788</v>
      </c>
      <c r="I247" s="199">
        <v>0.21431308479495903</v>
      </c>
      <c r="J247" s="154">
        <v>0.22050615670736251</v>
      </c>
      <c r="K247" s="154">
        <v>0.22706979332045107</v>
      </c>
      <c r="L247" s="154">
        <v>0.23402805162985985</v>
      </c>
      <c r="M247" s="169"/>
    </row>
    <row r="248" spans="3:13" outlineLevel="1" x14ac:dyDescent="0.25">
      <c r="C248" s="206"/>
      <c r="D248" s="173">
        <f t="shared" si="69"/>
        <v>3.7499999999999992E-2</v>
      </c>
      <c r="E248" s="154">
        <v>0.19481144502955994</v>
      </c>
      <c r="F248" s="154">
        <v>0.19986677886970416</v>
      </c>
      <c r="G248" s="154">
        <v>0.20521042377198184</v>
      </c>
      <c r="H248" s="154">
        <v>0.21086215279320597</v>
      </c>
      <c r="I248" s="199">
        <v>0.21684282805441635</v>
      </c>
      <c r="J248" s="154">
        <v>0.22317433680990861</v>
      </c>
      <c r="K248" s="154">
        <v>0.22987948541912639</v>
      </c>
      <c r="L248" s="154">
        <v>0.23698184224089647</v>
      </c>
      <c r="M248" s="169"/>
    </row>
    <row r="249" spans="3:13" outlineLevel="1" x14ac:dyDescent="0.25">
      <c r="C249" s="206"/>
      <c r="D249" s="198">
        <f t="shared" si="69"/>
        <v>3.4999999999999989E-2</v>
      </c>
      <c r="E249" s="199">
        <v>0.19680888487960857</v>
      </c>
      <c r="F249" s="199">
        <v>0.20198559564243879</v>
      </c>
      <c r="G249" s="199">
        <v>0.20745445074417979</v>
      </c>
      <c r="H249" s="199">
        <v>0.21323508136663549</v>
      </c>
      <c r="I249" s="199">
        <v>0.21934813653562513</v>
      </c>
      <c r="J249" s="199">
        <v>0.22581520696554858</v>
      </c>
      <c r="K249" s="199">
        <v>0.23265870635465102</v>
      </c>
      <c r="L249" s="199">
        <v>0.23990170174171799</v>
      </c>
      <c r="M249" s="170"/>
    </row>
    <row r="250" spans="3:13" outlineLevel="1" x14ac:dyDescent="0.25">
      <c r="C250" s="206"/>
      <c r="D250" s="173">
        <f t="shared" si="69"/>
        <v>3.2499999999999987E-2</v>
      </c>
      <c r="E250" s="154">
        <v>0.19879076792785177</v>
      </c>
      <c r="F250" s="154">
        <v>0.20408696560329553</v>
      </c>
      <c r="G250" s="154">
        <v>0.20967893376367819</v>
      </c>
      <c r="H250" s="154">
        <v>0.21558614405117105</v>
      </c>
      <c r="I250" s="199">
        <v>0.22182901517006126</v>
      </c>
      <c r="J250" s="154">
        <v>0.22842882528203479</v>
      </c>
      <c r="K250" s="154">
        <v>0.23540758162365805</v>
      </c>
      <c r="L250" s="154">
        <v>0.24278783956518746</v>
      </c>
      <c r="M250" s="169"/>
    </row>
    <row r="251" spans="3:13" outlineLevel="1" x14ac:dyDescent="0.25">
      <c r="C251" s="206"/>
      <c r="D251" s="173">
        <f t="shared" si="69"/>
        <v>2.9999999999999988E-2</v>
      </c>
      <c r="E251" s="154">
        <v>0.20075698868921377</v>
      </c>
      <c r="F251" s="154">
        <v>0.20617079911623692</v>
      </c>
      <c r="G251" s="154">
        <v>0.21188380567042486</v>
      </c>
      <c r="H251" s="154">
        <v>0.21791530422865879</v>
      </c>
      <c r="I251" s="199">
        <v>0.22428546759065315</v>
      </c>
      <c r="J251" s="154">
        <v>0.23101524719293365</v>
      </c>
      <c r="K251" s="154">
        <v>0.23812623202148786</v>
      </c>
      <c r="L251" s="154">
        <v>0.2456404575608</v>
      </c>
      <c r="M251" s="169"/>
    </row>
    <row r="252" spans="3:13" outlineLevel="1" x14ac:dyDescent="0.25">
      <c r="C252" s="206"/>
      <c r="D252" s="173">
        <f t="shared" si="69"/>
        <v>2.749999999999999E-2</v>
      </c>
      <c r="E252" s="154">
        <v>0.20270744270174057</v>
      </c>
      <c r="F252" s="154">
        <v>0.20823700749140661</v>
      </c>
      <c r="G252" s="154">
        <v>0.21406900000858742</v>
      </c>
      <c r="H252" s="154">
        <v>0.22022252550317645</v>
      </c>
      <c r="I252" s="199">
        <v>0.22671749683287445</v>
      </c>
      <c r="J252" s="154">
        <v>0.2335745262524811</v>
      </c>
      <c r="K252" s="154">
        <v>0.24081477456513678</v>
      </c>
      <c r="L252" s="154">
        <v>0.24845975109574869</v>
      </c>
      <c r="M252" s="169"/>
    </row>
    <row r="253" spans="3:13" outlineLevel="1" x14ac:dyDescent="0.25">
      <c r="C253" s="207"/>
      <c r="D253" s="174">
        <f t="shared" si="69"/>
        <v>2.4999999999999991E-2</v>
      </c>
      <c r="E253" s="154">
        <v>0.20464202702412027</v>
      </c>
      <c r="F253" s="154">
        <v>0.21028550352149988</v>
      </c>
      <c r="G253" s="154">
        <v>0.21623445160762178</v>
      </c>
      <c r="H253" s="154">
        <v>0.22250777233598162</v>
      </c>
      <c r="I253" s="199">
        <v>0.22912510603779257</v>
      </c>
      <c r="J253" s="154">
        <v>0.23610671492835955</v>
      </c>
      <c r="K253" s="154">
        <v>0.24347332340789007</v>
      </c>
      <c r="L253" s="154">
        <v>0.25124591013796804</v>
      </c>
      <c r="M253" s="169"/>
    </row>
    <row r="254" spans="3:13" outlineLevel="1" x14ac:dyDescent="0.25">
      <c r="M254" s="139"/>
    </row>
    <row r="255" spans="3:13" outlineLevel="1" x14ac:dyDescent="0.25">
      <c r="C255" s="159"/>
      <c r="D255" s="160"/>
      <c r="E255" s="161" t="s">
        <v>197</v>
      </c>
      <c r="F255" s="162"/>
      <c r="G255" s="162"/>
      <c r="H255" s="162"/>
      <c r="I255" s="162"/>
      <c r="J255" s="162"/>
      <c r="K255" s="162"/>
      <c r="L255" s="163"/>
      <c r="M255" s="139"/>
    </row>
    <row r="256" spans="3:13" outlineLevel="1" x14ac:dyDescent="0.25">
      <c r="C256" s="164"/>
      <c r="D256" s="190">
        <f>$F$222</f>
        <v>0.21934813653562535</v>
      </c>
      <c r="E256" s="165">
        <v>0.08</v>
      </c>
      <c r="F256" s="166">
        <f>+E256+0.25%</f>
        <v>8.2500000000000004E-2</v>
      </c>
      <c r="G256" s="204">
        <f t="shared" ref="G256:L256" si="70">+F256+0.25%</f>
        <v>8.5000000000000006E-2</v>
      </c>
      <c r="H256" s="166">
        <f t="shared" si="70"/>
        <v>8.7500000000000008E-2</v>
      </c>
      <c r="I256" s="204">
        <f t="shared" si="70"/>
        <v>9.0000000000000011E-2</v>
      </c>
      <c r="J256" s="166">
        <f t="shared" si="70"/>
        <v>9.2500000000000013E-2</v>
      </c>
      <c r="K256" s="166">
        <f t="shared" si="70"/>
        <v>9.5000000000000015E-2</v>
      </c>
      <c r="L256" s="167">
        <f t="shared" si="70"/>
        <v>9.7500000000000017E-2</v>
      </c>
      <c r="M256" s="139"/>
    </row>
    <row r="257" spans="3:13" outlineLevel="1" x14ac:dyDescent="0.25">
      <c r="C257" s="205" t="s">
        <v>175</v>
      </c>
      <c r="D257" s="172">
        <v>0.105</v>
      </c>
      <c r="E257" s="154">
        <f t="dataTable" ref="E257:L265" dt2D="1" dtr="1" r1="K206" r2="E43" ca="1"/>
        <v>0.34932643580879952</v>
      </c>
      <c r="F257" s="154">
        <v>0.33706969950260146</v>
      </c>
      <c r="G257" s="199">
        <v>0.32499439942234343</v>
      </c>
      <c r="H257" s="154">
        <v>0.31307601386803885</v>
      </c>
      <c r="I257" s="199">
        <v>0.30129104731892853</v>
      </c>
      <c r="J257" s="154">
        <v>0.28961676058779884</v>
      </c>
      <c r="K257" s="154">
        <v>0.27803091226448218</v>
      </c>
      <c r="L257" s="154">
        <v>0.26651150397464085</v>
      </c>
      <c r="M257" s="139"/>
    </row>
    <row r="258" spans="3:13" outlineLevel="1" x14ac:dyDescent="0.25">
      <c r="C258" s="206"/>
      <c r="D258" s="173">
        <f>D257-0.25%</f>
        <v>0.10249999999999999</v>
      </c>
      <c r="E258" s="154">
        <v>0.32975296732565806</v>
      </c>
      <c r="F258" s="154">
        <v>0.31731176017920681</v>
      </c>
      <c r="G258" s="199">
        <v>0.30504416789142397</v>
      </c>
      <c r="H258" s="154">
        <v>0.29292499183225518</v>
      </c>
      <c r="I258" s="199">
        <v>0.28092997038253475</v>
      </c>
      <c r="J258" s="154">
        <v>0.26903549440607422</v>
      </c>
      <c r="K258" s="154">
        <v>0.25721833071186828</v>
      </c>
      <c r="L258" s="154">
        <v>0.24545534516612055</v>
      </c>
      <c r="M258" s="139"/>
    </row>
    <row r="259" spans="3:13" outlineLevel="1" x14ac:dyDescent="0.25">
      <c r="C259" s="206"/>
      <c r="D259" s="173">
        <f t="shared" ref="D259:D265" si="71">D258-0.25%</f>
        <v>9.9999999999999992E-2</v>
      </c>
      <c r="E259" s="154">
        <v>0.31008856623274439</v>
      </c>
      <c r="F259" s="154">
        <v>0.29746461145205583</v>
      </c>
      <c r="G259" s="199">
        <v>0.28500620854040504</v>
      </c>
      <c r="H259" s="154">
        <v>0.27268744590547556</v>
      </c>
      <c r="I259" s="199">
        <v>0.26048325198711653</v>
      </c>
      <c r="J259" s="154">
        <v>0.24836909425312736</v>
      </c>
      <c r="K259" s="154">
        <v>0.23632068236924542</v>
      </c>
      <c r="L259" s="154">
        <v>0.22431366616447068</v>
      </c>
      <c r="M259" s="139"/>
    </row>
    <row r="260" spans="3:13" outlineLevel="1" x14ac:dyDescent="0.25">
      <c r="C260" s="206"/>
      <c r="D260" s="173">
        <f t="shared" si="71"/>
        <v>9.7499999999999989E-2</v>
      </c>
      <c r="E260" s="154">
        <v>0.29033433341443082</v>
      </c>
      <c r="F260" s="154">
        <v>0.27752996399014385</v>
      </c>
      <c r="G260" s="199">
        <v>0.26488287930343812</v>
      </c>
      <c r="H260" s="154">
        <v>0.25236642212459626</v>
      </c>
      <c r="I260" s="199">
        <v>0.23995467070551135</v>
      </c>
      <c r="J260" s="154">
        <v>0.22762211948504474</v>
      </c>
      <c r="K260" s="154">
        <v>0.21534335960860274</v>
      </c>
      <c r="L260" s="154">
        <v>0.20309274865608051</v>
      </c>
      <c r="M260" s="139"/>
    </row>
    <row r="261" spans="3:13" outlineLevel="1" x14ac:dyDescent="0.25">
      <c r="C261" s="206"/>
      <c r="D261" s="198">
        <f t="shared" si="71"/>
        <v>9.4999999999999987E-2</v>
      </c>
      <c r="E261" s="199">
        <v>0.27049129207911804</v>
      </c>
      <c r="F261" s="199">
        <v>0.25750949421288283</v>
      </c>
      <c r="G261" s="199">
        <v>0.24467655252326215</v>
      </c>
      <c r="H261" s="199">
        <v>0.23196503577710481</v>
      </c>
      <c r="I261" s="199">
        <v>0.21934813653562513</v>
      </c>
      <c r="J261" s="199">
        <v>0.20679933178259757</v>
      </c>
      <c r="K261" s="199">
        <v>0.19429203844821918</v>
      </c>
      <c r="L261" s="199">
        <v>0.18179925179481105</v>
      </c>
      <c r="M261" s="139"/>
    </row>
    <row r="262" spans="3:13" outlineLevel="1" x14ac:dyDescent="0.25">
      <c r="C262" s="206"/>
      <c r="D262" s="173">
        <f t="shared" si="71"/>
        <v>9.2499999999999985E-2</v>
      </c>
      <c r="E262" s="154">
        <v>0.25056034320697429</v>
      </c>
      <c r="F262" s="154">
        <v>0.23740479891317223</v>
      </c>
      <c r="G262" s="199">
        <v>0.22438956861310033</v>
      </c>
      <c r="H262" s="154">
        <v>0.21148642398525719</v>
      </c>
      <c r="I262" s="199">
        <v>0.19866764232579914</v>
      </c>
      <c r="J262" s="154">
        <v>0.18590564539502341</v>
      </c>
      <c r="K262" s="154">
        <v>0.17317262768398756</v>
      </c>
      <c r="L262" s="154">
        <v>0.1604401604311505</v>
      </c>
      <c r="M262" s="139"/>
    </row>
    <row r="263" spans="3:13" outlineLevel="1" x14ac:dyDescent="0.25">
      <c r="C263" s="206"/>
      <c r="D263" s="173">
        <f t="shared" si="71"/>
        <v>8.9999999999999983E-2</v>
      </c>
      <c r="E263" s="154">
        <v>0.23054221357262228</v>
      </c>
      <c r="F263" s="154">
        <v>0.21721734189729314</v>
      </c>
      <c r="G263" s="199">
        <v>0.20402418104045772</v>
      </c>
      <c r="H263" s="154">
        <v>0.19093368875141725</v>
      </c>
      <c r="I263" s="199">
        <v>0.17791720459902471</v>
      </c>
      <c r="J263" s="154">
        <v>0.16494606547466462</v>
      </c>
      <c r="K263" s="154">
        <v>0.15199120450356851</v>
      </c>
      <c r="L263" s="154">
        <v>0.13902271784925002</v>
      </c>
      <c r="M263" s="139"/>
    </row>
    <row r="264" spans="3:13" outlineLevel="1" x14ac:dyDescent="0.25">
      <c r="C264" s="206"/>
      <c r="D264" s="173">
        <f t="shared" si="71"/>
        <v>8.7499999999999981E-2</v>
      </c>
      <c r="E264" s="154">
        <v>0.21043739553117558</v>
      </c>
      <c r="F264" s="154">
        <v>0.19694839181187507</v>
      </c>
      <c r="G264" s="199">
        <v>0.18358249177324848</v>
      </c>
      <c r="H264" s="154">
        <v>0.17030982955921403</v>
      </c>
      <c r="I264" s="199">
        <v>0.15710079280292799</v>
      </c>
      <c r="J264" s="154">
        <v>0.14392561343124477</v>
      </c>
      <c r="K264" s="154">
        <v>0.13075393537159008</v>
      </c>
      <c r="L264" s="154">
        <v>0.11755434159996825</v>
      </c>
      <c r="M264" s="139"/>
    </row>
    <row r="265" spans="3:13" outlineLevel="1" x14ac:dyDescent="0.25">
      <c r="C265" s="207"/>
      <c r="D265" s="174">
        <f t="shared" si="71"/>
        <v>8.4999999999999978E-2</v>
      </c>
      <c r="E265" s="154">
        <v>0.19024607767387569</v>
      </c>
      <c r="F265" s="154">
        <v>0.17659895026463235</v>
      </c>
      <c r="G265" s="199">
        <v>0.16306637628791254</v>
      </c>
      <c r="H265" s="154">
        <v>0.1496176646125027</v>
      </c>
      <c r="I265" s="199">
        <v>0.13622224603458188</v>
      </c>
      <c r="J265" s="154">
        <v>0.12284923829984185</v>
      </c>
      <c r="K265" s="154">
        <v>0.10946698109294095</v>
      </c>
      <c r="L265" s="154">
        <v>9.6042521203183906E-2</v>
      </c>
      <c r="M265" s="139"/>
    </row>
    <row r="266" spans="3:13" outlineLevel="1" x14ac:dyDescent="0.25">
      <c r="M266" s="139"/>
    </row>
    <row r="267" spans="3:13" outlineLevel="1" x14ac:dyDescent="0.25">
      <c r="C267" s="159"/>
      <c r="D267" s="160"/>
      <c r="E267" s="161" t="s">
        <v>147</v>
      </c>
      <c r="F267" s="162"/>
      <c r="G267" s="162"/>
      <c r="H267" s="162"/>
      <c r="I267" s="162"/>
      <c r="J267" s="162"/>
      <c r="K267" s="162"/>
      <c r="L267" s="163"/>
      <c r="M267" s="139"/>
    </row>
    <row r="268" spans="3:13" outlineLevel="1" x14ac:dyDescent="0.25">
      <c r="C268" s="164"/>
      <c r="D268" s="190">
        <f>$F$222</f>
        <v>0.21934813653562535</v>
      </c>
      <c r="E268" s="191">
        <v>0.88</v>
      </c>
      <c r="F268" s="192">
        <f>E268+1%</f>
        <v>0.89</v>
      </c>
      <c r="G268" s="200">
        <f t="shared" ref="G268:L268" si="72">F268+1%</f>
        <v>0.9</v>
      </c>
      <c r="H268" s="192">
        <f t="shared" si="72"/>
        <v>0.91</v>
      </c>
      <c r="I268" s="192">
        <f t="shared" si="72"/>
        <v>0.92</v>
      </c>
      <c r="J268" s="192">
        <f t="shared" si="72"/>
        <v>0.93</v>
      </c>
      <c r="K268" s="192">
        <f t="shared" si="72"/>
        <v>0.94000000000000006</v>
      </c>
      <c r="L268" s="203">
        <f t="shared" si="72"/>
        <v>0.95000000000000007</v>
      </c>
      <c r="M268" s="139"/>
    </row>
    <row r="269" spans="3:13" outlineLevel="1" x14ac:dyDescent="0.25">
      <c r="C269" s="205" t="s">
        <v>198</v>
      </c>
      <c r="D269" s="202">
        <v>1</v>
      </c>
      <c r="E269" s="199">
        <f t="dataTable" ref="E269:L277" dt2D="1" dtr="1" r1="E21" r2="E20" ca="1"/>
        <v>0.26216372622866158</v>
      </c>
      <c r="F269" s="199">
        <v>0.27949019704349398</v>
      </c>
      <c r="G269" s="199">
        <v>0.29684401433453012</v>
      </c>
      <c r="H269" s="199">
        <v>0.31421958896380664</v>
      </c>
      <c r="I269" s="199">
        <v>0.3316114338643712</v>
      </c>
      <c r="J269" s="199">
        <v>0.34901418882185764</v>
      </c>
      <c r="K269" s="199">
        <v>0.36642264207332609</v>
      </c>
      <c r="L269" s="199">
        <v>0.38383174876270632</v>
      </c>
      <c r="M269" s="139"/>
    </row>
    <row r="270" spans="3:13" outlineLevel="1" x14ac:dyDescent="0.25">
      <c r="C270" s="206"/>
      <c r="D270" s="195">
        <f>D269-1%</f>
        <v>0.99</v>
      </c>
      <c r="E270" s="154">
        <v>0.24701559910701909</v>
      </c>
      <c r="F270" s="154">
        <v>0.26414213891373306</v>
      </c>
      <c r="G270" s="199">
        <v>0.28130035484804061</v>
      </c>
      <c r="H270" s="154">
        <v>0.29848475674437425</v>
      </c>
      <c r="I270" s="154">
        <v>0.31568992879847979</v>
      </c>
      <c r="J270" s="154">
        <v>0.33291055585006779</v>
      </c>
      <c r="K270" s="154">
        <v>0.35014144667743197</v>
      </c>
      <c r="L270" s="199">
        <v>0.36737755429379004</v>
      </c>
      <c r="M270" s="139"/>
    </row>
    <row r="271" spans="3:13" outlineLevel="1" x14ac:dyDescent="0.25">
      <c r="C271" s="206"/>
      <c r="D271" s="195">
        <f t="shared" ref="D271:D277" si="73">D270-1%</f>
        <v>0.98</v>
      </c>
      <c r="E271" s="154">
        <v>0.23189334375064319</v>
      </c>
      <c r="F271" s="154">
        <v>0.24881622298660444</v>
      </c>
      <c r="G271" s="199">
        <v>0.2657749558392295</v>
      </c>
      <c r="H271" s="154">
        <v>0.28276417437661139</v>
      </c>
      <c r="I271" s="154">
        <v>0.29977855702192469</v>
      </c>
      <c r="J271" s="154">
        <v>0.31681285606979959</v>
      </c>
      <c r="K271" s="154">
        <v>0.33386192244321888</v>
      </c>
      <c r="L271" s="199">
        <v>0.3509207276333135</v>
      </c>
      <c r="M271" s="139"/>
    </row>
    <row r="272" spans="3:13" outlineLevel="1" x14ac:dyDescent="0.25">
      <c r="C272" s="206"/>
      <c r="D272" s="195">
        <f t="shared" si="73"/>
        <v>0.97</v>
      </c>
      <c r="E272" s="154">
        <v>0.21680071366418896</v>
      </c>
      <c r="F272" s="154">
        <v>0.2335163188467031</v>
      </c>
      <c r="G272" s="199">
        <v>0.25027178219178325</v>
      </c>
      <c r="H272" s="154">
        <v>0.26706188105895357</v>
      </c>
      <c r="I272" s="154">
        <v>0.28388141112672627</v>
      </c>
      <c r="J272" s="154">
        <v>0.30072521485633552</v>
      </c>
      <c r="K272" s="154">
        <v>0.31758820745402017</v>
      </c>
      <c r="L272" s="199">
        <v>0.33446540023016813</v>
      </c>
      <c r="M272" s="139"/>
    </row>
    <row r="273" spans="3:13" outlineLevel="1" x14ac:dyDescent="0.25">
      <c r="C273" s="206"/>
      <c r="D273" s="195">
        <f t="shared" si="73"/>
        <v>0.96</v>
      </c>
      <c r="E273" s="154">
        <v>0.20174145720117731</v>
      </c>
      <c r="F273" s="154">
        <v>0.21824631185725041</v>
      </c>
      <c r="G273" s="199">
        <v>0.23479483569295811</v>
      </c>
      <c r="H273" s="154">
        <v>0.25138197396193251</v>
      </c>
      <c r="I273" s="154">
        <v>0.2680026624472911</v>
      </c>
      <c r="J273" s="154">
        <v>0.28465185657274406</v>
      </c>
      <c r="K273" s="154">
        <v>0.30132455829432581</v>
      </c>
      <c r="L273" s="199">
        <v>0.31801584063154631</v>
      </c>
      <c r="M273" s="139"/>
    </row>
    <row r="274" spans="3:13" outlineLevel="1" x14ac:dyDescent="0.25">
      <c r="C274" s="206"/>
      <c r="D274" s="201">
        <f t="shared" si="73"/>
        <v>0.95</v>
      </c>
      <c r="E274" s="199">
        <v>0.18671929829739442</v>
      </c>
      <c r="F274" s="199">
        <v>0.20301008415843369</v>
      </c>
      <c r="G274" s="199">
        <v>0.21934813653562535</v>
      </c>
      <c r="H274" s="199">
        <v>0.2357285904661639</v>
      </c>
      <c r="I274" s="199">
        <v>0.25214654425456162</v>
      </c>
      <c r="J274" s="199">
        <v>0.26859708892349099</v>
      </c>
      <c r="K274" s="199">
        <v>0.28507533574524135</v>
      </c>
      <c r="L274" s="199">
        <v>0.30157644167857356</v>
      </c>
      <c r="M274" s="139"/>
    </row>
    <row r="275" spans="3:13" outlineLevel="1" x14ac:dyDescent="0.25">
      <c r="C275" s="206"/>
      <c r="D275" s="195">
        <f t="shared" si="73"/>
        <v>0.94</v>
      </c>
      <c r="E275" s="154">
        <v>0.17173791613524036</v>
      </c>
      <c r="F275" s="154">
        <v>0.1878114943833149</v>
      </c>
      <c r="G275" s="199">
        <v>0.20393570333298783</v>
      </c>
      <c r="H275" s="154">
        <v>0.22010588872203596</v>
      </c>
      <c r="I275" s="154">
        <v>0.23631733309969416</v>
      </c>
      <c r="J275" s="154">
        <v>0.25256528530846412</v>
      </c>
      <c r="K275" s="154">
        <v>0.2688449883576618</v>
      </c>
      <c r="L275" s="199">
        <v>0.28515170548585722</v>
      </c>
      <c r="M275" s="139"/>
    </row>
    <row r="276" spans="3:13" outlineLevel="1" x14ac:dyDescent="0.25">
      <c r="C276" s="206"/>
      <c r="D276" s="195">
        <f t="shared" si="73"/>
        <v>0.92999999999999994</v>
      </c>
      <c r="E276" s="154">
        <v>0.15680092387701206</v>
      </c>
      <c r="F276" s="154">
        <v>0.17265435621483016</v>
      </c>
      <c r="G276" s="199">
        <v>0.18856153174995782</v>
      </c>
      <c r="H276" s="154">
        <v>0.20451802661095986</v>
      </c>
      <c r="I276" s="154">
        <v>0.22051932835911381</v>
      </c>
      <c r="J276" s="154">
        <v>0.23656086519809261</v>
      </c>
      <c r="K276" s="154">
        <v>0.25263803389049455</v>
      </c>
      <c r="L276" s="199">
        <v>0.26874622615773736</v>
      </c>
      <c r="M276" s="139"/>
    </row>
    <row r="277" spans="3:13" outlineLevel="1" x14ac:dyDescent="0.25">
      <c r="C277" s="207"/>
      <c r="D277" s="196">
        <f t="shared" si="73"/>
        <v>0.91999999999999993</v>
      </c>
      <c r="E277" s="154">
        <v>0.14191184662480505</v>
      </c>
      <c r="F277" s="154">
        <v>0.15754241593134077</v>
      </c>
      <c r="G277" s="199">
        <v>0.17322957188281829</v>
      </c>
      <c r="H277" s="154">
        <v>0.18896913921863456</v>
      </c>
      <c r="I277" s="154">
        <v>0.20475683006541368</v>
      </c>
      <c r="J277" s="154">
        <v>0.22058827258398672</v>
      </c>
      <c r="K277" s="154">
        <v>0.23645903863506712</v>
      </c>
      <c r="L277" s="199">
        <v>0.25236467022679721</v>
      </c>
      <c r="M277" s="139"/>
    </row>
    <row r="278" spans="3:13" x14ac:dyDescent="0.25">
      <c r="M278" s="139"/>
    </row>
    <row r="279" spans="3:13" x14ac:dyDescent="0.25">
      <c r="M279" s="139"/>
    </row>
    <row r="280" spans="3:13" x14ac:dyDescent="0.25">
      <c r="M280" s="139"/>
    </row>
    <row r="281" spans="3:13" x14ac:dyDescent="0.25">
      <c r="M281" s="139"/>
    </row>
    <row r="282" spans="3:13" x14ac:dyDescent="0.25">
      <c r="M282" s="139"/>
    </row>
    <row r="283" spans="3:13" x14ac:dyDescent="0.25">
      <c r="M283" s="139"/>
    </row>
    <row r="284" spans="3:13" x14ac:dyDescent="0.25">
      <c r="M284" s="139"/>
    </row>
    <row r="285" spans="3:13" x14ac:dyDescent="0.25">
      <c r="M285" s="139"/>
    </row>
    <row r="286" spans="3:13" x14ac:dyDescent="0.25">
      <c r="M286" s="139"/>
    </row>
    <row r="287" spans="3:13" x14ac:dyDescent="0.25">
      <c r="M287" s="139"/>
    </row>
    <row r="288" spans="3:13" x14ac:dyDescent="0.25">
      <c r="M288" s="139"/>
    </row>
    <row r="289" spans="13:13" x14ac:dyDescent="0.25">
      <c r="M289" s="139"/>
    </row>
    <row r="290" spans="13:13" x14ac:dyDescent="0.25">
      <c r="M290" s="139"/>
    </row>
    <row r="291" spans="13:13" x14ac:dyDescent="0.25">
      <c r="M291" s="139"/>
    </row>
    <row r="292" spans="13:13" x14ac:dyDescent="0.25">
      <c r="M292" s="139"/>
    </row>
    <row r="293" spans="13:13" x14ac:dyDescent="0.25">
      <c r="M293" s="139"/>
    </row>
    <row r="294" spans="13:13" x14ac:dyDescent="0.25">
      <c r="M294" s="139"/>
    </row>
    <row r="295" spans="13:13" x14ac:dyDescent="0.25">
      <c r="M295" s="139"/>
    </row>
    <row r="296" spans="13:13" x14ac:dyDescent="0.25">
      <c r="M296" s="139"/>
    </row>
    <row r="297" spans="13:13" x14ac:dyDescent="0.25">
      <c r="M297" s="139"/>
    </row>
    <row r="298" spans="13:13" x14ac:dyDescent="0.25">
      <c r="M298" s="139"/>
    </row>
    <row r="299" spans="13:13" x14ac:dyDescent="0.25">
      <c r="M299" s="139"/>
    </row>
    <row r="300" spans="13:13" x14ac:dyDescent="0.25">
      <c r="M300" s="139"/>
    </row>
    <row r="301" spans="13:13" x14ac:dyDescent="0.25">
      <c r="M301" s="139"/>
    </row>
    <row r="302" spans="13:13" x14ac:dyDescent="0.25">
      <c r="M302" s="139"/>
    </row>
    <row r="303" spans="13:13" x14ac:dyDescent="0.25">
      <c r="M303" s="139"/>
    </row>
    <row r="304" spans="13:13" x14ac:dyDescent="0.25">
      <c r="M304" s="139"/>
    </row>
    <row r="305" spans="13:13" x14ac:dyDescent="0.25">
      <c r="M305" s="139"/>
    </row>
    <row r="306" spans="13:13" x14ac:dyDescent="0.25">
      <c r="M306" s="139"/>
    </row>
    <row r="307" spans="13:13" x14ac:dyDescent="0.25">
      <c r="M307" s="139"/>
    </row>
    <row r="308" spans="13:13" x14ac:dyDescent="0.25">
      <c r="M308" s="139"/>
    </row>
    <row r="309" spans="13:13" x14ac:dyDescent="0.25">
      <c r="M309" s="139"/>
    </row>
  </sheetData>
  <mergeCells count="4">
    <mergeCell ref="C233:C241"/>
    <mergeCell ref="C245:C253"/>
    <mergeCell ref="C257:C265"/>
    <mergeCell ref="C269:C277"/>
  </mergeCells>
  <dataValidations count="3">
    <dataValidation type="list" allowBlank="1" showInputMessage="1" showErrorMessage="1" sqref="E16">
      <formula1>$C$78:$C$80</formula1>
    </dataValidation>
    <dataValidation type="list" allowBlank="1" showInputMessage="1" showErrorMessage="1" sqref="E17">
      <formula1>$F$19:$G$19</formula1>
    </dataValidation>
    <dataValidation type="list" allowBlank="1" showInputMessage="1" showErrorMessage="1" sqref="E59">
      <formula1>$I$75:$K$75</formula1>
    </dataValidation>
  </dataValidations>
  <pageMargins left="0.7" right="0.7" top="0.75" bottom="0.75" header="0.3" footer="0.3"/>
  <pageSetup scale="34" orientation="portrait" r:id="rId1"/>
  <rowBreaks count="3" manualBreakCount="3">
    <brk id="73" max="12" man="1"/>
    <brk id="130" max="12" man="1"/>
    <brk id="198" max="12" man="1"/>
  </rowBreaks>
  <ignoredErrors>
    <ignoredError sqref="E14 E20:E37 F81:L81 G83:L83 F89:L89 G93:L93 F101:L101 F107:L107 G113:H113 G127:L127 E46:E47 E53 K42:K43 F206 G206:K206 K47:K54 E60 E62:E63 I9 I15:L18 I21:L23" unlocked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41</vt:i4>
      </vt:variant>
    </vt:vector>
  </HeadingPairs>
  <TitlesOfParts>
    <vt:vector size="42" baseType="lpstr">
      <vt:lpstr>Hotel-Pro-Forma</vt:lpstr>
      <vt:lpstr>Acq_Loan</vt:lpstr>
      <vt:lpstr>Acq_Loan_Amort_Period</vt:lpstr>
      <vt:lpstr>Acq_Loan_Interest_Rate</vt:lpstr>
      <vt:lpstr>Acq_Loan_Term</vt:lpstr>
      <vt:lpstr>Acq_LTV</vt:lpstr>
      <vt:lpstr>Entry_Fee_Pct</vt:lpstr>
      <vt:lpstr>Entry_Price</vt:lpstr>
      <vt:lpstr>Exit_Cap_Rate</vt:lpstr>
      <vt:lpstr>Exit_Fee_Pct</vt:lpstr>
      <vt:lpstr>Exit_Price</vt:lpstr>
      <vt:lpstr>FB_Margin</vt:lpstr>
      <vt:lpstr>Franchise_Fee_Pct</vt:lpstr>
      <vt:lpstr>GP_Name</vt:lpstr>
      <vt:lpstr>Incentive_Fee_Pct</vt:lpstr>
      <vt:lpstr>Keys</vt:lpstr>
      <vt:lpstr>Loan_Fees</vt:lpstr>
      <vt:lpstr>Market_Scenario</vt:lpstr>
      <vt:lpstr>Mezzanine</vt:lpstr>
      <vt:lpstr>Mezzanine_Cash_Interest</vt:lpstr>
      <vt:lpstr>Mezzanine_LTV</vt:lpstr>
      <vt:lpstr>Mezzanine_PIK_Interest</vt:lpstr>
      <vt:lpstr>Mgmt_Fee_Pct</vt:lpstr>
      <vt:lpstr>Months</vt:lpstr>
      <vt:lpstr>NOI_Margin_Hurdle</vt:lpstr>
      <vt:lpstr>Op_Scenario</vt:lpstr>
      <vt:lpstr>Other_Margin</vt:lpstr>
      <vt:lpstr>Perm_Loan_Fees</vt:lpstr>
      <vt:lpstr>'Hotel-Pro-Forma'!Print_Area</vt:lpstr>
      <vt:lpstr>Prop_ADR_Pct</vt:lpstr>
      <vt:lpstr>Prop_Occ_Pct</vt:lpstr>
      <vt:lpstr>Property_Name</vt:lpstr>
      <vt:lpstr>Renovation_End</vt:lpstr>
      <vt:lpstr>Renovation_per_Room</vt:lpstr>
      <vt:lpstr>Renovation_Years</vt:lpstr>
      <vt:lpstr>Room_Margin</vt:lpstr>
      <vt:lpstr>Sale_Date</vt:lpstr>
      <vt:lpstr>Senior_Loan</vt:lpstr>
      <vt:lpstr>Senior_Loan_Amort_Period</vt:lpstr>
      <vt:lpstr>Senior_Loan_Interest_Rate</vt:lpstr>
      <vt:lpstr>Senior_Loan_LTV</vt:lpstr>
      <vt:lpstr>Start_Date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BIWS</cp:lastModifiedBy>
  <dcterms:created xsi:type="dcterms:W3CDTF">2015-04-15T02:33:42Z</dcterms:created>
  <dcterms:modified xsi:type="dcterms:W3CDTF">2018-02-26T13:49:58Z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gmt_Fees" linkTarget="Prop_Mgmt_Fees">
    <vt:r8>0</vt:r8>
  </property>
  <property fmtid="{D5CDD505-2E9C-101B-9397-08002B2CF9AE}" pid="3" name="ADR_Pct" linkTarget="Prop_ADR_Pct">
    <vt:r8>0.9</vt:r8>
  </property>
  <property fmtid="{D5CDD505-2E9C-101B-9397-08002B2CF9AE}" pid="4" name="Occ_Pct" linkTarget="Prop_Occ_Pct">
    <vt:r8>0.95</vt:r8>
  </property>
</Properties>
</file>