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zpar__20230214_214114-kicost" sheetId="1" r:id="rId1"/>
  </sheets>
  <definedNames>
    <definedName name="BoardQty" localSheetId="0">'Gazpar__20230214_214114-kicost'!$M$1</definedName>
    <definedName name="EUR_GBP" localSheetId="0">'Gazpar__20230214_214114-kicost'!$C$17</definedName>
    <definedName name="EUR_USD" localSheetId="0">'Gazpar__20230214_214114-kicost'!$C$18</definedName>
    <definedName name="PURCHASE_DESCRIPTION" localSheetId="0">'Gazpar__20230214_214114-kicost'!$M$17</definedName>
    <definedName name="TotalCost" localSheetId="0">'Gazpar__20230214_214114-kicost'!$M$3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F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G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G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I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J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B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P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Q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$0.76
    25   $0.07      $1.88
   100   $0.05      $4.79
   250   $0.05     $11.58
   500   $0.03     $14.85
  1000   $0.02     $22.10
  3000   $0.02     $48.30
  6000   $0.01     $87.00
 15000   $0.01    $216.00
 30000   $0.01    $360.00
 75000   $0.01    $735.00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$0.75
   100   $0.04      $4.09
   500   $0.03     $12.59
  1000   $0.02     $17.17
  2000   $0.01     $29.20
  5000   $0.01     $65.85
 10000   $0.01    $114.50
 30000   $0.01    $309.00
 50000   $0.01    $458.00
100000   $0.01    $859.00
250000   $0.01  $1,902.50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£0.09      £0.44
    10   £0.07      £0.66
   100   £0.04      £3.60
   500   £0.02     £11.50
 10000   £0.01     £96.00
 20000   £0.01    £174.00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50   €0.01      €0.73
   500   €0.01      €5.85
  1500   €0.01     €15.15
 10000   €0.01     €87.00
 20000   €0.01    €158.00
 50000   €0.01    €375.00</t>
        </r>
      </text>
    </comment>
    <comment ref="A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$0.75
    50   $0.07      $3.75
   100   $0.04      $4.10
  1000   $0.01     $15.00
 10000   $0.01    $110.00</t>
        </r>
      </text>
    </comment>
    <comment ref="AY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 5   $0.10      $0.50
    50   $0.07      $3.75
   100   $0.04      $4.10
   250   $0.03      $8.50
   500   $0.03     $13.00
  1000   $0.01     $15.00
  2500   $0.01     $35.00
 10000   $0.01    $110.00
 20000   $0.01    $200.00
 40000   $0.01    $400.00</t>
        </r>
      </text>
    </comment>
    <comment ref="BF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£0.07      £1.42
   100   £0.01      £1.40
  5000   £0.01     £50.00
 10000   £0.01     £80.00
 30000   £0.01    £270.00</t>
        </r>
      </text>
    </comment>
    <comment ref="BM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£0.03      £0.71
   100   £0.01      £1.17
   500   £0.01      £5.15
  2500   £0.01     £22.00
 10000   £0.01     £80.00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(USD):
  Qty  -  Unit$  -  Ext$
================
 58000   $0.07  $4,090.16</t>
        </r>
      </text>
    </comment>
    <comment ref="AB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£0.28      £1.41
    25   £0.27      £6.75
   100   £0.12     £11.60
   250   £0.11     £27.75
   500   £0.10     £48.65
  1000   £0.07     £65.20</t>
        </r>
      </text>
    </comment>
    <comment ref="A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$0.28      $2.76
    50   $0.28     $13.80
   100   $0.18     $18.40
  1000   $0.11    $107.00
 10000   $0.08    $820.00</t>
        </r>
      </text>
    </comment>
    <comment ref="BM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2   £0.29      £0.58
    10   £0.21      £2.07
    50   £0.12      £5.96
   250   £0.08     £20.19
  1000   £0.07     £69.51</t>
        </r>
      </text>
    </comment>
    <comment ref="AB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£0.44      £4.42
   100   £0.32     £31.60
   500   £0.26    £130.00
  1000   £0.22    £221.00
  2500   £0.20    £490.00
  5000   £0.18    £885.00</t>
        </r>
      </text>
    </comment>
    <comment ref="AW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$0.56      $5.62
    25   $0.53     $13.33
    50   $0.51     $25.30
   100   $0.48     $47.90
   250   $0.45    $112.50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$0.72
    25   $0.04      $1.07
   100   $0.02      $2.44
   250   $0.02      $4.95
   500   $0.01      $7.50
  1000   $0.01     $13.10
  3000   $0.01     $22.20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$44.20
 10000   $0.01     $79.30
 25000   $0.01    $182.00
 50000   $0.01    $342.00
125000   $0.01    $835.00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£0.41
   100   £0.02      £1.80
   500   £0.01      £7.00
  1000   £0.01     £11.00
  2500   £0.01     £20.00
  5000   £0.01     £35.00
 25000   £0.01    £172.50
 50000   £0.01    £335.00</t>
        </r>
      </text>
    </comment>
    <comment ref="A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$0.67
    50   $0.05      $2.35
   100   $0.03      $2.60
  1000   $0.01     $12.00
 10000   $0.01     $80.00</t>
        </r>
      </text>
    </comment>
    <comment ref="AY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$1.04
    25   $0.05      $1.18
    50   $0.04      $1.85
   100   $0.03      $2.60
   250   $0.02      $5.25
   500   $0.02      $8.00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$0.04      $0.38
    25   $0.03      $0.69
    50   $0.02      $1.11
   100   $0.01      $1.12
   250   $0.01      $2.73
   500   $0.01      $5.40
  1000   $0.01     $10.30
  5000   $0.01     $39.00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$0.68
    25   $0.05      $1.17
    50   $0.04      $1.82
   100   $0.03      $2.60
   250   $0.02      $5.07
   500   $0.02      $8.06
  1000   $0.01     $11.44
  5000   $0.01     $44.20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£0.31
   100   £0.02      £1.62
   500   £0.01      £6.70
  2500   £0.01     £24.25
  5000   £0.01     £41.50
 10000   £0.01     £73.00
 50000   £0.01    £355.00
100000   £0.01    £700.00</t>
        </r>
      </text>
    </comment>
    <comment ref="AY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$0.90
    25   $0.05      $1.15
    50   $0.05      $2.65
   100   $0.03      $2.60
   250   $0.02      $5.00
   500   $0.02      $8.00
  1000   $0.01     $11.00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$0.39      $3.86
   100   $0.22     $22.17
  1000   $0.17    $173.53
  2000   $0.16    $318.16
  5000   $0.14    $723.05
 10000   $0.13  $1,349.70
 25000   $0.13  $3,253.75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£2.69
    10   £0.33      £3.34
   100   £0.18     £18.00
   500   £0.17     £86.00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€0.50      €0.50
    10   €0.42      €4.16
    30   €0.37     €11.18
   100   €0.33     €33.10
   500   €0.27    €134.35
  1200   €0.26    €306.48</t>
        </r>
      </text>
    </comment>
    <comment ref="A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$0.39      $3.86
    50   $0.39     $19.30
   100   $0.22     $22.10
  1000   $0.17    $173.00
 10000   $0.13  $1,340.00</t>
        </r>
      </text>
    </comment>
    <comment ref="AY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$0.38      $3.79
   100   $0.20     $20.40
   500   $0.20     $98.00
  1000   $0.16    $156.00
  2500   $0.14    $360.00
 10000   $0.13  $1,320.00
 25000   $0.13  $3,175.00</t>
        </r>
      </text>
    </comment>
    <comment ref="BF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£0.35      £3.48
    20   £0.31      £6.16
    40   £0.29     £11.60
    70   £0.27     £19.11
   100   £0.19     £18.80</t>
        </r>
      </text>
    </comment>
    <comment ref="BM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2   £0.41      £0.83
    10   £0.28      £2.77
    50   £0.23     £11.25
   250   £0.19     £48.25
  1000   £0.18    £180.00</t>
        </r>
      </text>
    </comment>
    <comment ref="BK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M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£0.32    £160.00</t>
        </r>
      </text>
    </comment>
    <comment ref="BK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M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£0.32    £160.00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O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X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E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L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L1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<sst xmlns="http://schemas.openxmlformats.org/spreadsheetml/2006/main" count="214" uniqueCount="137">
  <si>
    <t>Global Part Info</t>
  </si>
  <si>
    <t>Refs</t>
  </si>
  <si>
    <t>Value</t>
  </si>
  <si>
    <t>comment</t>
  </si>
  <si>
    <t>S1MN</t>
  </si>
  <si>
    <t>S1PN</t>
  </si>
  <si>
    <t>S2MN</t>
  </si>
  <si>
    <t>S2PN</t>
  </si>
  <si>
    <t>Footprint</t>
  </si>
  <si>
    <t>Manf</t>
  </si>
  <si>
    <t>Manf#</t>
  </si>
  <si>
    <t>Qty</t>
  </si>
  <si>
    <t>Unit$</t>
  </si>
  <si>
    <t>Ext$</t>
  </si>
  <si>
    <t>D1</t>
  </si>
  <si>
    <t>1N4148</t>
  </si>
  <si>
    <t>D_DO-35_SOD27_P7.62mm_Horizontal</t>
  </si>
  <si>
    <t>ONSEMI</t>
  </si>
  <si>
    <t>1N4148TR</t>
  </si>
  <si>
    <t>D2</t>
  </si>
  <si>
    <t>LED</t>
  </si>
  <si>
    <t>LED_D3.0mm</t>
  </si>
  <si>
    <t>BROADCOM</t>
  </si>
  <si>
    <t>HLMP-Y301-F0000</t>
  </si>
  <si>
    <t>Gazpar1</t>
  </si>
  <si>
    <t>G-</t>
  </si>
  <si>
    <t>AMPHENOL</t>
  </si>
  <si>
    <t>VI0221550000G</t>
  </si>
  <si>
    <t>TerminalBlock_bornier-2_P5.08mm</t>
  </si>
  <si>
    <t>CAMDENBOSS</t>
  </si>
  <si>
    <t>CTBP0108/2</t>
  </si>
  <si>
    <t>R1</t>
  </si>
  <si>
    <t>330Ω</t>
  </si>
  <si>
    <t>R_Axial_DIN0207_L6.3mm_D2.5mm_P7.62mm_Horizontal</t>
  </si>
  <si>
    <t>YAGEO</t>
  </si>
  <si>
    <t>CFR-25JR-52-330R</t>
  </si>
  <si>
    <t>R2</t>
  </si>
  <si>
    <t>1kΩ</t>
  </si>
  <si>
    <t>CFR-25JB-52-1K</t>
  </si>
  <si>
    <t>U1</t>
  </si>
  <si>
    <t>PC817</t>
  </si>
  <si>
    <t>DIP-4_W7.62mm</t>
  </si>
  <si>
    <t>HCPL-817-000E</t>
  </si>
  <si>
    <t>U2#1</t>
  </si>
  <si>
    <t>ESP32-DEVKITC-32D - p1/2</t>
  </si>
  <si>
    <t>MODULE_ESP32-DEVKITC-32D</t>
  </si>
  <si>
    <t>CONNFLY</t>
  </si>
  <si>
    <t>DS1002-01-1*19V13</t>
  </si>
  <si>
    <t>U2#2</t>
  </si>
  <si>
    <t>ESP32-DEVKITC-32D - p2/2</t>
  </si>
  <si>
    <t>Arrow</t>
  </si>
  <si>
    <t>Avail</t>
  </si>
  <si>
    <t>Purch</t>
  </si>
  <si>
    <t>MOQ</t>
  </si>
  <si>
    <t>Cat#</t>
  </si>
  <si>
    <t>URL</t>
  </si>
  <si>
    <t>https://octopart.com/click/track?ai=8078&amp;sig=0f4879b&amp;sid=1106&amp;ppid=84323125&amp;vpid=473362255&amp;ct=offers</t>
  </si>
  <si>
    <t>https://octopart.com/click/track?ai=8078&amp;sig=0fbba96&amp;sid=1106&amp;ppid=11800342&amp;vpid=486424411&amp;ct=offers</t>
  </si>
  <si>
    <t>https://octopart.com/click/track?ai=8078&amp;sig=0a31d3e&amp;sid=1106&amp;ppid=16252072&amp;vpid=473547859&amp;ct=offers</t>
  </si>
  <si>
    <t>Buy here</t>
  </si>
  <si>
    <t>Digi-Key</t>
  </si>
  <si>
    <t>1N4148FSCT-ND</t>
  </si>
  <si>
    <t>https://octopart.com/click/track?ai=8078&amp;sig=0cf48ec&amp;sid=459&amp;ppid=84323125&amp;vpid=482441792&amp;ct=offers</t>
  </si>
  <si>
    <t>516-3538-ND</t>
  </si>
  <si>
    <t>https://octopart.com/click/track?ai=8078&amp;sig=00a55ab&amp;sid=459&amp;ppid=71131061&amp;vpid=416616193&amp;ct=offers</t>
  </si>
  <si>
    <t>NonStk</t>
  </si>
  <si>
    <t>330QTR-ND</t>
  </si>
  <si>
    <t>https://octopart.com/click/track?ai=8078&amp;sig=0a14cc5&amp;sid=459&amp;ppid=11800342&amp;vpid=39633665&amp;ct=offers</t>
  </si>
  <si>
    <t>1.0KQBK-ND</t>
  </si>
  <si>
    <t>https://octopart.com/click/track?ai=8078&amp;sig=0cccf57&amp;sid=459&amp;ppid=16252072&amp;vpid=39633442&amp;ct=offers</t>
  </si>
  <si>
    <t>516-1585-5-ND</t>
  </si>
  <si>
    <t>https://octopart.com/click/track?ai=8078&amp;sig=081d74e&amp;sid=459&amp;ppid=71129009&amp;vpid=252144032&amp;ct=offers</t>
  </si>
  <si>
    <t>Farnell</t>
  </si>
  <si>
    <t>1782479</t>
  </si>
  <si>
    <t>https://octopart.com/click/track?ai=8078&amp;sig=0f0c4c7&amp;sid=11744&amp;ppid=84323125&amp;vpid=440098499&amp;ct=offers</t>
  </si>
  <si>
    <t>1863178</t>
  </si>
  <si>
    <t>https://octopart.com/click/track?c=1&amp;ai=8078&amp;sig=0c96e3a&amp;sid=819&amp;ppid=71131061&amp;vpid=255897132&amp;ct=offers</t>
  </si>
  <si>
    <t>3228564</t>
  </si>
  <si>
    <t>https://octopart.com/click/track?c=1&amp;ai=8078&amp;sig=0765aeb&amp;sid=819&amp;ppid=107988026&amp;vpid=614102742&amp;ct=offers</t>
  </si>
  <si>
    <t>3951835</t>
  </si>
  <si>
    <t>https://octopart.com/click/track?ai=8078&amp;sig=020ac18&amp;sid=819&amp;ppid=11800342&amp;vpid=805066692&amp;ct=offers</t>
  </si>
  <si>
    <t>3951798</t>
  </si>
  <si>
    <t>https://octopart.com/click/track?ai=8078&amp;sig=0500f10&amp;sid=819&amp;ppid=16252072&amp;vpid=805066678&amp;ct=offers</t>
  </si>
  <si>
    <t>1244544</t>
  </si>
  <si>
    <t>https://octopart.com/click/track?ai=8078&amp;sig=0b1fae4&amp;sid=819&amp;ppid=71129009&amp;vpid=255897050&amp;ct=offers</t>
  </si>
  <si>
    <t>LCSC</t>
  </si>
  <si>
    <t>C84410</t>
  </si>
  <si>
    <t>https://octopart.com/click/track?ai=8078&amp;sig=0b2c45f&amp;sid=27971&amp;ppid=84323125&amp;vpid=476992831&amp;ct=offers</t>
  </si>
  <si>
    <t>C2927828</t>
  </si>
  <si>
    <t>https://octopart.com/click/track?ai=8078&amp;sig=0eec925&amp;sid=27971&amp;ppid=71129009&amp;vpid=787872680&amp;ct=offers</t>
  </si>
  <si>
    <t>Mouser</t>
  </si>
  <si>
    <t>512-1N4148TR</t>
  </si>
  <si>
    <t>https://octopart.com/click/track?ai=8078&amp;sig=010fed8&amp;sid=2401&amp;ppid=84323125&amp;vpid=438579221&amp;ct=offers</t>
  </si>
  <si>
    <t>630-HLMP-Y301-F0000</t>
  </si>
  <si>
    <t>https://octopart.com/click/track?ai=8078&amp;sig=07318c2&amp;sid=2401&amp;ppid=71131061&amp;vpid=254908152&amp;ct=offers</t>
  </si>
  <si>
    <t>603-CFR-25JR-52330R</t>
  </si>
  <si>
    <t>https://octopart.com/click/track?ai=8078&amp;sig=0a96174&amp;sid=2401&amp;ppid=11800342&amp;vpid=64183536&amp;ct=offers</t>
  </si>
  <si>
    <t>630-HCPL-817-000E</t>
  </si>
  <si>
    <t>https://octopart.com/click/track?ai=8078&amp;sig=0376c54&amp;sid=2401&amp;ppid=71129009&amp;vpid=254906859&amp;ct=offers</t>
  </si>
  <si>
    <t>Newark</t>
  </si>
  <si>
    <t>87X9767</t>
  </si>
  <si>
    <t>https://octopart.com/click/track?ai=8078&amp;sig=011398a&amp;sid=2402&amp;ppid=84323125&amp;vpid=439853755&amp;ct=offers</t>
  </si>
  <si>
    <t>66AH5453</t>
  </si>
  <si>
    <t>https://octopart.com/click/track?c=1&amp;ai=8078&amp;sig=039cbe3&amp;sid=2402&amp;ppid=107988026&amp;vpid=614831993&amp;ct=offers</t>
  </si>
  <si>
    <t>49AK5132</t>
  </si>
  <si>
    <t>https://octopart.com/click/track?c=1&amp;ai=8078&amp;sig=02fd883&amp;sid=2402&amp;ppid=11800342&amp;vpid=834426637&amp;ct=offers</t>
  </si>
  <si>
    <t>49AK4870</t>
  </si>
  <si>
    <t>https://octopart.com/click/track?c=1&amp;ai=8078&amp;sig=0f6f162&amp;sid=2402&amp;ppid=16252072&amp;vpid=834426412&amp;ct=offers</t>
  </si>
  <si>
    <t>36J9610</t>
  </si>
  <si>
    <t>https://octopart.com/click/track?ai=8078&amp;sig=041a475&amp;sid=2402&amp;ppid=71129009&amp;vpid=255814576&amp;ct=offers</t>
  </si>
  <si>
    <t>RS Components</t>
  </si>
  <si>
    <t>6715477</t>
  </si>
  <si>
    <t>https://octopart.com/click/track?ai=8078&amp;sig=0e963fa&amp;sid=10022&amp;ppid=84323125&amp;vpid=454557423&amp;ct=offers</t>
  </si>
  <si>
    <t>6961282</t>
  </si>
  <si>
    <t>https://octopart.com/click/track?ai=8078&amp;sig=0699ba7&amp;sid=10022&amp;ppid=71129009&amp;vpid=262342724&amp;ct=offers</t>
  </si>
  <si>
    <t>TME</t>
  </si>
  <si>
    <t>https://octopart.com/click/track?ai=8078&amp;sig=0afb056&amp;sid=1532&amp;ppid=84323125&amp;vpid=709117488&amp;ct=offers</t>
  </si>
  <si>
    <t>https://octopart.com/click/track?ai=8078&amp;sig=0dc817e&amp;sid=1532&amp;ppid=71131061&amp;vpid=707818925&amp;ct=offers</t>
  </si>
  <si>
    <t>https://octopart.com/click/track?ai=8078&amp;sig=0091573&amp;sid=1532&amp;ppid=71129009&amp;vpid=707818450&amp;ct=offers</t>
  </si>
  <si>
    <t>DS1002-01-1X19V13</t>
  </si>
  <si>
    <t>https://octopart.com/click/track?c=1&amp;ai=8078&amp;sig=0c570a7&amp;sid=1532&amp;ppid=30732770&amp;vpid=707830915&amp;ct=offers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</si>
  <si>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</si>
  <si>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</si>
  <si>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</si>
  <si>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</si>
  <si>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</si>
  <si>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</si>
  <si>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Gazpar.xml</t>
  </si>
  <si>
    <t>Co.:</t>
  </si>
  <si>
    <t>Prj date:</t>
  </si>
  <si>
    <t>Tue Feb 14 21:47:26 2023</t>
  </si>
  <si>
    <t>Board Qty:</t>
  </si>
  <si>
    <t>Total Cost:</t>
  </si>
  <si>
    <t>Unit Cost:</t>
  </si>
  <si>
    <t>$ date:</t>
  </si>
  <si>
    <t>2023-02-14 21:47:52</t>
  </si>
  <si>
    <t>KiCost® v1.1.15</t>
  </si>
</sst>
</file>

<file path=xl/styles.xml><?xml version="1.0" encoding="utf-8"?>
<styleSheet xmlns="http://schemas.openxmlformats.org/spreadsheetml/2006/main">
  <numFmts count="2">
    <numFmt numFmtId="164" formatCode="€#,##0.00"/>
    <numFmt numFmtId="164" formatCode="€#,##0.00"/>
    <numFmt numFmtId="165" formatCode="€#,##0.0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0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experia.com/documents/data-sheet/1N4148_1N4448.pdf" TargetMode="External"/><Relationship Id="rId2" Type="http://schemas.openxmlformats.org/officeDocument/2006/relationships/hyperlink" Target="https://octopart.com/click/track?ai=8078&amp;sig=0f4879b&amp;sid=1106&amp;ppid=84323125&amp;vpid=473362255&amp;ct=offers" TargetMode="External"/><Relationship Id="rId3" Type="http://schemas.openxmlformats.org/officeDocument/2006/relationships/hyperlink" Target="https://octopart.com/click/track?ai=8078&amp;sig=0cf48ec&amp;sid=459&amp;ppid=84323125&amp;vpid=482441792&amp;ct=offers" TargetMode="External"/><Relationship Id="rId4" Type="http://schemas.openxmlformats.org/officeDocument/2006/relationships/hyperlink" Target="https://octopart.com/click/track?ai=8078&amp;sig=0f0c4c7&amp;sid=11744&amp;ppid=84323125&amp;vpid=440098499&amp;ct=offers" TargetMode="External"/><Relationship Id="rId5" Type="http://schemas.openxmlformats.org/officeDocument/2006/relationships/hyperlink" Target="https://octopart.com/click/track?ai=8078&amp;sig=0b2c45f&amp;sid=27971&amp;ppid=84323125&amp;vpid=476992831&amp;ct=offers" TargetMode="External"/><Relationship Id="rId6" Type="http://schemas.openxmlformats.org/officeDocument/2006/relationships/hyperlink" Target="https://octopart.com/click/track?ai=8078&amp;sig=010fed8&amp;sid=2401&amp;ppid=84323125&amp;vpid=438579221&amp;ct=offers" TargetMode="External"/><Relationship Id="rId7" Type="http://schemas.openxmlformats.org/officeDocument/2006/relationships/hyperlink" Target="https://octopart.com/click/track?ai=8078&amp;sig=011398a&amp;sid=2402&amp;ppid=84323125&amp;vpid=439853755&amp;ct=offers" TargetMode="External"/><Relationship Id="rId8" Type="http://schemas.openxmlformats.org/officeDocument/2006/relationships/hyperlink" Target="https://octopart.com/click/track?ai=8078&amp;sig=0e963fa&amp;sid=10022&amp;ppid=84323125&amp;vpid=454557423&amp;ct=offers" TargetMode="External"/><Relationship Id="rId9" Type="http://schemas.openxmlformats.org/officeDocument/2006/relationships/hyperlink" Target="https://octopart.com/click/track?ai=8078&amp;sig=0afb056&amp;sid=1532&amp;ppid=84323125&amp;vpid=709117488&amp;ct=offers" TargetMode="External"/><Relationship Id="rId10" Type="http://schemas.openxmlformats.org/officeDocument/2006/relationships/hyperlink" Target="https://octopart.com/click/track?ai=8078&amp;sig=00a55ab&amp;sid=459&amp;ppid=71131061&amp;vpid=416616193&amp;ct=offers" TargetMode="External"/><Relationship Id="rId11" Type="http://schemas.openxmlformats.org/officeDocument/2006/relationships/hyperlink" Target="https://octopart.com/click/track?c=1&amp;ai=8078&amp;sig=0c96e3a&amp;sid=819&amp;ppid=71131061&amp;vpid=255897132&amp;ct=offers" TargetMode="External"/><Relationship Id="rId12" Type="http://schemas.openxmlformats.org/officeDocument/2006/relationships/hyperlink" Target="https://octopart.com/click/track?ai=8078&amp;sig=07318c2&amp;sid=2401&amp;ppid=71131061&amp;vpid=254908152&amp;ct=offers" TargetMode="External"/><Relationship Id="rId13" Type="http://schemas.openxmlformats.org/officeDocument/2006/relationships/hyperlink" Target="https://octopart.com/click/track?ai=8078&amp;sig=0dc817e&amp;sid=1532&amp;ppid=71131061&amp;vpid=707818925&amp;ct=offers" TargetMode="External"/><Relationship Id="rId14" Type="http://schemas.openxmlformats.org/officeDocument/2006/relationships/hyperlink" Target="https://octopart.com/click/track?c=1&amp;ai=8078&amp;sig=0765aeb&amp;sid=819&amp;ppid=107988026&amp;vpid=614102742&amp;ct=offers" TargetMode="External"/><Relationship Id="rId15" Type="http://schemas.openxmlformats.org/officeDocument/2006/relationships/hyperlink" Target="https://octopart.com/click/track?c=1&amp;ai=8078&amp;sig=039cbe3&amp;sid=2402&amp;ppid=107988026&amp;vpid=614831993&amp;ct=offers" TargetMode="External"/><Relationship Id="rId16" Type="http://schemas.openxmlformats.org/officeDocument/2006/relationships/hyperlink" Target="https://octopart.com/click/track?ai=8078&amp;sig=0fbba96&amp;sid=1106&amp;ppid=11800342&amp;vpid=486424411&amp;ct=offers" TargetMode="External"/><Relationship Id="rId17" Type="http://schemas.openxmlformats.org/officeDocument/2006/relationships/hyperlink" Target="https://octopart.com/click/track?ai=8078&amp;sig=0a14cc5&amp;sid=459&amp;ppid=11800342&amp;vpid=39633665&amp;ct=offers" TargetMode="External"/><Relationship Id="rId18" Type="http://schemas.openxmlformats.org/officeDocument/2006/relationships/hyperlink" Target="https://octopart.com/click/track?ai=8078&amp;sig=020ac18&amp;sid=819&amp;ppid=11800342&amp;vpid=805066692&amp;ct=offers" TargetMode="External"/><Relationship Id="rId19" Type="http://schemas.openxmlformats.org/officeDocument/2006/relationships/hyperlink" Target="https://octopart.com/click/track?ai=8078&amp;sig=0a96174&amp;sid=2401&amp;ppid=11800342&amp;vpid=64183536&amp;ct=offers" TargetMode="External"/><Relationship Id="rId20" Type="http://schemas.openxmlformats.org/officeDocument/2006/relationships/hyperlink" Target="https://octopart.com/click/track?c=1&amp;ai=8078&amp;sig=02fd883&amp;sid=2402&amp;ppid=11800342&amp;vpid=834426637&amp;ct=offers" TargetMode="External"/><Relationship Id="rId21" Type="http://schemas.openxmlformats.org/officeDocument/2006/relationships/hyperlink" Target="https://octopart.com/click/track?ai=8078&amp;sig=0a31d3e&amp;sid=1106&amp;ppid=16252072&amp;vpid=473547859&amp;ct=offers" TargetMode="External"/><Relationship Id="rId22" Type="http://schemas.openxmlformats.org/officeDocument/2006/relationships/hyperlink" Target="https://octopart.com/click/track?ai=8078&amp;sig=0cccf57&amp;sid=459&amp;ppid=16252072&amp;vpid=39633442&amp;ct=offers" TargetMode="External"/><Relationship Id="rId23" Type="http://schemas.openxmlformats.org/officeDocument/2006/relationships/hyperlink" Target="https://octopart.com/click/track?ai=8078&amp;sig=0500f10&amp;sid=819&amp;ppid=16252072&amp;vpid=805066678&amp;ct=offers" TargetMode="External"/><Relationship Id="rId24" Type="http://schemas.openxmlformats.org/officeDocument/2006/relationships/hyperlink" Target="https://octopart.com/click/track?c=1&amp;ai=8078&amp;sig=0f6f162&amp;sid=2402&amp;ppid=16252072&amp;vpid=834426412&amp;ct=offers" TargetMode="External"/><Relationship Id="rId25" Type="http://schemas.openxmlformats.org/officeDocument/2006/relationships/hyperlink" Target="http://www.soselectronic.cz/a_info/resource/d/pc817.pdf" TargetMode="External"/><Relationship Id="rId26" Type="http://schemas.openxmlformats.org/officeDocument/2006/relationships/hyperlink" Target="https://octopart.com/click/track?ai=8078&amp;sig=081d74e&amp;sid=459&amp;ppid=71129009&amp;vpid=252144032&amp;ct=offers" TargetMode="External"/><Relationship Id="rId27" Type="http://schemas.openxmlformats.org/officeDocument/2006/relationships/hyperlink" Target="https://octopart.com/click/track?ai=8078&amp;sig=0b1fae4&amp;sid=819&amp;ppid=71129009&amp;vpid=255897050&amp;ct=offers" TargetMode="External"/><Relationship Id="rId28" Type="http://schemas.openxmlformats.org/officeDocument/2006/relationships/hyperlink" Target="https://octopart.com/click/track?ai=8078&amp;sig=0eec925&amp;sid=27971&amp;ppid=71129009&amp;vpid=787872680&amp;ct=offers" TargetMode="External"/><Relationship Id="rId29" Type="http://schemas.openxmlformats.org/officeDocument/2006/relationships/hyperlink" Target="https://octopart.com/click/track?ai=8078&amp;sig=0376c54&amp;sid=2401&amp;ppid=71129009&amp;vpid=254906859&amp;ct=offers" TargetMode="External"/><Relationship Id="rId30" Type="http://schemas.openxmlformats.org/officeDocument/2006/relationships/hyperlink" Target="https://octopart.com/click/track?ai=8078&amp;sig=041a475&amp;sid=2402&amp;ppid=71129009&amp;vpid=255814576&amp;ct=offers" TargetMode="External"/><Relationship Id="rId31" Type="http://schemas.openxmlformats.org/officeDocument/2006/relationships/hyperlink" Target="https://octopart.com/click/track?ai=8078&amp;sig=0699ba7&amp;sid=10022&amp;ppid=71129009&amp;vpid=262342724&amp;ct=offers" TargetMode="External"/><Relationship Id="rId32" Type="http://schemas.openxmlformats.org/officeDocument/2006/relationships/hyperlink" Target="https://octopart.com/click/track?ai=8078&amp;sig=0091573&amp;sid=1532&amp;ppid=71129009&amp;vpid=707818450&amp;ct=offers" TargetMode="External"/><Relationship Id="rId33" Type="http://schemas.openxmlformats.org/officeDocument/2006/relationships/hyperlink" Target="http://datasheet.octopart.com/DS1002-01-1%2A19V13-Connfly-datasheet-17563723.pdf" TargetMode="External"/><Relationship Id="rId34" Type="http://schemas.openxmlformats.org/officeDocument/2006/relationships/hyperlink" Target="https://octopart.com/click/track?c=1&amp;ai=8078&amp;sig=0c570a7&amp;sid=1532&amp;ppid=30732770&amp;vpid=707830915&amp;ct=offers" TargetMode="External"/><Relationship Id="rId35" Type="http://schemas.openxmlformats.org/officeDocument/2006/relationships/hyperlink" Target="http://datasheet.octopart.com/DS1002-01-1%2A19V13-Connfly-datasheet-17563723.pdf" TargetMode="External"/><Relationship Id="rId36" Type="http://schemas.openxmlformats.org/officeDocument/2006/relationships/hyperlink" Target="https://octopart.com/click/track?c=1&amp;ai=8078&amp;sig=0c570a7&amp;sid=1532&amp;ppid=30732770&amp;vpid=707830915&amp;ct=offers" TargetMode="External"/><Relationship Id="rId37" Type="http://schemas.openxmlformats.org/officeDocument/2006/relationships/hyperlink" Target="https://www.arrow.com/en/bom-tool/" TargetMode="External"/><Relationship Id="rId38" Type="http://schemas.openxmlformats.org/officeDocument/2006/relationships/hyperlink" Target="https://www.digikey.com/ordering/shoppingcart" TargetMode="External"/><Relationship Id="rId39" Type="http://schemas.openxmlformats.org/officeDocument/2006/relationships/hyperlink" Target="https://fr.farnell.com/en-FR/quick-order?isQuickPaste=true" TargetMode="External"/><Relationship Id="rId40" Type="http://schemas.openxmlformats.org/officeDocument/2006/relationships/hyperlink" Target="https://lcsc.com/bom.html" TargetMode="External"/><Relationship Id="rId41" Type="http://schemas.openxmlformats.org/officeDocument/2006/relationships/hyperlink" Target="https://mouser.com/bom/" TargetMode="External"/><Relationship Id="rId42" Type="http://schemas.openxmlformats.org/officeDocument/2006/relationships/hyperlink" Target="https://www.newark.com/quick-order?isQuickPaste=true" TargetMode="External"/><Relationship Id="rId43" Type="http://schemas.openxmlformats.org/officeDocument/2006/relationships/hyperlink" Target="https://uk.rs-online.com/web/mylists/manualQuotes.html?method=showEnquiryCreationPage&amp;mode=new" TargetMode="External"/><Relationship Id="rId44" Type="http://schemas.openxmlformats.org/officeDocument/2006/relationships/hyperlink" Target="https://www.tme.eu/en/Profile/QuickBuy/load.html" TargetMode="External"/><Relationship Id="rId45" Type="http://schemas.openxmlformats.org/officeDocument/2006/relationships/vmlDrawing" Target="../drawings/vmlDrawing1.vml"/><Relationship Id="rId4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4"/>
  <sheetViews>
    <sheetView tabSelected="1" workbookViewId="0">
      <pane xSplit="13" ySplit="6" topLeftCell="N7" activePane="bottomRight" state="frozen"/>
      <selection pane="topRight" activeCell="N1" sqref="N1"/>
      <selection pane="bottomLeft" activeCell="A7" sqref="A7"/>
      <selection pane="bottomRight"/>
    </sheetView>
  </sheetViews>
  <sheetFormatPr defaultRowHeight="15" outlineLevelCol="3"/>
  <cols>
    <col min="1" max="1" width="8.7109375" customWidth="1"/>
    <col min="2" max="2" width="25.7109375" customWidth="1"/>
    <col min="3" max="3" width="10.7109375" customWidth="1"/>
    <col min="4" max="4" width="9.7109375" customWidth="1"/>
    <col min="5" max="5" width="14.7109375" customWidth="1"/>
    <col min="8" max="8" width="33.7109375" customWidth="1" outlineLevel="2"/>
    <col min="9" max="9" width="11.7109375" customWidth="1" outlineLevel="1"/>
    <col min="10" max="10" width="18.7109375" customWidth="1" outlineLevel="1"/>
    <col min="11" max="11" width="9.140625" outlineLevel="1"/>
    <col min="12" max="12" width="22.7109375" customWidth="1"/>
    <col min="13" max="13" width="16.7109375" customWidth="1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33.7109375" customWidth="1" outlineLevel="2"/>
    <col min="21" max="21" width="9.7109375" customWidth="1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  <col min="27" max="27" width="33.7109375" customWidth="1" outlineLevel="2"/>
    <col min="28" max="28" width="9.7109375" customWidth="1" outlineLevel="1"/>
    <col min="29" max="29" width="9.140625" outlineLevel="2"/>
    <col min="30" max="30" width="10.7109375" customWidth="1" outlineLevel="2"/>
    <col min="31" max="31" width="0" hidden="1" customWidth="1" outlineLevel="3" collapsed="1"/>
    <col min="32" max="32" width="16.7109375" customWidth="1"/>
    <col min="33" max="33" width="16.7109375" customWidth="1" outlineLevel="2"/>
    <col min="34" max="34" width="33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16.7109375" customWidth="1" outlineLevel="2"/>
    <col min="41" max="41" width="33.7109375" customWidth="1" outlineLevel="2"/>
    <col min="42" max="42" width="9.7109375" customWidth="1" outlineLevel="1"/>
    <col min="43" max="43" width="9.140625" outlineLevel="2"/>
    <col min="44" max="44" width="10.7109375" customWidth="1" outlineLevel="2"/>
    <col min="45" max="45" width="0" hidden="1" customWidth="1" outlineLevel="3" collapsed="1"/>
    <col min="46" max="46" width="16.7109375" customWidth="1"/>
    <col min="47" max="47" width="16.7109375" customWidth="1" outlineLevel="2"/>
    <col min="48" max="48" width="33.7109375" customWidth="1" outlineLevel="2"/>
    <col min="49" max="49" width="9.7109375" customWidth="1" outlineLevel="1"/>
    <col min="50" max="50" width="9.140625" outlineLevel="2"/>
    <col min="51" max="51" width="10.7109375" customWidth="1" outlineLevel="2"/>
    <col min="52" max="52" width="0" hidden="1" customWidth="1" outlineLevel="3" collapsed="1"/>
    <col min="53" max="53" width="16.7109375" customWidth="1"/>
    <col min="54" max="54" width="16.7109375" customWidth="1" outlineLevel="2"/>
    <col min="55" max="55" width="33.7109375" customWidth="1" outlineLevel="2"/>
    <col min="56" max="56" width="9.7109375" customWidth="1" outlineLevel="1"/>
    <col min="57" max="57" width="9.140625" outlineLevel="2"/>
    <col min="58" max="58" width="10.7109375" customWidth="1" outlineLevel="2"/>
    <col min="59" max="59" width="0" hidden="1" customWidth="1" outlineLevel="3" collapsed="1"/>
    <col min="60" max="60" width="16.7109375" customWidth="1"/>
    <col min="61" max="61" width="16.7109375" customWidth="1" outlineLevel="2"/>
    <col min="62" max="62" width="33.7109375" customWidth="1" outlineLevel="2"/>
    <col min="63" max="63" width="9.7109375" customWidth="1" outlineLevel="1"/>
    <col min="64" max="64" width="9.140625" outlineLevel="2"/>
    <col min="65" max="65" width="10.7109375" customWidth="1" outlineLevel="2"/>
    <col min="66" max="66" width="0" hidden="1" customWidth="1" outlineLevel="3" collapsed="1"/>
    <col min="67" max="67" width="16.7109375" customWidth="1"/>
    <col min="68" max="68" width="16.7109375" customWidth="1" outlineLevel="2"/>
    <col min="69" max="69" width="33.7109375" customWidth="1" outlineLevel="2"/>
  </cols>
  <sheetData>
    <row r="1" spans="1:69">
      <c r="A1" s="2" t="s">
        <v>126</v>
      </c>
      <c r="B1" s="3" t="s">
        <v>127</v>
      </c>
      <c r="L1" s="4" t="s">
        <v>131</v>
      </c>
      <c r="M1" s="4">
        <v>1</v>
      </c>
    </row>
    <row r="2" spans="1:69">
      <c r="A2" s="2" t="s">
        <v>128</v>
      </c>
      <c r="B2" s="3"/>
      <c r="L2" s="2" t="s">
        <v>133</v>
      </c>
      <c r="M2" s="5">
        <f>TotalCost/BoardQty</f>
        <v>1.0189</v>
      </c>
    </row>
    <row r="3" spans="1:69">
      <c r="A3" s="2" t="s">
        <v>129</v>
      </c>
      <c r="B3" s="3" t="s">
        <v>130</v>
      </c>
      <c r="L3" s="2" t="s">
        <v>132</v>
      </c>
      <c r="M3" s="6">
        <f>SUM(M7:M14)</f>
        <v>1.0189</v>
      </c>
      <c r="R3" s="6">
        <f>SUM(R7:R14)</f>
        <v>0.218</v>
      </c>
      <c r="S3" s="7" t="str">
        <f>(COUNTA(R7:R14)&amp;" of "&amp;ROWS(R7:R14)&amp;" parts found")</f>
        <v>3 of 8 parts found</v>
      </c>
      <c r="Y3" s="6">
        <f>SUM(Y7:Y14)</f>
        <v>0.7714</v>
      </c>
      <c r="Z3" s="7" t="str">
        <f>(COUNTA(Y7:Y14)&amp;" of "&amp;ROWS(Y7:Y14)&amp;" parts found")</f>
        <v>5 of 8 parts found</v>
      </c>
      <c r="AF3" s="6">
        <f>SUM(AF7:AF14)</f>
        <v>0</v>
      </c>
      <c r="AG3" s="7" t="str">
        <f>(COUNTA(AF7:AF14)&amp;" of "&amp;ROWS(AF7:AF14)&amp;" parts found")</f>
        <v>6 of 8 parts found</v>
      </c>
      <c r="AM3" s="6">
        <f>SUM(AM7:AM14)</f>
        <v>0.4988</v>
      </c>
      <c r="AN3" s="7" t="str">
        <f>(COUNTA(AM7:AM14)&amp;" of "&amp;ROWS(AM7:AM14)&amp;" parts found")</f>
        <v>2 of 8 parts found</v>
      </c>
      <c r="AT3" s="6">
        <f>SUM(AT7:AT14)</f>
        <v>1.1432</v>
      </c>
      <c r="AU3" s="7" t="str">
        <f>(COUNTA(AT7:AT14)&amp;" of "&amp;ROWS(AT7:AT14)&amp;" parts found")</f>
        <v>4 of 8 parts found</v>
      </c>
      <c r="BA3" s="6">
        <f>SUM(BA7:BA14)</f>
        <v>0.7631</v>
      </c>
      <c r="BB3" s="7" t="str">
        <f>(COUNTA(BA7:BA14)&amp;" of "&amp;ROWS(BA7:BA14)&amp;" parts found")</f>
        <v>5 of 8 parts found</v>
      </c>
      <c r="BH3" s="6">
        <f>SUM(BH7:BH14)</f>
        <v>0</v>
      </c>
      <c r="BI3" s="7" t="str">
        <f>(COUNTA(BH7:BH14)&amp;" of "&amp;ROWS(BH7:BH14)&amp;" parts found")</f>
        <v>2 of 8 parts found</v>
      </c>
      <c r="BO3" s="6">
        <f>SUM(BO7:BO14)</f>
        <v>0</v>
      </c>
      <c r="BP3" s="7" t="str">
        <f>(COUNTA(BO7:BO14)&amp;" of "&amp;ROWS(BO7:BO14)&amp;" parts found")</f>
        <v>5 of 8 parts found</v>
      </c>
    </row>
    <row r="4" spans="1:69">
      <c r="A4" s="2" t="s">
        <v>134</v>
      </c>
      <c r="B4" s="3" t="s">
        <v>135</v>
      </c>
    </row>
    <row r="5" spans="1:69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 t="s">
        <v>50</v>
      </c>
      <c r="O5" s="9"/>
      <c r="P5" s="9"/>
      <c r="Q5" s="9"/>
      <c r="R5" s="9"/>
      <c r="S5" s="9"/>
      <c r="T5" s="9"/>
      <c r="U5" s="10" t="s">
        <v>60</v>
      </c>
      <c r="V5" s="10"/>
      <c r="W5" s="10"/>
      <c r="X5" s="10"/>
      <c r="Y5" s="10"/>
      <c r="Z5" s="10"/>
      <c r="AA5" s="10"/>
      <c r="AB5" s="11" t="s">
        <v>72</v>
      </c>
      <c r="AC5" s="11"/>
      <c r="AD5" s="11"/>
      <c r="AE5" s="11"/>
      <c r="AF5" s="11"/>
      <c r="AG5" s="11"/>
      <c r="AH5" s="11"/>
      <c r="AI5" s="12" t="s">
        <v>85</v>
      </c>
      <c r="AJ5" s="12"/>
      <c r="AK5" s="12"/>
      <c r="AL5" s="12"/>
      <c r="AM5" s="12"/>
      <c r="AN5" s="12"/>
      <c r="AO5" s="12"/>
      <c r="AP5" s="13" t="s">
        <v>90</v>
      </c>
      <c r="AQ5" s="13"/>
      <c r="AR5" s="13"/>
      <c r="AS5" s="13"/>
      <c r="AT5" s="13"/>
      <c r="AU5" s="13"/>
      <c r="AV5" s="13"/>
      <c r="AW5" s="14" t="s">
        <v>99</v>
      </c>
      <c r="AX5" s="14"/>
      <c r="AY5" s="14"/>
      <c r="AZ5" s="14"/>
      <c r="BA5" s="14"/>
      <c r="BB5" s="14"/>
      <c r="BC5" s="14"/>
      <c r="BD5" s="15" t="s">
        <v>110</v>
      </c>
      <c r="BE5" s="15"/>
      <c r="BF5" s="15"/>
      <c r="BG5" s="15"/>
      <c r="BH5" s="15"/>
      <c r="BI5" s="15"/>
      <c r="BJ5" s="15"/>
      <c r="BK5" s="16" t="s">
        <v>115</v>
      </c>
      <c r="BL5" s="16"/>
      <c r="BM5" s="16"/>
      <c r="BN5" s="16"/>
      <c r="BO5" s="16"/>
      <c r="BP5" s="16"/>
      <c r="BQ5" s="16"/>
    </row>
    <row r="6" spans="1:69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7" t="s">
        <v>13</v>
      </c>
      <c r="N6" s="17" t="s">
        <v>51</v>
      </c>
      <c r="O6" s="17" t="s">
        <v>52</v>
      </c>
      <c r="P6" s="17" t="s">
        <v>12</v>
      </c>
      <c r="Q6" s="17" t="s">
        <v>53</v>
      </c>
      <c r="R6" s="17" t="s">
        <v>13</v>
      </c>
      <c r="S6" s="17" t="s">
        <v>54</v>
      </c>
      <c r="T6" s="17" t="s">
        <v>55</v>
      </c>
      <c r="U6" s="17" t="s">
        <v>51</v>
      </c>
      <c r="V6" s="17" t="s">
        <v>52</v>
      </c>
      <c r="W6" s="17" t="s">
        <v>12</v>
      </c>
      <c r="X6" s="17" t="s">
        <v>53</v>
      </c>
      <c r="Y6" s="17" t="s">
        <v>13</v>
      </c>
      <c r="Z6" s="17" t="s">
        <v>54</v>
      </c>
      <c r="AA6" s="17" t="s">
        <v>55</v>
      </c>
      <c r="AB6" s="17" t="s">
        <v>51</v>
      </c>
      <c r="AC6" s="17" t="s">
        <v>52</v>
      </c>
      <c r="AD6" s="17" t="s">
        <v>12</v>
      </c>
      <c r="AE6" s="17" t="s">
        <v>53</v>
      </c>
      <c r="AF6" s="17" t="s">
        <v>13</v>
      </c>
      <c r="AG6" s="17" t="s">
        <v>54</v>
      </c>
      <c r="AH6" s="17" t="s">
        <v>55</v>
      </c>
      <c r="AI6" s="17" t="s">
        <v>51</v>
      </c>
      <c r="AJ6" s="17" t="s">
        <v>52</v>
      </c>
      <c r="AK6" s="17" t="s">
        <v>12</v>
      </c>
      <c r="AL6" s="17" t="s">
        <v>53</v>
      </c>
      <c r="AM6" s="17" t="s">
        <v>13</v>
      </c>
      <c r="AN6" s="17" t="s">
        <v>54</v>
      </c>
      <c r="AO6" s="17" t="s">
        <v>55</v>
      </c>
      <c r="AP6" s="17" t="s">
        <v>51</v>
      </c>
      <c r="AQ6" s="17" t="s">
        <v>52</v>
      </c>
      <c r="AR6" s="17" t="s">
        <v>12</v>
      </c>
      <c r="AS6" s="17" t="s">
        <v>53</v>
      </c>
      <c r="AT6" s="17" t="s">
        <v>13</v>
      </c>
      <c r="AU6" s="17" t="s">
        <v>54</v>
      </c>
      <c r="AV6" s="17" t="s">
        <v>55</v>
      </c>
      <c r="AW6" s="17" t="s">
        <v>51</v>
      </c>
      <c r="AX6" s="17" t="s">
        <v>52</v>
      </c>
      <c r="AY6" s="17" t="s">
        <v>12</v>
      </c>
      <c r="AZ6" s="17" t="s">
        <v>53</v>
      </c>
      <c r="BA6" s="17" t="s">
        <v>13</v>
      </c>
      <c r="BB6" s="17" t="s">
        <v>54</v>
      </c>
      <c r="BC6" s="17" t="s">
        <v>55</v>
      </c>
      <c r="BD6" s="17" t="s">
        <v>51</v>
      </c>
      <c r="BE6" s="17" t="s">
        <v>52</v>
      </c>
      <c r="BF6" s="17" t="s">
        <v>12</v>
      </c>
      <c r="BG6" s="17" t="s">
        <v>53</v>
      </c>
      <c r="BH6" s="17" t="s">
        <v>13</v>
      </c>
      <c r="BI6" s="17" t="s">
        <v>54</v>
      </c>
      <c r="BJ6" s="17" t="s">
        <v>55</v>
      </c>
      <c r="BK6" s="17" t="s">
        <v>51</v>
      </c>
      <c r="BL6" s="17" t="s">
        <v>52</v>
      </c>
      <c r="BM6" s="17" t="s">
        <v>12</v>
      </c>
      <c r="BN6" s="17" t="s">
        <v>53</v>
      </c>
      <c r="BO6" s="17" t="s">
        <v>13</v>
      </c>
      <c r="BP6" s="17" t="s">
        <v>54</v>
      </c>
      <c r="BQ6" s="17" t="s">
        <v>55</v>
      </c>
    </row>
    <row r="7" spans="1:69" ht="60.0" customHeight="1">
      <c r="A7" s="18" t="s">
        <v>14</v>
      </c>
      <c r="B7" s="18" t="s">
        <v>15</v>
      </c>
      <c r="H7" s="18" t="s">
        <v>16</v>
      </c>
      <c r="I7" s="18" t="s">
        <v>17</v>
      </c>
      <c r="J7" s="18" t="s">
        <v>18</v>
      </c>
      <c r="K7" s="18">
        <f>CEILING(BoardQty*1.0,1)</f>
        <v>1</v>
      </c>
      <c r="L7" s="19">
        <f>IF(MIN(P7,W7,AD7,AK7,AR7,AY7,BF7,BM7)&lt;&gt;0,MIN(P7,W7,AD7,AK7,AR7,AY7,BF7,BM7),"")</f>
        <v>0.010223998512872942</v>
      </c>
      <c r="M7" s="20">
        <f>IF(AND(ISNUMBER(K7),ISNUMBER(L7)),K7*L7,"")</f>
        <v>0.0102</v>
      </c>
      <c r="N7" s="18">
        <v>1390000</v>
      </c>
      <c r="O7" s="18"/>
      <c r="P7" s="19">
        <f>IFERROR(IF(OR(O7&gt;=Q7,K7&gt;=Q7),EUR_USD*LOOKUP(IF(O7="",K7,O7),{0,1,10,25,100,250,500,1000,3000,6000,15000,30000,75000},{0.0,0.0959,0.0759,0.075,0.0479,0.0463,0.0297,0.0221,0.0161,0.0145,0.0144,0.012,0.0098}),"MOQ="&amp;Q7),"")</f>
        <v>0.08913467794404684</v>
      </c>
      <c r="Q7" s="18">
        <v>1</v>
      </c>
      <c r="R7" s="20">
        <f>IFERROR(IF(O7="",K7,O7)*P7,"")</f>
        <v>0.0891</v>
      </c>
      <c r="S7" s="18" t="s">
        <v>18</v>
      </c>
      <c r="T7" s="18" t="s">
        <v>56</v>
      </c>
      <c r="U7" s="18">
        <v>886854</v>
      </c>
      <c r="V7" s="18"/>
      <c r="W7" s="19">
        <f>IFERROR(IF(OR(V7&gt;=X7,K7&gt;=X7),EUR_USD*LOOKUP(IF(V7="",K7,V7),{0,1,10,100,500,1000,2000,5000,10000,30000,50000,100000,250000},{0.0,0.1,0.075,0.0409,0.02518,0.01717,0.0146,0.01317,0.01145,0.0103,0.00916,0.00859,0.00761}),"MOQ="&amp;X7),"")</f>
        <v>0.09294544102611767</v>
      </c>
      <c r="X7" s="18">
        <v>1</v>
      </c>
      <c r="Y7" s="20">
        <f>IFERROR(IF(V7="",K7,V7)*W7,"")</f>
        <v>0.0929</v>
      </c>
      <c r="Z7" s="18" t="s">
        <v>61</v>
      </c>
      <c r="AA7" s="18" t="s">
        <v>62</v>
      </c>
      <c r="AB7" s="18">
        <v>800773</v>
      </c>
      <c r="AC7" s="18"/>
      <c r="AD7" s="19" t="str">
        <f>IFERROR(IF(OR(AC7&gt;=AE7,K7&gt;=AE7),EUR_GBP*LOOKUP(IF(AC7="",K7,AC7),{0,1,5,10,100,500,10000,20000},{0.0,0.088,0.088,0.066,0.036,0.023,0.0096,0.0087}),"MOQ="&amp;AE7),"")</f>
        <v/>
      </c>
      <c r="AE7" s="18">
        <v>5</v>
      </c>
      <c r="AF7" s="20" t="str">
        <f>IFERROR(IF(AC7="",K7,AC7)*AD7,"")</f>
        <v/>
      </c>
      <c r="AG7" s="18" t="s">
        <v>73</v>
      </c>
      <c r="AH7" s="18" t="s">
        <v>74</v>
      </c>
      <c r="AI7" s="18">
        <v>10900</v>
      </c>
      <c r="AJ7" s="18"/>
      <c r="AK7" s="19" t="str">
        <f>IFERROR(IF(OR(AJ7&gt;=AL7,K7&gt;=AL7),LOOKUP(IF(AJ7="",K7,AJ7),{0,1,50,500,1500,10000,20000,50000},{0.0,0.0146,0.0146,0.0117,0.0101,0.0087,0.0079,0.0075}),"MOQ="&amp;AL7),"")</f>
        <v/>
      </c>
      <c r="AL7" s="18">
        <v>50</v>
      </c>
      <c r="AM7" s="20" t="str">
        <f>IFERROR(IF(AJ7="",K7,AJ7)*AK7,"")</f>
        <v/>
      </c>
      <c r="AN7" s="18" t="s">
        <v>86</v>
      </c>
      <c r="AO7" s="18" t="s">
        <v>87</v>
      </c>
      <c r="AP7" s="18">
        <v>2364823</v>
      </c>
      <c r="AQ7" s="18"/>
      <c r="AR7" s="19">
        <f>IFERROR(IF(OR(AQ7&gt;=AS7,K7&gt;=AS7),EUR_USD*LOOKUP(IF(AQ7="",K7,AQ7),{0,1,10,50,100,1000,10000},{0.0,0.1,0.075,0.075,0.041,0.015,0.011}),"MOQ="&amp;AS7),"")</f>
        <v>0.09294544102611767</v>
      </c>
      <c r="AS7" s="18">
        <v>1</v>
      </c>
      <c r="AT7" s="20">
        <f>IFERROR(IF(AQ7="",K7,AQ7)*AR7,"")</f>
        <v>0.0929</v>
      </c>
      <c r="AU7" s="18" t="s">
        <v>91</v>
      </c>
      <c r="AV7" s="18" t="s">
        <v>92</v>
      </c>
      <c r="AW7" s="18">
        <v>656603</v>
      </c>
      <c r="AX7" s="18"/>
      <c r="AY7" s="19">
        <f>IFERROR(IF(OR(AX7&gt;=AZ7,K7&gt;=AZ7),EUR_USD*LOOKUP(IF(AX7="",K7,AX7),{0,1,5,50,100,250,500,1000,2500,10000,20000,40000},{0.0,0.011,0.1,0.075,0.041,0.034,0.026,0.015,0.014,0.011,0.01,0.01}),"MOQ="&amp;AZ7),"")</f>
        <v>0.010223998512872942</v>
      </c>
      <c r="AZ7" s="18">
        <v>1</v>
      </c>
      <c r="BA7" s="20">
        <f>IFERROR(IF(AX7="",K7,AX7)*AY7,"")</f>
        <v>0.0102</v>
      </c>
      <c r="BB7" s="18" t="s">
        <v>100</v>
      </c>
      <c r="BC7" s="18" t="s">
        <v>101</v>
      </c>
      <c r="BD7" s="18">
        <v>51320</v>
      </c>
      <c r="BE7" s="18"/>
      <c r="BF7" s="19" t="str">
        <f>IFERROR(IF(OR(BE7&gt;=BG7,K7&gt;=BG7),EUR_GBP*LOOKUP(IF(BE7="",K7,BE7),{0,1,20,100,5000,10000,30000},{0.0,0.071,0.071,0.014,0.01,0.008,0.009}),"MOQ="&amp;BG7),"")</f>
        <v/>
      </c>
      <c r="BG7" s="18">
        <v>20</v>
      </c>
      <c r="BH7" s="20" t="str">
        <f>IFERROR(IF(BE7="",K7,BE7)*BF7,"")</f>
        <v/>
      </c>
      <c r="BI7" s="18" t="s">
        <v>111</v>
      </c>
      <c r="BJ7" s="18" t="s">
        <v>112</v>
      </c>
      <c r="BK7" s="18">
        <v>7065</v>
      </c>
      <c r="BL7" s="18"/>
      <c r="BM7" s="19" t="str">
        <f>IFERROR(IF(OR(BL7&gt;=BN7,K7&gt;=BN7),EUR_GBP*LOOKUP(IF(BL7="",K7,BL7),{0,1,25,100,500,2500,10000},{0.0,0.0284,0.0284,0.0117,0.0103,0.0088,0.008}),"MOQ="&amp;BN7),"")</f>
        <v/>
      </c>
      <c r="BN7" s="18">
        <v>25</v>
      </c>
      <c r="BO7" s="20" t="str">
        <f>IFERROR(IF(BL7="",K7,BL7)*BM7,"")</f>
        <v/>
      </c>
      <c r="BP7" s="18" t="s">
        <v>18</v>
      </c>
      <c r="BQ7" s="18" t="s">
        <v>116</v>
      </c>
    </row>
    <row r="8" spans="1:69" ht="60.0" customHeight="1">
      <c r="A8" s="18" t="s">
        <v>19</v>
      </c>
      <c r="B8" s="18" t="s">
        <v>20</v>
      </c>
      <c r="H8" s="18" t="s">
        <v>21</v>
      </c>
      <c r="I8" s="18" t="s">
        <v>22</v>
      </c>
      <c r="J8" s="18" t="s">
        <v>23</v>
      </c>
      <c r="K8" s="18">
        <f>CEILING(BoardQty*1.0,1)</f>
        <v>1</v>
      </c>
      <c r="L8" s="19">
        <f>IF(MIN(P8,W8,AD8,AK8,AR8,AY8,BF8,BM8)&lt;&gt;0,MIN(P8,W8,AD8,AK8,AR8,AY8,BF8,BM8),"")</f>
        <v>0.3810763082070824</v>
      </c>
      <c r="M8" s="20">
        <f>IF(AND(ISNUMBER(K8),ISNUMBER(L8)),K8*L8,"")</f>
        <v>0.3811</v>
      </c>
      <c r="U8" s="21" t="s">
        <v>65</v>
      </c>
      <c r="V8" s="18"/>
      <c r="W8" s="19" t="str">
        <f>IFERROR(IF(OR(V8&gt;=X8,K8&gt;=X8),EUR_USD*LOOKUP(IF(V8="",K8,V8),{0,1,58000},{0.0,0.07052,0.07052}),"MOQ="&amp;X8),"")</f>
        <v/>
      </c>
      <c r="X8" s="18">
        <v>58000</v>
      </c>
      <c r="Y8" s="20" t="str">
        <f>IFERROR(IF(V8="",K8,V8)*W8,"")</f>
        <v/>
      </c>
      <c r="Z8" s="18" t="s">
        <v>63</v>
      </c>
      <c r="AA8" s="18" t="s">
        <v>64</v>
      </c>
      <c r="AB8" s="21" t="s">
        <v>65</v>
      </c>
      <c r="AC8" s="18"/>
      <c r="AD8" s="19" t="str">
        <f>IFERROR(IF(OR(AC8&gt;=AE8,K8&gt;=AE8),EUR_GBP*LOOKUP(IF(AC8="",K8,AC8),{0,1,5,25,100,250,500,1000},{0.0,0.282,0.282,0.27,0.116,0.111,0.0973,0.0652}),"MOQ="&amp;AE8),"")</f>
        <v/>
      </c>
      <c r="AE8" s="18">
        <v>5</v>
      </c>
      <c r="AF8" s="20" t="str">
        <f>IFERROR(IF(AC8="",K8,AC8)*AD8,"")</f>
        <v/>
      </c>
      <c r="AG8" s="18" t="s">
        <v>75</v>
      </c>
      <c r="AH8" s="18" t="s">
        <v>76</v>
      </c>
      <c r="AP8" s="18">
        <v>260</v>
      </c>
      <c r="AQ8" s="18"/>
      <c r="AR8" s="19">
        <f>IFERROR(IF(OR(AQ8&gt;=AS8,K8&gt;=AS8),EUR_USD*LOOKUP(IF(AQ8="",K8,AQ8),{0,1,10,50,100,1000,10000},{0.0,0.41,0.276,0.276,0.184,0.107,0.082}),"MOQ="&amp;AS8),"")</f>
        <v>0.3810763082070824</v>
      </c>
      <c r="AS8" s="18">
        <v>1</v>
      </c>
      <c r="AT8" s="20">
        <f>IFERROR(IF(AQ8="",K8,AQ8)*AR8,"")</f>
        <v>0.3811</v>
      </c>
      <c r="AU8" s="18" t="s">
        <v>93</v>
      </c>
      <c r="AV8" s="18" t="s">
        <v>94</v>
      </c>
      <c r="BK8" s="18">
        <v>6</v>
      </c>
      <c r="BL8" s="18"/>
      <c r="BM8" s="19" t="str">
        <f>IFERROR(IF(OR(BL8&gt;=BN8,K8&gt;=BN8),EUR_GBP*LOOKUP(IF(BL8="",K8,BL8),{0,1,2,10,50,250,1000},{0.0,0.29,0.29,0.207,0.1192,0.08075,0.06951}),"MOQ="&amp;BN8),"")</f>
        <v/>
      </c>
      <c r="BN8" s="18">
        <v>2</v>
      </c>
      <c r="BO8" s="20" t="str">
        <f>IFERROR(IF(BL8="",K8,BL8)*BM8,"")</f>
        <v/>
      </c>
      <c r="BP8" s="18" t="s">
        <v>23</v>
      </c>
      <c r="BQ8" s="18" t="s">
        <v>117</v>
      </c>
    </row>
    <row r="9" spans="1:69" ht="60.0" customHeight="1">
      <c r="A9" s="18" t="s">
        <v>24</v>
      </c>
      <c r="B9" s="18" t="s">
        <v>25</v>
      </c>
      <c r="D9" s="18" t="s">
        <v>26</v>
      </c>
      <c r="E9" s="18" t="s">
        <v>27</v>
      </c>
      <c r="H9" s="18" t="s">
        <v>28</v>
      </c>
      <c r="I9" s="18" t="s">
        <v>29</v>
      </c>
      <c r="J9" s="18" t="s">
        <v>30</v>
      </c>
      <c r="K9" s="18">
        <f>CEILING(BoardQty*1.0,1)</f>
        <v>1</v>
      </c>
      <c r="L9" s="19" t="str">
        <f>IF(MIN(P9,W9,AD9,AK9,AR9,AY9,BF9,BM9)&lt;&gt;0,MIN(P9,W9,AD9,AK9,AR9,AY9,BF9,BM9),"")</f>
        <v/>
      </c>
      <c r="M9" s="20" t="str">
        <f>IF(AND(ISNUMBER(K9),ISNUMBER(L9)),K9*L9,"")</f>
        <v/>
      </c>
      <c r="AB9" s="21" t="s">
        <v>65</v>
      </c>
      <c r="AC9" s="18"/>
      <c r="AD9" s="19" t="str">
        <f>IFERROR(IF(OR(AC9&gt;=AE9,K9&gt;=AE9),EUR_GBP*LOOKUP(IF(AC9="",K9,AC9),{0,1,10,100,500,1000,2500,5000},{0.0,0.442,0.442,0.316,0.26,0.221,0.196,0.177}),"MOQ="&amp;AE9),"")</f>
        <v/>
      </c>
      <c r="AE9" s="18">
        <v>10</v>
      </c>
      <c r="AF9" s="20" t="str">
        <f>IFERROR(IF(AC9="",K9,AC9)*AD9,"")</f>
        <v/>
      </c>
      <c r="AG9" s="18" t="s">
        <v>77</v>
      </c>
      <c r="AH9" s="18" t="s">
        <v>78</v>
      </c>
      <c r="AW9" s="21" t="s">
        <v>65</v>
      </c>
      <c r="AX9" s="18"/>
      <c r="AY9" s="19" t="str">
        <f>IFERROR(IF(OR(AX9&gt;=AZ9,K9&gt;=AZ9),EUR_USD*LOOKUP(IF(AX9="",K9,AX9),{0,1,10,25,50,100,250},{0.0,0.562,0.562,0.533,0.506,0.479,0.45}),"MOQ="&amp;AZ9),"")</f>
        <v/>
      </c>
      <c r="AZ9" s="18">
        <v>10</v>
      </c>
      <c r="BA9" s="20" t="str">
        <f>IFERROR(IF(AX9="",K9,AX9)*AY9,"")</f>
        <v/>
      </c>
      <c r="BB9" s="18" t="s">
        <v>102</v>
      </c>
      <c r="BC9" s="18" t="s">
        <v>103</v>
      </c>
    </row>
    <row r="10" spans="1:69" ht="60.0" customHeight="1">
      <c r="A10" s="18" t="s">
        <v>31</v>
      </c>
      <c r="B10" s="18" t="s">
        <v>32</v>
      </c>
      <c r="H10" s="18" t="s">
        <v>33</v>
      </c>
      <c r="I10" s="18" t="s">
        <v>34</v>
      </c>
      <c r="J10" s="18" t="s">
        <v>35</v>
      </c>
      <c r="K10" s="18">
        <f>CEILING(BoardQty*1.0,1)</f>
        <v>1</v>
      </c>
      <c r="L10" s="19">
        <f>IF(MIN(P10,W10,AD10,AK10,AR10,AY10,BF10,BM10)&lt;&gt;0,MIN(P10,W10,AD10,AK10,AR10,AY10,BF10,BM10),"")</f>
        <v>0.07863184310809554</v>
      </c>
      <c r="M10" s="20">
        <f>IF(AND(ISNUMBER(K10),ISNUMBER(L10)),K10*L10,"")</f>
        <v>0.0786</v>
      </c>
      <c r="N10" s="18">
        <v>40000</v>
      </c>
      <c r="O10" s="18"/>
      <c r="P10" s="19">
        <f>IFERROR(IF(OR(O10&gt;=Q10,K10&gt;=Q10),EUR_USD*LOOKUP(IF(O10="",K10,O10),{0,1,10,25,100,250,500,1000,3000},{0.0,0.0846,0.0721,0.0429,0.0244,0.0198,0.015,0.0131,0.0074}),"MOQ="&amp;Q10),"")</f>
        <v>0.07863184310809554</v>
      </c>
      <c r="Q10" s="18">
        <v>1</v>
      </c>
      <c r="R10" s="20">
        <f>IFERROR(IF(O10="",K10,O10)*P10,"")</f>
        <v>0.0786</v>
      </c>
      <c r="S10" s="18" t="s">
        <v>35</v>
      </c>
      <c r="T10" s="18" t="s">
        <v>57</v>
      </c>
      <c r="U10" s="18">
        <v>120000</v>
      </c>
      <c r="V10" s="18"/>
      <c r="W10" s="19" t="str">
        <f>IFERROR(IF(OR(V10&gt;=X10,K10&gt;=X10),EUR_USD*LOOKUP(IF(V10="",K10,V10),{0,1,5000,10000,25000,50000,125000},{0.0,0.00884,0.00884,0.00793,0.00728,0.00684,0.00668}),"MOQ="&amp;X10),"")</f>
        <v/>
      </c>
      <c r="X10" s="18">
        <v>5000</v>
      </c>
      <c r="Y10" s="20" t="str">
        <f>IFERROR(IF(V10="",K10,V10)*W10,"")</f>
        <v/>
      </c>
      <c r="Z10" s="18" t="s">
        <v>66</v>
      </c>
      <c r="AA10" s="18" t="s">
        <v>67</v>
      </c>
      <c r="AB10" s="18">
        <v>21530</v>
      </c>
      <c r="AC10" s="18"/>
      <c r="AD10" s="19" t="str">
        <f>IFERROR(IF(OR(AC10&gt;=AE10,K10&gt;=AE10),EUR_GBP*LOOKUP(IF(AC10="",K10,AC10),{0,1,10,100,500,1000,2500,5000,25000,50000},{0.0,0.041,0.041,0.018,0.014,0.011,0.008,0.007,0.0069,0.0067}),"MOQ="&amp;AE10),"")</f>
        <v/>
      </c>
      <c r="AE10" s="18">
        <v>10</v>
      </c>
      <c r="AF10" s="20" t="str">
        <f>IFERROR(IF(AC10="",K10,AC10)*AD10,"")</f>
        <v/>
      </c>
      <c r="AG10" s="18" t="s">
        <v>79</v>
      </c>
      <c r="AH10" s="18" t="s">
        <v>80</v>
      </c>
      <c r="AP10" s="18">
        <v>25255</v>
      </c>
      <c r="AQ10" s="18"/>
      <c r="AR10" s="19">
        <f>IFERROR(IF(OR(AQ10&gt;=AS10,K10&gt;=AS10),EUR_USD*LOOKUP(IF(AQ10="",K10,AQ10),{0,1,10,50,100,1000,10000},{0.0,0.1,0.067,0.047,0.026,0.012,0.008}),"MOQ="&amp;AS10),"")</f>
        <v>0.09294544102611767</v>
      </c>
      <c r="AS10" s="18">
        <v>1</v>
      </c>
      <c r="AT10" s="20">
        <f>IFERROR(IF(AQ10="",K10,AQ10)*AR10,"")</f>
        <v>0.0929</v>
      </c>
      <c r="AU10" s="18" t="s">
        <v>95</v>
      </c>
      <c r="AV10" s="18" t="s">
        <v>96</v>
      </c>
      <c r="AW10" s="18">
        <v>21530</v>
      </c>
      <c r="AX10" s="18"/>
      <c r="AY10" s="19">
        <f>IFERROR(IF(OR(AX10&gt;=AZ10,K10&gt;=AZ10),EUR_USD*LOOKUP(IF(AX10="",K10,AX10),{0,1,10,25,50,100,250,500},{0.0,0.1,0.104,0.047,0.037,0.026,0.021,0.016}),"MOQ="&amp;AZ10),"")</f>
        <v>0.09294544102611767</v>
      </c>
      <c r="AZ10" s="18">
        <v>1</v>
      </c>
      <c r="BA10" s="20">
        <f>IFERROR(IF(AX10="",K10,AX10)*AY10,"")</f>
        <v>0.0929</v>
      </c>
      <c r="BB10" s="18" t="s">
        <v>104</v>
      </c>
      <c r="BC10" s="18" t="s">
        <v>105</v>
      </c>
    </row>
    <row r="11" spans="1:69" ht="60.0" customHeight="1">
      <c r="A11" s="18" t="s">
        <v>36</v>
      </c>
      <c r="B11" s="18" t="s">
        <v>37</v>
      </c>
      <c r="H11" s="18" t="s">
        <v>33</v>
      </c>
      <c r="I11" s="18" t="s">
        <v>34</v>
      </c>
      <c r="J11" s="18" t="s">
        <v>38</v>
      </c>
      <c r="K11" s="18">
        <f>CEILING(BoardQty*1.0,1)</f>
        <v>1</v>
      </c>
      <c r="L11" s="19">
        <f>IF(MIN(P11,W11,AD11,AK11,AR11,AY11,BF11,BM11)&lt;&gt;0,MIN(P11,W11,AD11,AK11,AR11,AY11,BF11,BM11),"")</f>
        <v>0.050190538154103535</v>
      </c>
      <c r="M11" s="20">
        <f>IF(AND(ISNUMBER(K11),ISNUMBER(L11)),K11*L11,"")</f>
        <v>0.0502</v>
      </c>
      <c r="N11" s="18">
        <v>70045</v>
      </c>
      <c r="O11" s="18"/>
      <c r="P11" s="19">
        <f>IFERROR(IF(OR(O11&gt;=Q11,K11&gt;=Q11),EUR_USD*LOOKUP(IF(O11="",K11,O11),{0,1,10,25,50,100,250,500,1000,5000},{0.0,0.054,0.038,0.0275,0.0223,0.0112,0.0109,0.0108,0.0103,0.0078}),"MOQ="&amp;Q11),"")</f>
        <v>0.050190538154103535</v>
      </c>
      <c r="Q11" s="18">
        <v>1</v>
      </c>
      <c r="R11" s="20">
        <f>IFERROR(IF(O11="",K11,O11)*P11,"")</f>
        <v>0.0502</v>
      </c>
      <c r="S11" s="18" t="s">
        <v>38</v>
      </c>
      <c r="T11" s="18" t="s">
        <v>58</v>
      </c>
      <c r="U11" s="18">
        <v>214163</v>
      </c>
      <c r="V11" s="18"/>
      <c r="W11" s="19">
        <f>IFERROR(IF(OR(V11&gt;=X11,K11&gt;=X11),EUR_USD*LOOKUP(IF(V11="",K11,V11),{0,1,10,25,50,100,250,500,1000,5000},{0.0,0.1,0.068,0.0468,0.0364,0.026,0.02028,0.01612,0.01144,0.00884}),"MOQ="&amp;X11),"")</f>
        <v>0.09294544102611767</v>
      </c>
      <c r="X11" s="18">
        <v>1</v>
      </c>
      <c r="Y11" s="20">
        <f>IFERROR(IF(V11="",K11,V11)*W11,"")</f>
        <v>0.0929</v>
      </c>
      <c r="Z11" s="18" t="s">
        <v>68</v>
      </c>
      <c r="AA11" s="18" t="s">
        <v>69</v>
      </c>
      <c r="AB11" s="18">
        <v>48980</v>
      </c>
      <c r="AC11" s="18"/>
      <c r="AD11" s="19" t="str">
        <f>IFERROR(IF(OR(AC11&gt;=AE11,K11&gt;=AE11),EUR_GBP*LOOKUP(IF(AC11="",K11,AC11),{0,1,10,100,500,2500,5000,10000,50000,100000},{0.0,0.0313,0.0313,0.0162,0.0134,0.0097,0.0083,0.0073,0.0071,0.007}),"MOQ="&amp;AE11),"")</f>
        <v/>
      </c>
      <c r="AE11" s="18">
        <v>10</v>
      </c>
      <c r="AF11" s="20" t="str">
        <f>IFERROR(IF(AC11="",K11,AC11)*AD11,"")</f>
        <v/>
      </c>
      <c r="AG11" s="18" t="s">
        <v>81</v>
      </c>
      <c r="AH11" s="18" t="s">
        <v>82</v>
      </c>
      <c r="AW11" s="18">
        <v>48870</v>
      </c>
      <c r="AX11" s="18"/>
      <c r="AY11" s="19">
        <f>IFERROR(IF(OR(AX11&gt;=AZ11,K11&gt;=AZ11),EUR_USD*LOOKUP(IF(AX11="",K11,AX11),{0,1,10,25,50,100,250,500,1000},{0.0,0.1,0.09,0.046,0.053,0.026,0.02,0.016,0.011}),"MOQ="&amp;AZ11),"")</f>
        <v>0.09294544102611767</v>
      </c>
      <c r="AZ11" s="18">
        <v>1</v>
      </c>
      <c r="BA11" s="20">
        <f>IFERROR(IF(AX11="",K11,AX11)*AY11,"")</f>
        <v>0.0929</v>
      </c>
      <c r="BB11" s="18" t="s">
        <v>106</v>
      </c>
      <c r="BC11" s="18" t="s">
        <v>107</v>
      </c>
    </row>
    <row r="12" spans="1:69" ht="60.0" customHeight="1">
      <c r="A12" s="18" t="s">
        <v>39</v>
      </c>
      <c r="B12" s="18" t="s">
        <v>40</v>
      </c>
      <c r="H12" s="18" t="s">
        <v>41</v>
      </c>
      <c r="I12" s="18" t="s">
        <v>22</v>
      </c>
      <c r="J12" s="18" t="s">
        <v>42</v>
      </c>
      <c r="K12" s="18">
        <f>CEILING(BoardQty*1.0,1)</f>
        <v>1</v>
      </c>
      <c r="L12" s="19">
        <f>IF(MIN(P12,W12,AD12,AK12,AR12,AY12,BF12,BM12)&lt;&gt;0,MIN(P12,W12,AD12,AK12,AR12,AY12,BF12,BM12),"")</f>
        <v>0.4988</v>
      </c>
      <c r="M12" s="20">
        <f>IF(AND(ISNUMBER(K12),ISNUMBER(L12)),K12*L12,"")</f>
        <v>0.4988</v>
      </c>
      <c r="U12" s="18">
        <v>93033</v>
      </c>
      <c r="V12" s="18"/>
      <c r="W12" s="19">
        <f>IFERROR(IF(OR(V12&gt;=X12,K12&gt;=X12),EUR_USD*LOOKUP(IF(V12="",K12,V12),{0,1,10,100,1000,2000,5000,10000,25000},{0.0,0.63,0.386,0.2217,0.17353,0.15908,0.14461,0.13497,0.13015}),"MOQ="&amp;X12),"")</f>
        <v>0.5855562784645413</v>
      </c>
      <c r="X12" s="18">
        <v>1</v>
      </c>
      <c r="Y12" s="20">
        <f>IFERROR(IF(V12="",K12,V12)*W12,"")</f>
        <v>0.5856</v>
      </c>
      <c r="Z12" s="18" t="s">
        <v>70</v>
      </c>
      <c r="AA12" s="18" t="s">
        <v>71</v>
      </c>
      <c r="AB12" s="18">
        <v>154239</v>
      </c>
      <c r="AC12" s="18"/>
      <c r="AD12" s="19" t="str">
        <f>IFERROR(IF(OR(AC12&gt;=AE12,K12&gt;=AE12),EUR_GBP*LOOKUP(IF(AC12="",K12,AC12),{0,1,5,10,100,500},{0.0,0.537,0.537,0.334,0.18,0.172}),"MOQ="&amp;AE12),"")</f>
        <v/>
      </c>
      <c r="AE12" s="18">
        <v>5</v>
      </c>
      <c r="AF12" s="20" t="str">
        <f>IFERROR(IF(AC12="",K12,AC12)*AD12,"")</f>
        <v/>
      </c>
      <c r="AG12" s="18" t="s">
        <v>83</v>
      </c>
      <c r="AH12" s="18" t="s">
        <v>84</v>
      </c>
      <c r="AI12" s="18">
        <v>578</v>
      </c>
      <c r="AJ12" s="18"/>
      <c r="AK12" s="19">
        <f>IFERROR(IF(OR(AJ12&gt;=AL12,K12&gt;=AL12),LOOKUP(IF(AJ12="",K12,AJ12),{0,1,10,30,100,500,1200},{0.0,0.4988,0.4157,0.3726,0.331,0.2687,0.2554}),"MOQ="&amp;AL12),"")</f>
        <v>0.4988</v>
      </c>
      <c r="AL12" s="18">
        <v>1</v>
      </c>
      <c r="AM12" s="20">
        <f>IFERROR(IF(AJ12="",K12,AJ12)*AK12,"")</f>
        <v>0.4988</v>
      </c>
      <c r="AN12" s="18" t="s">
        <v>88</v>
      </c>
      <c r="AO12" s="18" t="s">
        <v>89</v>
      </c>
      <c r="AP12" s="18">
        <v>18798</v>
      </c>
      <c r="AQ12" s="18"/>
      <c r="AR12" s="19">
        <f>IFERROR(IF(OR(AQ12&gt;=AS12,K12&gt;=AS12),EUR_USD*LOOKUP(IF(AQ12="",K12,AQ12),{0,1,10,50,100,1000,10000},{0.0,0.62,0.386,0.386,0.221,0.173,0.134}),"MOQ="&amp;AS12),"")</f>
        <v>0.5762617343619295</v>
      </c>
      <c r="AS12" s="18">
        <v>1</v>
      </c>
      <c r="AT12" s="20">
        <f>IFERROR(IF(AQ12="",K12,AQ12)*AR12,"")</f>
        <v>0.5763</v>
      </c>
      <c r="AU12" s="18" t="s">
        <v>97</v>
      </c>
      <c r="AV12" s="18" t="s">
        <v>98</v>
      </c>
      <c r="AW12" s="18">
        <v>155044</v>
      </c>
      <c r="AX12" s="18"/>
      <c r="AY12" s="19">
        <f>IFERROR(IF(OR(AX12&gt;=AZ12,K12&gt;=AZ12),EUR_USD*LOOKUP(IF(AX12="",K12,AX12),{0,1,10,100,500,1000,2500,10000,25000},{0.0,0.61,0.379,0.204,0.196,0.156,0.144,0.132,0.127}),"MOQ="&amp;AZ12),"")</f>
        <v>0.5669671902593177</v>
      </c>
      <c r="AZ12" s="18">
        <v>1</v>
      </c>
      <c r="BA12" s="20">
        <f>IFERROR(IF(AX12="",K12,AX12)*AY12,"")</f>
        <v>0.567</v>
      </c>
      <c r="BB12" s="18" t="s">
        <v>108</v>
      </c>
      <c r="BC12" s="18" t="s">
        <v>109</v>
      </c>
      <c r="BD12" s="18">
        <v>13010</v>
      </c>
      <c r="BE12" s="18"/>
      <c r="BF12" s="19" t="str">
        <f>IFERROR(IF(OR(BE12&gt;=BG12,K12&gt;=BG12),EUR_GBP*LOOKUP(IF(BE12="",K12,BE12),{0,1,10,20,40,70,100},{0.0,0.348,0.348,0.308,0.29,0.273,0.188}),"MOQ="&amp;BG12),"")</f>
        <v/>
      </c>
      <c r="BG12" s="18">
        <v>10</v>
      </c>
      <c r="BH12" s="20" t="str">
        <f>IFERROR(IF(BE12="",K12,BE12)*BF12,"")</f>
        <v/>
      </c>
      <c r="BI12" s="18" t="s">
        <v>113</v>
      </c>
      <c r="BJ12" s="18" t="s">
        <v>114</v>
      </c>
      <c r="BK12" s="18">
        <v>1013</v>
      </c>
      <c r="BL12" s="18"/>
      <c r="BM12" s="19" t="str">
        <f>IFERROR(IF(OR(BL12&gt;=BN12,K12&gt;=BN12),EUR_GBP*LOOKUP(IF(BL12="",K12,BL12),{0,1,2,10,50,250,1000},{0.0,0.415,0.415,0.277,0.225,0.193,0.18}),"MOQ="&amp;BN12),"")</f>
        <v/>
      </c>
      <c r="BN12" s="18">
        <v>2</v>
      </c>
      <c r="BO12" s="20" t="str">
        <f>IFERROR(IF(BL12="",K12,BL12)*BM12,"")</f>
        <v/>
      </c>
      <c r="BP12" s="18" t="s">
        <v>42</v>
      </c>
      <c r="BQ12" s="18" t="s">
        <v>118</v>
      </c>
    </row>
    <row r="13" spans="1:69" ht="60.0" customHeight="1">
      <c r="A13" s="18" t="s">
        <v>43</v>
      </c>
      <c r="B13" s="18" t="s">
        <v>44</v>
      </c>
      <c r="H13" s="18" t="s">
        <v>45</v>
      </c>
      <c r="I13" s="18" t="s">
        <v>46</v>
      </c>
      <c r="J13" s="18" t="s">
        <v>47</v>
      </c>
      <c r="K13" s="18">
        <f>CEILING(BoardQty*1.0,1)</f>
        <v>1</v>
      </c>
      <c r="L13" s="19" t="str">
        <f>IF(MIN(P13,W13,AD13,AK13,AR13,AY13,BF13,BM13)&lt;&gt;0,MIN(P13,W13,AD13,AK13,AR13,AY13,BF13,BM13),"")</f>
        <v/>
      </c>
      <c r="M13" s="20" t="str">
        <f>IF(AND(ISNUMBER(K13),ISNUMBER(L13)),K13*L13,"")</f>
        <v/>
      </c>
      <c r="BK13" s="21" t="s">
        <v>65</v>
      </c>
      <c r="BL13" s="18"/>
      <c r="BM13" s="19" t="str">
        <f>IFERROR(IF(OR(BL13&gt;=BN13,K13&gt;=BN13),EUR_GBP*LOOKUP(IF(BL13="",K13,BL13),{0,1,500},{0.0,0.32,0.32}),"MOQ="&amp;BN13),"")</f>
        <v/>
      </c>
      <c r="BN13" s="18">
        <v>500</v>
      </c>
      <c r="BO13" s="20" t="str">
        <f>IFERROR(IF(BL13="",K13,BL13)*BM13,"")</f>
        <v/>
      </c>
      <c r="BP13" s="18" t="s">
        <v>119</v>
      </c>
      <c r="BQ13" s="18" t="s">
        <v>120</v>
      </c>
    </row>
    <row r="14" spans="1:69" ht="60.0" customHeight="1">
      <c r="A14" s="18" t="s">
        <v>48</v>
      </c>
      <c r="B14" s="18" t="s">
        <v>49</v>
      </c>
      <c r="H14" s="18" t="s">
        <v>45</v>
      </c>
      <c r="I14" s="18" t="s">
        <v>46</v>
      </c>
      <c r="J14" s="18" t="s">
        <v>47</v>
      </c>
      <c r="K14" s="18">
        <f>CEILING(BoardQty*1.0,1)</f>
        <v>1</v>
      </c>
      <c r="L14" s="19" t="str">
        <f>IF(MIN(P14,W14,AD14,AK14,AR14,AY14,BF14,BM14)&lt;&gt;0,MIN(P14,W14,AD14,AK14,AR14,AY14,BF14,BM14),"")</f>
        <v/>
      </c>
      <c r="M14" s="20" t="str">
        <f>IF(AND(ISNUMBER(K14),ISNUMBER(L14)),K14*L14,"")</f>
        <v/>
      </c>
      <c r="BK14" s="21" t="s">
        <v>65</v>
      </c>
      <c r="BL14" s="18"/>
      <c r="BM14" s="19" t="str">
        <f>IFERROR(IF(OR(BL14&gt;=BN14,K14&gt;=BN14),EUR_GBP*LOOKUP(IF(BL14="",K14,BL14),{0,1,500},{0.0,0.32,0.32}),"MOQ="&amp;BN14),"")</f>
        <v/>
      </c>
      <c r="BN14" s="18">
        <v>500</v>
      </c>
      <c r="BO14" s="20" t="str">
        <f>IFERROR(IF(BL14="",K14,BL14)*BM14,"")</f>
        <v/>
      </c>
      <c r="BP14" s="18" t="s">
        <v>119</v>
      </c>
      <c r="BQ14" s="18" t="s">
        <v>120</v>
      </c>
    </row>
    <row r="16" spans="1:69">
      <c r="B16" s="22" t="s">
        <v>123</v>
      </c>
      <c r="L16" s="2" t="s">
        <v>121</v>
      </c>
      <c r="M16" s="6">
        <f>SUM(R16,Y16,AF16,AM16,AT16,BA16,BH16,BO16)</f>
        <v>0</v>
      </c>
      <c r="N16" s="23" t="s">
        <v>59</v>
      </c>
      <c r="O16" s="7" t="str">
        <f>IFERROR(IF(COUNTIF(O7:O14,"&gt;0")&gt;0,COUNTIF(O7:O14,"&gt;0")&amp;" of "&amp;(ROWS(Q7:Q14)-COUNTBLANK(Q7:Q14))&amp;" parts purchased",""),"")</f>
        <v/>
      </c>
      <c r="R16" s="6">
        <f>SUMIF(O7:O14,"&gt;0",R7:R14)</f>
        <v>0</v>
      </c>
      <c r="U16" s="23" t="s">
        <v>59</v>
      </c>
      <c r="V16" s="7" t="str">
        <f>IFERROR(IF(COUNTIF(V7:V14,"&gt;0")&gt;0,COUNTIF(V7:V14,"&gt;0")&amp;" of "&amp;(ROWS(X7:X14)-COUNTBLANK(X7:X14))&amp;" parts purchased",""),"")</f>
        <v/>
      </c>
      <c r="Y16" s="6">
        <f>SUMIF(V7:V14,"&gt;0",Y7:Y14)</f>
        <v>0</v>
      </c>
      <c r="AB16" s="23" t="s">
        <v>59</v>
      </c>
      <c r="AC16" s="7" t="str">
        <f>IFERROR(IF(COUNTIF(AC7:AC14,"&gt;0")&gt;0,COUNTIF(AC7:AC14,"&gt;0")&amp;" of "&amp;(ROWS(AE7:AE14)-COUNTBLANK(AE7:AE14))&amp;" parts purchased",""),"")</f>
        <v/>
      </c>
      <c r="AF16" s="6">
        <f>SUMIF(AC7:AC14,"&gt;0",AF7:AF14)</f>
        <v>0</v>
      </c>
      <c r="AI16" s="23" t="s">
        <v>59</v>
      </c>
      <c r="AJ16" s="7" t="str">
        <f>IFERROR(IF(COUNTIF(AJ7:AJ14,"&gt;0")&gt;0,COUNTIF(AJ7:AJ14,"&gt;0")&amp;" of "&amp;(ROWS(AL7:AL14)-COUNTBLANK(AL7:AL14))&amp;" parts purchased",""),"")</f>
        <v/>
      </c>
      <c r="AM16" s="6">
        <f>SUMIF(AJ7:AJ14,"&gt;0",AM7:AM14)</f>
        <v>0</v>
      </c>
      <c r="AP16" s="23" t="s">
        <v>59</v>
      </c>
      <c r="AQ16" s="7" t="str">
        <f>IFERROR(IF(COUNTIF(AQ7:AQ14,"&gt;0")&gt;0,COUNTIF(AQ7:AQ14,"&gt;0")&amp;" of "&amp;(ROWS(AS7:AS14)-COUNTBLANK(AS7:AS14))&amp;" parts purchased",""),"")</f>
        <v/>
      </c>
      <c r="AT16" s="6">
        <f>SUMIF(AQ7:AQ14,"&gt;0",AT7:AT14)</f>
        <v>0</v>
      </c>
      <c r="AW16" s="23" t="s">
        <v>59</v>
      </c>
      <c r="AX16" s="7" t="str">
        <f>IFERROR(IF(COUNTIF(AX7:AX14,"&gt;0")&gt;0,COUNTIF(AX7:AX14,"&gt;0")&amp;" of "&amp;(ROWS(AZ7:AZ14)-COUNTBLANK(AZ7:AZ14))&amp;" parts purchased",""),"")</f>
        <v/>
      </c>
      <c r="BA16" s="6">
        <f>SUMIF(AX7:AX14,"&gt;0",BA7:BA14)</f>
        <v>0</v>
      </c>
      <c r="BD16" s="23" t="s">
        <v>59</v>
      </c>
      <c r="BE16" s="7" t="str">
        <f>IFERROR(IF(COUNTIF(BE7:BE14,"&gt;0")&gt;0,COUNTIF(BE7:BE14,"&gt;0")&amp;" of "&amp;(ROWS(BG7:BG14)-COUNTBLANK(BG7:BG14))&amp;" parts purchased",""),"")</f>
        <v/>
      </c>
      <c r="BH16" s="6">
        <f>SUMIF(BE7:BE14,"&gt;0",BH7:BH14)</f>
        <v>0</v>
      </c>
      <c r="BK16" s="23" t="s">
        <v>59</v>
      </c>
      <c r="BL16" s="7" t="str">
        <f>IFERROR(IF(COUNTIF(BL7:BL14,"&gt;0")&gt;0,COUNTIF(BL7:BL14,"&gt;0")&amp;" of "&amp;(ROWS(BN7:BN14)-COUNTBLANK(BN7:BN14))&amp;" parts purchased",""),"")</f>
        <v/>
      </c>
      <c r="BO16" s="6">
        <f>SUMIF(BL7:BL14,"&gt;0",BO7:BO14)</f>
        <v>0</v>
      </c>
    </row>
    <row r="17" spans="1:64">
      <c r="B17" s="22" t="s">
        <v>124</v>
      </c>
      <c r="C17">
        <v>1.134751773049645</v>
      </c>
      <c r="L17" s="22" t="s">
        <v>122</v>
      </c>
      <c r="O17" s="24" t="str">
        <f>CONCATENATE(O26,O27,O28,O29,O30,O31,O32,O33)</f>
        <v/>
      </c>
      <c r="V17" s="24" t="str">
        <f>CONCATENATE(V26,V27,V28,V29,V30,V31,V32,V33)</f>
        <v/>
      </c>
      <c r="AC17" s="24" t="str">
        <f>CONCATENATE(AC26,AC27,AC28,AC29,AC30,AC31,AC32,AC33)</f>
        <v/>
      </c>
      <c r="AJ17" s="24" t="str">
        <f>CONCATENATE(AJ34,AJ26,AJ27,AJ28,AJ29,AJ30,AJ31,AJ32,AJ33)</f>
        <v>Copy this header and order to a CSV
file and use it for JLCPCB 
manufacturer PCB house.
The multipart components that use
"#" symbol are not allowed by JLCPCB.</v>
      </c>
      <c r="AQ17" s="24" t="str">
        <f>CONCATENATE(AQ26,AQ27,AQ28,AQ29,AQ30,AQ31,AQ32,AQ33)</f>
        <v/>
      </c>
      <c r="AX17" s="24" t="str">
        <f>CONCATENATE(AX26,AX27,AX28,AX29,AX30,AX31,AX32,AX33)</f>
        <v/>
      </c>
      <c r="BE17" s="24" t="str">
        <f>CONCATENATE(BE26,BE27,BE28,BE29,BE30,BE31,BE32,BE33)</f>
        <v/>
      </c>
      <c r="BL17" s="24" t="str">
        <f>CONCATENATE(BL26,BL27,BL28,BL29,BL30,BL31,BL32,BL33)</f>
        <v/>
      </c>
    </row>
    <row r="18" spans="1:64">
      <c r="B18" s="22" t="s">
        <v>125</v>
      </c>
      <c r="C18">
        <v>0.9294544102611766</v>
      </c>
    </row>
    <row r="20" spans="1:64">
      <c r="A20" s="3" t="s">
        <v>136</v>
      </c>
    </row>
    <row r="26" spans="1:64" ht="30" hidden="1" customHeight="1">
      <c r="O26" t="str">
        <f t="array" ref="O26:O33">IF(ISNUMBER(O7:O14)*(O7:O14&gt;=Q7:Q14)*(S7:S14&lt;&gt;""),S7:S14&amp;","&amp;TEXT(ROUNDUP(O7:O14/IF(ISNUMBER(Q7:Q14),Q7:Q14,1),0)*Q7:Q14,"##0")&amp;","&amp;SUBSTITUTE(SUBSTITUTE(IF(PURCHASE_DESCRIPTION&lt;&gt;"",PURCHASE_DESCRIPTION&amp;":","")&amp;A7:A14,",",";"),"
"," ")&amp;CHAR(10),"")</f>
        <v/>
      </c>
      <c r="V26" t="str">
        <f t="array" ref="V26:V33">IF(ISNUMBER(V7:V14)*(V7:V14&gt;=X7:X14)*(Z7:Z14&lt;&gt;""),TEXT(ROUNDUP(V7:V14/IF(ISNUMBER(X7:X14),X7:X14,1),0)*X7:X14,"##0")&amp;","&amp;Z7:Z14&amp;","&amp;SUBSTITUTE(SUBSTITUTE(IF(PURCHASE_DESCRIPTION&lt;&gt;"",PURCHASE_DESCRIPTION&amp;":","")&amp;A7:A14,",",";"),"
"," ")&amp;CHAR(10),"")</f>
        <v/>
      </c>
      <c r="AC26" t="str">
        <f t="array" ref="AC26:AC33">IF(ISNUMBER(AC7:AC14)*(AC7:AC14&gt;=AE7:AE14)*(AG7:AG14&lt;&gt;""),AG7:AG14&amp;","&amp;TEXT(ROUNDUP(AC7:AC14/IF(ISNUMBER(AE7:AE14),AE7:AE14,1),0)*AE7:AE14,"##0")&amp;","&amp;""&amp;","&amp;LEFT(SUBSTITUTE(SUBSTITUTE(IF(PURCHASE_DESCRIPTION&lt;&gt;"",PURCHASE_DESCRIPTION&amp;":","")&amp;A7:A14,",",";"),"
"," "),30)&amp;CHAR(10),"")</f>
        <v/>
      </c>
      <c r="AJ26" t="str">
        <f t="array" ref="AJ26:AJ33">IF(ISNUMBER(AJ7:AJ14)*(AJ7:AJ14&gt;=AL7:AL14)*(AN7:AN14&lt;&gt;""),TEXT(ROUNDUP(AJ7:AJ14/IF(ISNUMBER(AL7:AL14),AL7:AL14,1),0)*AL7:AL14,"##0")&amp;","&amp;SUBSTITUTE(SUBSTITUTE(IF(PURCHASE_DESCRIPTION&lt;&gt;"",PURCHASE_DESCRIPTION&amp;":","")&amp;A7:A14,",",";"),"
"," ")&amp;","&amp;SUBSTITUTE(SUBSTITUTE(IF(PURCHASE_DESCRIPTION&lt;&gt;"",PURCHASE_DESCRIPTION&amp;":","")&amp;H7:H14,",",";"),"
"," ")&amp;","&amp;AN7:AN14&amp;CHAR(10),"")</f>
        <v/>
      </c>
      <c r="AQ26" t="str">
        <f t="array" ref="AQ26:AQ33">IF(ISNUMBER(AQ7:AQ14)*(AQ7:AQ14&gt;=AS7:AS14)*(AU7:AU14&lt;&gt;""),AU7:AU14&amp;"|"&amp;TEXT(ROUNDUP(AQ7:AQ14/IF(ISNUMBER(AS7:AS14),AS7:AS14,1),0)*AS7:AS14,"##0")&amp;"|"&amp;SUBSTITUTE(SUBSTITUTE(SUBSTITUTE(IF(PURCHASE_DESCRIPTION&lt;&gt;"",PURCHASE_DESCRIPTION&amp;":","")&amp;A7:A14,"|",";")," ","_"),"
","_")&amp;CHAR(10),"")</f>
        <v/>
      </c>
      <c r="AX26" t="str">
        <f t="array" ref="AX26:AX33">IF(ISNUMBER(AX7:AX14)*(AX7:AX14&gt;=AZ7:AZ14)*(BB7:BB14&lt;&gt;""),BB7:BB14&amp;","&amp;TEXT(ROUNDUP(AX7:AX14/IF(ISNUMBER(AZ7:AZ14),AZ7:AZ14,1),0)*AZ7:AZ14,"##0")&amp;","&amp;SUBSTITUTE(SUBSTITUTE(IF(PURCHASE_DESCRIPTION&lt;&gt;"",PURCHASE_DESCRIPTION&amp;":","")&amp;A7:A14,",",";"),"
"," ")&amp;","&amp;""&amp;CHAR(10),"")</f>
        <v/>
      </c>
      <c r="BE26" t="str">
        <f t="array" ref="BE26:BE33">IF(ISNUMBER(BE7:BE14)*(BE7:BE14&gt;=BG7:BG14)*(BI7:BI14&lt;&gt;""),BI7:BI14&amp;","&amp;TEXT(ROUNDUP(BE7:BE14/IF(ISNUMBER(BG7:BG14),BG7:BG14,1),0)*BG7:BG14,"##0")&amp;","&amp;""&amp;","&amp;""&amp;","&amp;""&amp;","&amp;J7:J14&amp;","&amp;SUBSTITUTE(SUBSTITUTE(IF(PURCHASE_DESCRIPTION&lt;&gt;"",PURCHASE_DESCRIPTION&amp;":","")&amp;A7:A14,",",";"),"
"," ")&amp;CHAR(10),"")</f>
        <v/>
      </c>
      <c r="BL26" t="str">
        <f t="array" ref="BL26:BL33">IF(ISNUMBER(BL7:BL14)*(BL7:BL14&gt;=BN7:BN14)*(BP7:BP14&lt;&gt;""),BP7:BP14&amp;" "&amp;TEXT(ROUNDUP(BL7:BL14/IF(ISNUMBER(BN7:BN14),BN7:BN14,1),0)*BN7:BN14,"##0")&amp;" "&amp;SUBSTITUTE(SUBSTITUTE(IF(PURCHASE_DESCRIPTION&lt;&gt;"",PURCHASE_DESCRIPTION&amp;":","")&amp;A7:A14," ",";"),"
",";")&amp;CHAR(10),"")</f>
        <v/>
      </c>
    </row>
    <row r="27" spans="1:64" ht="30" hidden="1" customHeight="1">
      <c r="O27">
        <v>0</v>
      </c>
      <c r="V27">
        <v>0</v>
      </c>
      <c r="AC27">
        <v>0</v>
      </c>
      <c r="AJ27">
        <v>0</v>
      </c>
      <c r="AQ27">
        <v>0</v>
      </c>
      <c r="AX27">
        <v>0</v>
      </c>
      <c r="BE27">
        <v>0</v>
      </c>
      <c r="BL27">
        <v>0</v>
      </c>
    </row>
    <row r="28" spans="1:64" ht="30" hidden="1" customHeight="1">
      <c r="O28">
        <v>0</v>
      </c>
      <c r="V28">
        <v>0</v>
      </c>
      <c r="AC28">
        <v>0</v>
      </c>
      <c r="AJ28">
        <v>0</v>
      </c>
      <c r="AQ28">
        <v>0</v>
      </c>
      <c r="AX28">
        <v>0</v>
      </c>
      <c r="BE28">
        <v>0</v>
      </c>
      <c r="BL28">
        <v>0</v>
      </c>
    </row>
    <row r="29" spans="1:64" ht="30" hidden="1" customHeight="1">
      <c r="O29">
        <v>0</v>
      </c>
      <c r="V29">
        <v>0</v>
      </c>
      <c r="AC29">
        <v>0</v>
      </c>
      <c r="AJ29">
        <v>0</v>
      </c>
      <c r="AQ29">
        <v>0</v>
      </c>
      <c r="AX29">
        <v>0</v>
      </c>
      <c r="BE29">
        <v>0</v>
      </c>
      <c r="BL29">
        <v>0</v>
      </c>
    </row>
    <row r="30" spans="1:64" ht="30" hidden="1" customHeight="1">
      <c r="O30">
        <v>0</v>
      </c>
      <c r="V30">
        <v>0</v>
      </c>
      <c r="AC30">
        <v>0</v>
      </c>
      <c r="AJ30">
        <v>0</v>
      </c>
      <c r="AQ30">
        <v>0</v>
      </c>
      <c r="AX30">
        <v>0</v>
      </c>
      <c r="BE30">
        <v>0</v>
      </c>
      <c r="BL30">
        <v>0</v>
      </c>
    </row>
    <row r="31" spans="1:64" ht="30" hidden="1" customHeight="1">
      <c r="O31">
        <v>0</v>
      </c>
      <c r="V31">
        <v>0</v>
      </c>
      <c r="AC31">
        <v>0</v>
      </c>
      <c r="AJ31">
        <v>0</v>
      </c>
      <c r="AQ31">
        <v>0</v>
      </c>
      <c r="AX31">
        <v>0</v>
      </c>
      <c r="BE31">
        <v>0</v>
      </c>
      <c r="BL31">
        <v>0</v>
      </c>
    </row>
    <row r="32" spans="1:64" ht="30" hidden="1" customHeight="1">
      <c r="O32">
        <v>0</v>
      </c>
      <c r="V32">
        <v>0</v>
      </c>
      <c r="AC32">
        <v>0</v>
      </c>
      <c r="AJ32">
        <v>0</v>
      </c>
      <c r="AQ32">
        <v>0</v>
      </c>
      <c r="AX32">
        <v>0</v>
      </c>
      <c r="BE32">
        <v>0</v>
      </c>
      <c r="BL32">
        <v>0</v>
      </c>
    </row>
    <row r="33" spans="15:64" ht="30" hidden="1" customHeight="1">
      <c r="O33">
        <v>0</v>
      </c>
      <c r="V33">
        <v>0</v>
      </c>
      <c r="AC33">
        <v>0</v>
      </c>
      <c r="AJ33">
        <v>0</v>
      </c>
      <c r="AQ33">
        <v>0</v>
      </c>
      <c r="AX33">
        <v>0</v>
      </c>
      <c r="BE33">
        <v>0</v>
      </c>
      <c r="BL33">
        <v>0</v>
      </c>
    </row>
    <row r="34" spans="15:64" ht="30" hidden="1" customHeight="1">
      <c r="AJ34" t="str">
        <f>IFERROR(IF(COUNTIFS(AJ7:AJ14,"&gt;0",AM7:AM14,"&lt;&gt;")&gt;0,"Quantity,Comment,Designator,Footprint,LCSC Part #(optional)"&amp;CHAR(10),""),"")</f>
        <v/>
      </c>
    </row>
  </sheetData>
  <mergeCells count="17">
    <mergeCell ref="A5:M5"/>
    <mergeCell ref="N5:T5"/>
    <mergeCell ref="O17:R25"/>
    <mergeCell ref="U5:AA5"/>
    <mergeCell ref="V17:Y25"/>
    <mergeCell ref="AB5:AH5"/>
    <mergeCell ref="AC17:AF25"/>
    <mergeCell ref="AI5:AO5"/>
    <mergeCell ref="AJ17:AM25"/>
    <mergeCell ref="AP5:AV5"/>
    <mergeCell ref="AQ17:AT25"/>
    <mergeCell ref="AW5:BC5"/>
    <mergeCell ref="AX17:BA25"/>
    <mergeCell ref="BD5:BJ5"/>
    <mergeCell ref="BE17:BH25"/>
    <mergeCell ref="BK5:BQ5"/>
    <mergeCell ref="BL17:BO25"/>
  </mergeCells>
  <conditionalFormatting sqref="AB10">
    <cfRule type="cellIs" dxfId="0" priority="65" operator="lessThan">
      <formula>K10</formula>
    </cfRule>
  </conditionalFormatting>
  <conditionalFormatting sqref="AB11">
    <cfRule type="cellIs" dxfId="0" priority="73" operator="lessThan">
      <formula>K11</formula>
    </cfRule>
  </conditionalFormatting>
  <conditionalFormatting sqref="AB12">
    <cfRule type="cellIs" dxfId="0" priority="81" operator="lessThan">
      <formula>K12</formula>
    </cfRule>
  </conditionalFormatting>
  <conditionalFormatting sqref="AB7">
    <cfRule type="cellIs" dxfId="0" priority="41" operator="lessThan">
      <formula>K7</formula>
    </cfRule>
  </conditionalFormatting>
  <conditionalFormatting sqref="AB8">
    <cfRule type="cellIs" dxfId="0" priority="49" operator="lessThan">
      <formula>K8</formula>
    </cfRule>
  </conditionalFormatting>
  <conditionalFormatting sqref="AB9">
    <cfRule type="cellIs" dxfId="0" priority="57" operator="lessThan">
      <formula>K9</formula>
    </cfRule>
  </conditionalFormatting>
  <conditionalFormatting sqref="AC10">
    <cfRule type="expression" dxfId="3" priority="66">
      <formula>AND(AC10&gt;0,MOD(AC10,AE10)&lt;&gt;0)</formula>
    </cfRule>
    <cfRule type="expression" dxfId="1" priority="67">
      <formula>AND(NOT(ISBLANK(AC10)),OR(AB10="NonStk",AC10&gt;AB10))</formula>
    </cfRule>
  </conditionalFormatting>
  <conditionalFormatting sqref="AC11">
    <cfRule type="expression" dxfId="3" priority="74">
      <formula>AND(AC11&gt;0,MOD(AC11,AE11)&lt;&gt;0)</formula>
    </cfRule>
    <cfRule type="expression" dxfId="1" priority="75">
      <formula>AND(NOT(ISBLANK(AC11)),OR(AB11="NonStk",AC11&gt;AB11))</formula>
    </cfRule>
  </conditionalFormatting>
  <conditionalFormatting sqref="AC12">
    <cfRule type="expression" dxfId="3" priority="82">
      <formula>AND(AC12&gt;0,MOD(AC12,AE12)&lt;&gt;0)</formula>
    </cfRule>
    <cfRule type="expression" dxfId="1" priority="83">
      <formula>AND(NOT(ISBLANK(AC12)),OR(AB12="NonStk",AC12&gt;AB12))</formula>
    </cfRule>
  </conditionalFormatting>
  <conditionalFormatting sqref="AC7">
    <cfRule type="expression" dxfId="3" priority="42">
      <formula>AND(AC7&gt;0,MOD(AC7,AE7)&lt;&gt;0)</formula>
    </cfRule>
    <cfRule type="expression" dxfId="1" priority="43">
      <formula>AND(NOT(ISBLANK(AC7)),OR(AB7="NonStk",AC7&gt;AB7))</formula>
    </cfRule>
  </conditionalFormatting>
  <conditionalFormatting sqref="AC8">
    <cfRule type="expression" dxfId="3" priority="50">
      <formula>AND(AC8&gt;0,MOD(AC8,AE8)&lt;&gt;0)</formula>
    </cfRule>
    <cfRule type="expression" dxfId="1" priority="51">
      <formula>AND(NOT(ISBLANK(AC8)),OR(AB8="NonStk",AC8&gt;AB8))</formula>
    </cfRule>
  </conditionalFormatting>
  <conditionalFormatting sqref="AC9">
    <cfRule type="expression" dxfId="3" priority="58">
      <formula>AND(AC9&gt;0,MOD(AC9,AE9)&lt;&gt;0)</formula>
    </cfRule>
    <cfRule type="expression" dxfId="1" priority="59">
      <formula>AND(NOT(ISBLANK(AC9)),OR(AB9="NonStk",AC9&gt;AB9))</formula>
    </cfRule>
  </conditionalFormatting>
  <conditionalFormatting sqref="AD10">
    <cfRule type="cellIs" dxfId="2" priority="69" operator="lessThanOrEqual">
      <formula>L10</formula>
    </cfRule>
    <cfRule type="expression" dxfId="3" priority="70">
      <formula>AND(K10&lt;10,AC10&lt;10)</formula>
    </cfRule>
  </conditionalFormatting>
  <conditionalFormatting sqref="AD11">
    <cfRule type="cellIs" dxfId="2" priority="77" operator="lessThanOrEqual">
      <formula>L11</formula>
    </cfRule>
    <cfRule type="expression" dxfId="3" priority="78">
      <formula>AND(K11&lt;10,AC11&lt;10)</formula>
    </cfRule>
  </conditionalFormatting>
  <conditionalFormatting sqref="AD12">
    <cfRule type="cellIs" dxfId="2" priority="85" operator="lessThanOrEqual">
      <formula>L12</formula>
    </cfRule>
    <cfRule type="expression" dxfId="3" priority="86">
      <formula>AND(K12&lt;5,AC12&lt;5)</formula>
    </cfRule>
  </conditionalFormatting>
  <conditionalFormatting sqref="AD7">
    <cfRule type="cellIs" dxfId="2" priority="45" operator="lessThanOrEqual">
      <formula>L7</formula>
    </cfRule>
    <cfRule type="expression" dxfId="3" priority="46">
      <formula>AND(K7&lt;5,AC7&lt;5)</formula>
    </cfRule>
  </conditionalFormatting>
  <conditionalFormatting sqref="AD8">
    <cfRule type="cellIs" dxfId="2" priority="53" operator="lessThanOrEqual">
      <formula>L8</formula>
    </cfRule>
    <cfRule type="expression" dxfId="3" priority="54">
      <formula>AND(K8&lt;5,AC8&lt;5)</formula>
    </cfRule>
  </conditionalFormatting>
  <conditionalFormatting sqref="AD9">
    <cfRule type="cellIs" dxfId="2" priority="61" operator="lessThanOrEqual">
      <formula>L9</formula>
    </cfRule>
    <cfRule type="expression" dxfId="3" priority="62">
      <formula>AND(K9&lt;10,AC9&lt;10)</formula>
    </cfRule>
  </conditionalFormatting>
  <conditionalFormatting sqref="AE10">
    <cfRule type="expression" dxfId="3" priority="71">
      <formula>AND(K10&lt;10,AC10&lt;10)</formula>
    </cfRule>
  </conditionalFormatting>
  <conditionalFormatting sqref="AE11">
    <cfRule type="expression" dxfId="3" priority="79">
      <formula>AND(K11&lt;10,AC11&lt;10)</formula>
    </cfRule>
  </conditionalFormatting>
  <conditionalFormatting sqref="AE12">
    <cfRule type="expression" dxfId="3" priority="87">
      <formula>AND(K12&lt;5,AC12&lt;5)</formula>
    </cfRule>
  </conditionalFormatting>
  <conditionalFormatting sqref="AE7">
    <cfRule type="expression" dxfId="3" priority="47">
      <formula>AND(K7&lt;5,AC7&lt;5)</formula>
    </cfRule>
  </conditionalFormatting>
  <conditionalFormatting sqref="AE8">
    <cfRule type="expression" dxfId="3" priority="55">
      <formula>AND(K8&lt;5,AC8&lt;5)</formula>
    </cfRule>
  </conditionalFormatting>
  <conditionalFormatting sqref="AE9">
    <cfRule type="expression" dxfId="3" priority="63">
      <formula>AND(K9&lt;10,AC9&lt;10)</formula>
    </cfRule>
  </conditionalFormatting>
  <conditionalFormatting sqref="AF10">
    <cfRule type="cellIs" dxfId="2" priority="68" operator="lessThanOrEqual">
      <formula>M10</formula>
    </cfRule>
    <cfRule type="expression" dxfId="3" priority="72">
      <formula>AND(K10&lt;10,AC10&lt;10)</formula>
    </cfRule>
  </conditionalFormatting>
  <conditionalFormatting sqref="AF11">
    <cfRule type="cellIs" dxfId="2" priority="76" operator="lessThanOrEqual">
      <formula>M11</formula>
    </cfRule>
    <cfRule type="expression" dxfId="3" priority="80">
      <formula>AND(K11&lt;10,AC11&lt;10)</formula>
    </cfRule>
  </conditionalFormatting>
  <conditionalFormatting sqref="AF12">
    <cfRule type="cellIs" dxfId="2" priority="84" operator="lessThanOrEqual">
      <formula>M12</formula>
    </cfRule>
    <cfRule type="expression" dxfId="3" priority="88">
      <formula>AND(K12&lt;5,AC12&lt;5)</formula>
    </cfRule>
  </conditionalFormatting>
  <conditionalFormatting sqref="AF7">
    <cfRule type="cellIs" dxfId="2" priority="44" operator="lessThanOrEqual">
      <formula>M7</formula>
    </cfRule>
    <cfRule type="expression" dxfId="3" priority="48">
      <formula>AND(K7&lt;5,AC7&lt;5)</formula>
    </cfRule>
  </conditionalFormatting>
  <conditionalFormatting sqref="AF8">
    <cfRule type="cellIs" dxfId="2" priority="52" operator="lessThanOrEqual">
      <formula>M8</formula>
    </cfRule>
    <cfRule type="expression" dxfId="3" priority="56">
      <formula>AND(K8&lt;5,AC8&lt;5)</formula>
    </cfRule>
  </conditionalFormatting>
  <conditionalFormatting sqref="AF9">
    <cfRule type="cellIs" dxfId="2" priority="60" operator="lessThanOrEqual">
      <formula>M9</formula>
    </cfRule>
    <cfRule type="expression" dxfId="3" priority="64">
      <formula>AND(K9&lt;10,AC9&lt;10)</formula>
    </cfRule>
  </conditionalFormatting>
  <conditionalFormatting sqref="AI12">
    <cfRule type="cellIs" dxfId="0" priority="97" operator="lessThan">
      <formula>K12</formula>
    </cfRule>
  </conditionalFormatting>
  <conditionalFormatting sqref="AI7">
    <cfRule type="cellIs" dxfId="0" priority="89" operator="lessThan">
      <formula>K7</formula>
    </cfRule>
  </conditionalFormatting>
  <conditionalFormatting sqref="AJ12">
    <cfRule type="expression" dxfId="1" priority="98">
      <formula>AND(NOT(ISBLANK(AJ12)),OR(AI12="NonStk",AJ12&gt;AI12))</formula>
    </cfRule>
  </conditionalFormatting>
  <conditionalFormatting sqref="AJ7">
    <cfRule type="expression" dxfId="3" priority="90">
      <formula>AND(AJ7&gt;0,MOD(AJ7,AL7)&lt;&gt;0)</formula>
    </cfRule>
    <cfRule type="expression" dxfId="1" priority="91">
      <formula>AND(NOT(ISBLANK(AJ7)),OR(AI7="NonStk",AJ7&gt;AI7))</formula>
    </cfRule>
  </conditionalFormatting>
  <conditionalFormatting sqref="AK12">
    <cfRule type="cellIs" dxfId="2" priority="100" operator="lessThanOrEqual">
      <formula>L12</formula>
    </cfRule>
  </conditionalFormatting>
  <conditionalFormatting sqref="AK7">
    <cfRule type="cellIs" dxfId="2" priority="93" operator="lessThanOrEqual">
      <formula>L7</formula>
    </cfRule>
    <cfRule type="expression" dxfId="3" priority="94">
      <formula>AND(K7&lt;50,AJ7&lt;50)</formula>
    </cfRule>
  </conditionalFormatting>
  <conditionalFormatting sqref="AL7">
    <cfRule type="expression" dxfId="3" priority="95">
      <formula>AND(K7&lt;50,AJ7&lt;50)</formula>
    </cfRule>
  </conditionalFormatting>
  <conditionalFormatting sqref="AM12">
    <cfRule type="cellIs" dxfId="2" priority="99" operator="lessThanOrEqual">
      <formula>M12</formula>
    </cfRule>
  </conditionalFormatting>
  <conditionalFormatting sqref="AM7">
    <cfRule type="cellIs" dxfId="2" priority="92" operator="lessThanOrEqual">
      <formula>M7</formula>
    </cfRule>
    <cfRule type="expression" dxfId="3" priority="96">
      <formula>AND(K7&lt;50,AJ7&lt;50)</formula>
    </cfRule>
  </conditionalFormatting>
  <conditionalFormatting sqref="AP10">
    <cfRule type="cellIs" dxfId="0" priority="109" operator="lessThan">
      <formula>K10</formula>
    </cfRule>
  </conditionalFormatting>
  <conditionalFormatting sqref="AP12">
    <cfRule type="cellIs" dxfId="0" priority="113" operator="lessThan">
      <formula>K12</formula>
    </cfRule>
  </conditionalFormatting>
  <conditionalFormatting sqref="AP7">
    <cfRule type="cellIs" dxfId="0" priority="101" operator="lessThan">
      <formula>K7</formula>
    </cfRule>
  </conditionalFormatting>
  <conditionalFormatting sqref="AP8">
    <cfRule type="cellIs" dxfId="0" priority="105" operator="lessThan">
      <formula>K8</formula>
    </cfRule>
  </conditionalFormatting>
  <conditionalFormatting sqref="AQ10">
    <cfRule type="expression" dxfId="1" priority="110">
      <formula>AND(NOT(ISBLANK(AQ10)),OR(AP10="NonStk",AQ10&gt;AP10))</formula>
    </cfRule>
  </conditionalFormatting>
  <conditionalFormatting sqref="AQ12">
    <cfRule type="expression" dxfId="1" priority="114">
      <formula>AND(NOT(ISBLANK(AQ12)),OR(AP12="NonStk",AQ12&gt;AP12))</formula>
    </cfRule>
  </conditionalFormatting>
  <conditionalFormatting sqref="AQ7">
    <cfRule type="expression" dxfId="1" priority="102">
      <formula>AND(NOT(ISBLANK(AQ7)),OR(AP7="NonStk",AQ7&gt;AP7))</formula>
    </cfRule>
  </conditionalFormatting>
  <conditionalFormatting sqref="AQ8">
    <cfRule type="expression" dxfId="1" priority="106">
      <formula>AND(NOT(ISBLANK(AQ8)),OR(AP8="NonStk",AQ8&gt;AP8))</formula>
    </cfRule>
  </conditionalFormatting>
  <conditionalFormatting sqref="AR10">
    <cfRule type="cellIs" dxfId="2" priority="112" operator="lessThanOrEqual">
      <formula>L10</formula>
    </cfRule>
  </conditionalFormatting>
  <conditionalFormatting sqref="AR12">
    <cfRule type="cellIs" dxfId="2" priority="116" operator="lessThanOrEqual">
      <formula>L12</formula>
    </cfRule>
  </conditionalFormatting>
  <conditionalFormatting sqref="AR7">
    <cfRule type="cellIs" dxfId="2" priority="104" operator="lessThanOrEqual">
      <formula>L7</formula>
    </cfRule>
  </conditionalFormatting>
  <conditionalFormatting sqref="AR8">
    <cfRule type="cellIs" dxfId="2" priority="108" operator="lessThanOrEqual">
      <formula>L8</formula>
    </cfRule>
  </conditionalFormatting>
  <conditionalFormatting sqref="AT10">
    <cfRule type="cellIs" dxfId="2" priority="111" operator="lessThanOrEqual">
      <formula>M10</formula>
    </cfRule>
  </conditionalFormatting>
  <conditionalFormatting sqref="AT12">
    <cfRule type="cellIs" dxfId="2" priority="115" operator="lessThanOrEqual">
      <formula>M12</formula>
    </cfRule>
  </conditionalFormatting>
  <conditionalFormatting sqref="AT7">
    <cfRule type="cellIs" dxfId="2" priority="103" operator="lessThanOrEqual">
      <formula>M7</formula>
    </cfRule>
  </conditionalFormatting>
  <conditionalFormatting sqref="AT8">
    <cfRule type="cellIs" dxfId="2" priority="107" operator="lessThanOrEqual">
      <formula>M8</formula>
    </cfRule>
  </conditionalFormatting>
  <conditionalFormatting sqref="AW10">
    <cfRule type="cellIs" dxfId="0" priority="129" operator="lessThan">
      <formula>K10</formula>
    </cfRule>
  </conditionalFormatting>
  <conditionalFormatting sqref="AW11">
    <cfRule type="cellIs" dxfId="0" priority="133" operator="lessThan">
      <formula>K11</formula>
    </cfRule>
  </conditionalFormatting>
  <conditionalFormatting sqref="AW12">
    <cfRule type="cellIs" dxfId="0" priority="137" operator="lessThan">
      <formula>K12</formula>
    </cfRule>
  </conditionalFormatting>
  <conditionalFormatting sqref="AW7">
    <cfRule type="cellIs" dxfId="0" priority="117" operator="lessThan">
      <formula>K7</formula>
    </cfRule>
  </conditionalFormatting>
  <conditionalFormatting sqref="AW9">
    <cfRule type="cellIs" dxfId="0" priority="121" operator="lessThan">
      <formula>K9</formula>
    </cfRule>
  </conditionalFormatting>
  <conditionalFormatting sqref="AX10">
    <cfRule type="expression" dxfId="1" priority="130">
      <formula>AND(NOT(ISBLANK(AX10)),OR(AW10="NonStk",AX10&gt;AW10))</formula>
    </cfRule>
  </conditionalFormatting>
  <conditionalFormatting sqref="AX11">
    <cfRule type="expression" dxfId="1" priority="134">
      <formula>AND(NOT(ISBLANK(AX11)),OR(AW11="NonStk",AX11&gt;AW11))</formula>
    </cfRule>
  </conditionalFormatting>
  <conditionalFormatting sqref="AX12">
    <cfRule type="expression" dxfId="1" priority="138">
      <formula>AND(NOT(ISBLANK(AX12)),OR(AW12="NonStk",AX12&gt;AW12))</formula>
    </cfRule>
  </conditionalFormatting>
  <conditionalFormatting sqref="AX7">
    <cfRule type="expression" dxfId="1" priority="118">
      <formula>AND(NOT(ISBLANK(AX7)),OR(AW7="NonStk",AX7&gt;AW7))</formula>
    </cfRule>
  </conditionalFormatting>
  <conditionalFormatting sqref="AX9">
    <cfRule type="expression" dxfId="3" priority="122">
      <formula>AND(AX9&gt;0,MOD(AX9,AZ9)&lt;&gt;0)</formula>
    </cfRule>
    <cfRule type="expression" dxfId="1" priority="123">
      <formula>AND(NOT(ISBLANK(AX9)),OR(AW9="NonStk",AX9&gt;AW9))</formula>
    </cfRule>
  </conditionalFormatting>
  <conditionalFormatting sqref="AY10">
    <cfRule type="cellIs" dxfId="2" priority="132" operator="lessThanOrEqual">
      <formula>L10</formula>
    </cfRule>
  </conditionalFormatting>
  <conditionalFormatting sqref="AY11">
    <cfRule type="cellIs" dxfId="2" priority="136" operator="lessThanOrEqual">
      <formula>L11</formula>
    </cfRule>
  </conditionalFormatting>
  <conditionalFormatting sqref="AY12">
    <cfRule type="cellIs" dxfId="2" priority="140" operator="lessThanOrEqual">
      <formula>L12</formula>
    </cfRule>
  </conditionalFormatting>
  <conditionalFormatting sqref="AY7">
    <cfRule type="cellIs" dxfId="2" priority="120" operator="lessThanOrEqual">
      <formula>L7</formula>
    </cfRule>
  </conditionalFormatting>
  <conditionalFormatting sqref="AY9">
    <cfRule type="cellIs" dxfId="2" priority="125" operator="lessThanOrEqual">
      <formula>L9</formula>
    </cfRule>
    <cfRule type="expression" dxfId="3" priority="126">
      <formula>AND(K9&lt;10,AX9&lt;10)</formula>
    </cfRule>
  </conditionalFormatting>
  <conditionalFormatting sqref="AZ9">
    <cfRule type="expression" dxfId="3" priority="127">
      <formula>AND(K9&lt;10,AX9&lt;10)</formula>
    </cfRule>
  </conditionalFormatting>
  <conditionalFormatting sqref="BA10">
    <cfRule type="cellIs" dxfId="2" priority="131" operator="lessThanOrEqual">
      <formula>M10</formula>
    </cfRule>
  </conditionalFormatting>
  <conditionalFormatting sqref="BA11">
    <cfRule type="cellIs" dxfId="2" priority="135" operator="lessThanOrEqual">
      <formula>M11</formula>
    </cfRule>
  </conditionalFormatting>
  <conditionalFormatting sqref="BA12">
    <cfRule type="cellIs" dxfId="2" priority="139" operator="lessThanOrEqual">
      <formula>M12</formula>
    </cfRule>
  </conditionalFormatting>
  <conditionalFormatting sqref="BA7">
    <cfRule type="cellIs" dxfId="2" priority="119" operator="lessThanOrEqual">
      <formula>M7</formula>
    </cfRule>
  </conditionalFormatting>
  <conditionalFormatting sqref="BA9">
    <cfRule type="cellIs" dxfId="2" priority="124" operator="lessThanOrEqual">
      <formula>M9</formula>
    </cfRule>
    <cfRule type="expression" dxfId="3" priority="128">
      <formula>AND(K9&lt;10,AX9&lt;10)</formula>
    </cfRule>
  </conditionalFormatting>
  <conditionalFormatting sqref="BD12">
    <cfRule type="cellIs" dxfId="0" priority="149" operator="lessThan">
      <formula>K12</formula>
    </cfRule>
  </conditionalFormatting>
  <conditionalFormatting sqref="BD7">
    <cfRule type="cellIs" dxfId="0" priority="141" operator="lessThan">
      <formula>K7</formula>
    </cfRule>
  </conditionalFormatting>
  <conditionalFormatting sqref="BE12">
    <cfRule type="expression" dxfId="3" priority="150">
      <formula>AND(BE12&gt;0,MOD(BE12,BG12)&lt;&gt;0)</formula>
    </cfRule>
    <cfRule type="expression" dxfId="1" priority="151">
      <formula>AND(NOT(ISBLANK(BE12)),OR(BD12="NonStk",BE12&gt;BD12))</formula>
    </cfRule>
  </conditionalFormatting>
  <conditionalFormatting sqref="BE7">
    <cfRule type="expression" dxfId="3" priority="142">
      <formula>AND(BE7&gt;0,MOD(BE7,BG7)&lt;&gt;0)</formula>
    </cfRule>
    <cfRule type="expression" dxfId="1" priority="143">
      <formula>AND(NOT(ISBLANK(BE7)),OR(BD7="NonStk",BE7&gt;BD7))</formula>
    </cfRule>
  </conditionalFormatting>
  <conditionalFormatting sqref="BF12">
    <cfRule type="cellIs" dxfId="2" priority="153" operator="lessThanOrEqual">
      <formula>L12</formula>
    </cfRule>
    <cfRule type="expression" dxfId="3" priority="154">
      <formula>AND(K12&lt;10,BE12&lt;10)</formula>
    </cfRule>
  </conditionalFormatting>
  <conditionalFormatting sqref="BF7">
    <cfRule type="cellIs" dxfId="2" priority="145" operator="lessThanOrEqual">
      <formula>L7</formula>
    </cfRule>
    <cfRule type="expression" dxfId="3" priority="146">
      <formula>AND(K7&lt;20,BE7&lt;20)</formula>
    </cfRule>
  </conditionalFormatting>
  <conditionalFormatting sqref="BG12">
    <cfRule type="expression" dxfId="3" priority="155">
      <formula>AND(K12&lt;10,BE12&lt;10)</formula>
    </cfRule>
  </conditionalFormatting>
  <conditionalFormatting sqref="BG7">
    <cfRule type="expression" dxfId="3" priority="147">
      <formula>AND(K7&lt;20,BE7&lt;20)</formula>
    </cfRule>
  </conditionalFormatting>
  <conditionalFormatting sqref="BH12">
    <cfRule type="cellIs" dxfId="2" priority="152" operator="lessThanOrEqual">
      <formula>M12</formula>
    </cfRule>
    <cfRule type="expression" dxfId="3" priority="156">
      <formula>AND(K12&lt;10,BE12&lt;10)</formula>
    </cfRule>
  </conditionalFormatting>
  <conditionalFormatting sqref="BH7">
    <cfRule type="cellIs" dxfId="2" priority="144" operator="lessThanOrEqual">
      <formula>M7</formula>
    </cfRule>
    <cfRule type="expression" dxfId="3" priority="148">
      <formula>AND(K7&lt;20,BE7&lt;20)</formula>
    </cfRule>
  </conditionalFormatting>
  <conditionalFormatting sqref="BK12">
    <cfRule type="cellIs" dxfId="0" priority="173" operator="lessThan">
      <formula>K12</formula>
    </cfRule>
  </conditionalFormatting>
  <conditionalFormatting sqref="BK13">
    <cfRule type="cellIs" dxfId="0" priority="181" operator="lessThan">
      <formula>K13</formula>
    </cfRule>
  </conditionalFormatting>
  <conditionalFormatting sqref="BK14">
    <cfRule type="cellIs" dxfId="0" priority="189" operator="lessThan">
      <formula>K14</formula>
    </cfRule>
  </conditionalFormatting>
  <conditionalFormatting sqref="BK7">
    <cfRule type="cellIs" dxfId="0" priority="157" operator="lessThan">
      <formula>K7</formula>
    </cfRule>
  </conditionalFormatting>
  <conditionalFormatting sqref="BK8">
    <cfRule type="cellIs" dxfId="0" priority="165" operator="lessThan">
      <formula>K8</formula>
    </cfRule>
  </conditionalFormatting>
  <conditionalFormatting sqref="BL12">
    <cfRule type="expression" dxfId="3" priority="174">
      <formula>AND(BL12&gt;0,MOD(BL12,BN12)&lt;&gt;0)</formula>
    </cfRule>
    <cfRule type="expression" dxfId="1" priority="175">
      <formula>AND(NOT(ISBLANK(BL12)),OR(BK12="NonStk",BL12&gt;BK12))</formula>
    </cfRule>
  </conditionalFormatting>
  <conditionalFormatting sqref="BL13">
    <cfRule type="expression" dxfId="3" priority="182">
      <formula>AND(BL13&gt;0,MOD(BL13,BN13)&lt;&gt;0)</formula>
    </cfRule>
    <cfRule type="expression" dxfId="1" priority="183">
      <formula>AND(NOT(ISBLANK(BL13)),OR(BK13="NonStk",BL13&gt;BK13))</formula>
    </cfRule>
  </conditionalFormatting>
  <conditionalFormatting sqref="BL14">
    <cfRule type="expression" dxfId="3" priority="190">
      <formula>AND(BL14&gt;0,MOD(BL14,BN14)&lt;&gt;0)</formula>
    </cfRule>
    <cfRule type="expression" dxfId="1" priority="191">
      <formula>AND(NOT(ISBLANK(BL14)),OR(BK14="NonStk",BL14&gt;BK14))</formula>
    </cfRule>
  </conditionalFormatting>
  <conditionalFormatting sqref="BL7">
    <cfRule type="expression" dxfId="3" priority="158">
      <formula>AND(BL7&gt;0,MOD(BL7,BN7)&lt;&gt;0)</formula>
    </cfRule>
    <cfRule type="expression" dxfId="1" priority="159">
      <formula>AND(NOT(ISBLANK(BL7)),OR(BK7="NonStk",BL7&gt;BK7))</formula>
    </cfRule>
  </conditionalFormatting>
  <conditionalFormatting sqref="BL8">
    <cfRule type="expression" dxfId="3" priority="166">
      <formula>AND(BL8&gt;0,MOD(BL8,BN8)&lt;&gt;0)</formula>
    </cfRule>
    <cfRule type="expression" dxfId="1" priority="167">
      <formula>AND(NOT(ISBLANK(BL8)),OR(BK8="NonStk",BL8&gt;BK8))</formula>
    </cfRule>
  </conditionalFormatting>
  <conditionalFormatting sqref="BM12">
    <cfRule type="cellIs" dxfId="2" priority="177" operator="lessThanOrEqual">
      <formula>L12</formula>
    </cfRule>
    <cfRule type="expression" dxfId="3" priority="178">
      <formula>AND(K12&lt;2,BL12&lt;2)</formula>
    </cfRule>
  </conditionalFormatting>
  <conditionalFormatting sqref="BM13">
    <cfRule type="cellIs" dxfId="2" priority="185" operator="lessThanOrEqual">
      <formula>L13</formula>
    </cfRule>
    <cfRule type="expression" dxfId="3" priority="186">
      <formula>AND(K13&lt;500,BL13&lt;500)</formula>
    </cfRule>
  </conditionalFormatting>
  <conditionalFormatting sqref="BM14">
    <cfRule type="cellIs" dxfId="2" priority="193" operator="lessThanOrEqual">
      <formula>L14</formula>
    </cfRule>
    <cfRule type="expression" dxfId="3" priority="194">
      <formula>AND(K14&lt;500,BL14&lt;500)</formula>
    </cfRule>
  </conditionalFormatting>
  <conditionalFormatting sqref="BM7">
    <cfRule type="cellIs" dxfId="2" priority="161" operator="lessThanOrEqual">
      <formula>L7</formula>
    </cfRule>
    <cfRule type="expression" dxfId="3" priority="162">
      <formula>AND(K7&lt;25,BL7&lt;25)</formula>
    </cfRule>
  </conditionalFormatting>
  <conditionalFormatting sqref="BM8">
    <cfRule type="cellIs" dxfId="2" priority="169" operator="lessThanOrEqual">
      <formula>L8</formula>
    </cfRule>
    <cfRule type="expression" dxfId="3" priority="170">
      <formula>AND(K8&lt;2,BL8&lt;2)</formula>
    </cfRule>
  </conditionalFormatting>
  <conditionalFormatting sqref="BN12">
    <cfRule type="expression" dxfId="3" priority="179">
      <formula>AND(K12&lt;2,BL12&lt;2)</formula>
    </cfRule>
  </conditionalFormatting>
  <conditionalFormatting sqref="BN13">
    <cfRule type="expression" dxfId="3" priority="187">
      <formula>AND(K13&lt;500,BL13&lt;500)</formula>
    </cfRule>
  </conditionalFormatting>
  <conditionalFormatting sqref="BN14">
    <cfRule type="expression" dxfId="3" priority="195">
      <formula>AND(K14&lt;500,BL14&lt;500)</formula>
    </cfRule>
  </conditionalFormatting>
  <conditionalFormatting sqref="BN7">
    <cfRule type="expression" dxfId="3" priority="163">
      <formula>AND(K7&lt;25,BL7&lt;25)</formula>
    </cfRule>
  </conditionalFormatting>
  <conditionalFormatting sqref="BN8">
    <cfRule type="expression" dxfId="3" priority="171">
      <formula>AND(K8&lt;2,BL8&lt;2)</formula>
    </cfRule>
  </conditionalFormatting>
  <conditionalFormatting sqref="BO12">
    <cfRule type="cellIs" dxfId="2" priority="176" operator="lessThanOrEqual">
      <formula>M12</formula>
    </cfRule>
    <cfRule type="expression" dxfId="3" priority="180">
      <formula>AND(K12&lt;2,BL12&lt;2)</formula>
    </cfRule>
  </conditionalFormatting>
  <conditionalFormatting sqref="BO13">
    <cfRule type="cellIs" dxfId="2" priority="184" operator="lessThanOrEqual">
      <formula>M13</formula>
    </cfRule>
    <cfRule type="expression" dxfId="3" priority="188">
      <formula>AND(K13&lt;500,BL13&lt;500)</formula>
    </cfRule>
  </conditionalFormatting>
  <conditionalFormatting sqref="BO14">
    <cfRule type="cellIs" dxfId="2" priority="192" operator="lessThanOrEqual">
      <formula>M14</formula>
    </cfRule>
    <cfRule type="expression" dxfId="3" priority="196">
      <formula>AND(K14&lt;500,BL14&lt;500)</formula>
    </cfRule>
  </conditionalFormatting>
  <conditionalFormatting sqref="BO7">
    <cfRule type="cellIs" dxfId="2" priority="160" operator="lessThanOrEqual">
      <formula>M7</formula>
    </cfRule>
    <cfRule type="expression" dxfId="3" priority="164">
      <formula>AND(K7&lt;25,BL7&lt;25)</formula>
    </cfRule>
  </conditionalFormatting>
  <conditionalFormatting sqref="BO8">
    <cfRule type="cellIs" dxfId="2" priority="168" operator="lessThanOrEqual">
      <formula>M8</formula>
    </cfRule>
    <cfRule type="expression" dxfId="3" priority="172">
      <formula>AND(K8&lt;2,BL8&lt;2)</formula>
    </cfRule>
  </conditionalFormatting>
  <conditionalFormatting sqref="K10">
    <cfRule type="expression" dxfId="4" priority="209">
      <formula>AND(ISBLANK(J10),ISBLANK(R10),ISBLANK(Y10),ISBLANK(AF10),ISBLANK(AM10),ISBLANK(AT10),ISBLANK(BA10),ISBLANK(BH10),ISBLANK(BO10))</formula>
    </cfRule>
    <cfRule type="expression" dxfId="1" priority="210">
      <formula>IF(SUM(N10,U10,AB10,AI10,AP10,AW10,BD10,BK10)=0,1,0)</formula>
    </cfRule>
    <cfRule type="cellIs" dxfId="0" priority="211" operator="greaterThan">
      <formula>SUM(N10,U10,AB10,AI10,AP10,AW10,BD10,BK10)</formula>
    </cfRule>
    <cfRule type="cellIs" dxfId="3" priority="212" operator="greaterThan">
      <formula>SUM(IF(ISNUMBER(P10),O10,0),IF(ISNUMBER(W10),V10,0),IF(ISNUMBER(AD10),AC10,0),IF(ISNUMBER(AK10),AJ10,0),IF(ISNUMBER(AR10),AQ10,0),IF(ISNUMBER(AY10),AX10,0),IF(ISNUMBER(BF10),BE10,0),IF(ISNUMBER(BM10),BL10,0))</formula>
    </cfRule>
  </conditionalFormatting>
  <conditionalFormatting sqref="K11">
    <cfRule type="expression" dxfId="4" priority="213">
      <formula>AND(ISBLANK(J11),ISBLANK(R11),ISBLANK(Y11),ISBLANK(AF11),ISBLANK(AM11),ISBLANK(AT11),ISBLANK(BA11),ISBLANK(BH11),ISBLANK(BO11))</formula>
    </cfRule>
    <cfRule type="expression" dxfId="1" priority="214">
      <formula>IF(SUM(N11,U11,AB11,AI11,AP11,AW11,BD11,BK11)=0,1,0)</formula>
    </cfRule>
    <cfRule type="cellIs" dxfId="0" priority="215" operator="greaterThan">
      <formula>SUM(N11,U11,AB11,AI11,AP11,AW11,BD11,BK11)</formula>
    </cfRule>
    <cfRule type="cellIs" dxfId="3" priority="216" operator="greaterThan">
      <formula>SUM(IF(ISNUMBER(P11),O11,0),IF(ISNUMBER(W11),V11,0),IF(ISNUMBER(AD11),AC11,0),IF(ISNUMBER(AK11),AJ11,0),IF(ISNUMBER(AR11),AQ11,0),IF(ISNUMBER(AY11),AX11,0),IF(ISNUMBER(BF11),BE11,0),IF(ISNUMBER(BM11),BL11,0))</formula>
    </cfRule>
  </conditionalFormatting>
  <conditionalFormatting sqref="K12">
    <cfRule type="expression" dxfId="4" priority="217">
      <formula>AND(ISBLANK(J12),ISBLANK(R12),ISBLANK(Y12),ISBLANK(AF12),ISBLANK(AM12),ISBLANK(AT12),ISBLANK(BA12),ISBLANK(BH12),ISBLANK(BO12))</formula>
    </cfRule>
    <cfRule type="expression" dxfId="1" priority="218">
      <formula>IF(SUM(N12,U12,AB12,AI12,AP12,AW12,BD12,BK12)=0,1,0)</formula>
    </cfRule>
    <cfRule type="cellIs" dxfId="0" priority="219" operator="greaterThan">
      <formula>SUM(N12,U12,AB12,AI12,AP12,AW12,BD12,BK12)</formula>
    </cfRule>
    <cfRule type="cellIs" dxfId="3" priority="220" operator="greaterThan">
      <formula>SUM(IF(ISNUMBER(P12),O12,0),IF(ISNUMBER(W12),V12,0),IF(ISNUMBER(AD12),AC12,0),IF(ISNUMBER(AK12),AJ12,0),IF(ISNUMBER(AR12),AQ12,0),IF(ISNUMBER(AY12),AX12,0),IF(ISNUMBER(BF12),BE12,0),IF(ISNUMBER(BM12),BL12,0))</formula>
    </cfRule>
  </conditionalFormatting>
  <conditionalFormatting sqref="K13">
    <cfRule type="expression" dxfId="4" priority="221">
      <formula>AND(ISBLANK(J13),ISBLANK(R13),ISBLANK(Y13),ISBLANK(AF13),ISBLANK(AM13),ISBLANK(AT13),ISBLANK(BA13),ISBLANK(BH13),ISBLANK(BO13))</formula>
    </cfRule>
    <cfRule type="expression" dxfId="1" priority="222">
      <formula>IF(SUM(N13,U13,AB13,AI13,AP13,AW13,BD13,BK13)=0,1,0)</formula>
    </cfRule>
    <cfRule type="cellIs" dxfId="0" priority="223" operator="greaterThan">
      <formula>SUM(N13,U13,AB13,AI13,AP13,AW13,BD13,BK13)</formula>
    </cfRule>
    <cfRule type="cellIs" dxfId="3" priority="224" operator="greaterThan">
      <formula>SUM(IF(ISNUMBER(P13),O13,0),IF(ISNUMBER(W13),V13,0),IF(ISNUMBER(AD13),AC13,0),IF(ISNUMBER(AK13),AJ13,0),IF(ISNUMBER(AR13),AQ13,0),IF(ISNUMBER(AY13),AX13,0),IF(ISNUMBER(BF13),BE13,0),IF(ISNUMBER(BM13),BL13,0))</formula>
    </cfRule>
  </conditionalFormatting>
  <conditionalFormatting sqref="K14">
    <cfRule type="expression" dxfId="4" priority="225">
      <formula>AND(ISBLANK(J14),ISBLANK(R14),ISBLANK(Y14),ISBLANK(AF14),ISBLANK(AM14),ISBLANK(AT14),ISBLANK(BA14),ISBLANK(BH14),ISBLANK(BO14))</formula>
    </cfRule>
    <cfRule type="expression" dxfId="1" priority="226">
      <formula>IF(SUM(N14,U14,AB14,AI14,AP14,AW14,BD14,BK14)=0,1,0)</formula>
    </cfRule>
    <cfRule type="cellIs" dxfId="0" priority="227" operator="greaterThan">
      <formula>SUM(N14,U14,AB14,AI14,AP14,AW14,BD14,BK14)</formula>
    </cfRule>
    <cfRule type="cellIs" dxfId="3" priority="228" operator="greaterThan">
      <formula>SUM(IF(ISNUMBER(P14),O14,0),IF(ISNUMBER(W14),V14,0),IF(ISNUMBER(AD14),AC14,0),IF(ISNUMBER(AK14),AJ14,0),IF(ISNUMBER(AR14),AQ14,0),IF(ISNUMBER(AY14),AX14,0),IF(ISNUMBER(BF14),BE14,0),IF(ISNUMBER(BM14),BL14,0))</formula>
    </cfRule>
  </conditionalFormatting>
  <conditionalFormatting sqref="K7">
    <cfRule type="expression" dxfId="4" priority="197">
      <formula>AND(ISBLANK(J7),ISBLANK(R7),ISBLANK(Y7),ISBLANK(AF7),ISBLANK(AM7),ISBLANK(AT7),ISBLANK(BA7),ISBLANK(BH7),ISBLANK(BO7))</formula>
    </cfRule>
    <cfRule type="expression" dxfId="1" priority="198">
      <formula>IF(SUM(N7,U7,AB7,AI7,AP7,AW7,BD7,BK7)=0,1,0)</formula>
    </cfRule>
    <cfRule type="cellIs" dxfId="0" priority="199" operator="greaterThan">
      <formula>SUM(N7,U7,AB7,AI7,AP7,AW7,BD7,BK7)</formula>
    </cfRule>
    <cfRule type="cellIs" dxfId="3" priority="200" operator="greaterThan">
      <formula>SUM(IF(ISNUMBER(P7),O7,0),IF(ISNUMBER(W7),V7,0),IF(ISNUMBER(AD7),AC7,0),IF(ISNUMBER(AK7),AJ7,0),IF(ISNUMBER(AR7),AQ7,0),IF(ISNUMBER(AY7),AX7,0),IF(ISNUMBER(BF7),BE7,0),IF(ISNUMBER(BM7),BL7,0))</formula>
    </cfRule>
  </conditionalFormatting>
  <conditionalFormatting sqref="K8">
    <cfRule type="expression" dxfId="4" priority="201">
      <formula>AND(ISBLANK(J8),ISBLANK(R8),ISBLANK(Y8),ISBLANK(AF8),ISBLANK(AM8),ISBLANK(AT8),ISBLANK(BA8),ISBLANK(BH8),ISBLANK(BO8))</formula>
    </cfRule>
    <cfRule type="expression" dxfId="1" priority="202">
      <formula>IF(SUM(N8,U8,AB8,AI8,AP8,AW8,BD8,BK8)=0,1,0)</formula>
    </cfRule>
    <cfRule type="cellIs" dxfId="0" priority="203" operator="greaterThan">
      <formula>SUM(N8,U8,AB8,AI8,AP8,AW8,BD8,BK8)</formula>
    </cfRule>
    <cfRule type="cellIs" dxfId="3" priority="204" operator="greaterThan">
      <formula>SUM(IF(ISNUMBER(P8),O8,0),IF(ISNUMBER(W8),V8,0),IF(ISNUMBER(AD8),AC8,0),IF(ISNUMBER(AK8),AJ8,0),IF(ISNUMBER(AR8),AQ8,0),IF(ISNUMBER(AY8),AX8,0),IF(ISNUMBER(BF8),BE8,0),IF(ISNUMBER(BM8),BL8,0))</formula>
    </cfRule>
  </conditionalFormatting>
  <conditionalFormatting sqref="K9">
    <cfRule type="expression" dxfId="4" priority="205">
      <formula>AND(ISBLANK(J9),ISBLANK(R9),ISBLANK(Y9),ISBLANK(AF9),ISBLANK(AM9),ISBLANK(AT9),ISBLANK(BA9),ISBLANK(BH9),ISBLANK(BO9))</formula>
    </cfRule>
    <cfRule type="expression" dxfId="1" priority="206">
      <formula>IF(SUM(N9,U9,AB9,AI9,AP9,AW9,BD9,BK9)=0,1,0)</formula>
    </cfRule>
    <cfRule type="cellIs" dxfId="0" priority="207" operator="greaterThan">
      <formula>SUM(N9,U9,AB9,AI9,AP9,AW9,BD9,BK9)</formula>
    </cfRule>
    <cfRule type="cellIs" dxfId="3" priority="208" operator="greaterThan">
      <formula>SUM(IF(ISNUMBER(P9),O9,0),IF(ISNUMBER(W9),V9,0),IF(ISNUMBER(AD9),AC9,0),IF(ISNUMBER(AK9),AJ9,0),IF(ISNUMBER(AR9),AQ9,0),IF(ISNUMBER(AY9),AX9,0),IF(ISNUMBER(BF9),BE9,0),IF(ISNUMBER(BM9),BL9,0))</formula>
    </cfRule>
  </conditionalFormatting>
  <conditionalFormatting sqref="N10">
    <cfRule type="cellIs" dxfId="0" priority="5" operator="lessThan">
      <formula>K10</formula>
    </cfRule>
  </conditionalFormatting>
  <conditionalFormatting sqref="N11">
    <cfRule type="cellIs" dxfId="0" priority="9" operator="lessThan">
      <formula>K11</formula>
    </cfRule>
  </conditionalFormatting>
  <conditionalFormatting sqref="N7">
    <cfRule type="cellIs" dxfId="0" priority="1" operator="lessThan">
      <formula>K7</formula>
    </cfRule>
  </conditionalFormatting>
  <conditionalFormatting sqref="O10">
    <cfRule type="expression" dxfId="1" priority="6">
      <formula>AND(NOT(ISBLANK(O10)),OR(N10="NonStk",O10&gt;N10))</formula>
    </cfRule>
  </conditionalFormatting>
  <conditionalFormatting sqref="O11">
    <cfRule type="expression" dxfId="1" priority="10">
      <formula>AND(NOT(ISBLANK(O11)),OR(N11="NonStk",O11&gt;N11))</formula>
    </cfRule>
  </conditionalFormatting>
  <conditionalFormatting sqref="O7">
    <cfRule type="expression" dxfId="1" priority="2">
      <formula>AND(NOT(ISBLANK(O7)),OR(N7="NonStk",O7&gt;N7))</formula>
    </cfRule>
  </conditionalFormatting>
  <conditionalFormatting sqref="P10">
    <cfRule type="cellIs" dxfId="2" priority="8" operator="lessThanOrEqual">
      <formula>L10</formula>
    </cfRule>
  </conditionalFormatting>
  <conditionalFormatting sqref="P11">
    <cfRule type="cellIs" dxfId="2" priority="12" operator="lessThanOrEqual">
      <formula>L11</formula>
    </cfRule>
  </conditionalFormatting>
  <conditionalFormatting sqref="P7">
    <cfRule type="cellIs" dxfId="2" priority="4" operator="lessThanOrEqual">
      <formula>L7</formula>
    </cfRule>
  </conditionalFormatting>
  <conditionalFormatting sqref="R10">
    <cfRule type="cellIs" dxfId="2" priority="7" operator="lessThanOrEqual">
      <formula>M10</formula>
    </cfRule>
  </conditionalFormatting>
  <conditionalFormatting sqref="R11">
    <cfRule type="cellIs" dxfId="2" priority="11" operator="lessThanOrEqual">
      <formula>M11</formula>
    </cfRule>
  </conditionalFormatting>
  <conditionalFormatting sqref="R7">
    <cfRule type="cellIs" dxfId="2" priority="3" operator="lessThanOrEqual">
      <formula>M7</formula>
    </cfRule>
  </conditionalFormatting>
  <conditionalFormatting sqref="U10">
    <cfRule type="cellIs" dxfId="0" priority="25" operator="lessThan">
      <formula>K10</formula>
    </cfRule>
  </conditionalFormatting>
  <conditionalFormatting sqref="U11">
    <cfRule type="cellIs" dxfId="0" priority="33" operator="lessThan">
      <formula>K11</formula>
    </cfRule>
  </conditionalFormatting>
  <conditionalFormatting sqref="U12">
    <cfRule type="cellIs" dxfId="0" priority="37" operator="lessThan">
      <formula>K12</formula>
    </cfRule>
  </conditionalFormatting>
  <conditionalFormatting sqref="U7">
    <cfRule type="cellIs" dxfId="0" priority="13" operator="lessThan">
      <formula>K7</formula>
    </cfRule>
  </conditionalFormatting>
  <conditionalFormatting sqref="U8">
    <cfRule type="cellIs" dxfId="0" priority="17" operator="lessThan">
      <formula>K8</formula>
    </cfRule>
  </conditionalFormatting>
  <conditionalFormatting sqref="V10">
    <cfRule type="expression" dxfId="3" priority="26">
      <formula>AND(V10&gt;0,MOD(V10,X10)&lt;&gt;0)</formula>
    </cfRule>
    <cfRule type="expression" dxfId="1" priority="27">
      <formula>AND(NOT(ISBLANK(V10)),OR(U10="NonStk",V10&gt;U10))</formula>
    </cfRule>
  </conditionalFormatting>
  <conditionalFormatting sqref="V11">
    <cfRule type="expression" dxfId="1" priority="34">
      <formula>AND(NOT(ISBLANK(V11)),OR(U11="NonStk",V11&gt;U11))</formula>
    </cfRule>
  </conditionalFormatting>
  <conditionalFormatting sqref="V12">
    <cfRule type="expression" dxfId="1" priority="38">
      <formula>AND(NOT(ISBLANK(V12)),OR(U12="NonStk",V12&gt;U12))</formula>
    </cfRule>
  </conditionalFormatting>
  <conditionalFormatting sqref="V7">
    <cfRule type="expression" dxfId="1" priority="14">
      <formula>AND(NOT(ISBLANK(V7)),OR(U7="NonStk",V7&gt;U7))</formula>
    </cfRule>
  </conditionalFormatting>
  <conditionalFormatting sqref="V8">
    <cfRule type="expression" dxfId="3" priority="18">
      <formula>AND(V8&gt;0,MOD(V8,X8)&lt;&gt;0)</formula>
    </cfRule>
    <cfRule type="expression" dxfId="1" priority="19">
      <formula>AND(NOT(ISBLANK(V8)),OR(U8="NonStk",V8&gt;U8))</formula>
    </cfRule>
  </conditionalFormatting>
  <conditionalFormatting sqref="W10">
    <cfRule type="cellIs" dxfId="2" priority="29" operator="lessThanOrEqual">
      <formula>L10</formula>
    </cfRule>
    <cfRule type="expression" dxfId="3" priority="30">
      <formula>AND(K10&lt;5000,V10&lt;5000)</formula>
    </cfRule>
  </conditionalFormatting>
  <conditionalFormatting sqref="W11">
    <cfRule type="cellIs" dxfId="2" priority="36" operator="lessThanOrEqual">
      <formula>L11</formula>
    </cfRule>
  </conditionalFormatting>
  <conditionalFormatting sqref="W12">
    <cfRule type="cellIs" dxfId="2" priority="40" operator="lessThanOrEqual">
      <formula>L12</formula>
    </cfRule>
  </conditionalFormatting>
  <conditionalFormatting sqref="W7">
    <cfRule type="cellIs" dxfId="2" priority="16" operator="lessThanOrEqual">
      <formula>L7</formula>
    </cfRule>
  </conditionalFormatting>
  <conditionalFormatting sqref="W8">
    <cfRule type="cellIs" dxfId="2" priority="21" operator="lessThanOrEqual">
      <formula>L8</formula>
    </cfRule>
    <cfRule type="expression" dxfId="3" priority="22">
      <formula>AND(K8&lt;58000,V8&lt;58000)</formula>
    </cfRule>
  </conditionalFormatting>
  <conditionalFormatting sqref="X10">
    <cfRule type="expression" dxfId="3" priority="31">
      <formula>AND(K10&lt;5000,V10&lt;5000)</formula>
    </cfRule>
  </conditionalFormatting>
  <conditionalFormatting sqref="X8">
    <cfRule type="expression" dxfId="3" priority="23">
      <formula>AND(K8&lt;58000,V8&lt;58000)</formula>
    </cfRule>
  </conditionalFormatting>
  <conditionalFormatting sqref="Y10">
    <cfRule type="cellIs" dxfId="2" priority="28" operator="lessThanOrEqual">
      <formula>M10</formula>
    </cfRule>
    <cfRule type="expression" dxfId="3" priority="32">
      <formula>AND(K10&lt;5000,V10&lt;5000)</formula>
    </cfRule>
  </conditionalFormatting>
  <conditionalFormatting sqref="Y11">
    <cfRule type="cellIs" dxfId="2" priority="35" operator="lessThanOrEqual">
      <formula>M11</formula>
    </cfRule>
  </conditionalFormatting>
  <conditionalFormatting sqref="Y12">
    <cfRule type="cellIs" dxfId="2" priority="39" operator="lessThanOrEqual">
      <formula>M12</formula>
    </cfRule>
  </conditionalFormatting>
  <conditionalFormatting sqref="Y7">
    <cfRule type="cellIs" dxfId="2" priority="15" operator="lessThanOrEqual">
      <formula>M7</formula>
    </cfRule>
  </conditionalFormatting>
  <conditionalFormatting sqref="Y8">
    <cfRule type="cellIs" dxfId="2" priority="20" operator="lessThanOrEqual">
      <formula>M8</formula>
    </cfRule>
    <cfRule type="expression" dxfId="3" priority="24">
      <formula>AND(K8&lt;58000,V8&lt;58000)</formula>
    </cfRule>
  </conditionalFormatting>
  <hyperlinks>
    <hyperlink ref="J7" r:id="rId1"/>
    <hyperlink ref="T7" r:id="rId2"/>
    <hyperlink ref="AA7" r:id="rId3"/>
    <hyperlink ref="AH7" r:id="rId4"/>
    <hyperlink ref="AO7" r:id="rId5"/>
    <hyperlink ref="AV7" r:id="rId6"/>
    <hyperlink ref="BC7" r:id="rId7"/>
    <hyperlink ref="BJ7" r:id="rId8"/>
    <hyperlink ref="BQ7" r:id="rId9"/>
    <hyperlink ref="AA8" r:id="rId10"/>
    <hyperlink ref="AH8" r:id="rId11"/>
    <hyperlink ref="AV8" r:id="rId12"/>
    <hyperlink ref="BQ8" r:id="rId13"/>
    <hyperlink ref="AH9" r:id="rId14"/>
    <hyperlink ref="BC9" r:id="rId15"/>
    <hyperlink ref="T10" r:id="rId16"/>
    <hyperlink ref="AA10" r:id="rId17"/>
    <hyperlink ref="AH10" r:id="rId18"/>
    <hyperlink ref="AV10" r:id="rId19"/>
    <hyperlink ref="BC10" r:id="rId20"/>
    <hyperlink ref="T11" r:id="rId21"/>
    <hyperlink ref="AA11" r:id="rId22"/>
    <hyperlink ref="AH11" r:id="rId23"/>
    <hyperlink ref="BC11" r:id="rId24"/>
    <hyperlink ref="J12" r:id="rId25"/>
    <hyperlink ref="AA12" r:id="rId26"/>
    <hyperlink ref="AH12" r:id="rId27"/>
    <hyperlink ref="AO12" r:id="rId28"/>
    <hyperlink ref="AV12" r:id="rId29"/>
    <hyperlink ref="BC12" r:id="rId30"/>
    <hyperlink ref="BJ12" r:id="rId31"/>
    <hyperlink ref="BQ12" r:id="rId32"/>
    <hyperlink ref="J13" r:id="rId33"/>
    <hyperlink ref="BQ13" r:id="rId34"/>
    <hyperlink ref="J14" r:id="rId35"/>
    <hyperlink ref="BQ14" r:id="rId36"/>
    <hyperlink ref="N16" r:id="rId37"/>
    <hyperlink ref="U16" r:id="rId38"/>
    <hyperlink ref="AB16" r:id="rId39"/>
    <hyperlink ref="AI16" r:id="rId40"/>
    <hyperlink ref="AP16" r:id="rId41"/>
    <hyperlink ref="AW16" r:id="rId42"/>
    <hyperlink ref="BD16" r:id="rId43"/>
    <hyperlink ref="BK16" r:id="rId44"/>
  </hyperlinks>
  <pageMargins left="0.7" right="0.7" top="0.75" bottom="0.75" header="0.3" footer="0.3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Gazpar__20230214_214114-kicost</vt:lpstr>
      <vt:lpstr>'Gazpar__20230214_214114-kicost'!BoardQty</vt:lpstr>
      <vt:lpstr>'Gazpar__20230214_214114-kicost'!EUR_GBP</vt:lpstr>
      <vt:lpstr>'Gazpar__20230214_214114-kicost'!EUR_USD</vt:lpstr>
      <vt:lpstr>'Gazpar__20230214_214114-kicost'!PURCHASE_DESCRIPTION</vt:lpstr>
      <vt:lpstr>'Gazpar__20230214_214114-kicost'!TotalCost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2023-02-14T21:47:52Z</dcterms:created>
  <dcterms:modified xsi:type="dcterms:W3CDTF">2023-02-14T21:47:52Z</dcterms:modified>
</cp:coreProperties>
</file>