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deweerd\KiCAD\uwed-kicad\"/>
    </mc:Choice>
  </mc:AlternateContent>
  <xr:revisionPtr revIDLastSave="0" documentId="13_ncr:1_{D0E0F869-B09A-4903-BB10-6AFF7A2AC8BB}" xr6:coauthVersionLast="46" xr6:coauthVersionMax="46" xr10:uidLastSave="{00000000-0000-0000-0000-000000000000}"/>
  <bookViews>
    <workbookView xWindow="22932" yWindow="-108" windowWidth="23256" windowHeight="12576" xr2:uid="{00000000-000D-0000-FFFF-FFFF00000000}"/>
  </bookViews>
  <sheets>
    <sheet name="^_ana.neg5_micro1_micro2_reg1_r" sheetId="1" r:id="rId1"/>
  </sheets>
  <definedNames>
    <definedName name="arrow_part_data">'^_ana.neg5_micro1_micro2_reg1_r'!$O$5:$S$32</definedName>
    <definedName name="BoardQty">'^_ana.neg5_micro1_micro2_reg1_r'!$N$1</definedName>
    <definedName name="digikey_part_data">'^_ana.neg5_micro1_micro2_reg1_r'!$T$5:$X$32</definedName>
    <definedName name="farnell_part_data">'^_ana.neg5_micro1_micro2_reg1_r'!$Y$5:$AC$32</definedName>
    <definedName name="global_part_data">'^_ana.neg5_micro1_micro2_reg1_r'!$A$5:$N$32</definedName>
    <definedName name="mouser_part_data">'^_ana.neg5_micro1_micro2_reg1_r'!$AD$5:$AH$32</definedName>
    <definedName name="newark_part_data">'^_ana.neg5_micro1_micro2_reg1_r'!$AI$5:$AM$32</definedName>
    <definedName name="rs_part_data">'^_ana.neg5_micro1_micro2_reg1_r'!$AN$5:$AR$32</definedName>
    <definedName name="tme_part_data">'^_ana.neg5_micro1_micro2_reg1_r'!$AS$5:$AW$32</definedName>
    <definedName name="TotalCost">'^_ana.neg5_micro1_micro2_reg1_r'!$N$3</definedName>
  </definedNames>
  <calcPr calcId="191029"/>
</workbook>
</file>

<file path=xl/calcChain.xml><?xml version="1.0" encoding="utf-8"?>
<calcChain xmlns="http://schemas.openxmlformats.org/spreadsheetml/2006/main">
  <c r="AT60" i="1" l="1" a="1"/>
  <c r="AT60" i="1" s="1"/>
  <c r="AO60" i="1" a="1"/>
  <c r="AO60" i="1" s="1"/>
  <c r="AJ60" i="1" a="1"/>
  <c r="AJ60" i="1" s="1"/>
  <c r="AE60" i="1" a="1"/>
  <c r="AE60" i="1" s="1"/>
  <c r="Z60" i="1" a="1"/>
  <c r="Z60" i="1" s="1"/>
  <c r="U60" i="1" a="1"/>
  <c r="U60" i="1" s="1"/>
  <c r="P60" i="1" a="1"/>
  <c r="P60" i="1" s="1"/>
  <c r="AT59" i="1" a="1"/>
  <c r="AT59" i="1" s="1"/>
  <c r="AO59" i="1" a="1"/>
  <c r="AO59" i="1" s="1"/>
  <c r="AJ59" i="1" a="1"/>
  <c r="AJ59" i="1" s="1"/>
  <c r="AE59" i="1" a="1"/>
  <c r="AE59" i="1" s="1"/>
  <c r="Z59" i="1" a="1"/>
  <c r="Z59" i="1" s="1"/>
  <c r="U59" i="1" a="1"/>
  <c r="U59" i="1" s="1"/>
  <c r="P59" i="1" a="1"/>
  <c r="P59" i="1" s="1"/>
  <c r="AT58" i="1" a="1"/>
  <c r="AT58" i="1" s="1"/>
  <c r="AO58" i="1" a="1"/>
  <c r="AO58" i="1" s="1"/>
  <c r="AJ58" i="1" a="1"/>
  <c r="AJ58" i="1" s="1"/>
  <c r="AE58" i="1" a="1"/>
  <c r="AE58" i="1" s="1"/>
  <c r="Z58" i="1" a="1"/>
  <c r="Z58" i="1" s="1"/>
  <c r="U58" i="1" a="1"/>
  <c r="U58" i="1" s="1"/>
  <c r="P58" i="1" a="1"/>
  <c r="P58" i="1" s="1"/>
  <c r="AT57" i="1" a="1"/>
  <c r="AT57" i="1" s="1"/>
  <c r="AO57" i="1" a="1"/>
  <c r="AO57" i="1" s="1"/>
  <c r="AJ57" i="1" a="1"/>
  <c r="AJ57" i="1" s="1"/>
  <c r="AE57" i="1" a="1"/>
  <c r="AE57" i="1" s="1"/>
  <c r="Z57" i="1" a="1"/>
  <c r="Z57" i="1" s="1"/>
  <c r="U57" i="1" a="1"/>
  <c r="U57" i="1" s="1"/>
  <c r="P57" i="1" a="1"/>
  <c r="P57" i="1" s="1"/>
  <c r="AT56" i="1" a="1"/>
  <c r="AT56" i="1" s="1"/>
  <c r="AO56" i="1" a="1"/>
  <c r="AO56" i="1" s="1"/>
  <c r="AJ56" i="1" a="1"/>
  <c r="AJ56" i="1" s="1"/>
  <c r="AE56" i="1" a="1"/>
  <c r="AE56" i="1" s="1"/>
  <c r="Z56" i="1" a="1"/>
  <c r="Z56" i="1" s="1"/>
  <c r="U56" i="1" a="1"/>
  <c r="U56" i="1" s="1"/>
  <c r="P56" i="1" a="1"/>
  <c r="P56" i="1" s="1"/>
  <c r="AT55" i="1" a="1"/>
  <c r="AT55" i="1" s="1"/>
  <c r="AO55" i="1" a="1"/>
  <c r="AO55" i="1" s="1"/>
  <c r="AJ55" i="1" a="1"/>
  <c r="AJ55" i="1" s="1"/>
  <c r="AE55" i="1" a="1"/>
  <c r="AE55" i="1" s="1"/>
  <c r="Z55" i="1" a="1"/>
  <c r="Z55" i="1" s="1"/>
  <c r="U55" i="1" a="1"/>
  <c r="U55" i="1" s="1"/>
  <c r="P55" i="1" a="1"/>
  <c r="P55" i="1" s="1"/>
  <c r="AT54" i="1" a="1"/>
  <c r="AT54" i="1" s="1"/>
  <c r="AO54" i="1" a="1"/>
  <c r="AO54" i="1" s="1"/>
  <c r="AJ54" i="1" a="1"/>
  <c r="AJ54" i="1" s="1"/>
  <c r="AE54" i="1" a="1"/>
  <c r="AE54" i="1" s="1"/>
  <c r="Z54" i="1" a="1"/>
  <c r="Z54" i="1" s="1"/>
  <c r="U54" i="1" a="1"/>
  <c r="U54" i="1" s="1"/>
  <c r="P54" i="1" a="1"/>
  <c r="P54" i="1" s="1"/>
  <c r="AT53" i="1" a="1"/>
  <c r="AT53" i="1" s="1"/>
  <c r="AO53" i="1" a="1"/>
  <c r="AO53" i="1" s="1"/>
  <c r="AJ53" i="1" a="1"/>
  <c r="AJ53" i="1" s="1"/>
  <c r="AE53" i="1" a="1"/>
  <c r="AE53" i="1" s="1"/>
  <c r="Z53" i="1" a="1"/>
  <c r="Z53" i="1" s="1"/>
  <c r="U53" i="1" a="1"/>
  <c r="U53" i="1" s="1"/>
  <c r="P53" i="1" a="1"/>
  <c r="P53" i="1" s="1"/>
  <c r="AT52" i="1" a="1"/>
  <c r="AT52" i="1" s="1"/>
  <c r="AO52" i="1" a="1"/>
  <c r="AO52" i="1" s="1"/>
  <c r="AJ52" i="1" a="1"/>
  <c r="AJ52" i="1" s="1"/>
  <c r="AE52" i="1" a="1"/>
  <c r="AE52" i="1" s="1"/>
  <c r="Z52" i="1" a="1"/>
  <c r="Z52" i="1" s="1"/>
  <c r="U52" i="1" a="1"/>
  <c r="U52" i="1" s="1"/>
  <c r="P52" i="1" a="1"/>
  <c r="P52" i="1" s="1"/>
  <c r="AT51" i="1" a="1"/>
  <c r="AT51" i="1" s="1"/>
  <c r="AO51" i="1" a="1"/>
  <c r="AO51" i="1" s="1"/>
  <c r="AJ51" i="1" a="1"/>
  <c r="AJ51" i="1" s="1"/>
  <c r="AE51" i="1" a="1"/>
  <c r="AE51" i="1" s="1"/>
  <c r="Z51" i="1" a="1"/>
  <c r="Z51" i="1" s="1"/>
  <c r="U51" i="1" a="1"/>
  <c r="U51" i="1" s="1"/>
  <c r="P51" i="1" a="1"/>
  <c r="P51" i="1" s="1"/>
  <c r="AT50" i="1" a="1"/>
  <c r="AT50" i="1" s="1"/>
  <c r="AO50" i="1" a="1"/>
  <c r="AO50" i="1" s="1"/>
  <c r="AJ50" i="1" a="1"/>
  <c r="AJ50" i="1" s="1"/>
  <c r="AE50" i="1" a="1"/>
  <c r="AE50" i="1" s="1"/>
  <c r="Z50" i="1" a="1"/>
  <c r="Z50" i="1" s="1"/>
  <c r="U50" i="1" a="1"/>
  <c r="U50" i="1" s="1"/>
  <c r="P50" i="1" a="1"/>
  <c r="P50" i="1" s="1"/>
  <c r="AT49" i="1" a="1"/>
  <c r="AT49" i="1" s="1"/>
  <c r="AO49" i="1" a="1"/>
  <c r="AO49" i="1" s="1"/>
  <c r="AJ49" i="1" a="1"/>
  <c r="AJ49" i="1" s="1"/>
  <c r="AE49" i="1" a="1"/>
  <c r="AE49" i="1" s="1"/>
  <c r="Z49" i="1" a="1"/>
  <c r="Z49" i="1" s="1"/>
  <c r="U49" i="1" a="1"/>
  <c r="U49" i="1" s="1"/>
  <c r="P49" i="1" a="1"/>
  <c r="P49" i="1" s="1"/>
  <c r="AT48" i="1" a="1"/>
  <c r="AT48" i="1" s="1"/>
  <c r="AO48" i="1" a="1"/>
  <c r="AO48" i="1" s="1"/>
  <c r="AJ48" i="1" a="1"/>
  <c r="AJ48" i="1" s="1"/>
  <c r="AE48" i="1" a="1"/>
  <c r="AE48" i="1" s="1"/>
  <c r="Z48" i="1" a="1"/>
  <c r="Z48" i="1" s="1"/>
  <c r="U48" i="1" a="1"/>
  <c r="U48" i="1" s="1"/>
  <c r="P48" i="1" a="1"/>
  <c r="P48" i="1" s="1"/>
  <c r="AT47" i="1" a="1"/>
  <c r="AT47" i="1" s="1"/>
  <c r="AO47" i="1" a="1"/>
  <c r="AO47" i="1" s="1"/>
  <c r="AJ47" i="1" a="1"/>
  <c r="AJ47" i="1" s="1"/>
  <c r="AE47" i="1" a="1"/>
  <c r="AE47" i="1" s="1"/>
  <c r="Z47" i="1" a="1"/>
  <c r="Z47" i="1" s="1"/>
  <c r="U47" i="1" a="1"/>
  <c r="U47" i="1" s="1"/>
  <c r="P47" i="1" a="1"/>
  <c r="P47" i="1" s="1"/>
  <c r="AT46" i="1" a="1"/>
  <c r="AT46" i="1" s="1"/>
  <c r="AO46" i="1" a="1"/>
  <c r="AO46" i="1" s="1"/>
  <c r="AJ46" i="1" a="1"/>
  <c r="AJ46" i="1" s="1"/>
  <c r="AE46" i="1" a="1"/>
  <c r="AE46" i="1" s="1"/>
  <c r="Z46" i="1" a="1"/>
  <c r="Z46" i="1" s="1"/>
  <c r="U46" i="1" a="1"/>
  <c r="U46" i="1" s="1"/>
  <c r="P46" i="1" a="1"/>
  <c r="P46" i="1" s="1"/>
  <c r="AT45" i="1" a="1"/>
  <c r="AT45" i="1" s="1"/>
  <c r="AO45" i="1" a="1"/>
  <c r="AO45" i="1" s="1"/>
  <c r="AJ45" i="1" a="1"/>
  <c r="AJ45" i="1" s="1"/>
  <c r="AE45" i="1" a="1"/>
  <c r="AE45" i="1" s="1"/>
  <c r="Z45" i="1" a="1"/>
  <c r="Z45" i="1" s="1"/>
  <c r="U45" i="1" a="1"/>
  <c r="U45" i="1" s="1"/>
  <c r="P45" i="1" a="1"/>
  <c r="P45" i="1" s="1"/>
  <c r="AT44" i="1" a="1"/>
  <c r="AT44" i="1" s="1"/>
  <c r="AO44" i="1" a="1"/>
  <c r="AO44" i="1" s="1"/>
  <c r="AJ44" i="1" a="1"/>
  <c r="AJ44" i="1" s="1"/>
  <c r="AE44" i="1" a="1"/>
  <c r="AE44" i="1" s="1"/>
  <c r="Z44" i="1" a="1"/>
  <c r="Z44" i="1" s="1"/>
  <c r="U44" i="1" a="1"/>
  <c r="U44" i="1" s="1"/>
  <c r="P44" i="1" a="1"/>
  <c r="P44" i="1" s="1"/>
  <c r="AT43" i="1" a="1"/>
  <c r="AT43" i="1" s="1"/>
  <c r="AO43" i="1" a="1"/>
  <c r="AO43" i="1" s="1"/>
  <c r="AJ43" i="1" a="1"/>
  <c r="AJ43" i="1" s="1"/>
  <c r="AE43" i="1" a="1"/>
  <c r="AE43" i="1" s="1"/>
  <c r="Z43" i="1" a="1"/>
  <c r="Z43" i="1" s="1"/>
  <c r="U43" i="1" a="1"/>
  <c r="U43" i="1" s="1"/>
  <c r="P43" i="1" a="1"/>
  <c r="P43" i="1" s="1"/>
  <c r="AT42" i="1" a="1"/>
  <c r="AT42" i="1" s="1"/>
  <c r="AO42" i="1" a="1"/>
  <c r="AO42" i="1" s="1"/>
  <c r="AJ42" i="1" a="1"/>
  <c r="AJ42" i="1" s="1"/>
  <c r="AE42" i="1" a="1"/>
  <c r="AE42" i="1" s="1"/>
  <c r="Z42" i="1" a="1"/>
  <c r="Z42" i="1" s="1"/>
  <c r="U42" i="1" a="1"/>
  <c r="U42" i="1" s="1"/>
  <c r="P42" i="1" a="1"/>
  <c r="P42" i="1" s="1"/>
  <c r="AT41" i="1" a="1"/>
  <c r="AT41" i="1" s="1"/>
  <c r="AO41" i="1" a="1"/>
  <c r="AO41" i="1" s="1"/>
  <c r="AJ41" i="1" a="1"/>
  <c r="AJ41" i="1" s="1"/>
  <c r="AE41" i="1" a="1"/>
  <c r="AE41" i="1" s="1"/>
  <c r="Z41" i="1" a="1"/>
  <c r="Z41" i="1" s="1"/>
  <c r="U41" i="1" a="1"/>
  <c r="U41" i="1" s="1"/>
  <c r="P41" i="1" a="1"/>
  <c r="P41" i="1" s="1"/>
  <c r="AT40" i="1" a="1"/>
  <c r="AT40" i="1" s="1"/>
  <c r="AO40" i="1" a="1"/>
  <c r="AO40" i="1" s="1"/>
  <c r="AJ40" i="1" a="1"/>
  <c r="AJ40" i="1" s="1"/>
  <c r="AE40" i="1" a="1"/>
  <c r="AE40" i="1" s="1"/>
  <c r="Z40" i="1" a="1"/>
  <c r="Z40" i="1" s="1"/>
  <c r="U40" i="1" a="1"/>
  <c r="U40" i="1" s="1"/>
  <c r="P40" i="1" a="1"/>
  <c r="P40" i="1" s="1"/>
  <c r="AT39" i="1" a="1"/>
  <c r="AT39" i="1" s="1"/>
  <c r="AO39" i="1" a="1"/>
  <c r="AO39" i="1" s="1"/>
  <c r="AJ39" i="1" a="1"/>
  <c r="AJ39" i="1" s="1"/>
  <c r="AE39" i="1" a="1"/>
  <c r="AE39" i="1" s="1"/>
  <c r="Z39" i="1" a="1"/>
  <c r="Z39" i="1" s="1"/>
  <c r="U39" i="1" a="1"/>
  <c r="U39" i="1" s="1"/>
  <c r="P39" i="1" a="1"/>
  <c r="P39" i="1" s="1"/>
  <c r="AT38" i="1" a="1"/>
  <c r="AT38" i="1" s="1"/>
  <c r="AO38" i="1" a="1"/>
  <c r="AO38" i="1" s="1"/>
  <c r="AJ38" i="1" a="1"/>
  <c r="AJ38" i="1" s="1"/>
  <c r="AE38" i="1" a="1"/>
  <c r="AE38" i="1" s="1"/>
  <c r="Z38" i="1" a="1"/>
  <c r="Z38" i="1" s="1"/>
  <c r="U38" i="1" a="1"/>
  <c r="U38" i="1" s="1"/>
  <c r="P38" i="1" a="1"/>
  <c r="P38" i="1" s="1"/>
  <c r="AT37" i="1" a="1"/>
  <c r="AT37" i="1" s="1"/>
  <c r="AO37" i="1" a="1"/>
  <c r="AO37" i="1" s="1"/>
  <c r="AJ37" i="1" a="1"/>
  <c r="AJ37" i="1" s="1"/>
  <c r="AE37" i="1" a="1"/>
  <c r="AE37" i="1" s="1"/>
  <c r="Z37" i="1" a="1"/>
  <c r="Z37" i="1" s="1"/>
  <c r="U37" i="1" a="1"/>
  <c r="U37" i="1" s="1"/>
  <c r="P37" i="1" a="1"/>
  <c r="P37" i="1" s="1"/>
  <c r="AT36" i="1" a="1"/>
  <c r="AT36" i="1" s="1"/>
  <c r="AO36" i="1" a="1"/>
  <c r="AO36" i="1" s="1"/>
  <c r="AJ36" i="1" a="1"/>
  <c r="AJ36" i="1" s="1"/>
  <c r="AE36" i="1" a="1"/>
  <c r="AE36" i="1" s="1"/>
  <c r="Z36" i="1" a="1"/>
  <c r="Z36" i="1" s="1"/>
  <c r="U36" i="1" a="1"/>
  <c r="U36" i="1" s="1"/>
  <c r="P36" i="1" a="1"/>
  <c r="P36" i="1" s="1"/>
  <c r="AT35" i="1" a="1"/>
  <c r="AT35" i="1" s="1"/>
  <c r="AO35" i="1" a="1"/>
  <c r="AO35" i="1" s="1"/>
  <c r="AJ35" i="1" a="1"/>
  <c r="AJ35" i="1" s="1"/>
  <c r="AE35" i="1" a="1"/>
  <c r="AE35" i="1" s="1"/>
  <c r="Z35" i="1" a="1"/>
  <c r="Z35" i="1" s="1"/>
  <c r="U35" i="1" a="1"/>
  <c r="U35" i="1" s="1"/>
  <c r="P35" i="1" a="1"/>
  <c r="P35" i="1" s="1"/>
  <c r="AV34" i="1"/>
  <c r="AT34" i="1"/>
  <c r="AQ34" i="1"/>
  <c r="AO34" i="1"/>
  <c r="AL34" i="1"/>
  <c r="AJ34" i="1"/>
  <c r="AG34" i="1"/>
  <c r="AE34" i="1"/>
  <c r="AB34" i="1"/>
  <c r="Z34" i="1"/>
  <c r="R34" i="1"/>
  <c r="P34" i="1"/>
  <c r="L32" i="1"/>
  <c r="AK32" i="1" s="1"/>
  <c r="AL32" i="1" s="1"/>
  <c r="L31" i="1"/>
  <c r="L30" i="1"/>
  <c r="AK30" i="1" s="1"/>
  <c r="AL30" i="1" s="1"/>
  <c r="L29" i="1"/>
  <c r="L28" i="1"/>
  <c r="AF28" i="1" s="1"/>
  <c r="AG28" i="1" s="1"/>
  <c r="L27" i="1"/>
  <c r="L26" i="1"/>
  <c r="V26" i="1" s="1"/>
  <c r="W26" i="1" s="1"/>
  <c r="L25" i="1"/>
  <c r="L24" i="1"/>
  <c r="V24" i="1" s="1"/>
  <c r="W24" i="1" s="1"/>
  <c r="L23" i="1"/>
  <c r="L22" i="1"/>
  <c r="AF22" i="1" s="1"/>
  <c r="AG22" i="1" s="1"/>
  <c r="L21" i="1"/>
  <c r="L20" i="1"/>
  <c r="V20" i="1" s="1"/>
  <c r="W20" i="1" s="1"/>
  <c r="L19" i="1"/>
  <c r="L18" i="1"/>
  <c r="AA18" i="1" s="1"/>
  <c r="AB18" i="1" s="1"/>
  <c r="L17" i="1"/>
  <c r="L16" i="1"/>
  <c r="V16" i="1" s="1"/>
  <c r="W16" i="1" s="1"/>
  <c r="L15" i="1"/>
  <c r="L14" i="1"/>
  <c r="V14" i="1" s="1"/>
  <c r="W14" i="1" s="1"/>
  <c r="L13" i="1"/>
  <c r="Q12" i="1"/>
  <c r="R12" i="1" s="1"/>
  <c r="L12" i="1"/>
  <c r="AU12" i="1" s="1"/>
  <c r="AV12" i="1" s="1"/>
  <c r="L11" i="1"/>
  <c r="L10" i="1"/>
  <c r="AF10" i="1" s="1"/>
  <c r="AG10" i="1" s="1"/>
  <c r="L9" i="1"/>
  <c r="L8" i="1"/>
  <c r="AA8" i="1" s="1"/>
  <c r="AB8" i="1" s="1"/>
  <c r="L7" i="1"/>
  <c r="M20" i="1"/>
  <c r="AF32" i="1" l="1"/>
  <c r="AG32" i="1" s="1"/>
  <c r="Q26" i="1"/>
  <c r="R26" i="1" s="1"/>
  <c r="AA26" i="1"/>
  <c r="AB26" i="1" s="1"/>
  <c r="AK26" i="1"/>
  <c r="AL26" i="1" s="1"/>
  <c r="AF16" i="1"/>
  <c r="AG16" i="1" s="1"/>
  <c r="AU16" i="1"/>
  <c r="AV16" i="1" s="1"/>
  <c r="AP16" i="1"/>
  <c r="AQ16" i="1" s="1"/>
  <c r="AF26" i="1"/>
  <c r="Q30" i="1"/>
  <c r="R30" i="1" s="1"/>
  <c r="AU8" i="1"/>
  <c r="AV8" i="1" s="1"/>
  <c r="AF18" i="1"/>
  <c r="AG18" i="1" s="1"/>
  <c r="AK28" i="1"/>
  <c r="AL28" i="1" s="1"/>
  <c r="AU28" i="1"/>
  <c r="AV28" i="1" s="1"/>
  <c r="AA16" i="1"/>
  <c r="AB16" i="1" s="1"/>
  <c r="AA24" i="1"/>
  <c r="Q32" i="1"/>
  <c r="AA12" i="1"/>
  <c r="AB12" i="1" s="1"/>
  <c r="AF12" i="1"/>
  <c r="AG12" i="1" s="1"/>
  <c r="AF24" i="1"/>
  <c r="AG24" i="1" s="1"/>
  <c r="V32" i="1"/>
  <c r="W32" i="1" s="1"/>
  <c r="AF14" i="1"/>
  <c r="V12" i="1"/>
  <c r="Q10" i="1"/>
  <c r="V10" i="1"/>
  <c r="W10" i="1" s="1"/>
  <c r="AA10" i="1"/>
  <c r="AB10" i="1" s="1"/>
  <c r="AK12" i="1"/>
  <c r="AL12" i="1" s="1"/>
  <c r="AK24" i="1"/>
  <c r="AL24" i="1" s="1"/>
  <c r="V8" i="1"/>
  <c r="W8" i="1" s="1"/>
  <c r="AP12" i="1"/>
  <c r="AQ12" i="1" s="1"/>
  <c r="Q16" i="1"/>
  <c r="V18" i="1"/>
  <c r="V22" i="1"/>
  <c r="V30" i="1"/>
  <c r="Q8" i="1"/>
  <c r="V28" i="1"/>
  <c r="AF30" i="1"/>
  <c r="AG30" i="1" s="1"/>
  <c r="AU9" i="1"/>
  <c r="AV9" i="1" s="1"/>
  <c r="AA9" i="1"/>
  <c r="AB9" i="1" s="1"/>
  <c r="AP9" i="1"/>
  <c r="AQ9" i="1" s="1"/>
  <c r="V9" i="1"/>
  <c r="W9" i="1" s="1"/>
  <c r="AK9" i="1"/>
  <c r="AL9" i="1" s="1"/>
  <c r="Q9" i="1"/>
  <c r="AF9" i="1"/>
  <c r="AG9" i="1" s="1"/>
  <c r="V15" i="1"/>
  <c r="W15" i="1" s="1"/>
  <c r="AP15" i="1"/>
  <c r="AQ15" i="1" s="1"/>
  <c r="Q15" i="1"/>
  <c r="AF15" i="1"/>
  <c r="AG15" i="1" s="1"/>
  <c r="AA15" i="1"/>
  <c r="AB15" i="1" s="1"/>
  <c r="AF19" i="1"/>
  <c r="AG19" i="1" s="1"/>
  <c r="AA19" i="1"/>
  <c r="AB19" i="1" s="1"/>
  <c r="V19" i="1"/>
  <c r="AK19" i="1"/>
  <c r="AL19" i="1" s="1"/>
  <c r="V25" i="1"/>
  <c r="W25" i="1" s="1"/>
  <c r="Q25" i="1"/>
  <c r="AK25" i="1"/>
  <c r="AL25" i="1" s="1"/>
  <c r="AF25" i="1"/>
  <c r="AG25" i="1" s="1"/>
  <c r="Q11" i="1"/>
  <c r="AU11" i="1"/>
  <c r="AV11" i="1" s="1"/>
  <c r="AP11" i="1"/>
  <c r="AQ11" i="1" s="1"/>
  <c r="V11" i="1"/>
  <c r="W11" i="1" s="1"/>
  <c r="V27" i="1"/>
  <c r="W27" i="1" s="1"/>
  <c r="Q27" i="1"/>
  <c r="AK27" i="1"/>
  <c r="AL27" i="1" s="1"/>
  <c r="AF27" i="1"/>
  <c r="AG27" i="1" s="1"/>
  <c r="AF17" i="1"/>
  <c r="AG17" i="1" s="1"/>
  <c r="AU17" i="1"/>
  <c r="AV17" i="1" s="1"/>
  <c r="AA17" i="1"/>
  <c r="AB17" i="1" s="1"/>
  <c r="AP17" i="1"/>
  <c r="AQ17" i="1" s="1"/>
  <c r="V17" i="1"/>
  <c r="W17" i="1" s="1"/>
  <c r="AK17" i="1"/>
  <c r="AL17" i="1" s="1"/>
  <c r="Q17" i="1"/>
  <c r="Q23" i="1"/>
  <c r="AK23" i="1"/>
  <c r="AL23" i="1" s="1"/>
  <c r="AF23" i="1"/>
  <c r="AG23" i="1" s="1"/>
  <c r="V23" i="1"/>
  <c r="W23" i="1" s="1"/>
  <c r="AF31" i="1"/>
  <c r="AG31" i="1" s="1"/>
  <c r="V31" i="1"/>
  <c r="W31" i="1" s="1"/>
  <c r="Q31" i="1"/>
  <c r="AK31" i="1"/>
  <c r="AL31" i="1" s="1"/>
  <c r="AF7" i="1"/>
  <c r="AG7" i="1" s="1"/>
  <c r="AA7" i="1"/>
  <c r="AB7" i="1" s="1"/>
  <c r="AP7" i="1"/>
  <c r="AQ7" i="1" s="1"/>
  <c r="V7" i="1"/>
  <c r="W7" i="1" s="1"/>
  <c r="AK7" i="1"/>
  <c r="AL7" i="1" s="1"/>
  <c r="Q7" i="1"/>
  <c r="N20" i="1"/>
  <c r="AF13" i="1"/>
  <c r="AG13" i="1" s="1"/>
  <c r="V13" i="1"/>
  <c r="W13" i="1" s="1"/>
  <c r="Q13" i="1"/>
  <c r="AK13" i="1"/>
  <c r="AL13" i="1" s="1"/>
  <c r="AA21" i="1"/>
  <c r="AB21" i="1" s="1"/>
  <c r="V21" i="1"/>
  <c r="W21" i="1" s="1"/>
  <c r="AK21" i="1"/>
  <c r="AL21" i="1" s="1"/>
  <c r="Q21" i="1"/>
  <c r="AF21" i="1"/>
  <c r="AG21" i="1" s="1"/>
  <c r="AF29" i="1"/>
  <c r="AG29" i="1" s="1"/>
  <c r="V29" i="1"/>
  <c r="W29" i="1" s="1"/>
  <c r="AU29" i="1"/>
  <c r="AV29" i="1" s="1"/>
  <c r="Q29" i="1"/>
  <c r="AK29" i="1"/>
  <c r="AL29" i="1" s="1"/>
  <c r="M28" i="1"/>
  <c r="M29" i="1"/>
  <c r="M25" i="1"/>
  <c r="M16" i="1"/>
  <c r="M9" i="1"/>
  <c r="M26" i="1"/>
  <c r="M19" i="1"/>
  <c r="M24" i="1"/>
  <c r="M22" i="1"/>
  <c r="M27" i="1"/>
  <c r="M23" i="1"/>
  <c r="M11" i="1"/>
  <c r="M10" i="1"/>
  <c r="M21" i="1"/>
  <c r="M31" i="1"/>
  <c r="M18" i="1"/>
  <c r="M17" i="1"/>
  <c r="M32" i="1"/>
  <c r="M15" i="1"/>
  <c r="M12" i="1"/>
  <c r="M30" i="1"/>
  <c r="M7" i="1"/>
  <c r="M13" i="1"/>
  <c r="M14" i="1"/>
  <c r="M8" i="1"/>
  <c r="AV3" i="1" l="1"/>
  <c r="N26" i="1"/>
  <c r="AG26" i="1"/>
  <c r="N16" i="1"/>
  <c r="N12" i="1"/>
  <c r="N14" i="1"/>
  <c r="N28" i="1"/>
  <c r="N8" i="1"/>
  <c r="N30" i="1"/>
  <c r="N22" i="1"/>
  <c r="N32" i="1"/>
  <c r="N18" i="1"/>
  <c r="N10" i="1"/>
  <c r="N24" i="1"/>
  <c r="R16" i="1"/>
  <c r="W12" i="1"/>
  <c r="AG14" i="1"/>
  <c r="AH3" i="1" s="1"/>
  <c r="AW3" i="1"/>
  <c r="W28" i="1"/>
  <c r="R8" i="1"/>
  <c r="W30" i="1"/>
  <c r="W22" i="1"/>
  <c r="R32" i="1"/>
  <c r="W18" i="1"/>
  <c r="U34" i="1" s="1"/>
  <c r="R10" i="1"/>
  <c r="AB24" i="1"/>
  <c r="AC3" i="1" s="1"/>
  <c r="N27" i="1"/>
  <c r="N9" i="1"/>
  <c r="N23" i="1"/>
  <c r="N25" i="1"/>
  <c r="N29" i="1"/>
  <c r="N13" i="1"/>
  <c r="N7" i="1"/>
  <c r="N31" i="1"/>
  <c r="N15" i="1"/>
  <c r="N17" i="1"/>
  <c r="N21" i="1"/>
  <c r="N11" i="1"/>
  <c r="N19" i="1"/>
  <c r="AR3" i="1"/>
  <c r="AQ3" i="1"/>
  <c r="R27" i="1"/>
  <c r="R9" i="1"/>
  <c r="R23" i="1"/>
  <c r="R25" i="1"/>
  <c r="R29" i="1"/>
  <c r="R13" i="1"/>
  <c r="R7" i="1"/>
  <c r="R31" i="1"/>
  <c r="R15" i="1"/>
  <c r="AM3" i="1"/>
  <c r="AL3" i="1"/>
  <c r="R17" i="1"/>
  <c r="R21" i="1"/>
  <c r="R11" i="1"/>
  <c r="W19" i="1"/>
  <c r="W34" i="1" l="1"/>
  <c r="X3" i="1"/>
  <c r="AG3" i="1"/>
  <c r="AB3" i="1"/>
  <c r="W3" i="1"/>
  <c r="N3" i="1"/>
  <c r="N2" i="1" s="1"/>
  <c r="S3" i="1"/>
  <c r="R3" i="1"/>
  <c r="N3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M3" authorId="0" shapeId="0" xr:uid="{00000000-0006-0000-0000-000001000000}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S3" authorId="0" shapeId="0" xr:uid="{00000000-0006-0000-0000-000002000000}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X3" authorId="0" shapeId="0" xr:uid="{00000000-0006-0000-0000-000003000000}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C3" authorId="0" shapeId="0" xr:uid="{00000000-0006-0000-0000-000004000000}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H3" authorId="0" shapeId="0" xr:uid="{00000000-0006-0000-0000-000005000000}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M3" authorId="0" shapeId="0" xr:uid="{00000000-0006-0000-0000-000006000000}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R3" authorId="0" shapeId="0" xr:uid="{00000000-0006-0000-0000-000007000000}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W3" authorId="0" shapeId="0" xr:uid="{00000000-0006-0000-0000-000008000000}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 shapeId="0" xr:uid="{00000000-0006-0000-0000-000009000000}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 shapeId="0" xr:uid="{00000000-0006-0000-0000-00000A000000}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 shapeId="0" xr:uid="{00000000-0006-0000-0000-00000B000000}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 shapeId="0" xr:uid="{00000000-0006-0000-0000-00000C000000}">
      <text>
        <r>
          <rPr>
            <sz val="8"/>
            <color indexed="81"/>
            <rFont val="Tahoma"/>
            <family val="2"/>
          </rPr>
          <t>User-defined field.</t>
        </r>
      </text>
    </comment>
    <comment ref="E6" authorId="0" shapeId="0" xr:uid="{00000000-0006-0000-0000-00000D000000}">
      <text>
        <r>
          <rPr>
            <sz val="8"/>
            <color indexed="81"/>
            <rFont val="Tahoma"/>
            <family val="2"/>
          </rPr>
          <t>User-defined field.</t>
        </r>
      </text>
    </comment>
    <comment ref="F6" authorId="0" shapeId="0" xr:uid="{00000000-0006-0000-0000-00000E000000}">
      <text>
        <r>
          <rPr>
            <sz val="8"/>
            <color indexed="81"/>
            <rFont val="Tahoma"/>
            <family val="2"/>
          </rPr>
          <t>User-defined field.</t>
        </r>
      </text>
    </comment>
    <comment ref="G6" authorId="0" shapeId="0" xr:uid="{00000000-0006-0000-0000-00000F000000}">
      <text>
        <r>
          <rPr>
            <sz val="8"/>
            <color indexed="81"/>
            <rFont val="Tahoma"/>
            <family val="2"/>
          </rPr>
          <t>User-defined field.</t>
        </r>
      </text>
    </comment>
    <comment ref="H6" authorId="0" shapeId="0" xr:uid="{00000000-0006-0000-0000-000010000000}">
      <text>
        <r>
          <rPr>
            <sz val="8"/>
            <color indexed="81"/>
            <rFont val="Tahoma"/>
            <family val="2"/>
          </rPr>
          <t>User-defined field.</t>
        </r>
      </text>
    </comment>
    <comment ref="I6" authorId="0" shapeId="0" xr:uid="{00000000-0006-0000-0000-000011000000}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J6" authorId="0" shapeId="0" xr:uid="{00000000-0006-0000-0000-000012000000}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K6" authorId="0" shapeId="0" xr:uid="{00000000-0006-0000-0000-000013000000}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L6" authorId="0" shapeId="0" xr:uid="{00000000-0006-0000-0000-000014000000}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M6" authorId="0" shapeId="0" xr:uid="{00000000-0006-0000-0000-000015000000}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N6" authorId="0" shapeId="0" xr:uid="{00000000-0006-0000-0000-000016000000}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O6" authorId="0" shapeId="0" xr:uid="{00000000-0006-0000-0000-000017000000}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P6" authorId="0" shapeId="0" xr:uid="{00000000-0006-0000-0000-000018000000}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Q6" authorId="0" shapeId="0" xr:uid="{00000000-0006-0000-0000-000019000000}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R6" authorId="0" shapeId="0" xr:uid="{00000000-0006-0000-0000-00001A000000}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S6" authorId="0" shapeId="0" xr:uid="{00000000-0006-0000-0000-00001B000000}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T6" authorId="0" shapeId="0" xr:uid="{00000000-0006-0000-0000-00001C000000}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U6" authorId="0" shapeId="0" xr:uid="{00000000-0006-0000-0000-00001D000000}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V6" authorId="0" shapeId="0" xr:uid="{00000000-0006-0000-0000-00001E000000}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W6" authorId="0" shapeId="0" xr:uid="{00000000-0006-0000-0000-00001F000000}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X6" authorId="0" shapeId="0" xr:uid="{00000000-0006-0000-0000-000020000000}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Y6" authorId="0" shapeId="0" xr:uid="{00000000-0006-0000-0000-000021000000}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Z6" authorId="0" shapeId="0" xr:uid="{00000000-0006-0000-0000-000022000000}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A6" authorId="0" shapeId="0" xr:uid="{00000000-0006-0000-0000-000023000000}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B6" authorId="0" shapeId="0" xr:uid="{00000000-0006-0000-0000-000024000000}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C6" authorId="0" shapeId="0" xr:uid="{00000000-0006-0000-0000-000025000000}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D6" authorId="0" shapeId="0" xr:uid="{00000000-0006-0000-0000-000026000000}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E6" authorId="0" shapeId="0" xr:uid="{00000000-0006-0000-0000-000027000000}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F6" authorId="0" shapeId="0" xr:uid="{00000000-0006-0000-0000-000028000000}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G6" authorId="0" shapeId="0" xr:uid="{00000000-0006-0000-0000-000029000000}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H6" authorId="0" shapeId="0" xr:uid="{00000000-0006-0000-0000-00002A000000}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I6" authorId="0" shapeId="0" xr:uid="{00000000-0006-0000-0000-00002B000000}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J6" authorId="0" shapeId="0" xr:uid="{00000000-0006-0000-0000-00002C000000}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K6" authorId="0" shapeId="0" xr:uid="{00000000-0006-0000-0000-00002D000000}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L6" authorId="0" shapeId="0" xr:uid="{00000000-0006-0000-0000-00002E000000}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M6" authorId="0" shapeId="0" xr:uid="{00000000-0006-0000-0000-00002F000000}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N6" authorId="0" shapeId="0" xr:uid="{00000000-0006-0000-0000-000030000000}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O6" authorId="0" shapeId="0" xr:uid="{00000000-0006-0000-0000-000031000000}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P6" authorId="0" shapeId="0" xr:uid="{00000000-0006-0000-0000-000032000000}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Q6" authorId="0" shapeId="0" xr:uid="{00000000-0006-0000-0000-000033000000}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R6" authorId="0" shapeId="0" xr:uid="{00000000-0006-0000-0000-000034000000}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S6" authorId="0" shapeId="0" xr:uid="{00000000-0006-0000-0000-000035000000}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T6" authorId="0" shapeId="0" xr:uid="{00000000-0006-0000-0000-000036000000}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U6" authorId="0" shapeId="0" xr:uid="{00000000-0006-0000-0000-000037000000}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V6" authorId="0" shapeId="0" xr:uid="{00000000-0006-0000-0000-000038000000}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W6" authorId="0" shapeId="0" xr:uid="{00000000-0006-0000-0000-000039000000}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Q7" authorId="0" shapeId="0" xr:uid="{00000000-0006-0000-0000-00003A000000}">
      <text>
        <r>
          <rPr>
            <sz val="8"/>
            <color indexed="81"/>
            <rFont val="Tahoma"/>
            <family val="2"/>
          </rPr>
          <t>Qty/Price Breaks:
  Qty  -  Unit€  -  Ext€
================
     1   €0.31      €0.31
    10   €0.33      €3.34
    25   €0.28      €7.04
   100   €0.27     €27.21
   250   €0.26     €64.60
   500   €0.25    €125.20
  1000   €0.22    €218.80
  2000   €0.21    €428.00
  3000   €0.23    €687.00
  6000   €0.23  €1,356.60
  7000   €0.19  €1,363.60
 14000   €0.19  €2,721.60
 15000   €0.22  €3,348.00
 30000   €0.22  €6,612.00</t>
        </r>
      </text>
    </comment>
    <comment ref="V7" authorId="0" shapeId="0" xr:uid="{00000000-0006-0000-0000-00003B000000}">
      <text>
        <r>
          <rPr>
            <sz val="8"/>
            <color indexed="81"/>
            <rFont val="Tahoma"/>
            <family val="2"/>
          </rPr>
          <t>Qty/Price Breaks:
  Qty  -  Unit€  -  Ext€
================
     1   €0.52      €0.52
    10   €0.50      €5.02
    25   €0.49     €12.32
    50   €0.47     €23.71
   100   €0.41     €40.91
   250   €0.37     €92.98
   500   €0.35    €176.67
  1000   €0.28    €278.95
  7000   €0.24  €1,656.76</t>
        </r>
      </text>
    </comment>
    <comment ref="Y7" authorId="0" shapeId="0" xr:uid="{00000000-0006-0000-0000-00003C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A7" authorId="0" shapeId="0" xr:uid="{00000000-0006-0000-0000-00003D000000}">
      <text>
        <r>
          <rPr>
            <sz val="8"/>
            <color indexed="81"/>
            <rFont val="Tahoma"/>
            <family val="2"/>
          </rPr>
          <t>Qty/Price Breaks:
  Qty  -  Unit€  -  Ext€
================
     1   €0.37      €0.37
    10   €0.37      €3.67
   150   €0.37     €55.04
   500   €0.35    €174.39
  1000   €0.27    €274.87
  5000   €0.23  €1,166.90
 10000   €0.23  €2,281.94</t>
        </r>
      </text>
    </comment>
    <comment ref="AF7" authorId="0" shapeId="0" xr:uid="{00000000-0006-0000-0000-00003E000000}">
      <text>
        <r>
          <rPr>
            <sz val="8"/>
            <color indexed="81"/>
            <rFont val="Tahoma"/>
            <family val="2"/>
          </rPr>
          <t>Qty/Price Breaks:
  Qty  -  Unit€  -  Ext€
================
     1   €0.52      €0.52
    10   €0.52      €5.20
    50   €0.43     €21.60
   100   €0.41     €40.90
  1000   €0.28    €279.00
 10000   €0.23  €2,330.00</t>
        </r>
      </text>
    </comment>
    <comment ref="AK7" authorId="0" shapeId="0" xr:uid="{00000000-0006-0000-0000-00003F000000}">
      <text>
        <r>
          <rPr>
            <sz val="8"/>
            <color indexed="81"/>
            <rFont val="Tahoma"/>
            <family val="2"/>
          </rPr>
          <t>Qty/Price Breaks:
  Qty  -  Unit€  -  Ext€
================
     1   €0.20      €0.20
    10   €0.20      €2.00
    25   €0.20      €5.00
    50   €0.20     €10.00
   100   €0.20     €20.00
   250   €0.20     €50.00
   500   €0.20    €100.00
  1000   €0.20    €200.00</t>
        </r>
      </text>
    </comment>
    <comment ref="AP7" authorId="0" shapeId="0" xr:uid="{00000000-0006-0000-0000-000040000000}">
      <text>
        <r>
          <rPr>
            <sz val="8"/>
            <color indexed="81"/>
            <rFont val="Tahoma"/>
            <family val="2"/>
          </rPr>
          <t>Qty/Price Breaks:
  Qty  -  Unit€  -  Ext€
================
     1 €1,323.70  €1,323.70
     2 €1,257.49  €2,514.99
     5 €1,194.64  €5,973.18
    20   €0.49      €9.75
   100   €0.36     €35.53
   200   €0.33     €66.64
   500   €0.31    €154.94</t>
        </r>
      </text>
    </comment>
    <comment ref="Q8" authorId="0" shapeId="0" xr:uid="{00000000-0006-0000-0000-000041000000}">
      <text>
        <r>
          <rPr>
            <sz val="8"/>
            <color indexed="81"/>
            <rFont val="Tahoma"/>
            <family val="2"/>
          </rPr>
          <t>Qty/Price Breaks:
  Qty  -  Unit€  -  Ext€
================
     1   €0.29      €0.29
    10   €0.21      €2.10
    25   €0.20      €4.94
   100   €0.13     €13.49
   250   €0.09     €21.60</t>
        </r>
      </text>
    </comment>
    <comment ref="T8" authorId="0" shapeId="0" xr:uid="{00000000-0006-0000-0000-000042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V8" authorId="0" shapeId="0" xr:uid="{00000000-0006-0000-0000-000043000000}">
      <text>
        <r>
          <rPr>
            <sz val="8"/>
            <color indexed="81"/>
            <rFont val="Tahoma"/>
            <family val="2"/>
          </rPr>
          <t>Qty/Price Breaks:
  Qty  -  Unit€  -  Ext€
================
     1   €0.06      €0.06
  4000   €0.06    €245.68</t>
        </r>
      </text>
    </comment>
    <comment ref="Y8" authorId="0" shapeId="0" xr:uid="{00000000-0006-0000-0000-000044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A8" authorId="0" shapeId="0" xr:uid="{00000000-0006-0000-0000-000045000000}">
      <text>
        <r>
          <rPr>
            <sz val="8"/>
            <color indexed="81"/>
            <rFont val="Tahoma"/>
            <family val="2"/>
          </rPr>
          <t>Qty/Price Breaks:
  Qty  -  Unit€  -  Ext€
================
     1   €0.36      €0.36
    10   €0.36      €3.58
   100   €0.18     €17.50
   150   €0.18     €26.26
   500   €0.16     €82.33
  1000   €0.13    €134.84
  2000   €0.10    €199.67
  4000   €0.09    €372.37
 20000   €0.07  €1,421.03</t>
        </r>
      </text>
    </comment>
    <comment ref="AI8" authorId="0" shapeId="0" xr:uid="{00000000-0006-0000-0000-000046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U8" authorId="0" shapeId="0" xr:uid="{00000000-0006-0000-0000-000047000000}">
      <text>
        <r>
          <rPr>
            <sz val="8"/>
            <color indexed="81"/>
            <rFont val="Tahoma"/>
            <family val="2"/>
          </rPr>
          <t>Qty/Price Breaks:
  Qty  -  Unit€  -  Ext€
================
     1   €0.29      €0.29
    10   €0.29      €2.95
   100   €0.19     €18.67
  1000   €0.11    €105.29
  4000   €0.07    €280.76
 12000   €0.06    €745.08</t>
        </r>
      </text>
    </comment>
    <comment ref="Q9" authorId="0" shapeId="0" xr:uid="{00000000-0006-0000-0000-000048000000}">
      <text>
        <r>
          <rPr>
            <sz val="8"/>
            <color indexed="81"/>
            <rFont val="Tahoma"/>
            <family val="2"/>
          </rPr>
          <t>Qty/Price Breaks:
  Qty  -  Unit€  -  Ext€
================
     1   €0.10      €0.10
    10   €0.05      €0.54
    25   €0.05      €1.22
   100   €0.02      €2.47
   250   €0.02      €5.98</t>
        </r>
      </text>
    </comment>
    <comment ref="V9" authorId="0" shapeId="0" xr:uid="{00000000-0006-0000-0000-000049000000}">
      <text>
        <r>
          <rPr>
            <sz val="8"/>
            <color indexed="81"/>
            <rFont val="Tahoma"/>
            <family val="2"/>
          </rPr>
          <t>Qty/Price Breaks:
  Qty  -  Unit€  -  Ext€
================
     1   €0.11      €0.11
    10   €0.08      €0.80
   100   €0.04      €3.78
   500   €0.03     €13.26
  1000   €0.02     €21.95
  4000   €0.02     €66.24
  8000   €0.02    €120.96
 12000   €0.01    €172.80</t>
        </r>
      </text>
    </comment>
    <comment ref="AA9" authorId="0" shapeId="0" xr:uid="{00000000-0006-0000-0000-00004A000000}">
      <text>
        <r>
          <rPr>
            <sz val="8"/>
            <color indexed="81"/>
            <rFont val="Tahoma"/>
            <family val="2"/>
          </rPr>
          <t>Qty/Price Breaks:
  Qty  -  Unit€  -  Ext€
================
     1   €0.06      €0.06
    10   €0.06      €0.59
   100   €0.03      €3.22
   150   €0.03      €4.82
   500   €0.03     €14.07
  1000   €0.02     €22.30
  2000   €0.02     €41.49
  4000   €0.01     €53.42
 20000   €0.01    €233.38</t>
        </r>
      </text>
    </comment>
    <comment ref="AF9" authorId="0" shapeId="0" xr:uid="{00000000-0006-0000-0000-00004B000000}">
      <text>
        <r>
          <rPr>
            <sz val="8"/>
            <color indexed="81"/>
            <rFont val="Tahoma"/>
            <family val="2"/>
          </rPr>
          <t>Qty/Price Breaks:
  Qty  -  Unit€  -  Ext€
================
     1   €0.12      €0.12
    10   €0.06      €0.57
    50   €0.06      €2.85
   100   €0.03      €2.60
  1000   €0.02     €21.00
 10000   €0.02    €150.00</t>
        </r>
      </text>
    </comment>
    <comment ref="AK9" authorId="0" shapeId="0" xr:uid="{00000000-0006-0000-0000-00004C000000}">
      <text>
        <r>
          <rPr>
            <sz val="8"/>
            <color indexed="81"/>
            <rFont val="Tahoma"/>
            <family val="2"/>
          </rPr>
          <t>Qty/Price Breaks:
  Qty  -  Unit€  -  Ext€
================
     1   €0.15      €0.15
    10   €0.15      €1.50
    25   €0.07      €1.78
    50   €0.05      €2.65
   100   €0.03      €3.30
   250   €0.03      €7.50
   500   €0.03     €14.50
  1000   €0.03     €26.00
  4000   €0.02     €80.00
  8000   €0.02    €152.00</t>
        </r>
      </text>
    </comment>
    <comment ref="AP9" authorId="0" shapeId="0" xr:uid="{00000000-0006-0000-0000-00004D000000}">
      <text>
        <r>
          <rPr>
            <sz val="8"/>
            <color indexed="81"/>
            <rFont val="Tahoma"/>
            <family val="2"/>
          </rPr>
          <t>Qty/Price Breaks:
  Qty  -  Unit€  -  Ext€
================
     1   €0.06      €0.06
    50   €0.06      €2.79
   750   €0.04     €32.09
  2500   €0.04     €87.52
  4000   €0.02     €88.17
  5000   €0.03    €155.59
  8000   €0.01    €114.10
 10000   €0.03    €272.28
 12000   €0.01    €140.03</t>
        </r>
      </text>
    </comment>
    <comment ref="AU9" authorId="0" shapeId="0" xr:uid="{00000000-0006-0000-0000-00004E000000}">
      <text>
        <r>
          <rPr>
            <sz val="8"/>
            <color indexed="81"/>
            <rFont val="Tahoma"/>
            <family val="2"/>
          </rPr>
          <t>Qty/Price Breaks:
  Qty  -  Unit€  -  Ext€
================
     1   €0.03      €0.03
   100   €0.03      €3.03
   300   €0.02      €6.75
  1000   €0.02     €15.52
  4000   €0.01     €49.48
 20000   €0.01    €234.00</t>
        </r>
      </text>
    </comment>
    <comment ref="Q10" authorId="0" shapeId="0" xr:uid="{00000000-0006-0000-0000-00004F000000}">
      <text>
        <r>
          <rPr>
            <sz val="8"/>
            <color indexed="81"/>
            <rFont val="Tahoma"/>
            <family val="2"/>
          </rPr>
          <t>Qty/Price Breaks:
  Qty  -  Unit€  -  Ext€
================
     1   €0.27      €0.27
    10   €0.18      €1.80
    25   €0.16      €4.04
   100   €0.10      €9.87
   250   €0.09     €22.20</t>
        </r>
      </text>
    </comment>
    <comment ref="V10" authorId="0" shapeId="0" xr:uid="{00000000-0006-0000-0000-000050000000}">
      <text>
        <r>
          <rPr>
            <sz val="8"/>
            <color indexed="81"/>
            <rFont val="Tahoma"/>
            <family val="2"/>
          </rPr>
          <t>Qty/Price Breaks:
  Qty  -  Unit€  -  Ext€
================
     1   €0.24      €0.24
    10   €0.16      €1.64
   100   €0.09      €9.31
   500   €0.07     €32.84
  1000   €0.06     €57.48
  4000   €0.05    €190.40
  8000   €0.05    €361.76
 12000   €0.04    €514.08</t>
        </r>
      </text>
    </comment>
    <comment ref="AA10" authorId="0" shapeId="0" xr:uid="{00000000-0006-0000-0000-000051000000}">
      <text>
        <r>
          <rPr>
            <sz val="8"/>
            <color indexed="81"/>
            <rFont val="Tahoma"/>
            <family val="2"/>
          </rPr>
          <t>Qty/Price Breaks:
  Qty  -  Unit€  -  Ext€
================
     1   €0.24      €0.24
    10   €0.24      €2.42
   100   €0.12     €12.01
   150   €0.12     €18.01
   500   €0.09     €42.85
  1000   €0.07     €74.94</t>
        </r>
      </text>
    </comment>
    <comment ref="AF10" authorId="0" shapeId="0" xr:uid="{00000000-0006-0000-0000-000052000000}">
      <text>
        <r>
          <rPr>
            <sz val="8"/>
            <color indexed="81"/>
            <rFont val="Tahoma"/>
            <family val="2"/>
          </rPr>
          <t>Qty/Price Breaks:
  Qty  -  Unit€  -  Ext€
================
     1   €0.28      €0.28
    10   €0.19      €1.89
    50   €0.19      €9.45
   100   €0.11     €10.70
  1000   €0.07     €66.00
 10000   €0.07    €660.00</t>
        </r>
      </text>
    </comment>
    <comment ref="Q11" authorId="0" shapeId="0" xr:uid="{00000000-0006-0000-0000-000053000000}">
      <text>
        <r>
          <rPr>
            <sz val="8"/>
            <color indexed="81"/>
            <rFont val="Tahoma"/>
            <family val="2"/>
          </rPr>
          <t>Qty/Price Breaks:
  Qty  -  Unit€  -  Ext€
================
     1   €0.09      €0.09
    10   €0.06      €0.56
    25   €0.06      €1.40
   100   €0.02      €2.45
   250   €0.01      €3.47</t>
        </r>
      </text>
    </comment>
    <comment ref="V11" authorId="0" shapeId="0" xr:uid="{00000000-0006-0000-0000-000054000000}">
      <text>
        <r>
          <rPr>
            <sz val="8"/>
            <color indexed="81"/>
            <rFont val="Tahoma"/>
            <family val="2"/>
          </rPr>
          <t>Qty/Price Breaks:
  Qty  -  Unit€  -  Ext€
================
     1   €0.10      €0.10
    10   €0.06      €0.58
   100   €0.03      €2.56
   500   €0.02      €9.16
  1000   €0.01     €14.39
  4000   €0.01     €40.12
  8000   €0.01     €73.28
 12000   €0.01    €104.64</t>
        </r>
      </text>
    </comment>
    <comment ref="AN11" authorId="0" shapeId="0" xr:uid="{00000000-0006-0000-0000-000055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P11" authorId="0" shapeId="0" xr:uid="{00000000-0006-0000-0000-000056000000}">
      <text>
        <r>
          <rPr>
            <sz val="8"/>
            <color indexed="81"/>
            <rFont val="Tahoma"/>
            <family val="2"/>
          </rPr>
          <t>Qty/Price Breaks:
  Qty  -  Unit€  -  Ext€
================
     1   €0.01      €0.01
  4000   €0.01     €46.68
 12000   €0.01    €124.47
 20000   €0.01    €181.52
 40000   €0.01    €363.04
100000   €0.01    €777.94</t>
        </r>
      </text>
    </comment>
    <comment ref="AU11" authorId="0" shapeId="0" xr:uid="{00000000-0006-0000-0000-000057000000}">
      <text>
        <r>
          <rPr>
            <sz val="8"/>
            <color indexed="81"/>
            <rFont val="Tahoma"/>
            <family val="2"/>
          </rPr>
          <t>Qty/Price Breaks:
  Qty  -  Unit€  -  Ext€
================
     1   €0.03      €0.03
   100   €0.03      €2.64
   300   €0.02      €5.23
  1000   €0.01     €12.49
  4000   €0.01     €35.84
 12000   €0.01     €96.60</t>
        </r>
      </text>
    </comment>
    <comment ref="Q12" authorId="0" shapeId="0" xr:uid="{00000000-0006-0000-0000-000058000000}">
      <text>
        <r>
          <rPr>
            <sz val="8"/>
            <color indexed="81"/>
            <rFont val="Tahoma"/>
            <family val="2"/>
          </rPr>
          <t>Qty/Price Breaks:
  Qty  -  Unit€  -  Ext€
================
     1   €0.02      €0.02
  4000   €0.02     €98.00
  8000   €0.02    €182.40
 12000   €0.02    €259.20</t>
        </r>
      </text>
    </comment>
    <comment ref="V12" authorId="0" shapeId="0" xr:uid="{00000000-0006-0000-0000-000059000000}">
      <text>
        <r>
          <rPr>
            <sz val="8"/>
            <color indexed="81"/>
            <rFont val="Tahoma"/>
            <family val="2"/>
          </rPr>
          <t>Qty/Price Breaks:
  Qty  -  Unit€  -  Ext€
================
     1   €0.18      €0.18
    10   €0.13      €1.28
   100   €0.06      €6.00
   500   €0.04     €21.03
  1000   €0.03     €34.82
  4000   €0.03    €103.12
  8000   €0.02    €191.84
 12000   €0.02    €273.36</t>
        </r>
      </text>
    </comment>
    <comment ref="Y12" authorId="0" shapeId="0" xr:uid="{00000000-0006-0000-0000-00005A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A12" authorId="0" shapeId="0" xr:uid="{00000000-0006-0000-0000-00005B000000}">
      <text>
        <r>
          <rPr>
            <sz val="8"/>
            <color indexed="81"/>
            <rFont val="Tahoma"/>
            <family val="2"/>
          </rPr>
          <t>Qty/Price Breaks:
  Qty  -  Unit€  -  Ext€
================
     1   €0.18      €0.18
    10   €0.18      €1.76
   100   €0.07      €7.38
   150   €0.07     €11.07
   500   €0.05     €24.18
  1000   €0.04     €38.25
  2000   €0.03     €62.23
  4000   €0.03    €119.28
 20000   €0.03    €583.45</t>
        </r>
      </text>
    </comment>
    <comment ref="AD12" authorId="0" shapeId="0" xr:uid="{00000000-0006-0000-0000-00005C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F12" authorId="0" shapeId="0" xr:uid="{00000000-0006-0000-0000-00005D000000}">
      <text>
        <r>
          <rPr>
            <sz val="8"/>
            <color indexed="81"/>
            <rFont val="Tahoma"/>
            <family val="2"/>
          </rPr>
          <t>Qty/Price Breaks:
  Qty  -  Unit€  -  Ext€
================
     1   €0.19      €0.19
    10   €0.14      €1.40
    50   €0.14      €7.00
   100   €0.07      €6.60
  1000   €0.04     €38.00
 10000   €0.03    €300.00</t>
        </r>
      </text>
    </comment>
    <comment ref="AI12" authorId="0" shapeId="0" xr:uid="{00000000-0006-0000-0000-00005E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K12" authorId="0" shapeId="0" xr:uid="{00000000-0006-0000-0000-00005F000000}">
      <text>
        <r>
          <rPr>
            <sz val="8"/>
            <color indexed="81"/>
            <rFont val="Tahoma"/>
            <family val="2"/>
          </rPr>
          <t>Qty/Price Breaks:
  Qty  -  Unit€  -  Ext€
================
     1   €0.19      €0.19
    10   €0.19      €1.90
    25   €0.14      €3.50
    50   €0.10      €5.15
   100   €0.07      €6.60
   250   €0.06     €14.00
   500   €0.05     €23.00
  1000   €0.04     €38.00
  2500   €0.03     €80.00
  4000   €0.03    €120.00</t>
        </r>
      </text>
    </comment>
    <comment ref="AP12" authorId="0" shapeId="0" xr:uid="{00000000-0006-0000-0000-000060000000}">
      <text>
        <r>
          <rPr>
            <sz val="8"/>
            <color indexed="81"/>
            <rFont val="Tahoma"/>
            <family val="2"/>
          </rPr>
          <t>Qty/Price Breaks:
  Qty  -  Unit€  -  Ext€
================
     1   €0.13      €0.13
    50   €0.13      €6.68
   500   €0.13     €62.88
  2500   €0.12    €294.97</t>
        </r>
      </text>
    </comment>
    <comment ref="AS12" authorId="0" shapeId="0" xr:uid="{00000000-0006-0000-0000-000061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U12" authorId="0" shapeId="0" xr:uid="{00000000-0006-0000-0000-000062000000}">
      <text>
        <r>
          <rPr>
            <sz val="8"/>
            <color indexed="81"/>
            <rFont val="Tahoma"/>
            <family val="2"/>
          </rPr>
          <t>Qty/Price Breaks:
  Qty  -  Unit€  -  Ext€
================
     1   €0.08      €0.08
   100   €0.08      €8.26
  1000   €0.06     €58.61
  4000   €0.04    €174.12</t>
        </r>
      </text>
    </comment>
    <comment ref="Q13" authorId="0" shapeId="0" xr:uid="{00000000-0006-0000-0000-000063000000}">
      <text>
        <r>
          <rPr>
            <sz val="8"/>
            <color indexed="81"/>
            <rFont val="Tahoma"/>
            <family val="2"/>
          </rPr>
          <t>Qty/Price Breaks:
  Qty  -  Unit€  -  Ext€
================
     1   €0.37      €0.37</t>
        </r>
      </text>
    </comment>
    <comment ref="V13" authorId="0" shapeId="0" xr:uid="{00000000-0006-0000-0000-000064000000}">
      <text>
        <r>
          <rPr>
            <sz val="8"/>
            <color indexed="81"/>
            <rFont val="Tahoma"/>
            <family val="2"/>
          </rPr>
          <t>Qty/Price Breaks:
  Qty  -  Unit€  -  Ext€
================
     1   €0.44      €0.44
    10   €0.37      €3.74
   100   €0.28     €27.92
   500   €0.22    €109.67
  1000   €0.17    €169.49
 10000   €0.14  €1,355.20</t>
        </r>
      </text>
    </comment>
    <comment ref="AF13" authorId="0" shapeId="0" xr:uid="{00000000-0006-0000-0000-000065000000}">
      <text>
        <r>
          <rPr>
            <sz val="8"/>
            <color indexed="81"/>
            <rFont val="Tahoma"/>
            <family val="2"/>
          </rPr>
          <t>Qty/Price Breaks:
  Qty  -  Unit€  -  Ext€
================
     1   €0.42      €0.42
    10   €0.35      €3.50
    50   €0.35     €17.50
   100   €0.21     €21.30
  1000   €0.16    €165.00
 10000   €0.13  €1,310.00</t>
        </r>
      </text>
    </comment>
    <comment ref="AK13" authorId="0" shapeId="0" xr:uid="{00000000-0006-0000-0000-000066000000}">
      <text>
        <r>
          <rPr>
            <sz val="8"/>
            <color indexed="81"/>
            <rFont val="Tahoma"/>
            <family val="2"/>
          </rPr>
          <t>Qty/Price Breaks:
  Qty  -  Unit€  -  Ext€
================
     1   €0.15      €0.15
 10000   €0.15  €1,510.00
 20000   €0.15  €2,980.00
 40000   €0.15  €5,920.00
 60000   €0.15  €8,760.00</t>
        </r>
      </text>
    </comment>
    <comment ref="V14" authorId="0" shapeId="0" xr:uid="{00000000-0006-0000-0000-000067000000}">
      <text>
        <r>
          <rPr>
            <sz val="8"/>
            <color indexed="81"/>
            <rFont val="Tahoma"/>
            <family val="2"/>
          </rPr>
          <t>Qty/Price Breaks:
  Qty  -  Unit€  -  Ext€
================
     1   €3.80      €3.80
   550   €3.80  €2,090.00</t>
        </r>
      </text>
    </comment>
    <comment ref="AF14" authorId="0" shapeId="0" xr:uid="{00000000-0006-0000-0000-000068000000}">
      <text>
        <r>
          <rPr>
            <sz val="8"/>
            <color indexed="81"/>
            <rFont val="Tahoma"/>
            <family val="2"/>
          </rPr>
          <t>Qty/Price Breaks:
  Qty  -  Unit€  -  Ext€
================
     1   €3.80      €3.80
    10   €3.80     €38.00
    50   €3.80    €190.00
   100   €3.80    €380.00
  1000   €3.80  €3,800.00
 10000   €3.80 €38,000.00</t>
        </r>
      </text>
    </comment>
    <comment ref="Q15" authorId="0" shapeId="0" xr:uid="{00000000-0006-0000-0000-000069000000}">
      <text>
        <r>
          <rPr>
            <sz val="8"/>
            <color indexed="81"/>
            <rFont val="Tahoma"/>
            <family val="2"/>
          </rPr>
          <t>Qty/Price Breaks:
  Qty  -  Unit€  -  Ext€
================
     1   €9.91      €9.91
    50   €7.96    €398.25
   100   €7.66    €765.80
   500   €6.61  €3,305.50</t>
        </r>
      </text>
    </comment>
    <comment ref="V15" authorId="0" shapeId="0" xr:uid="{00000000-0006-0000-0000-00006A000000}">
      <text>
        <r>
          <rPr>
            <sz val="8"/>
            <color indexed="81"/>
            <rFont val="Tahoma"/>
            <family val="2"/>
          </rPr>
          <t>Qty/Price Breaks:
  Qty  -  Unit€  -  Ext€
================
     1  €11.15     €11.15
    50   €9.61    €480.36
   100   €8.34    €834.18
   500   €7.26  €3,631.96</t>
        </r>
      </text>
    </comment>
    <comment ref="AA15" authorId="0" shapeId="0" xr:uid="{00000000-0006-0000-0000-00006B000000}">
      <text>
        <r>
          <rPr>
            <sz val="8"/>
            <color indexed="81"/>
            <rFont val="Tahoma"/>
            <family val="2"/>
          </rPr>
          <t>Qty/Price Breaks:
  Qty  -  Unit€  -  Ext€
================
     1  €11.19     €11.19
    10   €8.92     €89.20
    25   €8.39    €209.72
    50   €7.88    €394.15
   100   €7.49    €749.41
   250   €6.87  €1,717.94</t>
        </r>
      </text>
    </comment>
    <comment ref="AF15" authorId="0" shapeId="0" xr:uid="{00000000-0006-0000-0000-00006C000000}">
      <text>
        <r>
          <rPr>
            <sz val="8"/>
            <color indexed="81"/>
            <rFont val="Tahoma"/>
            <family val="2"/>
          </rPr>
          <t>Qty/Price Breaks:
  Qty  -  Unit€  -  Ext€
================
     1  €10.45     €10.45
    10   €9.40     €94.00
    50   €8.31    €415.50
   100   €7.89    €789.00
  1000   €5.77  €5,770.00
 10000   €5.77 €57,700.00</t>
        </r>
      </text>
    </comment>
    <comment ref="AP15" authorId="0" shapeId="0" xr:uid="{00000000-0006-0000-0000-00006D000000}">
      <text>
        <r>
          <rPr>
            <sz val="8"/>
            <color indexed="81"/>
            <rFont val="Tahoma"/>
            <family val="2"/>
          </rPr>
          <t>Qty/Price Breaks:
  Qty  -  Unit€  -  Ext€
================
     1  €10.50     €10.50
    10   €9.10     €91.02
    50   €9.00    €449.91
   250   €8.86  €2,213.87
   500   €8.75  €4,375.89</t>
        </r>
      </text>
    </comment>
    <comment ref="Q16" authorId="0" shapeId="0" xr:uid="{00000000-0006-0000-0000-00006E000000}">
      <text>
        <r>
          <rPr>
            <sz val="8"/>
            <color indexed="81"/>
            <rFont val="Tahoma"/>
            <family val="2"/>
          </rPr>
          <t>Qty/Price Breaks:
  Qty  -  Unit€  -  Ext€
================
     1   €4.29      €4.29
    10   €3.87     €38.73
    25   €3.52     €87.98
    50   €3.37    €168.40
   100   €3.23    €322.60
   250   €2.95    €738.25
   500   €2.67  €1,333.45
  1000   €2.33  €2,331.00
  2500   €2.28  €5,702.50</t>
        </r>
      </text>
    </comment>
    <comment ref="V16" authorId="0" shapeId="0" xr:uid="{00000000-0006-0000-0000-00006F000000}">
      <text>
        <r>
          <rPr>
            <sz val="8"/>
            <color indexed="81"/>
            <rFont val="Tahoma"/>
            <family val="2"/>
          </rPr>
          <t>Qty/Price Breaks:
  Qty  -  Unit€  -  Ext€
================
     1   €4.87      €4.87
    96   €4.14    €397.05
   192   €3.58    €688.22
   576   €3.05  €1,757.61
  1056   €2.57  €2,717.59</t>
        </r>
      </text>
    </comment>
    <comment ref="Y16" authorId="0" shapeId="0" xr:uid="{00000000-0006-0000-0000-000070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A16" authorId="0" shapeId="0" xr:uid="{00000000-0006-0000-0000-000071000000}">
      <text>
        <r>
          <rPr>
            <sz val="8"/>
            <color indexed="81"/>
            <rFont val="Tahoma"/>
            <family val="2"/>
          </rPr>
          <t>Qty/Price Breaks:
  Qty  -  Unit€  -  Ext€
================
     1   €5.16      €5.16
    10   €4.14     €41.36
    25   €3.72     €93.03
    50   €3.54    €176.98
   100   €3.38    €338.40
   250   €3.07    €768.21
   500   €2.79  €1,393.80</t>
        </r>
      </text>
    </comment>
    <comment ref="AF16" authorId="0" shapeId="0" xr:uid="{00000000-0006-0000-0000-000072000000}">
      <text>
        <r>
          <rPr>
            <sz val="8"/>
            <color indexed="81"/>
            <rFont val="Tahoma"/>
            <family val="2"/>
          </rPr>
          <t>Qty/Price Breaks:
  Qty  -  Unit€  -  Ext€
================
     1   €4.59      €4.59
    10   €4.10     €41.00
    50   €3.52    €176.00
   100   €3.36    €336.00
  1000   €2.36  €2,360.00
 10000   €2.23 €22,300.00</t>
        </r>
      </text>
    </comment>
    <comment ref="AP16" authorId="0" shapeId="0" xr:uid="{00000000-0006-0000-0000-000073000000}">
      <text>
        <r>
          <rPr>
            <sz val="8"/>
            <color indexed="81"/>
            <rFont val="Tahoma"/>
            <family val="2"/>
          </rPr>
          <t>Qty/Price Breaks:
  Qty  -  Unit€  -  Ext€
================
     1   €4.38      €4.38
    19   €3.59     €68.24
    48   €3.29    €158.08
    96   €3.37    €323.62
   480   €3.03  €1,456.30
   960   €2.76  €2,653.69</t>
        </r>
      </text>
    </comment>
    <comment ref="AU16" authorId="0" shapeId="0" xr:uid="{00000000-0006-0000-0000-000074000000}">
      <text>
        <r>
          <rPr>
            <sz val="8"/>
            <color indexed="81"/>
            <rFont val="Tahoma"/>
            <family val="2"/>
          </rPr>
          <t>Qty/Price Breaks:
  Qty  -  Unit€  -  Ext€
================
     1   €4.38      €4.38
     3   €3.87     €11.61
    10   €3.48     €34.80
    25   €3.25     €81.25</t>
        </r>
      </text>
    </comment>
    <comment ref="Q17" authorId="0" shapeId="0" xr:uid="{00000000-0006-0000-0000-000075000000}">
      <text>
        <r>
          <rPr>
            <sz val="8"/>
            <color indexed="81"/>
            <rFont val="Tahoma"/>
            <family val="2"/>
          </rPr>
          <t>Qty/Price Breaks:
  Qty  -  Unit€  -  Ext€
================
     1   €0.37      €0.37
    10   €0.37      €3.67
    25   €0.31      €7.82
   100   €0.29     €28.54
   250   €0.28     €70.60
   500   €0.28    €139.80
  1000   €0.27    €271.30</t>
        </r>
      </text>
    </comment>
    <comment ref="V17" authorId="0" shapeId="0" xr:uid="{00000000-0006-0000-0000-000076000000}">
      <text>
        <r>
          <rPr>
            <sz val="8"/>
            <color indexed="81"/>
            <rFont val="Tahoma"/>
            <family val="2"/>
          </rPr>
          <t>Qty/Price Breaks:
  Qty  -  Unit€  -  Ext€
================
     1   €0.41      €0.41
    25   €0.34      €8.50
   100   €0.31     €30.90
  3000   €0.31    €927.00</t>
        </r>
      </text>
    </comment>
    <comment ref="AA17" authorId="0" shapeId="0" xr:uid="{00000000-0006-0000-0000-000077000000}">
      <text>
        <r>
          <rPr>
            <sz val="8"/>
            <color indexed="81"/>
            <rFont val="Tahoma"/>
            <family val="2"/>
          </rPr>
          <t>Qty/Price Breaks:
  Qty  -  Unit€  -  Ext€
================
     1   €0.40      €0.40
    10   €0.37      €3.70
    25   €0.34      €8.40
    50   €0.32     €16.01
   100   €0.30     €30.47
   150   €0.30     €45.70</t>
        </r>
      </text>
    </comment>
    <comment ref="AF17" authorId="0" shapeId="0" xr:uid="{00000000-0006-0000-0000-000078000000}">
      <text>
        <r>
          <rPr>
            <sz val="8"/>
            <color indexed="81"/>
            <rFont val="Tahoma"/>
            <family val="2"/>
          </rPr>
          <t>Qty/Price Breaks:
  Qty  -  Unit€  -  Ext€
================
     1   €0.41      €0.41
    10   €0.41      €4.06
    50   €0.34     €16.95
   100   €0.31     €30.90
  1000   €0.31    €309.00
 10000   €0.31  €3,090.00</t>
        </r>
      </text>
    </comment>
    <comment ref="AK17" authorId="0" shapeId="0" xr:uid="{00000000-0006-0000-0000-000079000000}">
      <text>
        <r>
          <rPr>
            <sz val="8"/>
            <color indexed="81"/>
            <rFont val="Tahoma"/>
            <family val="2"/>
          </rPr>
          <t>Qty/Price Breaks:
  Qty  -  Unit€  -  Ext€
================
     1   €0.38      €0.38
    25   €0.32      €8.05
   100   €0.30     €29.80
  3000   €0.32    €954.00</t>
        </r>
      </text>
    </comment>
    <comment ref="AP17" authorId="0" shapeId="0" xr:uid="{00000000-0006-0000-0000-00007A000000}">
      <text>
        <r>
          <rPr>
            <sz val="8"/>
            <color indexed="81"/>
            <rFont val="Tahoma"/>
            <family val="2"/>
          </rPr>
          <t>Qty/Price Breaks:
  Qty  -  Unit€  -  Ext€
================
     1   €0.33      €0.33
    25   €0.33      €8.33
   100   €0.31     €30.73
  3000   €0.31    €921.85</t>
        </r>
      </text>
    </comment>
    <comment ref="AU17" authorId="0" shapeId="0" xr:uid="{00000000-0006-0000-0000-00007B000000}">
      <text>
        <r>
          <rPr>
            <sz val="8"/>
            <color indexed="81"/>
            <rFont val="Tahoma"/>
            <family val="2"/>
          </rPr>
          <t>Qty/Price Breaks:
  Qty  -  Unit€  -  Ext€
================
     1   €0.54      €0.54
     5   €0.29      €1.45
    25   €0.25      €6.25
   100   €0.23     €23.00
   500   €0.21    €105.00</t>
        </r>
      </text>
    </comment>
    <comment ref="V18" authorId="0" shapeId="0" xr:uid="{00000000-0006-0000-0000-00007C000000}">
      <text>
        <r>
          <rPr>
            <sz val="8"/>
            <color indexed="81"/>
            <rFont val="Tahoma"/>
            <family val="2"/>
          </rPr>
          <t>Qty/Price Breaks:
  Qty  -  Unit€  -  Ext€
================
     1   €1.62      €1.62
    10   €1.46     €14.57
    50   €1.38     €68.85
   100   €1.22    €122.40</t>
        </r>
      </text>
    </comment>
    <comment ref="Y18" authorId="0" shapeId="0" xr:uid="{00000000-0006-0000-0000-00007D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A18" authorId="0" shapeId="0" xr:uid="{00000000-0006-0000-0000-00007E000000}">
      <text>
        <r>
          <rPr>
            <sz val="8"/>
            <color indexed="81"/>
            <rFont val="Tahoma"/>
            <family val="2"/>
          </rPr>
          <t>Qty/Price Breaks:
  Qty  -  Unit€  -  Ext€
================
     1   €1.59      €1.59
    10   €1.44     €14.39
    25   €1.43     €35.66
    50   €1.40     €70.01
   100   €1.39    €138.73
   250   €1.36    €340.35
   500   €1.35    €674.21
  1000   €1.32  €1,322.49</t>
        </r>
      </text>
    </comment>
    <comment ref="AF18" authorId="0" shapeId="0" xr:uid="{00000000-0006-0000-0000-00007F000000}">
      <text>
        <r>
          <rPr>
            <sz val="8"/>
            <color indexed="81"/>
            <rFont val="Tahoma"/>
            <family val="2"/>
          </rPr>
          <t>Qty/Price Breaks:
  Qty  -  Unit€  -  Ext€
================
     1   €1.62      €1.62
    10   €1.46     €14.60
    50   €1.34     €67.00
   100   €1.34    €134.00
  1000   €1.25  €1,250.00
 10000   €1.25 €12,500.00</t>
        </r>
      </text>
    </comment>
    <comment ref="AI18" authorId="0" shapeId="0" xr:uid="{00000000-0006-0000-0000-000080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V19" authorId="0" shapeId="0" xr:uid="{00000000-0006-0000-0000-000081000000}">
      <text>
        <r>
          <rPr>
            <sz val="8"/>
            <color indexed="81"/>
            <rFont val="Tahoma"/>
            <family val="2"/>
          </rPr>
          <t>Qty/Price Breaks:
  Qty  -  Unit€  -  Ext€
================
     1   €2.98      €2.98
    10   €2.67     €26.72
    25   €2.53     €63.15
   100   €2.19    €218.93
   250   €2.08    €519.25
   500   €1.86    €931.84
  1000   €1.57  €1,571.78
  2500   €1.36  €3,406.25</t>
        </r>
      </text>
    </comment>
    <comment ref="AA19" authorId="0" shapeId="0" xr:uid="{00000000-0006-0000-0000-000082000000}">
      <text>
        <r>
          <rPr>
            <sz val="8"/>
            <color indexed="81"/>
            <rFont val="Tahoma"/>
            <family val="2"/>
          </rPr>
          <t>Qty/Price Breaks:
  Qty  -  Unit€  -  Ext€
================
     1   €2.94      €2.94
    10   €2.63     €26.32
    25   €2.49     €62.23
    50   €2.09    €104.37
   100   €1.93    €193.19
   250   €1.84    €460.28
   500   €1.75    €875.18
  1000   €1.36  €1,361.39</t>
        </r>
      </text>
    </comment>
    <comment ref="AF19" authorId="0" shapeId="0" xr:uid="{00000000-0006-0000-0000-000083000000}">
      <text>
        <r>
          <rPr>
            <sz val="8"/>
            <color indexed="81"/>
            <rFont val="Tahoma"/>
            <family val="2"/>
          </rPr>
          <t>Qty/Price Breaks:
  Qty  -  Unit€  -  Ext€
================
     1   €2.98      €2.98
    10   €2.67     €26.70
    50   €2.11    €105.50
   100   €1.95    €195.00
  1000   €1.39  €1,390.00
 10000   €1.36 €13,600.00</t>
        </r>
      </text>
    </comment>
    <comment ref="AK19" authorId="0" shapeId="0" xr:uid="{00000000-0006-0000-0000-000084000000}">
      <text>
        <r>
          <rPr>
            <sz val="8"/>
            <color indexed="81"/>
            <rFont val="Tahoma"/>
            <family val="2"/>
          </rPr>
          <t>Qty/Price Breaks:
  Qty  -  Unit€  -  Ext€
================
     1   €2.08      €2.08
    10   €1.87     €18.70
    25   €1.77     €44.25
    50   €1.65     €82.50
   100   €1.53    €153.00
   250   €1.45    €362.50
   500   €1.40    €700.00
  1000   €1.36  €1,360.00</t>
        </r>
      </text>
    </comment>
    <comment ref="V20" authorId="0" shapeId="0" xr:uid="{00000000-0006-0000-0000-000085000000}">
      <text>
        <r>
          <rPr>
            <sz val="8"/>
            <color indexed="81"/>
            <rFont val="Tahoma"/>
            <family val="2"/>
          </rPr>
          <t>Qty/Price Breaks:
  Qty  -  Unit€  -  Ext€
================
     1   €4.72      €4.72
    25   €3.13     €78.31
   100   €2.59    €259.00
   250   €2.46    €615.13
   500   €2.40  €1,202.50</t>
        </r>
      </text>
    </comment>
    <comment ref="Q21" authorId="0" shapeId="0" xr:uid="{00000000-0006-0000-0000-000086000000}">
      <text>
        <r>
          <rPr>
            <sz val="8"/>
            <color indexed="81"/>
            <rFont val="Tahoma"/>
            <family val="2"/>
          </rPr>
          <t>Qty/Price Breaks:
  Qty  -  Unit€  -  Ext€
================
     1   €0.32      €0.32
    10   €0.28      €2.84</t>
        </r>
      </text>
    </comment>
    <comment ref="V21" authorId="0" shapeId="0" xr:uid="{00000000-0006-0000-0000-000087000000}">
      <text>
        <r>
          <rPr>
            <sz val="8"/>
            <color indexed="81"/>
            <rFont val="Tahoma"/>
            <family val="2"/>
          </rPr>
          <t>Qty/Price Breaks:
  Qty  -  Unit€  -  Ext€
================
     1   €0.47      €0.47
    10   €0.37      €3.67
    25   €0.31      €7.64
   100   €0.26     €26.33
   250   €0.24     €58.78
   500   €0.20    €101.10
  1000   €0.16    €156.12
  3000   €0.14    €423.24
  6000   €0.13    €769.50
 15000   €0.12  €1,795.50
 30000   €0.12  €3,462.90
 75000   €0.11  €8,550.00</t>
        </r>
      </text>
    </comment>
    <comment ref="AA21" authorId="0" shapeId="0" xr:uid="{00000000-0006-0000-0000-000088000000}">
      <text>
        <r>
          <rPr>
            <sz val="8"/>
            <color indexed="81"/>
            <rFont val="Tahoma"/>
            <family val="2"/>
          </rPr>
          <t>Qty/Price Breaks:
  Qty  -  Unit€  -  Ext€
================
     1   €0.35      €0.35
     5   €0.35      €1.75
    25   €0.34      €8.40
   100   €0.24     €23.73
   150   €0.24     €35.59
   250   €0.21     €52.83
   500   €0.18     €92.06
  1000   €0.14    €143.92</t>
        </r>
      </text>
    </comment>
    <comment ref="AF21" authorId="0" shapeId="0" xr:uid="{00000000-0006-0000-0000-000089000000}">
      <text>
        <r>
          <rPr>
            <sz val="8"/>
            <color indexed="81"/>
            <rFont val="Tahoma"/>
            <family val="2"/>
          </rPr>
          <t>Qty/Price Breaks:
  Qty  -  Unit€  -  Ext€
================
     1   €0.34      €0.34
    10   €0.30      €2.99
    50   €0.30     €14.95
   100   €0.23     €23.10
  1000   €0.15    €154.00
 10000   €0.12  €1,200.00</t>
        </r>
      </text>
    </comment>
    <comment ref="AK21" authorId="0" shapeId="0" xr:uid="{00000000-0006-0000-0000-00008A000000}">
      <text>
        <r>
          <rPr>
            <sz val="8"/>
            <color indexed="81"/>
            <rFont val="Tahoma"/>
            <family val="2"/>
          </rPr>
          <t>Qty/Price Breaks:
  Qty  -  Unit€  -  Ext€
================
     1   €0.34      €0.34
    25   €0.30      €7.48
    50   €0.26     €13.25
   100   €0.23     €23.10
   250   €0.21     €51.50
   500   €0.18     €90.00
  1000   €0.15    €154.00
  3000   €0.18    €528.00
 10000   €0.16  €1,600.00
 25000   €0.15  €3,800.00
 50000   €0.14  €7,200.00
100000   €0.14 €13,800.00</t>
        </r>
      </text>
    </comment>
    <comment ref="V22" authorId="0" shapeId="0" xr:uid="{00000000-0006-0000-0000-00008B000000}">
      <text>
        <r>
          <rPr>
            <sz val="8"/>
            <color indexed="81"/>
            <rFont val="Tahoma"/>
            <family val="2"/>
          </rPr>
          <t>Qty/Price Breaks:
  Qty  -  Unit€  -  Ext€
================
     1   €1.05      €1.05
    10   €0.93      €9.26
    25   €0.87     €21.78
    50   €0.84     €41.75
   100   €0.80     €79.86
   250   €0.73    €181.50
   500   €0.65    €326.70
  1000   €0.53    €528.00
  2000   €0.50    €990.00
  3000   €0.48  €1,435.50
  5000   €0.46  €2,310.00
 10000   €0.44  €4,389.00</t>
        </r>
      </text>
    </comment>
    <comment ref="AF22" authorId="0" shapeId="0" xr:uid="{00000000-0006-0000-0000-00008C000000}">
      <text>
        <r>
          <rPr>
            <sz val="8"/>
            <color indexed="81"/>
            <rFont val="Tahoma"/>
            <family val="2"/>
          </rPr>
          <t>Qty/Price Breaks:
  Qty  -  Unit€  -  Ext€
================
     1   €0.95      €0.95
    10   €0.84      €8.41
    50   €0.76     €37.95
   100   €0.73     €72.60
  1000   €0.53    €528.00
 10000   €0.48  €4,780.00</t>
        </r>
      </text>
    </comment>
    <comment ref="Q23" authorId="0" shapeId="0" xr:uid="{00000000-0006-0000-0000-00008D000000}">
      <text>
        <r>
          <rPr>
            <sz val="8"/>
            <color indexed="81"/>
            <rFont val="Tahoma"/>
            <family val="2"/>
          </rPr>
          <t>Qty/Price Breaks:
  Qty  -  Unit€  -  Ext€
================
     1   €3.81      €3.81
    10   €3.70     €37.05
    25   €3.61     €90.22
   100   €3.51    €351.20
   250   €3.35    €837.75
   500   €2.82  €1,412.50
  1000   €2.74  €2,735.90</t>
        </r>
      </text>
    </comment>
    <comment ref="V23" authorId="0" shapeId="0" xr:uid="{00000000-0006-0000-0000-00008E000000}">
      <text>
        <r>
          <rPr>
            <sz val="8"/>
            <color indexed="81"/>
            <rFont val="Tahoma"/>
            <family val="2"/>
          </rPr>
          <t>Qty/Price Breaks:
  Qty  -  Unit€  -  Ext€
================
     1   €4.77      €4.77
    10   €4.54     €45.43
    25   €4.43    €110.74
    50   €4.32    €215.79
   100   €4.20    €420.23
   250   €3.86    €965.39
   500   €3.10  €1,548.75
  1000   €2.79  €2,787.75</t>
        </r>
      </text>
    </comment>
    <comment ref="AF23" authorId="0" shapeId="0" xr:uid="{00000000-0006-0000-0000-00008F000000}">
      <text>
        <r>
          <rPr>
            <sz val="8"/>
            <color indexed="81"/>
            <rFont val="Tahoma"/>
            <family val="2"/>
          </rPr>
          <t>Qty/Price Breaks:
  Qty  -  Unit€  -  Ext€
================
     1   €5.00      €5.00
    10   €4.77     €47.70
    50   €4.53    €226.50
   100   €4.41    €441.00
  1000   €3.25  €3,250.00
 10000   €3.25 €32,500.00</t>
        </r>
      </text>
    </comment>
    <comment ref="AK23" authorId="0" shapeId="0" xr:uid="{00000000-0006-0000-0000-000090000000}">
      <text>
        <r>
          <rPr>
            <sz val="8"/>
            <color indexed="81"/>
            <rFont val="Tahoma"/>
            <family val="2"/>
          </rPr>
          <t>Qty/Price Breaks:
  Qty  -  Unit€  -  Ext€
================
     1   €4.06      €4.06
   500   €4.06  €2,030.00</t>
        </r>
      </text>
    </comment>
    <comment ref="V24" authorId="0" shapeId="0" xr:uid="{00000000-0006-0000-0000-000091000000}">
      <text>
        <r>
          <rPr>
            <sz val="8"/>
            <color indexed="81"/>
            <rFont val="Tahoma"/>
            <family val="2"/>
          </rPr>
          <t>Qty/Price Breaks:
  Qty  -  Unit€  -  Ext€
================
     1   €0.11      €0.11
    10   €0.10      €0.98
   100   €0.04      €3.76
  1000   €0.02     €16.54
  2500   €0.01     €35.70
  5000   €0.01     €58.10
 10000   €0.01    €104.20
 25000   €0.01    €239.25
 50000   €0.01    €472.00</t>
        </r>
      </text>
    </comment>
    <comment ref="AA24" authorId="0" shapeId="0" xr:uid="{00000000-0006-0000-0000-000092000000}">
      <text>
        <r>
          <rPr>
            <sz val="8"/>
            <color indexed="81"/>
            <rFont val="Tahoma"/>
            <family val="2"/>
          </rPr>
          <t>Qty/Price Breaks:
  Qty  -  Unit€  -  Ext€
================
     1   €0.10      €0.10
    25   €0.08      €2.07
    50   €0.06      €2.93
   100   €0.03      €3.41
   250   €0.03      €6.77
   500   €0.02     €11.54
  1000   €0.02     €19.97</t>
        </r>
      </text>
    </comment>
    <comment ref="AF24" authorId="0" shapeId="0" xr:uid="{00000000-0006-0000-0000-000093000000}">
      <text>
        <r>
          <rPr>
            <sz val="8"/>
            <color indexed="81"/>
            <rFont val="Tahoma"/>
            <family val="2"/>
          </rPr>
          <t>Qty/Price Breaks:
  Qty  -  Unit€  -  Ext€
================
     1   €0.10      €0.10
    10   €0.08      €0.85
    50   €0.08      €4.25
   100   €0.04      €3.50
  1000   €0.02     €16.00
 10000   €0.01    €120.00</t>
        </r>
      </text>
    </comment>
    <comment ref="AK24" authorId="0" shapeId="0" xr:uid="{00000000-0006-0000-0000-000094000000}">
      <text>
        <r>
          <rPr>
            <sz val="8"/>
            <color indexed="81"/>
            <rFont val="Tahoma"/>
            <family val="2"/>
          </rPr>
          <t>Qty/Price Breaks:
  Qty  -  Unit€  -  Ext€
================
     1   €0.01      €0.01
    25   €0.01      €0.22
    50   €0.01      €0.45
   100   €0.01      €0.90
   250   €0.01      €2.25
   500   €0.01      €4.50
  1000   €0.01      €9.00
  2500   €0.01     €22.50
  5000   €0.02    €105.00
 10000   €0.02    €160.00
 20000   €0.01    €240.00</t>
        </r>
      </text>
    </comment>
    <comment ref="Q25" authorId="0" shapeId="0" xr:uid="{00000000-0006-0000-0000-000095000000}">
      <text>
        <r>
          <rPr>
            <sz val="8"/>
            <color indexed="81"/>
            <rFont val="Tahoma"/>
            <family val="2"/>
          </rPr>
          <t>Qty/Price Breaks:
  Qty  -  Unit€  -  Ext€
================
     1   €0.00      €0.00
    25   €0.00      €0.10
   250   €0.00      €0.95
  1000   €0.00      €3.70
  3000   €0.00     €10.80
 15000   €0.00     €52.50
 75000   €0.00    €255.00</t>
        </r>
      </text>
    </comment>
    <comment ref="V25" authorId="0" shapeId="0" xr:uid="{00000000-0006-0000-0000-000096000000}">
      <text>
        <r>
          <rPr>
            <sz val="8"/>
            <color indexed="81"/>
            <rFont val="Tahoma"/>
            <family val="2"/>
          </rPr>
          <t>Qty/Price Breaks:
  Qty  -  Unit€  -  Ext€
================
     1   €0.10      €0.10
    10   €0.04      €0.38
   100   €0.02      €1.56
  1000   €0.01      €7.00
  2500   €0.01     €15.17
  5000   €0.00     €22.80
 10000   €0.00     €39.60
 25000   €0.00     €90.00</t>
        </r>
      </text>
    </comment>
    <comment ref="AF25" authorId="0" shapeId="0" xr:uid="{00000000-0006-0000-0000-000097000000}">
      <text>
        <r>
          <rPr>
            <sz val="8"/>
            <color indexed="81"/>
            <rFont val="Tahoma"/>
            <family val="2"/>
          </rPr>
          <t>Qty/Price Breaks:
  Qty  -  Unit€  -  Ext€
================
     1   €0.10      €0.10
    10   €0.03      €0.29
    50   €0.03      €1.45
   100   €0.01      €1.10
  1000   €0.00      €4.00
 10000   €0.00     €40.00</t>
        </r>
      </text>
    </comment>
    <comment ref="AK25" authorId="0" shapeId="0" xr:uid="{00000000-0006-0000-0000-000098000000}">
      <text>
        <r>
          <rPr>
            <sz val="8"/>
            <color indexed="81"/>
            <rFont val="Tahoma"/>
            <family val="2"/>
          </rPr>
          <t>Qty/Price Breaks:
  Qty  -  Unit€  -  Ext€
================
     1   €0.03      €0.03
  5000   €0.03    €135.00
 10000   €0.03    €260.00
 20000   €0.02    €500.00
 30000   €0.01    €300.00
 50000   €0.00    €150.00</t>
        </r>
      </text>
    </comment>
    <comment ref="Q26" authorId="0" shapeId="0" xr:uid="{00000000-0006-0000-0000-000099000000}">
      <text>
        <r>
          <rPr>
            <sz val="8"/>
            <color indexed="81"/>
            <rFont val="Tahoma"/>
            <family val="2"/>
          </rPr>
          <t>Qty/Price Breaks:
  Qty  -  Unit€  -  Ext€
================
     1   €0.00      €0.00
    10   €0.00      €0.04
   100   €0.00      €0.40
   250   €0.00      €0.98
  1000   €0.00      €3.80</t>
        </r>
      </text>
    </comment>
    <comment ref="V26" authorId="0" shapeId="0" xr:uid="{00000000-0006-0000-0000-00009A000000}">
      <text>
        <r>
          <rPr>
            <sz val="8"/>
            <color indexed="81"/>
            <rFont val="Tahoma"/>
            <family val="2"/>
          </rPr>
          <t>Qty/Price Breaks:
  Qty  -  Unit€  -  Ext€
================
     1   €0.10      €0.10
    10   €0.03      €0.33
   100   €0.01      €1.36
  1000   €0.01      €6.09
  2500   €0.01     €13.23
  5000   €0.00     €22.85
 10000   €0.00     €39.70
 25000   €0.00     €87.25
 50000   €0.00    €160.00
125000   €0.00    €391.25</t>
        </r>
      </text>
    </comment>
    <comment ref="AA26" authorId="0" shapeId="0" xr:uid="{00000000-0006-0000-0000-00009B000000}">
      <text>
        <r>
          <rPr>
            <sz val="8"/>
            <color indexed="81"/>
            <rFont val="Tahoma"/>
            <family val="2"/>
          </rPr>
          <t>Qty/Price Breaks:
  Qty  -  Unit€  -  Ext€
================
     1   €0.02      €0.02
    10   €0.02      €0.16
   100   €0.01      €1.15
   150   €0.01      €1.73
   500   €0.01      €4.67
  1000   €0.01      €7.26
  2500   €0.01     €16.21
  5000   €0.01     €28.52
 25000   €0.00    €110.21</t>
        </r>
      </text>
    </comment>
    <comment ref="AF26" authorId="0" shapeId="0" xr:uid="{00000000-0006-0000-0000-00009C000000}">
      <text>
        <r>
          <rPr>
            <sz val="8"/>
            <color indexed="81"/>
            <rFont val="Tahoma"/>
            <family val="2"/>
          </rPr>
          <t>Qty/Price Breaks:
  Qty  -  Unit€  -  Ext€
================
     1   €0.14      €0.14
    10   €0.01      €0.10
    50   €0.01      €0.50
   100   €0.01      €0.90
  1000   €0.01      €7.00
 10000   €0.01     €60.00</t>
        </r>
      </text>
    </comment>
    <comment ref="AK26" authorId="0" shapeId="0" xr:uid="{00000000-0006-0000-0000-00009D000000}">
      <text>
        <r>
          <rPr>
            <sz val="8"/>
            <color indexed="81"/>
            <rFont val="Tahoma"/>
            <family val="2"/>
          </rPr>
          <t>Qty/Price Breaks:
  Qty  -  Unit€  -  Ext€
================
     1   €0.01      €0.01
    10   €0.01      €0.10
    25   €0.01      €0.25
    50   €0.01      €0.45
   100   €0.01      €0.90
 10000   €0.00     €50.00
 20000   €0.00    €100.00
 40000   €0.00    €160.00</t>
        </r>
      </text>
    </comment>
    <comment ref="Q27" authorId="0" shapeId="0" xr:uid="{00000000-0006-0000-0000-00009E000000}">
      <text>
        <r>
          <rPr>
            <sz val="8"/>
            <color indexed="81"/>
            <rFont val="Tahoma"/>
            <family val="2"/>
          </rPr>
          <t>Qty/Price Breaks:
  Qty  -  Unit€  -  Ext€
================
     1   €0.00      €0.00
    10   €0.00      €0.03
  1000   €0.00      €2.70
  5000   €0.00     €23.50
  6000   €0.00     €15.60
 10000   €0.00     €44.00
 25000   €0.00     €95.00
 50000   €0.00    €140.00</t>
        </r>
      </text>
    </comment>
    <comment ref="V27" authorId="0" shapeId="0" xr:uid="{00000000-0006-0000-0000-00009F000000}">
      <text>
        <r>
          <rPr>
            <sz val="8"/>
            <color indexed="81"/>
            <rFont val="Tahoma"/>
            <family val="2"/>
          </rPr>
          <t>Qty/Price Breaks:
  Qty  -  Unit€  -  Ext€
================
     1   €0.10      €0.10
    10   €0.04      €0.42
   100   €0.02      €1.70
  1000   €0.01      €7.62
  2500   €0.01     €16.55
  5000   €0.00     €24.85
 10000   €0.00     €43.10
 25000   €0.00     €94.75
 50000   €0.00    €174.00
125000   €0.00    €426.25</t>
        </r>
      </text>
    </comment>
    <comment ref="AF27" authorId="0" shapeId="0" xr:uid="{00000000-0006-0000-0000-0000A0000000}">
      <text>
        <r>
          <rPr>
            <sz val="8"/>
            <color indexed="81"/>
            <rFont val="Tahoma"/>
            <family val="2"/>
          </rPr>
          <t>Qty/Price Breaks:
  Qty  -  Unit€  -  Ext€
================
     1   €0.13      €0.13
    10   €0.03      €0.31
    50   €0.03      €1.55
   100   €0.01      €1.10
  1000   €0.01      €8.00
 10000   €0.00     €50.00</t>
        </r>
      </text>
    </comment>
    <comment ref="AI27" authorId="0" shapeId="0" xr:uid="{00000000-0006-0000-0000-0000A1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K27" authorId="0" shapeId="0" xr:uid="{00000000-0006-0000-0000-0000A2000000}">
      <text>
        <r>
          <rPr>
            <sz val="8"/>
            <color indexed="81"/>
            <rFont val="Tahoma"/>
            <family val="2"/>
          </rPr>
          <t>Qty/Price Breaks:
  Qty  -  Unit€  -  Ext€
================
     1   €0.01      €0.01
  5000   €0.01     €60.00
 10000   €0.01     €90.00
 15000   €0.01     €90.00</t>
        </r>
      </text>
    </comment>
    <comment ref="V28" authorId="0" shapeId="0" xr:uid="{00000000-0006-0000-0000-0000A3000000}">
      <text>
        <r>
          <rPr>
            <sz val="8"/>
            <color indexed="81"/>
            <rFont val="Tahoma"/>
            <family val="2"/>
          </rPr>
          <t>Qty/Price Breaks:
  Qty  -  Unit€  -  Ext€
================
     1   €0.10      €0.10
    10   €0.04      €0.42
   100   €0.02      €1.70
  1000   €0.01      €7.62
  2500   €0.01     €16.55
  5000   €0.00     €24.85
 10000   €0.00     €43.10
 25000   €0.00     €94.75
 50000   €0.00    €174.00
125000   €0.00    €426.25</t>
        </r>
      </text>
    </comment>
    <comment ref="AF28" authorId="0" shapeId="0" xr:uid="{00000000-0006-0000-0000-0000A4000000}">
      <text>
        <r>
          <rPr>
            <sz val="8"/>
            <color indexed="81"/>
            <rFont val="Tahoma"/>
            <family val="2"/>
          </rPr>
          <t>Qty/Price Breaks:
  Qty  -  Unit€  -  Ext€
================
     1   €0.13      €0.13
    10   €0.03      €0.31
    50   €0.03      €1.55
   100   €0.01      €1.10
  1000   €0.01      €8.00
 10000   €0.00     €50.00</t>
        </r>
      </text>
    </comment>
    <comment ref="AI28" authorId="0" shapeId="0" xr:uid="{00000000-0006-0000-0000-0000A5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K28" authorId="0" shapeId="0" xr:uid="{00000000-0006-0000-0000-0000A6000000}">
      <text>
        <r>
          <rPr>
            <sz val="8"/>
            <color indexed="81"/>
            <rFont val="Tahoma"/>
            <family val="2"/>
          </rPr>
          <t>Qty/Price Breaks:
  Qty  -  Unit€  -  Ext€
================
     1   €0.01      €0.01
  5000   €0.01     €60.00
 10000   €0.01     €90.00
 15000   €0.01     €90.00</t>
        </r>
      </text>
    </comment>
    <comment ref="AU28" authorId="0" shapeId="0" xr:uid="{00000000-0006-0000-0000-0000A7000000}">
      <text>
        <r>
          <rPr>
            <sz val="8"/>
            <color indexed="81"/>
            <rFont val="Tahoma"/>
            <family val="2"/>
          </rPr>
          <t>Qty/Price Breaks:
  Qty  -  Unit€  -  Ext€
================
     1   €0.04      €0.04
   100   €0.04      €3.95
  1000   €0.02     €17.09
  5000   €0.01     €33.45
 15000   €0.01     €78.00
 50000   €0.00    €223.00</t>
        </r>
      </text>
    </comment>
    <comment ref="Q29" authorId="0" shapeId="0" xr:uid="{00000000-0006-0000-0000-0000A8000000}">
      <text>
        <r>
          <rPr>
            <sz val="8"/>
            <color indexed="81"/>
            <rFont val="Tahoma"/>
            <family val="2"/>
          </rPr>
          <t>Qty/Price Breaks:
  Qty  -  Unit€  -  Ext€
================
     1   €0.00      €0.00
    25   €0.00      €0.07
  3000   €0.00      €8.10
  5000   €0.00     €23.50
 10000   €0.00     €44.00
 15000   €0.00     €39.00
 25000   €0.00     €90.00
 50000   €0.00    €165.00</t>
        </r>
      </text>
    </comment>
    <comment ref="V29" authorId="0" shapeId="0" xr:uid="{00000000-0006-0000-0000-0000A9000000}">
      <text>
        <r>
          <rPr>
            <sz val="8"/>
            <color indexed="81"/>
            <rFont val="Tahoma"/>
            <family val="2"/>
          </rPr>
          <t>Qty/Price Breaks:
  Qty  -  Unit€  -  Ext€
================
     1   €0.10      €0.10
    10   €0.04      €0.42
   100   €0.02      €1.70
  1000   €0.01      €7.62
  2500   €0.01     €16.55
  5000   €0.00     €24.85
 10000   €0.00     €43.10
 25000   €0.00     €94.75
 50000   €0.00    €174.00
125000   €0.00    €426.25</t>
        </r>
      </text>
    </comment>
    <comment ref="AF29" authorId="0" shapeId="0" xr:uid="{00000000-0006-0000-0000-0000AA000000}">
      <text>
        <r>
          <rPr>
            <sz val="8"/>
            <color indexed="81"/>
            <rFont val="Tahoma"/>
            <family val="2"/>
          </rPr>
          <t>Qty/Price Breaks:
  Qty  -  Unit€  -  Ext€
================
     1   €0.13      €0.13
    10   €0.03      €0.31
    50   €0.03      €1.55
   100   €0.01      €1.10
  1000   €0.01      €8.00
 10000   €0.00     €50.00</t>
        </r>
      </text>
    </comment>
    <comment ref="AI29" authorId="0" shapeId="0" xr:uid="{00000000-0006-0000-0000-0000AB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K29" authorId="0" shapeId="0" xr:uid="{00000000-0006-0000-0000-0000AC000000}">
      <text>
        <r>
          <rPr>
            <sz val="8"/>
            <color indexed="81"/>
            <rFont val="Tahoma"/>
            <family val="2"/>
          </rPr>
          <t>Qty/Price Breaks:
  Qty  -  Unit€  -  Ext€
================
     1   €0.01      €0.01
  5000   €0.01     €60.00
 10000   €0.01     €90.00
 15000   €0.01     €90.00</t>
        </r>
      </text>
    </comment>
    <comment ref="AU29" authorId="0" shapeId="0" xr:uid="{00000000-0006-0000-0000-0000AD000000}">
      <text>
        <r>
          <rPr>
            <sz val="8"/>
            <color indexed="81"/>
            <rFont val="Tahoma"/>
            <family val="2"/>
          </rPr>
          <t>Qty/Price Breaks:
  Qty  -  Unit€  -  Ext€
================
     1   €0.04      €0.04
   100   €0.04      €3.95
  1000   €0.02     €17.09
  5000   €0.01     €33.45
 15000   €0.01     €78.00
 50000   €0.00    €223.00</t>
        </r>
      </text>
    </comment>
    <comment ref="Q30" authorId="0" shapeId="0" xr:uid="{00000000-0006-0000-0000-0000AE000000}">
      <text>
        <r>
          <rPr>
            <sz val="8"/>
            <color indexed="81"/>
            <rFont val="Tahoma"/>
            <family val="2"/>
          </rPr>
          <t>Qty/Price Breaks:
  Qty  -  Unit€  -  Ext€
================
     1   €0.00      €0.00
   500   €0.00      €1.35
  3000   €0.00      €7.80
  5000   €0.00     €23.50
 10000   €0.00     €46.00
 25000   €0.00     €87.50
 50000   €0.00    €160.00</t>
        </r>
      </text>
    </comment>
    <comment ref="V30" authorId="0" shapeId="0" xr:uid="{00000000-0006-0000-0000-0000AF000000}">
      <text>
        <r>
          <rPr>
            <sz val="8"/>
            <color indexed="81"/>
            <rFont val="Tahoma"/>
            <family val="2"/>
          </rPr>
          <t>Qty/Price Breaks:
  Qty  -  Unit€  -  Ext€
================
     1   €0.10      €0.10
    10   €0.04      €0.42
   100   €0.02      €1.70
  1000   €0.01      €7.62
  2500   €0.01     €16.55
  5000   €0.00     €24.85
 10000   €0.00     €43.10
 25000   €0.00     €94.75
 50000   €0.00    €174.00
125000   €0.00    €426.25</t>
        </r>
      </text>
    </comment>
    <comment ref="AF30" authorId="0" shapeId="0" xr:uid="{00000000-0006-0000-0000-0000B0000000}">
      <text>
        <r>
          <rPr>
            <sz val="8"/>
            <color indexed="81"/>
            <rFont val="Tahoma"/>
            <family val="2"/>
          </rPr>
          <t>Qty/Price Breaks:
  Qty  -  Unit€  -  Ext€
================
     1   €0.13      €0.13
    10   €0.03      €0.31
    50   €0.03      €1.55
   100   €0.01      €1.10
  1000   €0.01      €8.00
 10000   €0.00     €50.00</t>
        </r>
      </text>
    </comment>
    <comment ref="AI30" authorId="0" shapeId="0" xr:uid="{00000000-0006-0000-0000-0000B1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K30" authorId="0" shapeId="0" xr:uid="{00000000-0006-0000-0000-0000B2000000}">
      <text>
        <r>
          <rPr>
            <sz val="8"/>
            <color indexed="81"/>
            <rFont val="Tahoma"/>
            <family val="2"/>
          </rPr>
          <t>Qty/Price Breaks:
  Qty  -  Unit€  -  Ext€
================
     1   €0.01      €0.01
  5000   €0.01     €60.00
 10000   €0.01     €90.00
 15000   €0.01     €90.00</t>
        </r>
      </text>
    </comment>
    <comment ref="Q31" authorId="0" shapeId="0" xr:uid="{00000000-0006-0000-0000-0000B3000000}">
      <text>
        <r>
          <rPr>
            <sz val="8"/>
            <color indexed="81"/>
            <rFont val="Tahoma"/>
            <family val="2"/>
          </rPr>
          <t>Qty/Price Breaks:
  Qty  -  Unit€  -  Ext€
================
     1   €0.10      €0.10
    10   €0.03      €0.29
    25   €0.03      €0.72
   100   €0.01      €1.20</t>
        </r>
      </text>
    </comment>
    <comment ref="V31" authorId="0" shapeId="0" xr:uid="{00000000-0006-0000-0000-0000B4000000}">
      <text>
        <r>
          <rPr>
            <sz val="8"/>
            <color indexed="81"/>
            <rFont val="Tahoma"/>
            <family val="2"/>
          </rPr>
          <t>Qty/Price Breaks:
  Qty  -  Unit€  -  Ext€
================
     1   €0.10      €0.10
    10   €0.04      €0.38
   100   €0.02      €1.56
  1000   €0.01      €7.00
  2500   €0.01     €15.17
  5000   €0.01     €25.10
 10000   €0.00     €39.60
 30000   €0.00    €108.00</t>
        </r>
      </text>
    </comment>
    <comment ref="AF31" authorId="0" shapeId="0" xr:uid="{00000000-0006-0000-0000-0000B5000000}">
      <text>
        <r>
          <rPr>
            <sz val="8"/>
            <color indexed="81"/>
            <rFont val="Tahoma"/>
            <family val="2"/>
          </rPr>
          <t>Qty/Price Breaks:
  Qty  -  Unit€  -  Ext€
================
     1   €0.10      €0.10
    10   €0.03      €0.29
    50   €0.03      €1.45
   100   €0.01      €1.10
  1000   €0.00      €4.00
 10000   €0.00     €40.00</t>
        </r>
      </text>
    </comment>
    <comment ref="AI31" authorId="0" shapeId="0" xr:uid="{00000000-0006-0000-0000-0000B6000000}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K31" authorId="0" shapeId="0" xr:uid="{00000000-0006-0000-0000-0000B7000000}">
      <text>
        <r>
          <rPr>
            <sz val="8"/>
            <color indexed="81"/>
            <rFont val="Tahoma"/>
            <family val="2"/>
          </rPr>
          <t>Qty/Price Breaks:
  Qty  -  Unit€  -  Ext€
================
     1   €0.00      €0.00
 10000   €0.00     €50.00</t>
        </r>
      </text>
    </comment>
    <comment ref="Q32" authorId="0" shapeId="0" xr:uid="{00000000-0006-0000-0000-0000B8000000}">
      <text>
        <r>
          <rPr>
            <sz val="8"/>
            <color indexed="81"/>
            <rFont val="Tahoma"/>
            <family val="2"/>
          </rPr>
          <t>Qty/Price Breaks:
  Qty  -  Unit€  -  Ext€
================
     1   €0.10      €0.10
    10   €0.03      €0.29
    25   €0.03      €0.71
   100   €0.03      €2.71
   250   €0.03      €6.45
   500   €0.02     €12.30
  1000   €0.02     €23.30
  3000   €0.02     €66.30
  6000   €0.02    €124.80
 15000   €0.02    €294.00</t>
        </r>
      </text>
    </comment>
    <comment ref="V32" authorId="0" shapeId="0" xr:uid="{00000000-0006-0000-0000-0000B9000000}">
      <text>
        <r>
          <rPr>
            <sz val="8"/>
            <color indexed="81"/>
            <rFont val="Tahoma"/>
            <family val="2"/>
          </rPr>
          <t>Qty/Price Breaks:
  Qty  -  Unit€  -  Ext€
================
     1   €0.10      €0.10
    10   €0.04      €0.38
   100   €0.02      €1.56
  1000   €0.01      €7.00
  2500   €0.01     €15.17
  5000   €0.00     €22.80
 10000   €0.00     €39.60
 25000   €0.00     €90.00</t>
        </r>
      </text>
    </comment>
    <comment ref="AF32" authorId="0" shapeId="0" xr:uid="{00000000-0006-0000-0000-0000BA000000}">
      <text>
        <r>
          <rPr>
            <sz val="8"/>
            <color indexed="81"/>
            <rFont val="Tahoma"/>
            <family val="2"/>
          </rPr>
          <t>Qty/Price Breaks:
  Qty  -  Unit€  -  Ext€
================
     1   €0.10      €0.10
    10   €0.03      €0.29
    50   €0.03      €1.45
   100   €0.01      €1.10
  1000   €0.00      €4.00
 10000   €0.00     €40.00</t>
        </r>
      </text>
    </comment>
    <comment ref="AK32" authorId="0" shapeId="0" xr:uid="{00000000-0006-0000-0000-0000BB000000}">
      <text>
        <r>
          <rPr>
            <sz val="8"/>
            <color indexed="81"/>
            <rFont val="Tahoma"/>
            <family val="2"/>
          </rPr>
          <t>Qty/Price Breaks:
  Qty  -  Unit€  -  Ext€
================
     1   €0.02      €0.02
  5000   €0.02    €125.00
 10000   €0.02    €240.00
 20000   €0.02    €480.00
 30000   €0.01    €300.00
 50000   €0.00    €150.00</t>
        </r>
      </text>
    </comment>
    <comment ref="M34" authorId="0" shapeId="0" xr:uid="{00000000-0006-0000-0000-0000BC000000}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P34" authorId="0" shapeId="0" xr:uid="{00000000-0006-0000-0000-0000BD000000}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U34" authorId="0" shapeId="0" xr:uid="{00000000-0006-0000-0000-0000BE000000}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Z34" authorId="0" shapeId="0" xr:uid="{00000000-0006-0000-0000-0000BF000000}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E34" authorId="0" shapeId="0" xr:uid="{00000000-0006-0000-0000-0000C0000000}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J34" authorId="0" shapeId="0" xr:uid="{00000000-0006-0000-0000-0000C1000000}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O34" authorId="0" shapeId="0" xr:uid="{00000000-0006-0000-0000-0000C2000000}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T34" authorId="0" shapeId="0" xr:uid="{00000000-0006-0000-0000-0000C3000000}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</commentList>
</comments>
</file>

<file path=xl/sharedStrings.xml><?xml version="1.0" encoding="utf-8"?>
<sst xmlns="http://schemas.openxmlformats.org/spreadsheetml/2006/main" count="358" uniqueCount="257">
  <si>
    <t>Global Part Info</t>
  </si>
  <si>
    <t>Refs</t>
  </si>
  <si>
    <t>Value</t>
  </si>
  <si>
    <t>Desc</t>
  </si>
  <si>
    <t>Footprint</t>
  </si>
  <si>
    <t>Manf</t>
  </si>
  <si>
    <t>Manf#</t>
  </si>
  <si>
    <t>Qty</t>
  </si>
  <si>
    <t>Unit$</t>
  </si>
  <si>
    <t>Ext$</t>
  </si>
  <si>
    <t>comment</t>
  </si>
  <si>
    <t>S2MN</t>
  </si>
  <si>
    <t>S2PN</t>
  </si>
  <si>
    <t>S1PN</t>
  </si>
  <si>
    <t>S1MN</t>
  </si>
  <si>
    <t>BOOT1,EN1</t>
  </si>
  <si>
    <t>KMR221G LFS</t>
  </si>
  <si>
    <t>Microminiature SMT Switch</t>
  </si>
  <si>
    <t>Buttons_Switches_SMD:SW_SPST_KMR2</t>
  </si>
  <si>
    <t>C&amp;K Components</t>
  </si>
  <si>
    <t>C1,C2,C5,C6,C16,C18</t>
  </si>
  <si>
    <t>10u</t>
  </si>
  <si>
    <t>CAP 10u 0805</t>
  </si>
  <si>
    <t>UWED:C0805</t>
  </si>
  <si>
    <t>Murata Electronics</t>
  </si>
  <si>
    <t>GRM219R60J106KE19D</t>
  </si>
  <si>
    <t>C10,C12</t>
  </si>
  <si>
    <t>10n</t>
  </si>
  <si>
    <t>CAP 10n 0805</t>
  </si>
  <si>
    <t>Yageo</t>
  </si>
  <si>
    <t>CC0805KRX7R9BB103</t>
  </si>
  <si>
    <t>C20,C21</t>
  </si>
  <si>
    <t>1n</t>
  </si>
  <si>
    <t>CAP 1n 0805</t>
  </si>
  <si>
    <t>KEMET</t>
  </si>
  <si>
    <t>C0805C102KARACAUTO</t>
  </si>
  <si>
    <t>C3,C4</t>
  </si>
  <si>
    <t>470p</t>
  </si>
  <si>
    <t>CAP 470p 0805</t>
  </si>
  <si>
    <t>Samsung Electro-Mechanics</t>
  </si>
  <si>
    <t>CL21B471KBANNNC</t>
  </si>
  <si>
    <t>C7-C9,C11,C13-C15,C17,C19</t>
  </si>
  <si>
    <t>100n</t>
  </si>
  <si>
    <t>CAP 100n 0805</t>
  </si>
  <si>
    <t>AVX Corporation</t>
  </si>
  <si>
    <t>08055C104KAT2A</t>
  </si>
  <si>
    <t>D7</t>
  </si>
  <si>
    <t>STPS2L40AF</t>
  </si>
  <si>
    <t>DIODE SCHOTTKY 40V 2A SMAFLAT</t>
  </si>
  <si>
    <t>Diodes_SMD:D_SMA</t>
  </si>
  <si>
    <t>STMicroelectronics</t>
  </si>
  <si>
    <t>IC1</t>
  </si>
  <si>
    <t>ESP32-WROOM-32</t>
  </si>
  <si>
    <t>SMD MODULE, ESP32-D0WDQ6, 32MBIT</t>
  </si>
  <si>
    <t>digikey-footprints:ESP32-WROOM-32D</t>
  </si>
  <si>
    <t>Espressif Systems</t>
  </si>
  <si>
    <t>IC2</t>
  </si>
  <si>
    <t>DAC_AD5667RBRMZ-2</t>
  </si>
  <si>
    <t>Dual DAC. 16-bit I2C</t>
  </si>
  <si>
    <t>UWED:MSOP10_0.5MM</t>
  </si>
  <si>
    <t>Analog Devices</t>
  </si>
  <si>
    <t>AD5667RBRMZ-2</t>
  </si>
  <si>
    <t>IC3</t>
  </si>
  <si>
    <t>4OPAMPS-AD8608ARUZ</t>
  </si>
  <si>
    <t>QUAD OPAMP</t>
  </si>
  <si>
    <t>UWED:MSOP14_0.65MM</t>
  </si>
  <si>
    <t>AD8608ARUZ</t>
  </si>
  <si>
    <t>IC4,IC5</t>
  </si>
  <si>
    <t>LDO-MIC5205-3.3YM5-TR</t>
  </si>
  <si>
    <t>LDO 3V3</t>
  </si>
  <si>
    <t>UWED:SOT-23-6</t>
  </si>
  <si>
    <t>Micron</t>
  </si>
  <si>
    <t>MIC5205-3.3YM5-TR</t>
  </si>
  <si>
    <t>IC6</t>
  </si>
  <si>
    <t>SWITCH_MAX4643EUA</t>
  </si>
  <si>
    <t>Dual switch</t>
  </si>
  <si>
    <t>UWED:MSOP8_0.65MM</t>
  </si>
  <si>
    <t>Maxim</t>
  </si>
  <si>
    <t>MAX4643EUA+</t>
  </si>
  <si>
    <t>IC7</t>
  </si>
  <si>
    <t>SWITCH_MAX4644EUT</t>
  </si>
  <si>
    <t>Single switch</t>
  </si>
  <si>
    <t>MAX4644EUT+T</t>
  </si>
  <si>
    <t>IC8</t>
  </si>
  <si>
    <t>ADC_LTC2471IMS</t>
  </si>
  <si>
    <t>16-bit ADC, I2C</t>
  </si>
  <si>
    <t>UWED:MSOP12_0.65MM</t>
  </si>
  <si>
    <t>LTC2471IMS#PBF</t>
  </si>
  <si>
    <t>LED1</t>
  </si>
  <si>
    <t>LED (blue)</t>
  </si>
  <si>
    <t>Led Blue Clear 0805</t>
  </si>
  <si>
    <t>UWED:SML0805</t>
  </si>
  <si>
    <t>Visual Communications Company - VCC</t>
  </si>
  <si>
    <t>VAOL-S8SB4</t>
  </si>
  <si>
    <t>P1</t>
  </si>
  <si>
    <t>PJ-032H-SMT-TR</t>
  </si>
  <si>
    <t>Jack 0.7x2.35mm</t>
  </si>
  <si>
    <t>UWED:PJ-032H-SMT</t>
  </si>
  <si>
    <t xml:space="preserve">	CUI Inc.</t>
  </si>
  <si>
    <t>P2</t>
  </si>
  <si>
    <t>34EWMSP12M6RT</t>
  </si>
  <si>
    <t>Toggle Switch SPDT Surface Mount, Right Angle</t>
  </si>
  <si>
    <t>UWED:TOGGLE_34E</t>
  </si>
  <si>
    <t>Grayhill Inc.</t>
  </si>
  <si>
    <t>R1</t>
  </si>
  <si>
    <t>1k2</t>
  </si>
  <si>
    <t>RES 1K2 0806</t>
  </si>
  <si>
    <t>UWED:R0805</t>
  </si>
  <si>
    <t>Susumu</t>
  </si>
  <si>
    <t>RR1220P-122-D</t>
  </si>
  <si>
    <t>R11,R12</t>
  </si>
  <si>
    <t>10k</t>
  </si>
  <si>
    <t>RES 10K 0806</t>
  </si>
  <si>
    <t>Vishay Dale</t>
  </si>
  <si>
    <t>CRCW080510K0JNEAC</t>
  </si>
  <si>
    <t>R14,R15</t>
  </si>
  <si>
    <t>470R</t>
  </si>
  <si>
    <t>RES 470R 0806</t>
  </si>
  <si>
    <t>TE Connectivity</t>
  </si>
  <si>
    <t>CRGCQ0805J470R</t>
  </si>
  <si>
    <t>R2</t>
  </si>
  <si>
    <t>16k2</t>
  </si>
  <si>
    <t>RES 16K2 0806</t>
  </si>
  <si>
    <t>RC0805FR-0716K2L</t>
  </si>
  <si>
    <t>R3,R10</t>
  </si>
  <si>
    <t>845R</t>
  </si>
  <si>
    <t>RES 845R 0806</t>
  </si>
  <si>
    <t>RC0805FR-07845RL</t>
  </si>
  <si>
    <t>R4</t>
  </si>
  <si>
    <t>29k4</t>
  </si>
  <si>
    <t>RES 29K4 0806</t>
  </si>
  <si>
    <t>RC0805FR-0729K4L</t>
  </si>
  <si>
    <t>R5</t>
  </si>
  <si>
    <t>8k6</t>
  </si>
  <si>
    <t>RES 8K06 0806</t>
  </si>
  <si>
    <t>RC0805FR-078K06L</t>
  </si>
  <si>
    <t>R7</t>
  </si>
  <si>
    <t>OR</t>
  </si>
  <si>
    <t>RES 0R 0806</t>
  </si>
  <si>
    <t>CRCW08050000Z0EBC</t>
  </si>
  <si>
    <t>R8,R9,R13</t>
  </si>
  <si>
    <t>100k</t>
  </si>
  <si>
    <t>RES 100K 0806</t>
  </si>
  <si>
    <t>CRCW0805100KJNEAC</t>
  </si>
  <si>
    <t>Total Purchase:</t>
  </si>
  <si>
    <t>Prj:</t>
  </si>
  <si>
    <t>UWED.xml</t>
  </si>
  <si>
    <t>Co.:</t>
  </si>
  <si>
    <t>Prj date:</t>
  </si>
  <si>
    <t>21/04/2019 23:56:42</t>
  </si>
  <si>
    <t>Board Qty:</t>
  </si>
  <si>
    <t>Total Cost:</t>
  </si>
  <si>
    <t>Unit Cost:</t>
  </si>
  <si>
    <t>$ date:</t>
  </si>
  <si>
    <t>2019-04-21 23:56:56</t>
  </si>
  <si>
    <t>Arrow</t>
  </si>
  <si>
    <t>Avail</t>
  </si>
  <si>
    <t>Purch</t>
  </si>
  <si>
    <t>Cat#</t>
  </si>
  <si>
    <t>Digi-Key</t>
  </si>
  <si>
    <t>401-1427-1-ND</t>
  </si>
  <si>
    <t>490-3340-2-ND</t>
  </si>
  <si>
    <t>NonStk</t>
  </si>
  <si>
    <t>311-1136-1-ND</t>
  </si>
  <si>
    <t>399-16641-1-ND</t>
  </si>
  <si>
    <t>1276-1300-1-ND</t>
  </si>
  <si>
    <t>478-1395-1-ND</t>
  </si>
  <si>
    <t>497-18870-1-ND</t>
  </si>
  <si>
    <t>1904-1010-1-ND</t>
  </si>
  <si>
    <t>AD5667RBRMZ-2-ND</t>
  </si>
  <si>
    <t>AD8608ARUZ-ND</t>
  </si>
  <si>
    <t>576-1259-1-ND</t>
  </si>
  <si>
    <t>MAX4643EUA+-ND</t>
  </si>
  <si>
    <t>MAX4644EUT+TCT-ND</t>
  </si>
  <si>
    <t>LTC2471IMS#PBF-ND</t>
  </si>
  <si>
    <t>VAOL-S8SB4CT-ND</t>
  </si>
  <si>
    <t>CP-032HPJCT-ND</t>
  </si>
  <si>
    <t>GH7540CT-ND</t>
  </si>
  <si>
    <t>RR12P1.2KDCT-ND</t>
  </si>
  <si>
    <t>541-4163-1-ND</t>
  </si>
  <si>
    <t>A130132CT-ND</t>
  </si>
  <si>
    <t>311-16.2KCRCT-ND</t>
  </si>
  <si>
    <t>311-845CRCT-ND</t>
  </si>
  <si>
    <t>311-29.4KCRCT-ND</t>
  </si>
  <si>
    <t>311-8.06KCRCT-ND</t>
  </si>
  <si>
    <t>541-4126-1-ND</t>
  </si>
  <si>
    <t>541-4164-1-ND</t>
  </si>
  <si>
    <t>Farnell</t>
  </si>
  <si>
    <t>1201424RL</t>
  </si>
  <si>
    <t>1845738</t>
  </si>
  <si>
    <t>3019937</t>
  </si>
  <si>
    <t>2834506</t>
  </si>
  <si>
    <t>499687</t>
  </si>
  <si>
    <t>1498716</t>
  </si>
  <si>
    <t>1660999</t>
  </si>
  <si>
    <t>2510222</t>
  </si>
  <si>
    <t>2513055</t>
  </si>
  <si>
    <t>2513217</t>
  </si>
  <si>
    <t>2748714</t>
  </si>
  <si>
    <t>9369937</t>
  </si>
  <si>
    <t>2861905</t>
  </si>
  <si>
    <t>Mouser</t>
  </si>
  <si>
    <t>611-KMR221G-LFS</t>
  </si>
  <si>
    <t>603-CC805KRX7R9BB103</t>
  </si>
  <si>
    <t>80-C0805C102KARAUTO</t>
  </si>
  <si>
    <t>581-08055C104K</t>
  </si>
  <si>
    <t>511-STPS2L40AF</t>
  </si>
  <si>
    <t>356-ESP-WROOM-32</t>
  </si>
  <si>
    <t>584-AD5667RBRMZ-2</t>
  </si>
  <si>
    <t>584-AD8608ARUZ</t>
  </si>
  <si>
    <t>998-MIC5205-3.3YM5TR</t>
  </si>
  <si>
    <t>700-MAX4643EUA</t>
  </si>
  <si>
    <t>700-MAX4644EUTT</t>
  </si>
  <si>
    <t>593-VAOL-S8SB4</t>
  </si>
  <si>
    <t>490-PJ-032H-SMT-TR</t>
  </si>
  <si>
    <t>706-34EWMSP12M6RT</t>
  </si>
  <si>
    <t>754-RR1220P-122D</t>
  </si>
  <si>
    <t>71-CRCW080510K0JNEAC</t>
  </si>
  <si>
    <t>279-CRGCQ0805J470R</t>
  </si>
  <si>
    <t>603-RC0805FR-0716K2L</t>
  </si>
  <si>
    <t>603-RC0805FR-07845RL</t>
  </si>
  <si>
    <t>603-RC0805FR-0729K4L</t>
  </si>
  <si>
    <t>603-RC0805FR-078K06L</t>
  </si>
  <si>
    <t>71-CRCW08050000Z0EBC</t>
  </si>
  <si>
    <t>71-CRCW0805100KJNEAC</t>
  </si>
  <si>
    <t>Newark</t>
  </si>
  <si>
    <t>01M8082</t>
  </si>
  <si>
    <t>13T1205</t>
  </si>
  <si>
    <t>69C9530</t>
  </si>
  <si>
    <t>19X2259</t>
  </si>
  <si>
    <t>96AC4092</t>
  </si>
  <si>
    <t>77Y7676</t>
  </si>
  <si>
    <t>73Y4402</t>
  </si>
  <si>
    <t>73Y4404</t>
  </si>
  <si>
    <t>27R0109</t>
  </si>
  <si>
    <t>13N5692</t>
  </si>
  <si>
    <t>28K0960</t>
  </si>
  <si>
    <t>98AC1023</t>
  </si>
  <si>
    <t>61AC6636</t>
  </si>
  <si>
    <t>66R2982</t>
  </si>
  <si>
    <t>66R3516</t>
  </si>
  <si>
    <t>66R3153</t>
  </si>
  <si>
    <t>66R3485</t>
  </si>
  <si>
    <t>59AC3308</t>
  </si>
  <si>
    <t>95AC8878</t>
  </si>
  <si>
    <t>Rs Components</t>
  </si>
  <si>
    <t>1359079</t>
  </si>
  <si>
    <t>4614013</t>
  </si>
  <si>
    <t>7665950</t>
  </si>
  <si>
    <t>4646688</t>
  </si>
  <si>
    <t>7590822</t>
  </si>
  <si>
    <t>412917</t>
  </si>
  <si>
    <t>9101556</t>
  </si>
  <si>
    <t>6019202P</t>
  </si>
  <si>
    <t>Tme</t>
  </si>
  <si>
    <t>CC0805KRX7R9103</t>
  </si>
  <si>
    <t>KiCost® v.1.0.5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</si>
</sst>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€#,##0.00"/>
  </numFmts>
  <fonts count="11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90909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C4DA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right"/>
    </xf>
    <xf numFmtId="164" fontId="4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horizontal="center" vertical="top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9" fillId="0" borderId="0" xfId="1" applyAlignment="1" applyProtection="1"/>
    <xf numFmtId="0" fontId="10" fillId="0" borderId="0" xfId="0" applyFont="1" applyAlignment="1">
      <alignment horizontal="right" vertical="center"/>
    </xf>
    <xf numFmtId="0" fontId="7" fillId="7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</cellXfs>
  <cellStyles count="2">
    <cellStyle name="Lien hypertexte" xfId="1" builtinId="8"/>
    <cellStyle name="Normal" xfId="0" builtinId="0"/>
  </cellStyles>
  <dxfs count="669"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AAAAA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  <dxf>
      <fill>
        <patternFill>
          <bgColor rgb="FF80FF8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ctopart.com/click/track?ak=&amp;sig=051d296&amp;sid=2401&amp;ppid=88181851&amp;vpid=456357008&amp;ct=offers" TargetMode="External"/><Relationship Id="rId117" Type="http://schemas.openxmlformats.org/officeDocument/2006/relationships/hyperlink" Target="https://octopart.com/click/track?ak=&amp;sig=09ac469&amp;sid=459&amp;ppid=1170020&amp;vpid=1678128&amp;ct=offers" TargetMode="External"/><Relationship Id="rId21" Type="http://schemas.openxmlformats.org/officeDocument/2006/relationships/hyperlink" Target="https://octopart.com/click/track?ak=&amp;sig=0c3fc11&amp;sid=1532&amp;ppid=192989&amp;vpid=115817650&amp;ct=offers" TargetMode="External"/><Relationship Id="rId42" Type="http://schemas.openxmlformats.org/officeDocument/2006/relationships/hyperlink" Target="https://octopart.com/click/track?ak=&amp;sig=075f15a&amp;sid=459&amp;ppid=15756178&amp;vpid=533112807&amp;ct=offers" TargetMode="External"/><Relationship Id="rId47" Type="http://schemas.openxmlformats.org/officeDocument/2006/relationships/hyperlink" Target="https://octopart.com/click/track?ak=&amp;sig=0026b78&amp;sid=2401&amp;ppid=91025511&amp;vpid=480613118&amp;ct=offers" TargetMode="External"/><Relationship Id="rId63" Type="http://schemas.openxmlformats.org/officeDocument/2006/relationships/hyperlink" Target="https://octopart.com/click/track?ak=&amp;sig=013f1bc&amp;sid=459&amp;ppid=66802130&amp;vpid=240151191&amp;ct=offers" TargetMode="External"/><Relationship Id="rId68" Type="http://schemas.openxmlformats.org/officeDocument/2006/relationships/hyperlink" Target="https://octopart.com/click/track?ak=&amp;sig=0a90aa9&amp;sid=1532&amp;ppid=66802130&amp;vpid=430922300&amp;ct=offers" TargetMode="External"/><Relationship Id="rId84" Type="http://schemas.openxmlformats.org/officeDocument/2006/relationships/hyperlink" Target="https://octopart.com/click/track?ak=&amp;sig=03e9390&amp;sid=819&amp;ppid=11855049&amp;vpid=465006215&amp;ct=offers" TargetMode="External"/><Relationship Id="rId89" Type="http://schemas.openxmlformats.org/officeDocument/2006/relationships/hyperlink" Target="https://octopart.com/click/track?ak=&amp;sig=095fc16&amp;sid=2401&amp;ppid=25947168&amp;vpid=220342292&amp;ct=offers" TargetMode="External"/><Relationship Id="rId112" Type="http://schemas.openxmlformats.org/officeDocument/2006/relationships/hyperlink" Target="https://octopart.com/click/track?ak=&amp;sig=093e727&amp;sid=1106&amp;ppid=39850618&amp;vpid=487639162&amp;ct=offers" TargetMode="External"/><Relationship Id="rId133" Type="http://schemas.openxmlformats.org/officeDocument/2006/relationships/hyperlink" Target="https://octopart.com/click/track?ak=&amp;sig=0defb24&amp;sid=1106&amp;ppid=87884302&amp;vpid=482010591&amp;ct=offers" TargetMode="External"/><Relationship Id="rId138" Type="http://schemas.openxmlformats.org/officeDocument/2006/relationships/hyperlink" Target="https://octopart.com/click/track?ak=&amp;sig=0371b33&amp;sid=1106&amp;ppid=23798530&amp;vpid=480316977&amp;ct=offers" TargetMode="External"/><Relationship Id="rId16" Type="http://schemas.openxmlformats.org/officeDocument/2006/relationships/hyperlink" Target="https://octopart.com/click/track?ak=&amp;sig=0c75d82&amp;sid=459&amp;ppid=192989&amp;vpid=115263416&amp;ct=offers" TargetMode="External"/><Relationship Id="rId107" Type="http://schemas.openxmlformats.org/officeDocument/2006/relationships/hyperlink" Target="https://octopart.com/click/track?ak=&amp;sig=063e7fc&amp;sid=459&amp;ppid=91018229&amp;vpid=475508919&amp;ct=offers" TargetMode="External"/><Relationship Id="rId11" Type="http://schemas.openxmlformats.org/officeDocument/2006/relationships/hyperlink" Target="https://octopart.com/click/track?c=1&amp;ak=&amp;sig=07d642b&amp;sid=819&amp;ppid=196959&amp;vpid=139138268&amp;ct=offers" TargetMode="External"/><Relationship Id="rId32" Type="http://schemas.openxmlformats.org/officeDocument/2006/relationships/hyperlink" Target="http://datasheet.octopart.com/08055C104KAT2A-AVX-datasheet-12587061.pdf" TargetMode="External"/><Relationship Id="rId37" Type="http://schemas.openxmlformats.org/officeDocument/2006/relationships/hyperlink" Target="https://octopart.com/click/track?c=1&amp;ak=&amp;sig=090e783&amp;sid=2402&amp;ppid=55386349&amp;vpid=191188899&amp;ct=offers" TargetMode="External"/><Relationship Id="rId53" Type="http://schemas.openxmlformats.org/officeDocument/2006/relationships/hyperlink" Target="https://octopart.com/click/track?ak=&amp;sig=08808dc&amp;sid=10022&amp;ppid=1256714&amp;vpid=202870150&amp;ct=offers" TargetMode="External"/><Relationship Id="rId58" Type="http://schemas.openxmlformats.org/officeDocument/2006/relationships/hyperlink" Target="https://octopart.com/click/track?ak=&amp;sig=01a240d&amp;sid=2401&amp;ppid=412514&amp;vpid=77165439&amp;ct=offers" TargetMode="External"/><Relationship Id="rId74" Type="http://schemas.openxmlformats.org/officeDocument/2006/relationships/hyperlink" Target="http://datasheet.octopart.com/MAX4644EUT-T-Maxim-datasheet-124824.pdf" TargetMode="External"/><Relationship Id="rId79" Type="http://schemas.openxmlformats.org/officeDocument/2006/relationships/hyperlink" Target="http://datasheet.octopart.com/LTC2471IMS%23PBF-Linear-Technology-datasheet-17726001.pdf" TargetMode="External"/><Relationship Id="rId102" Type="http://schemas.openxmlformats.org/officeDocument/2006/relationships/hyperlink" Target="https://octopart.com/click/track?ak=&amp;sig=0e3dded&amp;sid=459&amp;ppid=22248114&amp;vpid=454353709&amp;ct=offers" TargetMode="External"/><Relationship Id="rId123" Type="http://schemas.openxmlformats.org/officeDocument/2006/relationships/hyperlink" Target="https://octopart.com/click/track?ak=&amp;sig=0efb51e&amp;sid=459&amp;ppid=1204081&amp;vpid=1187886&amp;ct=offers" TargetMode="External"/><Relationship Id="rId128" Type="http://schemas.openxmlformats.org/officeDocument/2006/relationships/hyperlink" Target="https://octopart.com/click/track?ak=&amp;sig=0485d57&amp;sid=1106&amp;ppid=1287869&amp;vpid=473551733&amp;ct=offers" TargetMode="External"/><Relationship Id="rId5" Type="http://schemas.openxmlformats.org/officeDocument/2006/relationships/hyperlink" Target="https://octopart.com/click/track?ak=&amp;sig=044d06e&amp;sid=2401&amp;ppid=4774225&amp;vpid=476979092&amp;ct=offers" TargetMode="External"/><Relationship Id="rId90" Type="http://schemas.openxmlformats.org/officeDocument/2006/relationships/hyperlink" Target="http://datasheet.octopart.com/34EWMSP12M6RT-Grayhill-datasheet-11839840.pdf" TargetMode="External"/><Relationship Id="rId95" Type="http://schemas.openxmlformats.org/officeDocument/2006/relationships/hyperlink" Target="http://datasheet.octopart.com/RR1220P-122-D-Susumu-datasheet-5302462.pdf" TargetMode="External"/><Relationship Id="rId22" Type="http://schemas.openxmlformats.org/officeDocument/2006/relationships/hyperlink" Target="http://datasheet.octopart.com/C0805C102KARACAUTO-KEMET-datasheet-104412711.pdf" TargetMode="External"/><Relationship Id="rId27" Type="http://schemas.openxmlformats.org/officeDocument/2006/relationships/hyperlink" Target="http://datasheet.octopart.com/CL21B471KBANNNC-Samsung-Electro-Mechanics-datasheet-8324245.pdf" TargetMode="External"/><Relationship Id="rId43" Type="http://schemas.openxmlformats.org/officeDocument/2006/relationships/hyperlink" Target="https://octopart.com/click/track?ak=&amp;sig=01766ab&amp;sid=2401&amp;ppid=15756178&amp;vpid=46230308&amp;ct=offers" TargetMode="External"/><Relationship Id="rId48" Type="http://schemas.openxmlformats.org/officeDocument/2006/relationships/hyperlink" Target="http://datasheet.octopart.com/AD5667RBRMZ-2-Analog-Devices-datasheet-124928.pdf" TargetMode="External"/><Relationship Id="rId64" Type="http://schemas.openxmlformats.org/officeDocument/2006/relationships/hyperlink" Target="https://octopart.com/click/track?ak=&amp;sig=0dd40c3&amp;sid=819&amp;ppid=66802130&amp;vpid=250077688&amp;ct=offers" TargetMode="External"/><Relationship Id="rId69" Type="http://schemas.openxmlformats.org/officeDocument/2006/relationships/hyperlink" Target="http://datasheet.octopart.com/MAX4643EUA-Maxim-datasheet-132654.pdf" TargetMode="External"/><Relationship Id="rId113" Type="http://schemas.openxmlformats.org/officeDocument/2006/relationships/hyperlink" Target="https://octopart.com/click/track?ak=&amp;sig=0412357&amp;sid=459&amp;ppid=39850618&amp;vpid=114983232&amp;ct=offers" TargetMode="External"/><Relationship Id="rId118" Type="http://schemas.openxmlformats.org/officeDocument/2006/relationships/hyperlink" Target="https://octopart.com/click/track?ak=&amp;sig=05ae8ab&amp;sid=2401&amp;ppid=1170020&amp;vpid=198857945&amp;ct=offers" TargetMode="External"/><Relationship Id="rId134" Type="http://schemas.openxmlformats.org/officeDocument/2006/relationships/hyperlink" Target="https://octopart.com/click/track?ak=&amp;sig=068a365&amp;sid=459&amp;ppid=87884302&amp;vpid=454353686&amp;ct=offers" TargetMode="External"/><Relationship Id="rId139" Type="http://schemas.openxmlformats.org/officeDocument/2006/relationships/hyperlink" Target="https://octopart.com/click/track?ak=&amp;sig=054aca2&amp;sid=459&amp;ppid=23798530&amp;vpid=454353695&amp;ct=offers" TargetMode="External"/><Relationship Id="rId8" Type="http://schemas.openxmlformats.org/officeDocument/2006/relationships/hyperlink" Target="http://datasheet.octopart.com/GRM219R60J106KE19D-Murata-datasheet-10025737.pdf" TargetMode="External"/><Relationship Id="rId51" Type="http://schemas.openxmlformats.org/officeDocument/2006/relationships/hyperlink" Target="https://octopart.com/click/track?ak=&amp;sig=02575de&amp;sid=819&amp;ppid=1256714&amp;vpid=138551615&amp;ct=offers" TargetMode="External"/><Relationship Id="rId72" Type="http://schemas.openxmlformats.org/officeDocument/2006/relationships/hyperlink" Target="https://octopart.com/click/track?ak=&amp;sig=03a5efa&amp;sid=2401&amp;ppid=42454999&amp;vpid=118374851&amp;ct=offers" TargetMode="External"/><Relationship Id="rId80" Type="http://schemas.openxmlformats.org/officeDocument/2006/relationships/hyperlink" Target="https://octopart.com/click/track?c=1&amp;ak=&amp;sig=03e7092&amp;sid=459&amp;ppid=19077751&amp;vpid=33773660&amp;ct=offers" TargetMode="External"/><Relationship Id="rId85" Type="http://schemas.openxmlformats.org/officeDocument/2006/relationships/hyperlink" Target="https://octopart.com/click/track?ak=&amp;sig=0b3fcf6&amp;sid=2401&amp;ppid=11855049&amp;vpid=37785716&amp;ct=offers" TargetMode="External"/><Relationship Id="rId93" Type="http://schemas.openxmlformats.org/officeDocument/2006/relationships/hyperlink" Target="https://octopart.com/click/track?ak=&amp;sig=0b1f9bc&amp;sid=2401&amp;ppid=90738&amp;vpid=114471257&amp;ct=offers" TargetMode="External"/><Relationship Id="rId98" Type="http://schemas.openxmlformats.org/officeDocument/2006/relationships/hyperlink" Target="https://octopart.com/click/track?ak=&amp;sig=050dae0&amp;sid=2401&amp;ppid=981665&amp;vpid=66948506&amp;ct=offers" TargetMode="External"/><Relationship Id="rId121" Type="http://schemas.openxmlformats.org/officeDocument/2006/relationships/hyperlink" Target="http://datasheet.octopart.com/RC0805FR-0729K4L-Yageo-datasheet-127823281.pdf" TargetMode="External"/><Relationship Id="rId142" Type="http://schemas.openxmlformats.org/officeDocument/2006/relationships/vmlDrawing" Target="../drawings/vmlDrawing1.vml"/><Relationship Id="rId3" Type="http://schemas.openxmlformats.org/officeDocument/2006/relationships/hyperlink" Target="https://octopart.com/click/track?ak=&amp;sig=0c11080&amp;sid=459&amp;ppid=4774225&amp;vpid=34440877&amp;ct=offers" TargetMode="External"/><Relationship Id="rId12" Type="http://schemas.openxmlformats.org/officeDocument/2006/relationships/hyperlink" Target="https://octopart.com/click/track?c=1&amp;ak=&amp;sig=093089c&amp;sid=2402&amp;ppid=196959&amp;vpid=33412387&amp;ct=offers" TargetMode="External"/><Relationship Id="rId17" Type="http://schemas.openxmlformats.org/officeDocument/2006/relationships/hyperlink" Target="https://octopart.com/click/track?ak=&amp;sig=0170063&amp;sid=819&amp;ppid=192989&amp;vpid=508509172&amp;ct=offers" TargetMode="External"/><Relationship Id="rId25" Type="http://schemas.openxmlformats.org/officeDocument/2006/relationships/hyperlink" Target="https://octopart.com/click/track?ak=&amp;sig=0deef06&amp;sid=819&amp;ppid=88181851&amp;vpid=477257990&amp;ct=offers" TargetMode="External"/><Relationship Id="rId33" Type="http://schemas.openxmlformats.org/officeDocument/2006/relationships/hyperlink" Target="https://octopart.com/click/track?ak=&amp;sig=076accc&amp;sid=1106&amp;ppid=55386349&amp;vpid=527050973&amp;ct=offers" TargetMode="External"/><Relationship Id="rId38" Type="http://schemas.openxmlformats.org/officeDocument/2006/relationships/hyperlink" Target="https://octopart.com/click/track?ak=&amp;sig=082b5da&amp;sid=10022&amp;ppid=55386349&amp;vpid=198971583&amp;ct=offers" TargetMode="External"/><Relationship Id="rId46" Type="http://schemas.openxmlformats.org/officeDocument/2006/relationships/hyperlink" Target="https://octopart.com/click/track?c=1&amp;ak=&amp;sig=04c9fe0&amp;sid=459&amp;ppid=91025511&amp;vpid=475661582&amp;ct=offers" TargetMode="External"/><Relationship Id="rId59" Type="http://schemas.openxmlformats.org/officeDocument/2006/relationships/hyperlink" Target="https://octopart.com/click/track?ak=&amp;sig=06e1585&amp;sid=10022&amp;ppid=412514&amp;vpid=202871180&amp;ct=offers" TargetMode="External"/><Relationship Id="rId67" Type="http://schemas.openxmlformats.org/officeDocument/2006/relationships/hyperlink" Target="https://octopart.com/click/track?ak=&amp;sig=0bacc1a&amp;sid=10022&amp;ppid=66802130&amp;vpid=277370722&amp;ct=offers" TargetMode="External"/><Relationship Id="rId103" Type="http://schemas.openxmlformats.org/officeDocument/2006/relationships/hyperlink" Target="https://octopart.com/click/track?ak=&amp;sig=0e7bfa5&amp;sid=2401&amp;ppid=22248114&amp;vpid=458953937&amp;ct=offers" TargetMode="External"/><Relationship Id="rId108" Type="http://schemas.openxmlformats.org/officeDocument/2006/relationships/hyperlink" Target="https://octopart.com/click/track?ak=&amp;sig=064e05c&amp;sid=819&amp;ppid=91018229&amp;vpid=503455793&amp;ct=offers" TargetMode="External"/><Relationship Id="rId116" Type="http://schemas.openxmlformats.org/officeDocument/2006/relationships/hyperlink" Target="http://datasheet.octopart.com/RC0805FR-07845RL-Yageo-datasheet-118657.pdf" TargetMode="External"/><Relationship Id="rId124" Type="http://schemas.openxmlformats.org/officeDocument/2006/relationships/hyperlink" Target="https://octopart.com/click/track?ak=&amp;sig=012087c&amp;sid=2401&amp;ppid=1204081&amp;vpid=56304309&amp;ct=offers" TargetMode="External"/><Relationship Id="rId129" Type="http://schemas.openxmlformats.org/officeDocument/2006/relationships/hyperlink" Target="https://octopart.com/click/track?ak=&amp;sig=048b5c5&amp;sid=459&amp;ppid=1287869&amp;vpid=1630312&amp;ct=offers" TargetMode="External"/><Relationship Id="rId137" Type="http://schemas.openxmlformats.org/officeDocument/2006/relationships/hyperlink" Target="http://datasheet.octopart.com/CRCW0805100KJNEAC-Vishay-datasheet-100063072.pdf" TargetMode="External"/><Relationship Id="rId20" Type="http://schemas.openxmlformats.org/officeDocument/2006/relationships/hyperlink" Target="https://octopart.com/click/track?ak=&amp;sig=030c7d2&amp;sid=10022&amp;ppid=192989&amp;vpid=229330082&amp;ct=offers" TargetMode="External"/><Relationship Id="rId41" Type="http://schemas.openxmlformats.org/officeDocument/2006/relationships/hyperlink" Target="https://octopart.com/click/track?ak=&amp;sig=025aeda&amp;sid=1106&amp;ppid=15756178&amp;vpid=473424643&amp;ct=offers" TargetMode="External"/><Relationship Id="rId54" Type="http://schemas.openxmlformats.org/officeDocument/2006/relationships/hyperlink" Target="http://datasheet.octopart.com/AD8608ARUZ-Analog-Devices-datasheet-5333916.pdf" TargetMode="External"/><Relationship Id="rId62" Type="http://schemas.openxmlformats.org/officeDocument/2006/relationships/hyperlink" Target="https://octopart.com/click/track?ak=&amp;sig=0130a16&amp;sid=1106&amp;ppid=66802130&amp;vpid=473300413&amp;ct=offers" TargetMode="External"/><Relationship Id="rId70" Type="http://schemas.openxmlformats.org/officeDocument/2006/relationships/hyperlink" Target="https://octopart.com/click/track?ak=&amp;sig=0bca648&amp;sid=459&amp;ppid=42454999&amp;vpid=116452538&amp;ct=offers" TargetMode="External"/><Relationship Id="rId75" Type="http://schemas.openxmlformats.org/officeDocument/2006/relationships/hyperlink" Target="https://octopart.com/click/track?ak=&amp;sig=0cc4e45&amp;sid=459&amp;ppid=39581104&amp;vpid=115220404&amp;ct=offers" TargetMode="External"/><Relationship Id="rId83" Type="http://schemas.openxmlformats.org/officeDocument/2006/relationships/hyperlink" Target="https://octopart.com/click/track?ak=&amp;sig=0603068&amp;sid=459&amp;ppid=11855049&amp;vpid=97283745&amp;ct=offers" TargetMode="External"/><Relationship Id="rId88" Type="http://schemas.openxmlformats.org/officeDocument/2006/relationships/hyperlink" Target="https://octopart.com/click/track?ak=&amp;sig=05e8df8&amp;sid=459&amp;ppid=25947168&amp;vpid=63783277&amp;ct=offers" TargetMode="External"/><Relationship Id="rId91" Type="http://schemas.openxmlformats.org/officeDocument/2006/relationships/hyperlink" Target="https://octopart.com/click/track?ak=&amp;sig=00992e8&amp;sid=1106&amp;ppid=90738&amp;vpid=473220208&amp;ct=offers" TargetMode="External"/><Relationship Id="rId96" Type="http://schemas.openxmlformats.org/officeDocument/2006/relationships/hyperlink" Target="https://octopart.com/click/track?ak=&amp;sig=0d43023&amp;sid=459&amp;ppid=981665&amp;vpid=1230012&amp;ct=offers" TargetMode="External"/><Relationship Id="rId111" Type="http://schemas.openxmlformats.org/officeDocument/2006/relationships/hyperlink" Target="http://datasheet.octopart.com/RC0805FR-0716K2L-Yageo-datasheet-127823281.pdf" TargetMode="External"/><Relationship Id="rId132" Type="http://schemas.openxmlformats.org/officeDocument/2006/relationships/hyperlink" Target="http://datasheet.octopart.com/CRCW08050000Z0EBC-Vishay-datasheet-100063072.pdf" TargetMode="External"/><Relationship Id="rId140" Type="http://schemas.openxmlformats.org/officeDocument/2006/relationships/hyperlink" Target="https://octopart.com/click/track?ak=&amp;sig=09648a2&amp;sid=2401&amp;ppid=23798530&amp;vpid=458953926&amp;ct=offers" TargetMode="External"/><Relationship Id="rId1" Type="http://schemas.openxmlformats.org/officeDocument/2006/relationships/hyperlink" Target="http://www.mouser.com/ds/2/60/kmr2-1109400.pdf" TargetMode="External"/><Relationship Id="rId6" Type="http://schemas.openxmlformats.org/officeDocument/2006/relationships/hyperlink" Target="https://octopart.com/click/track?ak=&amp;sig=005da93&amp;sid=2402&amp;ppid=7484007&amp;vpid=11347265&amp;ct=offers" TargetMode="External"/><Relationship Id="rId15" Type="http://schemas.openxmlformats.org/officeDocument/2006/relationships/hyperlink" Target="https://octopart.com/click/track?ak=&amp;sig=0ae48fd&amp;sid=1106&amp;ppid=192989&amp;vpid=486423584&amp;ct=offers" TargetMode="External"/><Relationship Id="rId23" Type="http://schemas.openxmlformats.org/officeDocument/2006/relationships/hyperlink" Target="https://octopart.com/click/track?ak=&amp;sig=0f82d17&amp;sid=1106&amp;ppid=88181851&amp;vpid=507223026&amp;ct=offers" TargetMode="External"/><Relationship Id="rId28" Type="http://schemas.openxmlformats.org/officeDocument/2006/relationships/hyperlink" Target="https://octopart.com/click/track?ak=&amp;sig=0d22747&amp;sid=1106&amp;ppid=9301762&amp;vpid=486018211&amp;ct=offers" TargetMode="External"/><Relationship Id="rId36" Type="http://schemas.openxmlformats.org/officeDocument/2006/relationships/hyperlink" Target="https://octopart.com/click/track?c=1&amp;ak=&amp;sig=0e4db2d&amp;sid=2401&amp;ppid=55386349&amp;vpid=187733814&amp;ct=offers" TargetMode="External"/><Relationship Id="rId49" Type="http://schemas.openxmlformats.org/officeDocument/2006/relationships/hyperlink" Target="https://octopart.com/click/track?ak=&amp;sig=03ec865&amp;sid=1106&amp;ppid=1256714&amp;vpid=473140498&amp;ct=offers" TargetMode="External"/><Relationship Id="rId57" Type="http://schemas.openxmlformats.org/officeDocument/2006/relationships/hyperlink" Target="https://octopart.com/click/track?c=1&amp;ak=&amp;sig=054ff64&amp;sid=819&amp;ppid=412514&amp;vpid=138558174&amp;ct=offers" TargetMode="External"/><Relationship Id="rId106" Type="http://schemas.openxmlformats.org/officeDocument/2006/relationships/hyperlink" Target="https://octopart.com/click/track?ak=&amp;sig=04ea6a4&amp;sid=1106&amp;ppid=91018229&amp;vpid=494397254&amp;ct=offers" TargetMode="External"/><Relationship Id="rId114" Type="http://schemas.openxmlformats.org/officeDocument/2006/relationships/hyperlink" Target="https://octopart.com/click/track?ak=&amp;sig=01b22f1&amp;sid=2401&amp;ppid=39850618&amp;vpid=165627792&amp;ct=offers" TargetMode="External"/><Relationship Id="rId119" Type="http://schemas.openxmlformats.org/officeDocument/2006/relationships/hyperlink" Target="https://octopart.com/click/track?c=1&amp;ak=&amp;sig=043ea6d&amp;sid=2402&amp;ppid=1170020&amp;vpid=96902892&amp;ct=offers" TargetMode="External"/><Relationship Id="rId127" Type="http://schemas.openxmlformats.org/officeDocument/2006/relationships/hyperlink" Target="http://datasheet.octopart.com/RC0805FR-078K06L-Yageo-datasheet-118657.pdf" TargetMode="External"/><Relationship Id="rId10" Type="http://schemas.openxmlformats.org/officeDocument/2006/relationships/hyperlink" Target="https://octopart.com/click/track?c=1&amp;ak=&amp;sig=00207e4&amp;sid=459&amp;ppid=196959&amp;vpid=1720932&amp;ct=offers" TargetMode="External"/><Relationship Id="rId31" Type="http://schemas.openxmlformats.org/officeDocument/2006/relationships/hyperlink" Target="https://octopart.com/click/track?ak=&amp;sig=0ed60ea&amp;sid=1532&amp;ppid=9301762&amp;vpid=88731159&amp;ct=offers" TargetMode="External"/><Relationship Id="rId44" Type="http://schemas.openxmlformats.org/officeDocument/2006/relationships/hyperlink" Target="https://octopart.com/click/track?ak=&amp;sig=0df9935&amp;sid=2402&amp;ppid=15756178&amp;vpid=530872283&amp;ct=offers" TargetMode="External"/><Relationship Id="rId52" Type="http://schemas.openxmlformats.org/officeDocument/2006/relationships/hyperlink" Target="https://octopart.com/click/track?ak=&amp;sig=07a096d&amp;sid=2401&amp;ppid=1256714&amp;vpid=76856573&amp;ct=offers" TargetMode="External"/><Relationship Id="rId60" Type="http://schemas.openxmlformats.org/officeDocument/2006/relationships/hyperlink" Target="https://octopart.com/click/track?ak=&amp;sig=00dbee1&amp;sid=1532&amp;ppid=412514&amp;vpid=431488339&amp;ct=offers" TargetMode="External"/><Relationship Id="rId65" Type="http://schemas.openxmlformats.org/officeDocument/2006/relationships/hyperlink" Target="https://octopart.com/click/track?ak=&amp;sig=0603f47&amp;sid=2401&amp;ppid=66802130&amp;vpid=241196800&amp;ct=offers" TargetMode="External"/><Relationship Id="rId73" Type="http://schemas.openxmlformats.org/officeDocument/2006/relationships/hyperlink" Target="https://octopart.com/click/track?c=1&amp;ak=&amp;sig=09888c9&amp;sid=2402&amp;ppid=42454999&amp;vpid=252535778&amp;ct=offers" TargetMode="External"/><Relationship Id="rId78" Type="http://schemas.openxmlformats.org/officeDocument/2006/relationships/hyperlink" Target="https://octopart.com/click/track?ak=&amp;sig=0bbf81e&amp;sid=2402&amp;ppid=39581104&amp;vpid=252535784&amp;ct=offers" TargetMode="External"/><Relationship Id="rId81" Type="http://schemas.openxmlformats.org/officeDocument/2006/relationships/hyperlink" Target="http://datasheet.octopart.com/VAOL-S8SB4-VCC-datasheet-8502562.pdf" TargetMode="External"/><Relationship Id="rId86" Type="http://schemas.openxmlformats.org/officeDocument/2006/relationships/hyperlink" Target="https://octopart.com/click/track?ak=&amp;sig=00dcaeb&amp;sid=2402&amp;ppid=11855049&amp;vpid=20231201&amp;ct=offers" TargetMode="External"/><Relationship Id="rId94" Type="http://schemas.openxmlformats.org/officeDocument/2006/relationships/hyperlink" Target="https://octopart.com/click/track?ak=&amp;sig=0ff94a4&amp;sid=2402&amp;ppid=90738&amp;vpid=30137956&amp;ct=offers" TargetMode="External"/><Relationship Id="rId99" Type="http://schemas.openxmlformats.org/officeDocument/2006/relationships/hyperlink" Target="https://octopart.com/click/track?ak=&amp;sig=0984767&amp;sid=2402&amp;ppid=981665&amp;vpid=2942973&amp;ct=offers" TargetMode="External"/><Relationship Id="rId101" Type="http://schemas.openxmlformats.org/officeDocument/2006/relationships/hyperlink" Target="https://octopart.com/click/track?ak=&amp;sig=08c7d26&amp;sid=1106&amp;ppid=22248114&amp;vpid=477979982&amp;ct=offers" TargetMode="External"/><Relationship Id="rId122" Type="http://schemas.openxmlformats.org/officeDocument/2006/relationships/hyperlink" Target="https://octopart.com/click/track?ak=&amp;sig=0ef9bd1&amp;sid=1106&amp;ppid=1204081&amp;vpid=473551303&amp;ct=offers" TargetMode="External"/><Relationship Id="rId130" Type="http://schemas.openxmlformats.org/officeDocument/2006/relationships/hyperlink" Target="https://octopart.com/click/track?ak=&amp;sig=0d2ec1a&amp;sid=2401&amp;ppid=1287869&amp;vpid=46088460&amp;ct=offers" TargetMode="External"/><Relationship Id="rId135" Type="http://schemas.openxmlformats.org/officeDocument/2006/relationships/hyperlink" Target="https://octopart.com/click/track?ak=&amp;sig=0ecee72&amp;sid=2401&amp;ppid=87884302&amp;vpid=458953923&amp;ct=offers" TargetMode="External"/><Relationship Id="rId143" Type="http://schemas.openxmlformats.org/officeDocument/2006/relationships/comments" Target="../comments1.xml"/><Relationship Id="rId4" Type="http://schemas.openxmlformats.org/officeDocument/2006/relationships/hyperlink" Target="https://octopart.com/click/track?c=1&amp;ak=&amp;sig=0b550e2&amp;sid=819&amp;ppid=7484007&amp;vpid=138698732&amp;ct=offers" TargetMode="External"/><Relationship Id="rId9" Type="http://schemas.openxmlformats.org/officeDocument/2006/relationships/hyperlink" Target="https://octopart.com/click/track?ak=&amp;sig=0b1ee93&amp;sid=1106&amp;ppid=196959&amp;vpid=473333448&amp;ct=offers" TargetMode="External"/><Relationship Id="rId13" Type="http://schemas.openxmlformats.org/officeDocument/2006/relationships/hyperlink" Target="https://octopart.com/click/track?ak=&amp;sig=0f77df8&amp;sid=1532&amp;ppid=196959&amp;vpid=419362567&amp;ct=offers" TargetMode="External"/><Relationship Id="rId18" Type="http://schemas.openxmlformats.org/officeDocument/2006/relationships/hyperlink" Target="https://octopart.com/click/track?ak=&amp;sig=050a8fd&amp;sid=2401&amp;ppid=192989&amp;vpid=115540545&amp;ct=offers" TargetMode="External"/><Relationship Id="rId39" Type="http://schemas.openxmlformats.org/officeDocument/2006/relationships/hyperlink" Target="https://octopart.com/click/track?ak=&amp;sig=0e9bd19&amp;sid=1532&amp;ppid=55386349&amp;vpid=187735344&amp;ct=offers" TargetMode="External"/><Relationship Id="rId109" Type="http://schemas.openxmlformats.org/officeDocument/2006/relationships/hyperlink" Target="https://octopart.com/click/track?ak=&amp;sig=00b7193&amp;sid=2401&amp;ppid=91018229&amp;vpid=478301079&amp;ct=offers" TargetMode="External"/><Relationship Id="rId34" Type="http://schemas.openxmlformats.org/officeDocument/2006/relationships/hyperlink" Target="https://octopart.com/click/track?ak=&amp;sig=01b1845&amp;sid=459&amp;ppid=55386349&amp;vpid=187969502&amp;ct=offers" TargetMode="External"/><Relationship Id="rId50" Type="http://schemas.openxmlformats.org/officeDocument/2006/relationships/hyperlink" Target="https://octopart.com/click/track?ak=&amp;sig=049c553&amp;sid=459&amp;ppid=1256714&amp;vpid=1403056&amp;ct=offers" TargetMode="External"/><Relationship Id="rId55" Type="http://schemas.openxmlformats.org/officeDocument/2006/relationships/hyperlink" Target="https://octopart.com/click/track?ak=&amp;sig=0180f02&amp;sid=1106&amp;ppid=412514&amp;vpid=476983376&amp;ct=offers" TargetMode="External"/><Relationship Id="rId76" Type="http://schemas.openxmlformats.org/officeDocument/2006/relationships/hyperlink" Target="https://octopart.com/click/track?ak=&amp;sig=027b1ae&amp;sid=819&amp;ppid=39581104&amp;vpid=247811371&amp;ct=offers" TargetMode="External"/><Relationship Id="rId97" Type="http://schemas.openxmlformats.org/officeDocument/2006/relationships/hyperlink" Target="https://octopart.com/click/track?ak=&amp;sig=09b411a&amp;sid=819&amp;ppid=981665&amp;vpid=139693991&amp;ct=offers" TargetMode="External"/><Relationship Id="rId104" Type="http://schemas.openxmlformats.org/officeDocument/2006/relationships/hyperlink" Target="https://octopart.com/click/track?ak=&amp;sig=04b390a&amp;sid=2402&amp;ppid=22248114&amp;vpid=532301088&amp;ct=offers" TargetMode="External"/><Relationship Id="rId120" Type="http://schemas.openxmlformats.org/officeDocument/2006/relationships/hyperlink" Target="https://octopart.com/click/track?ak=&amp;sig=0150fef&amp;sid=1532&amp;ppid=1170020&amp;vpid=433931373&amp;ct=offers" TargetMode="External"/><Relationship Id="rId125" Type="http://schemas.openxmlformats.org/officeDocument/2006/relationships/hyperlink" Target="https://octopart.com/click/track?c=1&amp;ak=&amp;sig=0219af0&amp;sid=2402&amp;ppid=1204081&amp;vpid=96902579&amp;ct=offers" TargetMode="External"/><Relationship Id="rId141" Type="http://schemas.openxmlformats.org/officeDocument/2006/relationships/hyperlink" Target="https://octopart.com/click/track?ak=&amp;sig=03fde5c&amp;sid=2402&amp;ppid=23798530&amp;vpid=530876537&amp;ct=offers" TargetMode="External"/><Relationship Id="rId7" Type="http://schemas.openxmlformats.org/officeDocument/2006/relationships/hyperlink" Target="https://octopart.com/click/track?ak=&amp;sig=023d798&amp;sid=10022&amp;ppid=7484007&amp;vpid=445740908&amp;ct=offers" TargetMode="External"/><Relationship Id="rId71" Type="http://schemas.openxmlformats.org/officeDocument/2006/relationships/hyperlink" Target="https://octopart.com/click/track?c=1&amp;ak=&amp;sig=0afb6d2&amp;sid=819&amp;ppid=42454999&amp;vpid=247811369&amp;ct=offers" TargetMode="External"/><Relationship Id="rId92" Type="http://schemas.openxmlformats.org/officeDocument/2006/relationships/hyperlink" Target="https://octopart.com/click/track?ak=&amp;sig=0ddba23&amp;sid=459&amp;ppid=90738&amp;vpid=40829069&amp;ct=offers" TargetMode="External"/><Relationship Id="rId2" Type="http://schemas.openxmlformats.org/officeDocument/2006/relationships/hyperlink" Target="https://octopart.com/click/track?ak=&amp;sig=092a967&amp;sid=1106&amp;ppid=7484007&amp;vpid=473168312&amp;ct=offers" TargetMode="External"/><Relationship Id="rId29" Type="http://schemas.openxmlformats.org/officeDocument/2006/relationships/hyperlink" Target="https://octopart.com/click/track?ak=&amp;sig=0597cd7&amp;sid=459&amp;ppid=9301762&amp;vpid=72526539&amp;ct=offers" TargetMode="External"/><Relationship Id="rId24" Type="http://schemas.openxmlformats.org/officeDocument/2006/relationships/hyperlink" Target="https://octopart.com/click/track?ak=&amp;sig=09f6ac1&amp;sid=459&amp;ppid=88181851&amp;vpid=459932081&amp;ct=offers" TargetMode="External"/><Relationship Id="rId40" Type="http://schemas.openxmlformats.org/officeDocument/2006/relationships/hyperlink" Target="http://www.jameco.com/Jameco/Products/ProdDS/1538777.pdf" TargetMode="External"/><Relationship Id="rId45" Type="http://schemas.openxmlformats.org/officeDocument/2006/relationships/hyperlink" Target="https://www.espressif.com/sites/default/files/documentation/esp32-wroom-32_datasheet_en.pdf" TargetMode="External"/><Relationship Id="rId66" Type="http://schemas.openxmlformats.org/officeDocument/2006/relationships/hyperlink" Target="https://octopart.com/click/track?ak=&amp;sig=0f9fff7&amp;sid=2402&amp;ppid=66802130&amp;vpid=252553478&amp;ct=offers" TargetMode="External"/><Relationship Id="rId87" Type="http://schemas.openxmlformats.org/officeDocument/2006/relationships/hyperlink" Target="http://datasheet.octopart.com/PJ-032H-SMT-TR-CUI-datasheet-100142472.pdf" TargetMode="External"/><Relationship Id="rId110" Type="http://schemas.openxmlformats.org/officeDocument/2006/relationships/hyperlink" Target="https://octopart.com/click/track?ak=&amp;sig=0dde457&amp;sid=2402&amp;ppid=91018229&amp;vpid=503307495&amp;ct=offers" TargetMode="External"/><Relationship Id="rId115" Type="http://schemas.openxmlformats.org/officeDocument/2006/relationships/hyperlink" Target="https://octopart.com/click/track?c=1&amp;ak=&amp;sig=00bcda1&amp;sid=2402&amp;ppid=39850618&amp;vpid=166707613&amp;ct=offers" TargetMode="External"/><Relationship Id="rId131" Type="http://schemas.openxmlformats.org/officeDocument/2006/relationships/hyperlink" Target="https://octopart.com/click/track?c=1&amp;ak=&amp;sig=02b87d2&amp;sid=2402&amp;ppid=1287869&amp;vpid=96902901&amp;ct=offers" TargetMode="External"/><Relationship Id="rId136" Type="http://schemas.openxmlformats.org/officeDocument/2006/relationships/hyperlink" Target="https://octopart.com/click/track?c=1&amp;ak=&amp;sig=026db87&amp;sid=2402&amp;ppid=87884302&amp;vpid=508831544&amp;ct=offers" TargetMode="External"/><Relationship Id="rId61" Type="http://schemas.openxmlformats.org/officeDocument/2006/relationships/hyperlink" Target="http://datasheet.octopart.com/MIC5205-3.3YM5-TR-Microchip-datasheet-3438.pdf" TargetMode="External"/><Relationship Id="rId82" Type="http://schemas.openxmlformats.org/officeDocument/2006/relationships/hyperlink" Target="https://octopart.com/click/track?ak=&amp;sig=080c203&amp;sid=1106&amp;ppid=11855049&amp;vpid=473518303&amp;ct=offers" TargetMode="External"/><Relationship Id="rId19" Type="http://schemas.openxmlformats.org/officeDocument/2006/relationships/hyperlink" Target="https://octopart.com/click/track?ak=&amp;sig=0896e52&amp;sid=2402&amp;ppid=192989&amp;vpid=115423638&amp;ct=offers" TargetMode="External"/><Relationship Id="rId14" Type="http://schemas.openxmlformats.org/officeDocument/2006/relationships/hyperlink" Target="http://datasheet.octopart.com/CC0805KRX7R9BB103-Yageo-datasheet-10883670.pdf" TargetMode="External"/><Relationship Id="rId30" Type="http://schemas.openxmlformats.org/officeDocument/2006/relationships/hyperlink" Target="https://octopart.com/click/track?c=1&amp;ak=&amp;sig=06b5c12&amp;sid=10022&amp;ppid=9301762&amp;vpid=199121410&amp;ct=offers" TargetMode="External"/><Relationship Id="rId35" Type="http://schemas.openxmlformats.org/officeDocument/2006/relationships/hyperlink" Target="https://octopart.com/click/track?c=1&amp;ak=&amp;sig=05bafdf&amp;sid=819&amp;ppid=55386349&amp;vpid=202984868&amp;ct=offers" TargetMode="External"/><Relationship Id="rId56" Type="http://schemas.openxmlformats.org/officeDocument/2006/relationships/hyperlink" Target="https://octopart.com/click/track?ak=&amp;sig=057ea3f&amp;sid=459&amp;ppid=412514&amp;vpid=1573362&amp;ct=offers" TargetMode="External"/><Relationship Id="rId77" Type="http://schemas.openxmlformats.org/officeDocument/2006/relationships/hyperlink" Target="https://octopart.com/click/track?ak=&amp;sig=0475005&amp;sid=2401&amp;ppid=39581104&amp;vpid=116509793&amp;ct=offers" TargetMode="External"/><Relationship Id="rId100" Type="http://schemas.openxmlformats.org/officeDocument/2006/relationships/hyperlink" Target="https://octopart.com/click/track?ak=&amp;sig=0f91073&amp;sid=10022&amp;ppid=981665&amp;vpid=168877474&amp;ct=offers" TargetMode="External"/><Relationship Id="rId105" Type="http://schemas.openxmlformats.org/officeDocument/2006/relationships/hyperlink" Target="http://sigma.octopart.com/114702769/technical_drawing/TE-Connectivity-CRGCQ0805J470R.pdf" TargetMode="External"/><Relationship Id="rId126" Type="http://schemas.openxmlformats.org/officeDocument/2006/relationships/hyperlink" Target="https://octopart.com/click/track?ak=&amp;sig=0f9bbc7&amp;sid=1532&amp;ppid=1204081&amp;vpid=433931042&amp;ct=off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60"/>
  <sheetViews>
    <sheetView tabSelected="1" workbookViewId="0">
      <pane xSplit="14" ySplit="6" topLeftCell="S25" activePane="bottomRight" state="frozen"/>
      <selection pane="topRight" activeCell="O1" sqref="O1"/>
      <selection pane="bottomLeft" activeCell="A7" sqref="A7"/>
      <selection pane="bottomRight" activeCell="T37" sqref="T37"/>
    </sheetView>
  </sheetViews>
  <sheetFormatPr baseColWidth="10" defaultColWidth="8.88671875" defaultRowHeight="14.4" outlineLevelCol="2" x14ac:dyDescent="0.3"/>
  <cols>
    <col min="1" max="2" width="9.109375"/>
    <col min="3" max="3" width="9.109375" outlineLevel="2"/>
    <col min="4" max="8" width="9.109375"/>
    <col min="9" max="9" width="9.109375" outlineLevel="2"/>
    <col min="10" max="12" width="9.109375" outlineLevel="1"/>
    <col min="13" max="13" width="9.109375"/>
    <col min="14" max="14" width="15.6640625" customWidth="1"/>
    <col min="15" max="15" width="9.109375" outlineLevel="1"/>
    <col min="16" max="17" width="9.109375" outlineLevel="2"/>
    <col min="18" max="18" width="15.6640625" customWidth="1"/>
    <col min="19" max="19" width="15.6640625" customWidth="1" outlineLevel="2"/>
    <col min="20" max="20" width="9.109375" outlineLevel="1"/>
    <col min="21" max="22" width="9.109375" outlineLevel="2"/>
    <col min="23" max="23" width="15.6640625" customWidth="1"/>
    <col min="24" max="24" width="15.6640625" customWidth="1" outlineLevel="2"/>
    <col min="25" max="25" width="9.109375" outlineLevel="1"/>
    <col min="26" max="27" width="9.109375" outlineLevel="2"/>
    <col min="28" max="28" width="15.6640625" customWidth="1"/>
    <col min="29" max="29" width="15.6640625" customWidth="1" outlineLevel="2"/>
    <col min="30" max="30" width="9.109375" outlineLevel="1"/>
    <col min="31" max="32" width="9.109375" outlineLevel="2"/>
    <col min="33" max="33" width="15.6640625" customWidth="1"/>
    <col min="34" max="34" width="15.6640625" customWidth="1" outlineLevel="2"/>
    <col min="35" max="35" width="9.109375" outlineLevel="1"/>
    <col min="36" max="37" width="9.109375" outlineLevel="2"/>
    <col min="38" max="38" width="15.6640625" customWidth="1"/>
    <col min="39" max="39" width="15.6640625" customWidth="1" outlineLevel="2"/>
    <col min="40" max="40" width="9.109375" outlineLevel="1"/>
    <col min="41" max="42" width="9.109375" outlineLevel="2"/>
    <col min="43" max="43" width="15.6640625" customWidth="1"/>
    <col min="44" max="44" width="15.6640625" customWidth="1" outlineLevel="2"/>
    <col min="45" max="45" width="9.109375" outlineLevel="1"/>
    <col min="46" max="47" width="9.109375" outlineLevel="2"/>
    <col min="48" max="48" width="15.6640625" customWidth="1"/>
    <col min="49" max="49" width="15.6640625" customWidth="1" outlineLevel="2"/>
  </cols>
  <sheetData>
    <row r="1" spans="1:49" ht="17.399999999999999" x14ac:dyDescent="0.35">
      <c r="A1" s="1" t="s">
        <v>145</v>
      </c>
      <c r="B1" s="2" t="s">
        <v>146</v>
      </c>
      <c r="M1" s="3" t="s">
        <v>150</v>
      </c>
      <c r="N1" s="3">
        <v>1</v>
      </c>
    </row>
    <row r="2" spans="1:49" ht="17.399999999999999" x14ac:dyDescent="0.3">
      <c r="A2" s="1" t="s">
        <v>147</v>
      </c>
      <c r="B2" s="2"/>
      <c r="M2" s="1" t="s">
        <v>152</v>
      </c>
      <c r="N2" s="4">
        <f ca="1">TotalCost/BoardQty</f>
        <v>33.98027717465888</v>
      </c>
    </row>
    <row r="3" spans="1:49" ht="17.399999999999999" x14ac:dyDescent="0.3">
      <c r="A3" s="1" t="s">
        <v>148</v>
      </c>
      <c r="B3" s="2" t="s">
        <v>149</v>
      </c>
      <c r="M3" s="1" t="s">
        <v>151</v>
      </c>
      <c r="N3" s="5">
        <f ca="1">SUM(N7:N32)</f>
        <v>33.98027717465888</v>
      </c>
      <c r="R3" s="5">
        <f>SUM(R7:R32)</f>
        <v>23.320700000000002</v>
      </c>
      <c r="S3" s="6" t="str">
        <f>(ROWS(R7:R32)-COUNTBLANK(R7:R32))&amp;" of "&amp;ROWS(R7:R32)&amp;" parts found"</f>
        <v>19 of 26 parts found</v>
      </c>
      <c r="W3" s="5">
        <f>SUM(W7:W32)</f>
        <v>42.02852</v>
      </c>
      <c r="X3" s="6" t="str">
        <f>(ROWS(W7:W32)-COUNTBLANK(W7:W32))&amp;" of "&amp;ROWS(W7:W32)&amp;" parts found"</f>
        <v>26 of 26 parts found</v>
      </c>
      <c r="AB3" s="5">
        <f>SUM(AB7:AB32)</f>
        <v>27.240707173429545</v>
      </c>
      <c r="AC3" s="6" t="str">
        <f>(ROWS(AB7:AB32)-COUNTBLANK(AB7:AB32))&amp;" of "&amp;ROWS(AB7:AB32)&amp;" parts found"</f>
        <v>13 of 26 parts found</v>
      </c>
      <c r="AG3" s="5">
        <f>SUM(AG7:AG32)</f>
        <v>36.15</v>
      </c>
      <c r="AH3" s="6" t="str">
        <f>(ROWS(AG7:AG32)-COUNTBLANK(AG7:AG32))&amp;" of "&amp;ROWS(AG7:AG32)&amp;" parts found"</f>
        <v>23 of 26 parts found</v>
      </c>
      <c r="AL3" s="5">
        <f>SUM(AL7:AL32)</f>
        <v>10.031999999999998</v>
      </c>
      <c r="AM3" s="6" t="str">
        <f>(ROWS(AL7:AL32)-COUNTBLANK(AL7:AL32))&amp;" of "&amp;ROWS(AL7:AL32)&amp;" parts found"</f>
        <v>17 of 26 parts found</v>
      </c>
      <c r="AQ3" s="5">
        <f>SUM(AQ7:AQ32)</f>
        <v>2531.8752757506991</v>
      </c>
      <c r="AR3" s="6" t="str">
        <f>(ROWS(AQ7:AQ32)-COUNTBLANK(AQ7:AQ32))&amp;" of "&amp;ROWS(AQ7:AQ32)&amp;" parts found"</f>
        <v>7 of 26 parts found</v>
      </c>
      <c r="AV3" s="5">
        <f>SUM(AV7:AV32)</f>
        <v>8.2030899999999978</v>
      </c>
      <c r="AW3" s="6" t="str">
        <f>(ROWS(AV7:AV32)-COUNTBLANK(AV7:AV32))&amp;" of "&amp;ROWS(AV7:AV32)&amp;" parts found"</f>
        <v>8 of 26 parts found</v>
      </c>
    </row>
    <row r="4" spans="1:49" ht="17.399999999999999" x14ac:dyDescent="0.3">
      <c r="A4" s="1" t="s">
        <v>153</v>
      </c>
      <c r="B4" s="2" t="s">
        <v>154</v>
      </c>
    </row>
    <row r="5" spans="1:49" ht="18" x14ac:dyDescent="0.3">
      <c r="A5" s="15" t="s">
        <v>0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6" t="s">
        <v>155</v>
      </c>
      <c r="P5" s="16"/>
      <c r="Q5" s="16"/>
      <c r="R5" s="16"/>
      <c r="S5" s="16"/>
      <c r="T5" s="17" t="s">
        <v>159</v>
      </c>
      <c r="U5" s="17"/>
      <c r="V5" s="17"/>
      <c r="W5" s="17"/>
      <c r="X5" s="17"/>
      <c r="Y5" s="18" t="s">
        <v>187</v>
      </c>
      <c r="Z5" s="18"/>
      <c r="AA5" s="18"/>
      <c r="AB5" s="18"/>
      <c r="AC5" s="18"/>
      <c r="AD5" s="19" t="s">
        <v>201</v>
      </c>
      <c r="AE5" s="19"/>
      <c r="AF5" s="19"/>
      <c r="AG5" s="19"/>
      <c r="AH5" s="19"/>
      <c r="AI5" s="12" t="s">
        <v>225</v>
      </c>
      <c r="AJ5" s="12"/>
      <c r="AK5" s="12"/>
      <c r="AL5" s="12"/>
      <c r="AM5" s="12"/>
      <c r="AN5" s="13" t="s">
        <v>245</v>
      </c>
      <c r="AO5" s="13"/>
      <c r="AP5" s="13"/>
      <c r="AQ5" s="13"/>
      <c r="AR5" s="13"/>
      <c r="AS5" s="14" t="s">
        <v>254</v>
      </c>
      <c r="AT5" s="14"/>
      <c r="AU5" s="14"/>
      <c r="AV5" s="14"/>
      <c r="AW5" s="14"/>
    </row>
    <row r="6" spans="1:49" ht="31.2" x14ac:dyDescent="0.3">
      <c r="A6" s="7" t="s">
        <v>1</v>
      </c>
      <c r="B6" s="7" t="s">
        <v>2</v>
      </c>
      <c r="C6" s="7" t="s">
        <v>3</v>
      </c>
      <c r="D6" s="7" t="s">
        <v>14</v>
      </c>
      <c r="E6" s="7" t="s">
        <v>13</v>
      </c>
      <c r="F6" s="7" t="s">
        <v>12</v>
      </c>
      <c r="G6" s="7" t="s">
        <v>11</v>
      </c>
      <c r="H6" s="7" t="s">
        <v>10</v>
      </c>
      <c r="I6" s="7" t="s">
        <v>4</v>
      </c>
      <c r="J6" s="7" t="s">
        <v>5</v>
      </c>
      <c r="K6" s="7" t="s">
        <v>6</v>
      </c>
      <c r="L6" s="7" t="s">
        <v>7</v>
      </c>
      <c r="M6" s="7" t="s">
        <v>8</v>
      </c>
      <c r="N6" s="7" t="s">
        <v>9</v>
      </c>
      <c r="O6" s="7" t="s">
        <v>156</v>
      </c>
      <c r="P6" s="7" t="s">
        <v>157</v>
      </c>
      <c r="Q6" s="7" t="s">
        <v>8</v>
      </c>
      <c r="R6" s="7" t="s">
        <v>9</v>
      </c>
      <c r="S6" s="7" t="s">
        <v>158</v>
      </c>
      <c r="T6" s="7" t="s">
        <v>156</v>
      </c>
      <c r="U6" s="7" t="s">
        <v>157</v>
      </c>
      <c r="V6" s="7" t="s">
        <v>8</v>
      </c>
      <c r="W6" s="7" t="s">
        <v>9</v>
      </c>
      <c r="X6" s="7" t="s">
        <v>158</v>
      </c>
      <c r="Y6" s="7" t="s">
        <v>156</v>
      </c>
      <c r="Z6" s="7" t="s">
        <v>157</v>
      </c>
      <c r="AA6" s="7" t="s">
        <v>8</v>
      </c>
      <c r="AB6" s="7" t="s">
        <v>9</v>
      </c>
      <c r="AC6" s="7" t="s">
        <v>158</v>
      </c>
      <c r="AD6" s="7" t="s">
        <v>156</v>
      </c>
      <c r="AE6" s="7" t="s">
        <v>157</v>
      </c>
      <c r="AF6" s="7" t="s">
        <v>8</v>
      </c>
      <c r="AG6" s="7" t="s">
        <v>9</v>
      </c>
      <c r="AH6" s="7" t="s">
        <v>158</v>
      </c>
      <c r="AI6" s="7" t="s">
        <v>156</v>
      </c>
      <c r="AJ6" s="7" t="s">
        <v>157</v>
      </c>
      <c r="AK6" s="7" t="s">
        <v>8</v>
      </c>
      <c r="AL6" s="7" t="s">
        <v>9</v>
      </c>
      <c r="AM6" s="7" t="s">
        <v>158</v>
      </c>
      <c r="AN6" s="7" t="s">
        <v>156</v>
      </c>
      <c r="AO6" s="7" t="s">
        <v>157</v>
      </c>
      <c r="AP6" s="7" t="s">
        <v>8</v>
      </c>
      <c r="AQ6" s="7" t="s">
        <v>9</v>
      </c>
      <c r="AR6" s="7" t="s">
        <v>158</v>
      </c>
      <c r="AS6" s="7" t="s">
        <v>156</v>
      </c>
      <c r="AT6" s="7" t="s">
        <v>157</v>
      </c>
      <c r="AU6" s="7" t="s">
        <v>8</v>
      </c>
      <c r="AV6" s="7" t="s">
        <v>9</v>
      </c>
      <c r="AW6" s="7" t="s">
        <v>158</v>
      </c>
    </row>
    <row r="7" spans="1:49" x14ac:dyDescent="0.3">
      <c r="A7" s="8" t="s">
        <v>15</v>
      </c>
      <c r="B7" s="8" t="s">
        <v>16</v>
      </c>
      <c r="C7" s="8" t="s">
        <v>17</v>
      </c>
      <c r="I7" s="8" t="s">
        <v>18</v>
      </c>
      <c r="J7" s="8" t="s">
        <v>19</v>
      </c>
      <c r="K7" s="8" t="s">
        <v>16</v>
      </c>
      <c r="L7" s="8">
        <f>BoardQty*2</f>
        <v>2</v>
      </c>
      <c r="M7" s="9">
        <f t="shared" ref="M7:M32" ca="1" si="0"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0.2</v>
      </c>
      <c r="N7" s="9">
        <f t="shared" ref="N7:N32" ca="1" si="1">IFERROR(L7*M7,"")</f>
        <v>0.4</v>
      </c>
      <c r="O7" s="8">
        <v>37333</v>
      </c>
      <c r="Q7" s="9">
        <f>IFERROR(LOOKUP(IF(P7="",L7,P7),{0,1,10,25,100,250,500,1000,2000,3000,6000,7000,14000,15000,30000},{0,0.3052,0.3338,0.2817,0.2721,0.2584,0.2504,0.2188,0.214,0.229,0.2261,0.1948,0.1944,0.2232,0.2204}),"")</f>
        <v>0.30520000000000003</v>
      </c>
      <c r="R7" s="9">
        <f t="shared" ref="R7:R13" si="2">IFERROR(IF(P7="",L7,P7)*Q7,"")</f>
        <v>0.61040000000000005</v>
      </c>
      <c r="S7" s="10" t="s">
        <v>16</v>
      </c>
      <c r="T7" s="8">
        <v>93881</v>
      </c>
      <c r="U7">
        <v>2</v>
      </c>
      <c r="V7" s="9">
        <f>IFERROR(LOOKUP(IF(U7="",L7,U7),{0,1,10,25,50,100,250,500,1000,7000},{0,0.52,0.502,0.4928,0.4742,0.4091,0.37192,0.35334,0.27895,0.23668}),"")</f>
        <v>0.52</v>
      </c>
      <c r="W7" s="9">
        <f t="shared" ref="W7:W32" si="3">IFERROR(IF(U7="",L7,U7)*V7,"")</f>
        <v>1.04</v>
      </c>
      <c r="X7" s="10" t="s">
        <v>160</v>
      </c>
      <c r="Y7" s="11" t="s">
        <v>162</v>
      </c>
      <c r="AA7" s="9">
        <f>IFERROR(LOOKUP(IF(Z7="",L7,Z7),{0,1,10,150,500,1000,5000,10000},{0,0.366926231798218,0.366926231798218,0.366926231798218,0.348774404076752,0.274870534067923,0.233380642133142,0.228194405641294}),"")</f>
        <v>0.36692623179821798</v>
      </c>
      <c r="AB7" s="9">
        <f>IFERROR(IF(Z7="",L7,Z7)*AA7,"")</f>
        <v>0.73385246359643597</v>
      </c>
      <c r="AC7" s="10" t="s">
        <v>188</v>
      </c>
      <c r="AD7" s="8">
        <v>47995</v>
      </c>
      <c r="AF7" s="9">
        <f>IFERROR(LOOKUP(IF(AE7="",L7,AE7),{0,1,10,50,100,1000,10000},{0,0.52,0.52,0.432,0.409,0.279,0.233}),"")</f>
        <v>0.52</v>
      </c>
      <c r="AG7" s="9">
        <f>IFERROR(IF(AE7="",L7,AE7)*AF7,"")</f>
        <v>1.04</v>
      </c>
      <c r="AH7" s="10" t="s">
        <v>202</v>
      </c>
      <c r="AI7" s="8">
        <v>3479</v>
      </c>
      <c r="AK7" s="9">
        <f>IFERROR(LOOKUP(IF(AJ7="",L7,AJ7),{0,1,10,25,50,100,250,500,1000},{0,0.2,0.2,0.2,0.2,0.2,0.2,0.2,0.2}),"")</f>
        <v>0.2</v>
      </c>
      <c r="AL7" s="9">
        <f>IFERROR(IF(AJ7="",L7,AJ7)*AK7,"")</f>
        <v>0.4</v>
      </c>
      <c r="AM7" s="10" t="s">
        <v>226</v>
      </c>
      <c r="AN7" s="8">
        <v>2</v>
      </c>
      <c r="AP7" s="9">
        <f>IFERROR(LOOKUP(IF(AO7="",L7,AO7),{0,1,2,5,20,100,200,500},{0,1323.69610540549,1257.49379658706,1194.63661030586,0.487506230233675,0.355257199691561,0.333215694601209,0.309877630387894}),"")</f>
        <v>1257.4937965870599</v>
      </c>
      <c r="AQ7" s="9">
        <f>IFERROR(IF(AO7="",L7,AO7)*AP7,"")</f>
        <v>2514.9875931741199</v>
      </c>
      <c r="AR7" s="10" t="s">
        <v>246</v>
      </c>
    </row>
    <row r="8" spans="1:49" x14ac:dyDescent="0.3">
      <c r="A8" s="8" t="s">
        <v>20</v>
      </c>
      <c r="B8" s="8" t="s">
        <v>21</v>
      </c>
      <c r="C8" s="8" t="s">
        <v>22</v>
      </c>
      <c r="I8" s="8" t="s">
        <v>23</v>
      </c>
      <c r="J8" s="8" t="s">
        <v>24</v>
      </c>
      <c r="K8" s="8" t="s">
        <v>25</v>
      </c>
      <c r="L8" s="8">
        <f>BoardQty*6</f>
        <v>6</v>
      </c>
      <c r="M8" s="9">
        <f t="shared" ca="1" si="0"/>
        <v>6.1420000000000002E-2</v>
      </c>
      <c r="N8" s="9">
        <f t="shared" ca="1" si="1"/>
        <v>0.36852000000000001</v>
      </c>
      <c r="O8" s="8">
        <v>1250</v>
      </c>
      <c r="Q8" s="9">
        <f>IFERROR(LOOKUP(IF(P8="",L8,P8),{0,1,10,25,100,250},{0,0.2862,0.209799999999999,0.1976,0.1349,0.0864}),"")</f>
        <v>0.28620000000000001</v>
      </c>
      <c r="R8" s="9">
        <f t="shared" si="2"/>
        <v>1.7172000000000001</v>
      </c>
      <c r="S8" s="10" t="s">
        <v>25</v>
      </c>
      <c r="T8" s="11" t="s">
        <v>162</v>
      </c>
      <c r="U8">
        <v>6</v>
      </c>
      <c r="V8" s="9">
        <f>IFERROR(LOOKUP(IF(U8="",L8,U8),{0,1,4000},{0,0.06142,0.06142}),"")</f>
        <v>6.1420000000000002E-2</v>
      </c>
      <c r="W8" s="9">
        <f t="shared" si="3"/>
        <v>0.36852000000000001</v>
      </c>
      <c r="X8" s="10" t="s">
        <v>161</v>
      </c>
      <c r="Y8" s="11" t="s">
        <v>162</v>
      </c>
      <c r="AA8" s="9">
        <f>IFERROR(LOOKUP(IF(Z8="",L8,Z8),{0,1,10,100,150,500,1000,2000,4000,20000},{0,0.357850317937485,0.357850317937485,0.175035481599856,0.175035481599856,0.164663008616161,0.134842148788037,0.0998350524680665,0.0930929450286646,0.0710514399383123}),"")</f>
        <v>0.35785031793748501</v>
      </c>
      <c r="AB8" s="9">
        <f>IFERROR(IF(Z8="",L8,Z8)*AA8,"")</f>
        <v>2.14710190762491</v>
      </c>
      <c r="AC8" s="10" t="s">
        <v>189</v>
      </c>
      <c r="AI8" s="11" t="s">
        <v>162</v>
      </c>
      <c r="AM8" s="10" t="s">
        <v>227</v>
      </c>
      <c r="AS8" s="8">
        <v>19150</v>
      </c>
      <c r="AU8" s="9">
        <f>IFERROR(LOOKUP(IF(AT8="",L8,AT8),{0,1,10,100,1000,4000,12000},{0,0.29471,0.29471,0.18673,0.10529,0.07019,0.06209}),"")</f>
        <v>0.29471000000000003</v>
      </c>
      <c r="AV8" s="9">
        <f>IFERROR(IF(AT8="",L8,AT8)*AU8,"")</f>
        <v>1.7682600000000002</v>
      </c>
      <c r="AW8" s="10" t="s">
        <v>25</v>
      </c>
    </row>
    <row r="9" spans="1:49" x14ac:dyDescent="0.3">
      <c r="A9" s="8" t="s">
        <v>26</v>
      </c>
      <c r="B9" s="8" t="s">
        <v>27</v>
      </c>
      <c r="C9" s="8" t="s">
        <v>28</v>
      </c>
      <c r="I9" s="8" t="s">
        <v>23</v>
      </c>
      <c r="J9" s="8" t="s">
        <v>29</v>
      </c>
      <c r="K9" s="8" t="s">
        <v>30</v>
      </c>
      <c r="L9" s="8">
        <f>BoardQty*2</f>
        <v>2</v>
      </c>
      <c r="M9" s="9">
        <f t="shared" ca="1" si="0"/>
        <v>3.0259999999999999E-2</v>
      </c>
      <c r="N9" s="9">
        <f t="shared" ca="1" si="1"/>
        <v>6.0519999999999997E-2</v>
      </c>
      <c r="O9" s="8">
        <v>3872</v>
      </c>
      <c r="Q9" s="9">
        <f>IFERROR(LOOKUP(IF(P9="",L9,P9),{0,1,10,25,100,250},{0,0.1019,0.0542,0.0487,0.0247,0.0238999999999999}),"")</f>
        <v>0.1019</v>
      </c>
      <c r="R9" s="9">
        <f t="shared" si="2"/>
        <v>0.20380000000000001</v>
      </c>
      <c r="S9" s="10" t="s">
        <v>30</v>
      </c>
      <c r="T9" s="8">
        <v>8428569</v>
      </c>
      <c r="U9">
        <v>2</v>
      </c>
      <c r="V9" s="9">
        <f>IFERROR(LOOKUP(IF(U9="",L9,U9),{0,1,10,100,500,1000,4000,8000,12000},{0,0.11,0.08,0.0378,0.02652,0.02195,0.01656,0.01512,0.0144}),"")</f>
        <v>0.11</v>
      </c>
      <c r="W9" s="9">
        <f t="shared" si="3"/>
        <v>0.22</v>
      </c>
      <c r="X9" s="10" t="s">
        <v>163</v>
      </c>
      <c r="Y9" s="8">
        <v>82063</v>
      </c>
      <c r="AA9" s="9">
        <f>IFERROR(LOOKUP(IF(Z9="",L9,Z9),{0,1,10,100,150,500,1000,2000,4000,20000},{0,0.058604472357878,0.058604472357878,0.0321546662494552,0.0321546662494552,0.0281353329682733,0.0223008169149447,0.0207449459673904,0.0133545589665076,0.0116690321066571}),"")</f>
        <v>5.8604472357878003E-2</v>
      </c>
      <c r="AB9" s="9">
        <f>IFERROR(IF(Z9="",L9,Z9)*AA9,"")</f>
        <v>0.11720894471575601</v>
      </c>
      <c r="AC9" s="10" t="s">
        <v>190</v>
      </c>
      <c r="AD9" s="8">
        <v>1225222</v>
      </c>
      <c r="AF9" s="9">
        <f>IFERROR(LOOKUP(IF(AE9="",L9,AE9),{0,1,10,50,100,1000,10000},{0,0.12,0.057,0.057,0.026,0.021,0.015}),"")</f>
        <v>0.12</v>
      </c>
      <c r="AG9" s="9">
        <f>IFERROR(IF(AE9="",L9,AE9)*AF9,"")</f>
        <v>0.24</v>
      </c>
      <c r="AH9" s="10" t="s">
        <v>203</v>
      </c>
      <c r="AI9" s="8">
        <v>13038</v>
      </c>
      <c r="AK9" s="9">
        <f>IFERROR(LOOKUP(IF(AJ9="",L9,AJ9),{0,1,10,25,50,100,250,500,1000,4000,8000},{0,0.15,0.15,0.071,0.053,0.033,0.03,0.029,0.026,0.02,0.019}),"")</f>
        <v>0.15</v>
      </c>
      <c r="AL9" s="9">
        <f>IFERROR(IF(AJ9="",L9,AJ9)*AK9,"")</f>
        <v>0.3</v>
      </c>
      <c r="AM9" s="10" t="s">
        <v>228</v>
      </c>
      <c r="AN9" s="8">
        <v>28350</v>
      </c>
      <c r="AP9" s="9">
        <f>IFERROR(LOOKUP(IF(AO9="",L9,AO9),{0,1,50,750,2500,4000,5000,8000,10000,12000},{0,0.0557520422873618,0.0557520422873618,0.0427864510577428,0.0350070963199713,0.0220415050903523,0.0311174189510856,0.0142621503525809,0.0272277415821999,0.0116690321066571}),"")</f>
        <v>5.5752042287361803E-2</v>
      </c>
      <c r="AQ9" s="9">
        <f>IFERROR(IF(AO9="",L9,AO9)*AP9,"")</f>
        <v>0.11150408457472361</v>
      </c>
      <c r="AR9" s="10" t="s">
        <v>247</v>
      </c>
      <c r="AS9" s="8">
        <v>249600</v>
      </c>
      <c r="AU9" s="9">
        <f>IFERROR(LOOKUP(IF(AT9="",L9,AT9),{0,1,100,300,1000,4000,20000},{0,0.03026,0.03026,0.0225,0.01552,0.01237,0.0117}),"")</f>
        <v>3.0259999999999999E-2</v>
      </c>
      <c r="AV9" s="9">
        <f>IFERROR(IF(AT9="",L9,AT9)*AU9,"")</f>
        <v>6.0519999999999997E-2</v>
      </c>
      <c r="AW9" s="10" t="s">
        <v>255</v>
      </c>
    </row>
    <row r="10" spans="1:49" x14ac:dyDescent="0.3">
      <c r="A10" s="8" t="s">
        <v>31</v>
      </c>
      <c r="B10" s="8" t="s">
        <v>32</v>
      </c>
      <c r="C10" s="8" t="s">
        <v>33</v>
      </c>
      <c r="I10" s="8" t="s">
        <v>23</v>
      </c>
      <c r="J10" s="8" t="s">
        <v>34</v>
      </c>
      <c r="K10" s="8" t="s">
        <v>35</v>
      </c>
      <c r="L10" s="8">
        <f>BoardQty*2</f>
        <v>2</v>
      </c>
      <c r="M10" s="9">
        <f t="shared" ca="1" si="0"/>
        <v>0.24</v>
      </c>
      <c r="N10" s="9">
        <f t="shared" ca="1" si="1"/>
        <v>0.48</v>
      </c>
      <c r="O10" s="8">
        <v>7575</v>
      </c>
      <c r="Q10" s="9">
        <f>IFERROR(LOOKUP(IF(P10="",L10,P10),{0,1,10,25,100,250},{0,0.266,0.1795,0.1616,0.0987,0.0888}),"")</f>
        <v>0.26600000000000001</v>
      </c>
      <c r="R10" s="9">
        <f t="shared" si="2"/>
        <v>0.53200000000000003</v>
      </c>
      <c r="S10" s="10" t="s">
        <v>35</v>
      </c>
      <c r="T10" s="8">
        <v>48644</v>
      </c>
      <c r="U10">
        <v>2</v>
      </c>
      <c r="V10" s="9">
        <f>IFERROR(LOOKUP(IF(U10="",L10,U10),{0,1,10,100,500,1000,4000,8000,12000},{0,0.24,0.164,0.0931,0.06568,0.05748,0.0476,0.04522,0.04284}),"")</f>
        <v>0.24</v>
      </c>
      <c r="W10" s="9">
        <f t="shared" si="3"/>
        <v>0.48</v>
      </c>
      <c r="X10" s="10" t="s">
        <v>164</v>
      </c>
      <c r="Y10" s="8">
        <v>3130</v>
      </c>
      <c r="AA10" s="9">
        <f>IFERROR(LOOKUP(IF(Z10="",L10,Z10),{0,1,10,100,150,500,1000},{0,0.242456555993875,0.242456555993875,0.120061374786272,0.120061374786272,0.0857025580277818,0.074941117307198}),"")</f>
        <v>0.242456555993875</v>
      </c>
      <c r="AB10" s="9">
        <f>IFERROR(IF(Z10="",L10,Z10)*AA10,"")</f>
        <v>0.48491311198775</v>
      </c>
      <c r="AC10" s="10" t="s">
        <v>191</v>
      </c>
      <c r="AD10" s="8">
        <v>9930</v>
      </c>
      <c r="AF10" s="9">
        <f>IFERROR(LOOKUP(IF(AE10="",L10,AE10),{0,1,10,50,100,1000,10000},{0,0.28,0.189,0.189,0.107,0.066,0.066}),"")</f>
        <v>0.28000000000000003</v>
      </c>
      <c r="AG10" s="9">
        <f>IFERROR(IF(AE10="",L10,AE10)*AF10,"")</f>
        <v>0.56000000000000005</v>
      </c>
      <c r="AH10" s="10" t="s">
        <v>204</v>
      </c>
    </row>
    <row r="11" spans="1:49" x14ac:dyDescent="0.3">
      <c r="A11" s="8" t="s">
        <v>36</v>
      </c>
      <c r="B11" s="8" t="s">
        <v>37</v>
      </c>
      <c r="C11" s="8" t="s">
        <v>38</v>
      </c>
      <c r="I11" s="8" t="s">
        <v>23</v>
      </c>
      <c r="J11" s="8" t="s">
        <v>39</v>
      </c>
      <c r="K11" s="8" t="s">
        <v>40</v>
      </c>
      <c r="L11" s="8">
        <f>BoardQty*2</f>
        <v>2</v>
      </c>
      <c r="M11" s="9">
        <f t="shared" ca="1" si="0"/>
        <v>1.1669032106657099E-2</v>
      </c>
      <c r="N11" s="9">
        <f t="shared" ca="1" si="1"/>
        <v>2.3338064213314198E-2</v>
      </c>
      <c r="O11" s="8">
        <v>1880</v>
      </c>
      <c r="Q11" s="9">
        <f>IFERROR(LOOKUP(IF(P11="",L11,P11),{0,1,10,25,100,250},{0,0.0941,0.0564,0.0559,0.0245,0.0139}),"")</f>
        <v>9.4100000000000003E-2</v>
      </c>
      <c r="R11" s="9">
        <f t="shared" si="2"/>
        <v>0.18820000000000001</v>
      </c>
      <c r="S11" s="10" t="s">
        <v>40</v>
      </c>
      <c r="T11" s="8">
        <v>212798</v>
      </c>
      <c r="U11">
        <v>2</v>
      </c>
      <c r="V11" s="9">
        <f>IFERROR(LOOKUP(IF(U11="",L11,U11),{0,1,10,100,500,1000,4000,8000,12000},{0,0.1,0.058,0.0255999999999999,0.01832,0.01439,0.01003,0.00916,0.00872}),"")</f>
        <v>0.1</v>
      </c>
      <c r="W11" s="9">
        <f t="shared" si="3"/>
        <v>0.2</v>
      </c>
      <c r="X11" s="10" t="s">
        <v>165</v>
      </c>
      <c r="AN11" s="11" t="s">
        <v>162</v>
      </c>
      <c r="AP11" s="9">
        <f>IFERROR(LOOKUP(IF(AO11="",L11,AO11),{0,1,4000,12000,20000,40000,100000},{0,0.0116690321066571,0.0116690321066571,0.0103724729836952,0.00907591386073332,0.00907591386073332,0.00777935473777142}),"")</f>
        <v>1.1669032106657099E-2</v>
      </c>
      <c r="AQ11" s="9">
        <f>IFERROR(IF(AO11="",L11,AO11)*AP11,"")</f>
        <v>2.3338064213314198E-2</v>
      </c>
      <c r="AR11" s="10" t="s">
        <v>248</v>
      </c>
      <c r="AS11" s="8">
        <v>113900</v>
      </c>
      <c r="AU11" s="9">
        <f>IFERROR(LOOKUP(IF(AT11="",L11,AT11),{0,1,100,300,1000,4000,12000},{0,0.02643,0.02643,0.01744,0.01249,0.00896,0.00805}),"")</f>
        <v>2.6429999999999999E-2</v>
      </c>
      <c r="AV11" s="9">
        <f>IFERROR(IF(AT11="",L11,AT11)*AU11,"")</f>
        <v>5.2859999999999997E-2</v>
      </c>
      <c r="AW11" s="10" t="s">
        <v>40</v>
      </c>
    </row>
    <row r="12" spans="1:49" x14ac:dyDescent="0.3">
      <c r="A12" s="8" t="s">
        <v>41</v>
      </c>
      <c r="B12" s="8" t="s">
        <v>42</v>
      </c>
      <c r="C12" s="8" t="s">
        <v>43</v>
      </c>
      <c r="I12" s="8" t="s">
        <v>23</v>
      </c>
      <c r="J12" s="8" t="s">
        <v>44</v>
      </c>
      <c r="K12" s="8" t="s">
        <v>45</v>
      </c>
      <c r="L12" s="8">
        <f>BoardQty*9</f>
        <v>9</v>
      </c>
      <c r="M12" s="9">
        <f t="shared" ca="1" si="0"/>
        <v>2.4500000000000001E-2</v>
      </c>
      <c r="N12" s="9">
        <f t="shared" ca="1" si="1"/>
        <v>0.2205</v>
      </c>
      <c r="O12" s="8">
        <v>2992000</v>
      </c>
      <c r="Q12" s="9">
        <f>IFERROR(LOOKUP(IF(P12="",L12,P12),{0,1,4000,8000,12000},{0,0.0245,0.0245,0.0228,0.0216}),"")</f>
        <v>2.4500000000000001E-2</v>
      </c>
      <c r="R12" s="9">
        <f t="shared" si="2"/>
        <v>0.2205</v>
      </c>
      <c r="S12" s="10" t="s">
        <v>45</v>
      </c>
      <c r="T12" s="8">
        <v>47595651</v>
      </c>
      <c r="U12">
        <v>9</v>
      </c>
      <c r="V12" s="9">
        <f>IFERROR(LOOKUP(IF(U12="",L12,U12),{0,1,10,100,500,1000,4000,8000,12000},{0,0.18,0.128,0.06,0.04206,0.03482,0.02578,0.02398,0.02278}),"")</f>
        <v>0.18</v>
      </c>
      <c r="W12" s="9">
        <f t="shared" si="3"/>
        <v>1.6199999999999999</v>
      </c>
      <c r="X12" s="10" t="s">
        <v>166</v>
      </c>
      <c r="Y12" s="11" t="s">
        <v>162</v>
      </c>
      <c r="AA12" s="9">
        <f>IFERROR(LOOKUP(IF(Z12="",L12,Z12),{0,1,10,100,150,500,1000,2000,4000,20000},{0,0.176332040722818,0.176332040722818,0.0737742140965322,0.0737742140965322,0.0483616552864789,0.0382484941273761,0.0311174189510856,0.0298208598281237,0.0291725802666428}),"")</f>
        <v>0.176332040722818</v>
      </c>
      <c r="AB12" s="9">
        <f>IFERROR(IF(Z12="",L12,Z12)*AA12,"")</f>
        <v>1.5869883665053619</v>
      </c>
      <c r="AC12" s="10" t="s">
        <v>192</v>
      </c>
      <c r="AD12" s="11" t="s">
        <v>162</v>
      </c>
      <c r="AF12" s="9">
        <f>IFERROR(LOOKUP(IF(AE12="",L12,AE12),{0,1,10,50,100,1000,10000},{0,0.19,0.14,0.14,0.066,0.038,0.03}),"")</f>
        <v>0.19</v>
      </c>
      <c r="AG12" s="9">
        <f t="shared" ref="AG12:AG19" si="4">IFERROR(IF(AE12="",L12,AE12)*AF12,"")</f>
        <v>1.71</v>
      </c>
      <c r="AH12" s="10" t="s">
        <v>205</v>
      </c>
      <c r="AI12" s="11" t="s">
        <v>162</v>
      </c>
      <c r="AK12" s="9">
        <f>IFERROR(LOOKUP(IF(AJ12="",L12,AJ12),{0,1,10,25,50,100,250,500,1000,2500,4000},{0,0.19,0.19,0.14,0.103,0.066,0.056,0.046,0.038,0.032,0.03}),"")</f>
        <v>0.19</v>
      </c>
      <c r="AL12" s="9">
        <f>IFERROR(IF(AJ12="",L12,AJ12)*AK12,"")</f>
        <v>1.71</v>
      </c>
      <c r="AM12" s="10" t="s">
        <v>229</v>
      </c>
      <c r="AN12" s="8">
        <v>44500</v>
      </c>
      <c r="AP12" s="9">
        <f>IFERROR(LOOKUP(IF(AO12="",L12,AO12),{0,1,50,500,2500},{0,0.133545589665076,0.133545589665076,0.125766234927304,0.117986880189533}),"")</f>
        <v>0.13354558966507599</v>
      </c>
      <c r="AQ12" s="9">
        <f>IFERROR(IF(AO12="",L12,AO12)*AP12,"")</f>
        <v>1.2019103069856838</v>
      </c>
      <c r="AR12" s="10" t="s">
        <v>249</v>
      </c>
      <c r="AS12" s="11" t="s">
        <v>162</v>
      </c>
      <c r="AU12" s="9">
        <f>IFERROR(LOOKUP(IF(AT12="",L12,AT12),{0,1,100,1000,4000},{0,0.08256,0.08256,0.05861,0.04353}),"")</f>
        <v>8.2559999999999995E-2</v>
      </c>
      <c r="AV12" s="9">
        <f>IFERROR(IF(AT12="",L12,AT12)*AU12,"")</f>
        <v>0.74303999999999992</v>
      </c>
      <c r="AW12" s="10" t="s">
        <v>45</v>
      </c>
    </row>
    <row r="13" spans="1:49" x14ac:dyDescent="0.3">
      <c r="A13" s="8" t="s">
        <v>46</v>
      </c>
      <c r="B13" s="8" t="s">
        <v>47</v>
      </c>
      <c r="C13" s="8" t="s">
        <v>48</v>
      </c>
      <c r="I13" s="8" t="s">
        <v>49</v>
      </c>
      <c r="J13" s="8" t="s">
        <v>50</v>
      </c>
      <c r="K13" s="8" t="s">
        <v>47</v>
      </c>
      <c r="L13" s="8">
        <f>BoardQty*1</f>
        <v>1</v>
      </c>
      <c r="M13" s="9">
        <f t="shared" ca="1" si="0"/>
        <v>0.151</v>
      </c>
      <c r="N13" s="9">
        <f t="shared" ca="1" si="1"/>
        <v>0.151</v>
      </c>
      <c r="O13" s="8">
        <v>8</v>
      </c>
      <c r="Q13" s="9">
        <f>IFERROR(LOOKUP(IF(P13="",L13,P13),{0,1},{0,0.3728}),"")</f>
        <v>0.37280000000000002</v>
      </c>
      <c r="R13" s="9">
        <f t="shared" si="2"/>
        <v>0.37280000000000002</v>
      </c>
      <c r="S13" s="10" t="s">
        <v>47</v>
      </c>
      <c r="T13" s="8">
        <v>10000</v>
      </c>
      <c r="U13">
        <v>1</v>
      </c>
      <c r="V13" s="9">
        <f>IFERROR(LOOKUP(IF(U13="",L13,U13),{0,1,10,100,500,1000,10000},{0,0.44,0.374,0.2792,0.21934,0.16949,0.13552}),"")</f>
        <v>0.44</v>
      </c>
      <c r="W13" s="9">
        <f t="shared" si="3"/>
        <v>0.44</v>
      </c>
      <c r="X13" s="10" t="s">
        <v>167</v>
      </c>
      <c r="AD13" s="8">
        <v>18242</v>
      </c>
      <c r="AF13" s="9">
        <f>IFERROR(LOOKUP(IF(AE13="",L13,AE13),{0,1,10,50,100,1000,10000},{0,0.42,0.35,0.35,0.213,0.165,0.131}),"")</f>
        <v>0.42</v>
      </c>
      <c r="AG13" s="9">
        <f t="shared" si="4"/>
        <v>0.42</v>
      </c>
      <c r="AH13" s="10" t="s">
        <v>206</v>
      </c>
      <c r="AI13" s="8">
        <v>110000</v>
      </c>
      <c r="AK13" s="9">
        <f>IFERROR(LOOKUP(IF(AJ13="",L13,AJ13),{0,1,10000,20000,40000,60000},{0,0.151,0.151,0.149,0.148,0.146}),"")</f>
        <v>0.151</v>
      </c>
      <c r="AL13" s="9">
        <f>IFERROR(IF(AJ13="",L13,AJ13)*AK13,"")</f>
        <v>0.151</v>
      </c>
      <c r="AM13" s="10" t="s">
        <v>230</v>
      </c>
    </row>
    <row r="14" spans="1:49" x14ac:dyDescent="0.3">
      <c r="A14" s="8" t="s">
        <v>51</v>
      </c>
      <c r="B14" s="8" t="s">
        <v>52</v>
      </c>
      <c r="C14" s="8" t="s">
        <v>53</v>
      </c>
      <c r="I14" s="8" t="s">
        <v>54</v>
      </c>
      <c r="J14" s="8" t="s">
        <v>55</v>
      </c>
      <c r="K14" s="8" t="s">
        <v>52</v>
      </c>
      <c r="L14" s="8">
        <f>BoardQty*1</f>
        <v>1</v>
      </c>
      <c r="M14" s="9">
        <f t="shared" ca="1" si="0"/>
        <v>3.7999999999999901</v>
      </c>
      <c r="N14" s="9">
        <f t="shared" ca="1" si="1"/>
        <v>3.7999999999999901</v>
      </c>
      <c r="T14" s="8">
        <v>1498</v>
      </c>
      <c r="U14">
        <v>1</v>
      </c>
      <c r="V14" s="9">
        <f>IFERROR(LOOKUP(IF(U14="",L14,U14),{0,1,550},{0,3.79999999999999,3.79999999999999}),"")</f>
        <v>3.7999999999999901</v>
      </c>
      <c r="W14" s="9">
        <f t="shared" si="3"/>
        <v>3.7999999999999901</v>
      </c>
      <c r="X14" s="10" t="s">
        <v>168</v>
      </c>
      <c r="AD14" s="8">
        <v>51941</v>
      </c>
      <c r="AF14" s="9">
        <f>IFERROR(LOOKUP(IF(AE14="",L14,AE14),{0,1,10,50,100,1000,10000},{0,3.79999999999999,3.79999999999999,3.79999999999999,3.79999999999999,3.79999999999999,3.79999999999999}),"")</f>
        <v>3.7999999999999901</v>
      </c>
      <c r="AG14" s="9">
        <f t="shared" si="4"/>
        <v>3.7999999999999901</v>
      </c>
      <c r="AH14" s="10" t="s">
        <v>207</v>
      </c>
    </row>
    <row r="15" spans="1:49" x14ac:dyDescent="0.3">
      <c r="A15" s="8" t="s">
        <v>56</v>
      </c>
      <c r="B15" s="8" t="s">
        <v>57</v>
      </c>
      <c r="C15" s="8" t="s">
        <v>58</v>
      </c>
      <c r="I15" s="8" t="s">
        <v>59</v>
      </c>
      <c r="J15" s="8" t="s">
        <v>60</v>
      </c>
      <c r="K15" s="8" t="s">
        <v>61</v>
      </c>
      <c r="L15" s="8">
        <f>BoardQty*1</f>
        <v>1</v>
      </c>
      <c r="M15" s="9">
        <f t="shared" ca="1" si="0"/>
        <v>9.9060000000000006</v>
      </c>
      <c r="N15" s="9">
        <f t="shared" ca="1" si="1"/>
        <v>9.9060000000000006</v>
      </c>
      <c r="O15" s="8">
        <v>66</v>
      </c>
      <c r="Q15" s="9">
        <f>IFERROR(LOOKUP(IF(P15="",L15,P15),{0,1,50,100,500},{0,9.906,7.965,7.658,6.611}),"")</f>
        <v>9.9060000000000006</v>
      </c>
      <c r="R15" s="9">
        <f>IFERROR(IF(P15="",L15,P15)*Q15,"")</f>
        <v>9.9060000000000006</v>
      </c>
      <c r="S15" s="10" t="s">
        <v>61</v>
      </c>
      <c r="T15" s="8">
        <v>3052</v>
      </c>
      <c r="U15">
        <v>1</v>
      </c>
      <c r="V15" s="9">
        <f>IFERROR(LOOKUP(IF(U15="",L15,U15),{0,1,50,100,500},{0,11.15,9.6072,8.3418,7.26391999999999}),"")</f>
        <v>11.15</v>
      </c>
      <c r="W15" s="9">
        <f t="shared" si="3"/>
        <v>11.15</v>
      </c>
      <c r="X15" s="10" t="s">
        <v>169</v>
      </c>
      <c r="Y15" s="8">
        <v>167</v>
      </c>
      <c r="AA15" s="9">
        <f>IFERROR(LOOKUP(IF(Z15="",L15,Z15),{0,1,10,25,50,100,250},{0,11.1893052311612,8.92032676597789,8.38873752556351,7.88307946760837,7.4941117307198,6.87176335169808}),"")</f>
        <v>11.1893052311612</v>
      </c>
      <c r="AB15" s="9">
        <f>IFERROR(IF(Z15="",L15,Z15)*AA15,"")</f>
        <v>11.1893052311612</v>
      </c>
      <c r="AC15" s="10" t="s">
        <v>193</v>
      </c>
      <c r="AD15" s="8">
        <v>182</v>
      </c>
      <c r="AF15" s="9">
        <f>IFERROR(LOOKUP(IF(AE15="",L15,AE15),{0,1,10,50,100,1000,10000},{0,10.45,9.4,8.31,7.89,5.77,5.77}),"")</f>
        <v>10.45</v>
      </c>
      <c r="AG15" s="9">
        <f t="shared" si="4"/>
        <v>10.45</v>
      </c>
      <c r="AH15" s="10" t="s">
        <v>208</v>
      </c>
      <c r="AN15" s="8">
        <v>51</v>
      </c>
      <c r="AP15" s="9">
        <f>IFERROR(LOOKUP(IF(AO15="",L15,AO15),{0,1,10,50,250,500},{0,10.5021288959914,9.10184504319256,8.9981203133556,8.85549880982979,8.75177407999284}),"")</f>
        <v>10.502128895991399</v>
      </c>
      <c r="AQ15" s="9">
        <f>IFERROR(IF(AO15="",L15,AO15)*AP15,"")</f>
        <v>10.502128895991399</v>
      </c>
      <c r="AR15" s="10" t="s">
        <v>250</v>
      </c>
    </row>
    <row r="16" spans="1:49" x14ac:dyDescent="0.3">
      <c r="A16" s="8" t="s">
        <v>62</v>
      </c>
      <c r="B16" s="8" t="s">
        <v>63</v>
      </c>
      <c r="C16" s="8" t="s">
        <v>64</v>
      </c>
      <c r="I16" s="8" t="s">
        <v>65</v>
      </c>
      <c r="J16" s="8" t="s">
        <v>60</v>
      </c>
      <c r="K16" s="8" t="s">
        <v>66</v>
      </c>
      <c r="L16" s="8">
        <f>BoardQty*1</f>
        <v>1</v>
      </c>
      <c r="M16" s="9">
        <f t="shared" ca="1" si="0"/>
        <v>4.29</v>
      </c>
      <c r="N16" s="9">
        <f t="shared" ca="1" si="1"/>
        <v>4.29</v>
      </c>
      <c r="O16" s="8">
        <v>3277</v>
      </c>
      <c r="Q16" s="9">
        <f>IFERROR(LOOKUP(IF(P16="",L16,P16),{0,1,10,25,50,100,250,500,1000,2500},{0,4.29,3.873,3.519,3.368,3.226,2.953,2.6669,2.331,2.281}),"")</f>
        <v>4.29</v>
      </c>
      <c r="R16" s="9">
        <f>IFERROR(IF(P16="",L16,P16)*Q16,"")</f>
        <v>4.29</v>
      </c>
      <c r="S16" s="10" t="s">
        <v>66</v>
      </c>
      <c r="T16" s="8">
        <v>34822</v>
      </c>
      <c r="U16">
        <v>1</v>
      </c>
      <c r="V16" s="9">
        <f>IFERROR(LOOKUP(IF(U16="",L16,U16),{0,1,96,192,576,1056},{0,4.87,4.13594,3.58448,3.05141,2.57348}),"")</f>
        <v>4.87</v>
      </c>
      <c r="W16" s="9">
        <f t="shared" si="3"/>
        <v>4.87</v>
      </c>
      <c r="X16" s="10" t="s">
        <v>170</v>
      </c>
      <c r="Y16" s="11" t="s">
        <v>162</v>
      </c>
      <c r="AA16" s="9">
        <f>IFERROR(LOOKUP(IF(Z16="",L16,Z16),{0,1,10,25,50,100,250,500},{0,5.16030530938837,4.13602360224847,3.72112468290066,3.53960640568599,3.38401931093056,3.07284512141971,2.78760211436809}),"")</f>
        <v>5.1603053093883702</v>
      </c>
      <c r="AB16" s="9">
        <f>IFERROR(IF(Z16="",L16,Z16)*AA16,"")</f>
        <v>5.1603053093883702</v>
      </c>
      <c r="AC16" s="10" t="s">
        <v>194</v>
      </c>
      <c r="AD16" s="8">
        <v>5478</v>
      </c>
      <c r="AF16" s="9">
        <f>IFERROR(LOOKUP(IF(AE16="",L16,AE16),{0,1,10,50,100,1000,10000},{0,4.59,4.1,3.52,3.36,2.36,2.23}),"")</f>
        <v>4.59</v>
      </c>
      <c r="AG16" s="9">
        <f t="shared" si="4"/>
        <v>4.59</v>
      </c>
      <c r="AH16" s="10" t="s">
        <v>209</v>
      </c>
      <c r="AN16" s="8">
        <v>18</v>
      </c>
      <c r="AP16" s="9">
        <f>IFERROR(LOOKUP(IF(AO16="",L16,AO16),{0,1,19,48,96,480,960},{0,4.38236983561123,3.59146877060447,3.29326017232323,3.37105371970094,3.03394834773085,2.76426405015477}),"")</f>
        <v>4.3823698356112297</v>
      </c>
      <c r="AQ16" s="9">
        <f>IFERROR(IF(AO16="",L16,AO16)*AP16,"")</f>
        <v>4.3823698356112297</v>
      </c>
      <c r="AR16" s="10" t="s">
        <v>251</v>
      </c>
      <c r="AS16" s="8">
        <v>5</v>
      </c>
      <c r="AU16" s="9">
        <f>IFERROR(LOOKUP(IF(AT16="",L16,AT16),{0,1,3,10,25},{0,4.38,3.87,3.48,3.25}),"")</f>
        <v>4.38</v>
      </c>
      <c r="AV16" s="9">
        <f>IFERROR(IF(AT16="",L16,AT16)*AU16,"")</f>
        <v>4.38</v>
      </c>
      <c r="AW16" s="10" t="s">
        <v>66</v>
      </c>
    </row>
    <row r="17" spans="1:49" x14ac:dyDescent="0.3">
      <c r="A17" s="8" t="s">
        <v>67</v>
      </c>
      <c r="B17" s="8" t="s">
        <v>68</v>
      </c>
      <c r="C17" s="8" t="s">
        <v>69</v>
      </c>
      <c r="I17" s="8" t="s">
        <v>70</v>
      </c>
      <c r="J17" s="8" t="s">
        <v>71</v>
      </c>
      <c r="K17" s="8" t="s">
        <v>72</v>
      </c>
      <c r="L17" s="8">
        <f>BoardQty*2</f>
        <v>2</v>
      </c>
      <c r="M17" s="9">
        <f t="shared" ca="1" si="0"/>
        <v>0.33321569460120898</v>
      </c>
      <c r="N17" s="9">
        <f t="shared" ca="1" si="1"/>
        <v>0.66643138920241796</v>
      </c>
      <c r="O17" s="8">
        <v>1792</v>
      </c>
      <c r="Q17" s="9">
        <f>IFERROR(LOOKUP(IF(P17="",L17,P17),{0,1,10,25,100,250,500,1000},{0,0.3718,0.3671,0.313,0.2854,0.2824,0.2796,0.2713}),"")</f>
        <v>0.37180000000000002</v>
      </c>
      <c r="R17" s="9">
        <f>IFERROR(IF(P17="",L17,P17)*Q17,"")</f>
        <v>0.74360000000000004</v>
      </c>
      <c r="S17" s="10" t="s">
        <v>72</v>
      </c>
      <c r="T17" s="8">
        <v>13459</v>
      </c>
      <c r="U17">
        <v>2</v>
      </c>
      <c r="V17" s="9">
        <f>IFERROR(LOOKUP(IF(U17="",L17,U17),{0,1,25,100,3000},{0,0.41,0.34,0.309,0.309}),"")</f>
        <v>0.41</v>
      </c>
      <c r="W17" s="9">
        <f t="shared" si="3"/>
        <v>0.82</v>
      </c>
      <c r="X17" s="10" t="s">
        <v>171</v>
      </c>
      <c r="Y17" s="8">
        <v>8674</v>
      </c>
      <c r="AA17" s="9">
        <f>IFERROR(LOOKUP(IF(Z17="",L17,Z17),{0,1,10,25,50,100,150},{0,0.40193332811819,0.369519350044142,0.335808812847133,0.32025010337159,0.304691393896047,0.304691393896047}),"")</f>
        <v>0.40193332811818999</v>
      </c>
      <c r="AB17" s="9">
        <f>IFERROR(IF(Z17="",L17,Z17)*AA17,"")</f>
        <v>0.80386665623637998</v>
      </c>
      <c r="AC17" s="10" t="s">
        <v>195</v>
      </c>
      <c r="AD17" s="8">
        <v>14944</v>
      </c>
      <c r="AF17" s="9">
        <f>IFERROR(LOOKUP(IF(AE17="",L17,AE17),{0,1,10,50,100,1000,10000},{0,0.41,0.406,0.338999999999999,0.309,0.309,0.309}),"")</f>
        <v>0.41</v>
      </c>
      <c r="AG17" s="9">
        <f t="shared" si="4"/>
        <v>0.82</v>
      </c>
      <c r="AH17" s="10" t="s">
        <v>210</v>
      </c>
      <c r="AI17" s="8">
        <v>6200</v>
      </c>
      <c r="AK17" s="9">
        <f>IFERROR(LOOKUP(IF(AJ17="",L17,AJ17),{0,1,25,100,3000},{0,0.383999999999999,0.322,0.298,0.318}),"")</f>
        <v>0.38399999999999901</v>
      </c>
      <c r="AL17" s="9">
        <f>IFERROR(IF(AJ17="",L17,AJ17)*AK17,"")</f>
        <v>0.76799999999999802</v>
      </c>
      <c r="AM17" s="10" t="s">
        <v>231</v>
      </c>
      <c r="AN17" s="8">
        <v>1550</v>
      </c>
      <c r="AP17" s="9">
        <f>IFERROR(LOOKUP(IF(AO17="",L17,AO17),{0,1,25,100,3000},{0,0.333215694601209,0.333215694601209,0.307284512141971,0.307284512141971}),"")</f>
        <v>0.33321569460120898</v>
      </c>
      <c r="AQ17" s="9">
        <f>IFERROR(IF(AO17="",L17,AO17)*AP17,"")</f>
        <v>0.66643138920241796</v>
      </c>
      <c r="AR17" s="10" t="s">
        <v>252</v>
      </c>
      <c r="AS17" s="8">
        <v>295</v>
      </c>
      <c r="AU17" s="9">
        <f>IFERROR(LOOKUP(IF(AT17="",L17,AT17),{0,1,5,25,100,500},{0,0.54,0.29,0.25,0.23,0.21}),"")</f>
        <v>0.54</v>
      </c>
      <c r="AV17" s="9">
        <f>IFERROR(IF(AT17="",L17,AT17)*AU17,"")</f>
        <v>1.08</v>
      </c>
      <c r="AW17" s="10" t="s">
        <v>72</v>
      </c>
    </row>
    <row r="18" spans="1:49" x14ac:dyDescent="0.3">
      <c r="A18" s="8" t="s">
        <v>73</v>
      </c>
      <c r="B18" s="8" t="s">
        <v>74</v>
      </c>
      <c r="C18" s="8" t="s">
        <v>75</v>
      </c>
      <c r="I18" s="8" t="s">
        <v>76</v>
      </c>
      <c r="J18" s="8" t="s">
        <v>77</v>
      </c>
      <c r="K18" s="8" t="s">
        <v>78</v>
      </c>
      <c r="L18" s="8">
        <f t="shared" ref="L18:L24" si="5">BoardQty*1</f>
        <v>1</v>
      </c>
      <c r="M18" s="9">
        <f t="shared" ca="1" si="0"/>
        <v>1.5947677212431399</v>
      </c>
      <c r="N18" s="9">
        <f t="shared" ca="1" si="1"/>
        <v>1.5947677212431399</v>
      </c>
      <c r="T18" s="8">
        <v>270</v>
      </c>
      <c r="U18">
        <v>1</v>
      </c>
      <c r="V18" s="9">
        <f>IFERROR(LOOKUP(IF(U18="",L18,U18),{0,1,10,50,100},{0,1.62,1.457,1.377,1.224}),"")</f>
        <v>1.62</v>
      </c>
      <c r="W18" s="9">
        <f t="shared" si="3"/>
        <v>1.62</v>
      </c>
      <c r="X18" s="10" t="s">
        <v>172</v>
      </c>
      <c r="Y18" s="11" t="s">
        <v>162</v>
      </c>
      <c r="AA18" s="9">
        <f>IFERROR(LOOKUP(IF(Z18="",L18,Z18),{0,1,10,25,50,100,250,500,1000},{0,1.59476772124314,1.43918062648771,1.42621503525809,1.40028385279885,1.38731826156923,1.36138707910999,1.34842148788037,1.32249030542114}),"")</f>
        <v>1.5947677212431399</v>
      </c>
      <c r="AB18" s="9">
        <f>IFERROR(IF(Z18="",L18,Z18)*AA18,"")</f>
        <v>1.5947677212431399</v>
      </c>
      <c r="AC18" s="10" t="s">
        <v>196</v>
      </c>
      <c r="AD18" s="8">
        <v>237</v>
      </c>
      <c r="AF18" s="9">
        <f>IFERROR(LOOKUP(IF(AE18="",L18,AE18),{0,1,10,50,100,1000,10000},{0,1.62,1.46,1.34,1.34,1.25,1.25}),"")</f>
        <v>1.62</v>
      </c>
      <c r="AG18" s="9">
        <f t="shared" si="4"/>
        <v>1.62</v>
      </c>
      <c r="AH18" s="10" t="s">
        <v>211</v>
      </c>
      <c r="AI18" s="11" t="s">
        <v>162</v>
      </c>
      <c r="AM18" s="10" t="s">
        <v>232</v>
      </c>
    </row>
    <row r="19" spans="1:49" x14ac:dyDescent="0.3">
      <c r="A19" s="8" t="s">
        <v>79</v>
      </c>
      <c r="B19" s="8" t="s">
        <v>80</v>
      </c>
      <c r="C19" s="8" t="s">
        <v>81</v>
      </c>
      <c r="I19" s="8" t="s">
        <v>70</v>
      </c>
      <c r="J19" s="8" t="s">
        <v>77</v>
      </c>
      <c r="K19" s="8" t="s">
        <v>82</v>
      </c>
      <c r="L19" s="8">
        <f t="shared" si="5"/>
        <v>1</v>
      </c>
      <c r="M19" s="9">
        <f t="shared" ca="1" si="0"/>
        <v>2.08</v>
      </c>
      <c r="N19" s="9">
        <f t="shared" ca="1" si="1"/>
        <v>2.08</v>
      </c>
      <c r="T19" s="8">
        <v>8226</v>
      </c>
      <c r="U19">
        <v>1</v>
      </c>
      <c r="V19" s="9">
        <f>IFERROR(LOOKUP(IF(U19="",L19,U19),{0,1,10,25,100,250,500,1000,2500},{0,2.98,2.672,2.526,2.1893,2.077,1.86368,1.57177999999999,1.3625}),"")</f>
        <v>2.98</v>
      </c>
      <c r="W19" s="9">
        <f t="shared" si="3"/>
        <v>2.98</v>
      </c>
      <c r="X19" s="10" t="s">
        <v>173</v>
      </c>
      <c r="Y19" s="8">
        <v>556</v>
      </c>
      <c r="AA19" s="9">
        <f>IFERROR(LOOKUP(IF(Z19="",L19,Z19),{0,1,10,25,50,100,250,500,1000},{0,2.94318920912352,2.63201501961266,2.48939351608685,2.08746018796866,1.93187309321323,1.8411139546059,1.75035481599856,1.36138707910999}),"")</f>
        <v>2.9431892091235201</v>
      </c>
      <c r="AB19" s="9">
        <f>IFERROR(IF(Z19="",L19,Z19)*AA19,"")</f>
        <v>2.9431892091235201</v>
      </c>
      <c r="AC19" s="10" t="s">
        <v>197</v>
      </c>
      <c r="AD19" s="8">
        <v>2614</v>
      </c>
      <c r="AF19" s="9">
        <f>IFERROR(LOOKUP(IF(AE19="",L19,AE19),{0,1,10,50,100,1000,10000},{0,2.98,2.67,2.11,1.95,1.39,1.36}),"")</f>
        <v>2.98</v>
      </c>
      <c r="AG19" s="9">
        <f t="shared" si="4"/>
        <v>2.98</v>
      </c>
      <c r="AH19" s="10" t="s">
        <v>212</v>
      </c>
      <c r="AI19" s="8">
        <v>904</v>
      </c>
      <c r="AK19" s="9">
        <f>IFERROR(LOOKUP(IF(AJ19="",L19,AJ19),{0,1,10,25,50,100,250,500,1000},{0,2.08,1.87,1.77,1.65,1.53,1.45,1.4,1.36}),"")</f>
        <v>2.08</v>
      </c>
      <c r="AL19" s="9">
        <f>IFERROR(IF(AJ19="",L19,AJ19)*AK19,"")</f>
        <v>2.08</v>
      </c>
      <c r="AM19" s="10" t="s">
        <v>233</v>
      </c>
    </row>
    <row r="20" spans="1:49" x14ac:dyDescent="0.3">
      <c r="A20" s="8" t="s">
        <v>83</v>
      </c>
      <c r="B20" s="8" t="s">
        <v>84</v>
      </c>
      <c r="C20" s="8" t="s">
        <v>85</v>
      </c>
      <c r="I20" s="8" t="s">
        <v>86</v>
      </c>
      <c r="J20" s="8" t="s">
        <v>60</v>
      </c>
      <c r="K20" s="8" t="s">
        <v>87</v>
      </c>
      <c r="L20" s="8">
        <f t="shared" si="5"/>
        <v>1</v>
      </c>
      <c r="M20" s="9">
        <f t="shared" ca="1" si="0"/>
        <v>4.72</v>
      </c>
      <c r="N20" s="9">
        <f t="shared" ca="1" si="1"/>
        <v>4.72</v>
      </c>
      <c r="T20" s="8">
        <v>401</v>
      </c>
      <c r="U20">
        <v>1</v>
      </c>
      <c r="V20" s="9">
        <f>IFERROR(LOOKUP(IF(U20="",L20,U20),{0,1,25,100,250,500},{0,4.72,3.1324,2.59,2.46052,2.405}),"")</f>
        <v>4.72</v>
      </c>
      <c r="W20" s="9">
        <f t="shared" si="3"/>
        <v>4.72</v>
      </c>
      <c r="X20" s="10" t="s">
        <v>174</v>
      </c>
    </row>
    <row r="21" spans="1:49" x14ac:dyDescent="0.3">
      <c r="A21" s="8" t="s">
        <v>88</v>
      </c>
      <c r="B21" s="8" t="s">
        <v>89</v>
      </c>
      <c r="C21" s="8" t="s">
        <v>90</v>
      </c>
      <c r="I21" s="8" t="s">
        <v>91</v>
      </c>
      <c r="J21" s="8" t="s">
        <v>92</v>
      </c>
      <c r="K21" s="8" t="s">
        <v>93</v>
      </c>
      <c r="L21" s="8">
        <f t="shared" si="5"/>
        <v>1</v>
      </c>
      <c r="M21" s="9">
        <f t="shared" ca="1" si="0"/>
        <v>0.32300000000000001</v>
      </c>
      <c r="N21" s="9">
        <f t="shared" ca="1" si="1"/>
        <v>0.32300000000000001</v>
      </c>
      <c r="O21" s="8">
        <v>22</v>
      </c>
      <c r="Q21" s="9">
        <f>IFERROR(LOOKUP(IF(P21="",L21,P21),{0,1,10},{0,0.323,0.2839}),"")</f>
        <v>0.32300000000000001</v>
      </c>
      <c r="R21" s="9">
        <f>IFERROR(IF(P21="",L21,P21)*Q21,"")</f>
        <v>0.32300000000000001</v>
      </c>
      <c r="S21" s="10" t="s">
        <v>93</v>
      </c>
      <c r="T21" s="8">
        <v>5450</v>
      </c>
      <c r="U21">
        <v>1</v>
      </c>
      <c r="V21" s="9">
        <f>IFERROR(LOOKUP(IF(U21="",L21,U21),{0,1,10,25,100,250,500,1000,3000,6000,15000,30000,75000},{0,0.47,0.367,0.305599999999999,0.2633,0.23512,0.2022,0.15612,0.14108,0.12825,0.1197,0.11543,0.114}),"")</f>
        <v>0.47</v>
      </c>
      <c r="W21" s="9">
        <f t="shared" si="3"/>
        <v>0.47</v>
      </c>
      <c r="X21" s="10" t="s">
        <v>175</v>
      </c>
      <c r="Y21" s="8">
        <v>5706</v>
      </c>
      <c r="AA21" s="9">
        <f>IFERROR(LOOKUP(IF(Z21="",L21,Z21),{0,1,5,25,100,150,250,500,1000},{0,0.350070963199713,0.350070963199713,0.335808812847133,0.237270319502028,0.237270319502028,0.21133913704279,0.18411139546059,0.143918062648771}),"")</f>
        <v>0.35007096319971298</v>
      </c>
      <c r="AB21" s="9">
        <f>IFERROR(IF(Z21="",L21,Z21)*AA21,"")</f>
        <v>0.35007096319971298</v>
      </c>
      <c r="AC21" s="10" t="s">
        <v>198</v>
      </c>
      <c r="AD21" s="8">
        <v>2832</v>
      </c>
      <c r="AF21" s="9">
        <f>IFERROR(LOOKUP(IF(AE21="",L21,AE21),{0,1,10,50,100,1000,10000},{0,0.34,0.299,0.299,0.231,0.154,0.12}),"")</f>
        <v>0.34</v>
      </c>
      <c r="AG21" s="9">
        <f t="shared" ref="AG21:AG32" si="6">IFERROR(IF(AE21="",L21,AE21)*AF21,"")</f>
        <v>0.34</v>
      </c>
      <c r="AH21" s="10" t="s">
        <v>213</v>
      </c>
      <c r="AI21" s="8">
        <v>3348</v>
      </c>
      <c r="AK21" s="9">
        <f>IFERROR(LOOKUP(IF(AJ21="",L21,AJ21),{0,1,25,50,100,250,500,1000,3000,10000,25000,50000,100000},{0,0.34,0.299,0.265,0.231,0.206,0.18,0.154,0.176,0.16,0.152,0.144,0.138}),"")</f>
        <v>0.34</v>
      </c>
      <c r="AL21" s="9">
        <f>IFERROR(IF(AJ21="",L21,AJ21)*AK21,"")</f>
        <v>0.34</v>
      </c>
      <c r="AM21" s="10" t="s">
        <v>234</v>
      </c>
    </row>
    <row r="22" spans="1:49" x14ac:dyDescent="0.3">
      <c r="A22" s="8" t="s">
        <v>94</v>
      </c>
      <c r="B22" s="8" t="s">
        <v>95</v>
      </c>
      <c r="C22" s="8" t="s">
        <v>96</v>
      </c>
      <c r="I22" s="8" t="s">
        <v>97</v>
      </c>
      <c r="J22" s="8" t="s">
        <v>98</v>
      </c>
      <c r="K22" s="8" t="s">
        <v>95</v>
      </c>
      <c r="L22" s="8">
        <f t="shared" si="5"/>
        <v>1</v>
      </c>
      <c r="M22" s="9">
        <f t="shared" ca="1" si="0"/>
        <v>0.94999999999999896</v>
      </c>
      <c r="N22" s="9">
        <f t="shared" ca="1" si="1"/>
        <v>0.94999999999999896</v>
      </c>
      <c r="T22" s="8">
        <v>5418</v>
      </c>
      <c r="U22">
        <v>1</v>
      </c>
      <c r="V22" s="9">
        <f>IFERROR(LOOKUP(IF(U22="",L22,U22),{0,1,10,25,50,100,250,500,1000,2000,3000,5000,10000},{0,1.05,0.926,0.8712,0.835,0.7986,0.726,0.6534,0.528,0.495,0.4785,0.462,0.4389}),"")</f>
        <v>1.05</v>
      </c>
      <c r="W22" s="9">
        <f t="shared" si="3"/>
        <v>1.05</v>
      </c>
      <c r="X22" s="10" t="s">
        <v>176</v>
      </c>
      <c r="AD22" s="8">
        <v>1324</v>
      </c>
      <c r="AF22" s="9">
        <f>IFERROR(LOOKUP(IF(AE22="",L22,AE22),{0,1,10,50,100,1000,10000},{0,0.949999999999999,0.841,0.759,0.726,0.528,0.478}),"")</f>
        <v>0.94999999999999896</v>
      </c>
      <c r="AG22" s="9">
        <f t="shared" si="6"/>
        <v>0.94999999999999896</v>
      </c>
      <c r="AH22" s="10" t="s">
        <v>214</v>
      </c>
    </row>
    <row r="23" spans="1:49" x14ac:dyDescent="0.3">
      <c r="A23" s="8" t="s">
        <v>99</v>
      </c>
      <c r="B23" s="8" t="s">
        <v>100</v>
      </c>
      <c r="C23" s="8" t="s">
        <v>101</v>
      </c>
      <c r="I23" s="8" t="s">
        <v>102</v>
      </c>
      <c r="J23" s="8" t="s">
        <v>103</v>
      </c>
      <c r="K23" s="8" t="s">
        <v>100</v>
      </c>
      <c r="L23" s="8">
        <f t="shared" si="5"/>
        <v>1</v>
      </c>
      <c r="M23" s="9">
        <f t="shared" ca="1" si="0"/>
        <v>3.8079999999999998</v>
      </c>
      <c r="N23" s="9">
        <f t="shared" ca="1" si="1"/>
        <v>3.8079999999999998</v>
      </c>
      <c r="O23" s="8">
        <v>914</v>
      </c>
      <c r="Q23" s="9">
        <f>IFERROR(LOOKUP(IF(P23="",L23,P23),{0,1,10,25,100,250,500,1000},{0,3.808,3.70499999999999,3.60899999999999,3.512,3.351,2.825,2.7359}),"")</f>
        <v>3.8079999999999998</v>
      </c>
      <c r="R23" s="9">
        <f>IFERROR(IF(P23="",L23,P23)*Q23,"")</f>
        <v>3.8079999999999998</v>
      </c>
      <c r="S23" s="10" t="s">
        <v>100</v>
      </c>
      <c r="T23" s="8">
        <v>1942</v>
      </c>
      <c r="U23">
        <v>1</v>
      </c>
      <c r="V23" s="9">
        <f>IFERROR(LOOKUP(IF(U23="",L23,U23),{0,1,10,25,50,100,250,500,1000},{0,4.77,4.543,4.4296,4.3158,4.2023,3.86156,3.0975,2.78775}),"")</f>
        <v>4.7699999999999996</v>
      </c>
      <c r="W23" s="9">
        <f t="shared" si="3"/>
        <v>4.7699999999999996</v>
      </c>
      <c r="X23" s="10" t="s">
        <v>177</v>
      </c>
      <c r="AD23" s="8">
        <v>55</v>
      </c>
      <c r="AF23" s="9">
        <f>IFERROR(LOOKUP(IF(AE23="",L23,AE23),{0,1,10,50,100,1000,10000},{0,5,4.77,4.53,4.41,3.25,3.25}),"")</f>
        <v>5</v>
      </c>
      <c r="AG23" s="9">
        <f t="shared" si="6"/>
        <v>5</v>
      </c>
      <c r="AH23" s="10" t="s">
        <v>215</v>
      </c>
      <c r="AI23" s="8">
        <v>1342</v>
      </c>
      <c r="AK23" s="9">
        <f>IFERROR(LOOKUP(IF(AJ23="",L23,AJ23),{0,1,500},{0,4.06,4.06}),"")</f>
        <v>4.0599999999999996</v>
      </c>
      <c r="AL23" s="9">
        <f t="shared" ref="AL23:AL32" si="7">IFERROR(IF(AJ23="",L23,AJ23)*AK23,"")</f>
        <v>4.0599999999999996</v>
      </c>
      <c r="AM23" s="10" t="s">
        <v>235</v>
      </c>
    </row>
    <row r="24" spans="1:49" x14ac:dyDescent="0.3">
      <c r="A24" s="8" t="s">
        <v>104</v>
      </c>
      <c r="B24" s="8" t="s">
        <v>105</v>
      </c>
      <c r="C24" s="8" t="s">
        <v>106</v>
      </c>
      <c r="I24" s="8" t="s">
        <v>107</v>
      </c>
      <c r="J24" s="8" t="s">
        <v>108</v>
      </c>
      <c r="K24" s="8" t="s">
        <v>109</v>
      </c>
      <c r="L24" s="8">
        <f t="shared" si="5"/>
        <v>1</v>
      </c>
      <c r="M24" s="9">
        <f t="shared" ca="1" si="0"/>
        <v>8.9999999999999993E-3</v>
      </c>
      <c r="N24" s="9">
        <f t="shared" ca="1" si="1"/>
        <v>8.9999999999999993E-3</v>
      </c>
      <c r="T24" s="8">
        <v>16849</v>
      </c>
      <c r="U24">
        <v>1</v>
      </c>
      <c r="V24" s="9">
        <f>IFERROR(LOOKUP(IF(U24="",L24,U24),{0,1,10,100,1000,2500,5000,10000,25000,50000},{0,0.11,0.098,0.0376,0.01654,0.01428,0.01162,0.01042,0.00957,0.00944}),"")</f>
        <v>0.11</v>
      </c>
      <c r="W24" s="9">
        <f t="shared" si="3"/>
        <v>0.11</v>
      </c>
      <c r="X24" s="10" t="s">
        <v>178</v>
      </c>
      <c r="Y24" s="8">
        <v>3687</v>
      </c>
      <c r="AA24" s="9">
        <f>IFERROR(LOOKUP(IF(Z24="",L24,Z24),{0,1,25,50,100,250,500,1000},{0,0.0975012460467351,0.0828501279572656,0.058604472357878,0.034099504933898,0.0270980856699037,0.0230787523887218,0.0199670104936133}),"")</f>
        <v>9.7501246046735102E-2</v>
      </c>
      <c r="AB24" s="9">
        <f>IFERROR(IF(Z24="",L24,Z24)*AA24,"")</f>
        <v>9.7501246046735102E-2</v>
      </c>
      <c r="AC24" s="10" t="s">
        <v>199</v>
      </c>
      <c r="AD24" s="8">
        <v>10232</v>
      </c>
      <c r="AF24" s="9">
        <f>IFERROR(LOOKUP(IF(AE24="",L24,AE24),{0,1,10,50,100,1000,10000},{0,0.1,0.085,0.085,0.035,0.016,0.0119999999999999}),"")</f>
        <v>0.1</v>
      </c>
      <c r="AG24" s="9">
        <f t="shared" si="6"/>
        <v>0.1</v>
      </c>
      <c r="AH24" s="10" t="s">
        <v>216</v>
      </c>
      <c r="AI24" s="8">
        <v>3687</v>
      </c>
      <c r="AK24" s="9">
        <f>IFERROR(LOOKUP(IF(AJ24="",L24,AJ24),{0,1,25,50,100,250,500,1000,2500,5000,10000,20000},{0,0.009,0.009,0.009,0.009,0.009,0.009,0.009,0.009,0.021,0.016,0.0119999999999999}),"")</f>
        <v>8.9999999999999993E-3</v>
      </c>
      <c r="AL24" s="9">
        <f t="shared" si="7"/>
        <v>8.9999999999999993E-3</v>
      </c>
      <c r="AM24" s="10" t="s">
        <v>236</v>
      </c>
      <c r="AN24" s="8">
        <v>5400</v>
      </c>
      <c r="AR24" s="10" t="s">
        <v>253</v>
      </c>
    </row>
    <row r="25" spans="1:49" x14ac:dyDescent="0.3">
      <c r="A25" s="8" t="s">
        <v>110</v>
      </c>
      <c r="B25" s="8" t="s">
        <v>111</v>
      </c>
      <c r="C25" s="8" t="s">
        <v>112</v>
      </c>
      <c r="I25" s="8" t="s">
        <v>107</v>
      </c>
      <c r="J25" s="8" t="s">
        <v>113</v>
      </c>
      <c r="K25" s="8" t="s">
        <v>114</v>
      </c>
      <c r="L25" s="8">
        <f>BoardQty*2</f>
        <v>2</v>
      </c>
      <c r="M25" s="9">
        <f t="shared" ca="1" si="0"/>
        <v>4.0000000000000001E-3</v>
      </c>
      <c r="N25" s="9">
        <f t="shared" ca="1" si="1"/>
        <v>8.0000000000000002E-3</v>
      </c>
      <c r="O25" s="8">
        <v>282260</v>
      </c>
      <c r="Q25" s="9">
        <f>IFERROR(LOOKUP(IF(P25="",L25,P25),{0,1,25,250,1000,3000,15000,75000},{0,0.004,0.0039,0.0038,0.0037,0.0036,0.0035,0.0034}),"")</f>
        <v>4.0000000000000001E-3</v>
      </c>
      <c r="R25" s="9">
        <f>IFERROR(IF(P25="",L25,P25)*Q25,"")</f>
        <v>8.0000000000000002E-3</v>
      </c>
      <c r="S25" s="10" t="s">
        <v>114</v>
      </c>
      <c r="T25" s="8">
        <v>141618</v>
      </c>
      <c r="U25">
        <v>2</v>
      </c>
      <c r="V25" s="9">
        <f>IFERROR(LOOKUP(IF(U25="",L25,U25),{0,1,10,100,1000,2500,5000,10000,25000},{0,0.1,0.038,0.0156,0.007,0.00607,0.00456,0.00396,0.0036}),"")</f>
        <v>0.1</v>
      </c>
      <c r="W25" s="9">
        <f t="shared" si="3"/>
        <v>0.2</v>
      </c>
      <c r="X25" s="10" t="s">
        <v>179</v>
      </c>
      <c r="AD25" s="8">
        <v>75173</v>
      </c>
      <c r="AF25" s="9">
        <f>IFERROR(LOOKUP(IF(AE25="",L25,AE25),{0,1,10,50,100,1000,10000},{0,0.1,0.029,0.029,0.011,0.004,0.004}),"")</f>
        <v>0.1</v>
      </c>
      <c r="AG25" s="9">
        <f t="shared" si="6"/>
        <v>0.2</v>
      </c>
      <c r="AH25" s="10" t="s">
        <v>217</v>
      </c>
      <c r="AI25" s="8">
        <v>10000</v>
      </c>
      <c r="AK25" s="9">
        <f>IFERROR(LOOKUP(IF(AJ25="",L25,AJ25),{0,1,5000,10000,20000,30000,50000},{0,0.027,0.027,0.026,0.025,0.01,0.00299999999999999}),"")</f>
        <v>2.7E-2</v>
      </c>
      <c r="AL25" s="9">
        <f t="shared" si="7"/>
        <v>5.3999999999999999E-2</v>
      </c>
      <c r="AM25" s="10" t="s">
        <v>237</v>
      </c>
    </row>
    <row r="26" spans="1:49" x14ac:dyDescent="0.3">
      <c r="A26" s="8" t="s">
        <v>115</v>
      </c>
      <c r="B26" s="8" t="s">
        <v>116</v>
      </c>
      <c r="C26" s="8" t="s">
        <v>117</v>
      </c>
      <c r="I26" s="8" t="s">
        <v>107</v>
      </c>
      <c r="J26" s="8" t="s">
        <v>118</v>
      </c>
      <c r="K26" s="8" t="s">
        <v>119</v>
      </c>
      <c r="L26" s="8">
        <f>BoardQty*2</f>
        <v>2</v>
      </c>
      <c r="M26" s="9">
        <f t="shared" ca="1" si="0"/>
        <v>4.1999999999999997E-3</v>
      </c>
      <c r="N26" s="9">
        <f t="shared" ca="1" si="1"/>
        <v>8.3999999999999995E-3</v>
      </c>
      <c r="O26" s="8">
        <v>4980</v>
      </c>
      <c r="Q26" s="9">
        <f>IFERROR(LOOKUP(IF(P26="",L26,P26),{0,1,10,100,250,1000},{0,0.0042,0.0041,0.004,0.0039,0.0038}),"")</f>
        <v>4.1999999999999997E-3</v>
      </c>
      <c r="R26" s="9">
        <f>IFERROR(IF(P26="",L26,P26)*Q26,"")</f>
        <v>8.3999999999999995E-3</v>
      </c>
      <c r="S26" s="10" t="s">
        <v>119</v>
      </c>
      <c r="T26" s="8">
        <v>119990</v>
      </c>
      <c r="U26">
        <v>2</v>
      </c>
      <c r="V26" s="9">
        <f>IFERROR(LOOKUP(IF(U26="",L26,U26),{0,1,10,100,1000,2500,5000,10000,25000,50000,125000},{0,0.1,0.033,0.0136,0.00609,0.00529,0.00457,0.00397,0.00349,0.00319999999999999,0.00313}),"")</f>
        <v>0.1</v>
      </c>
      <c r="W26" s="9">
        <f t="shared" si="3"/>
        <v>0.2</v>
      </c>
      <c r="X26" s="10" t="s">
        <v>180</v>
      </c>
      <c r="Y26" s="8">
        <v>16</v>
      </c>
      <c r="AA26" s="9">
        <f>IFERROR(LOOKUP(IF(Z26="",L26,Z26),{0,1,10,100,150,500,1000,2500,5000,25000},{0,0.0158180213001352,0.0158180213001352,0.0115393761943609,0.0115393761943609,0.0093352256853257,0.00726073108858665,0.00648279561480951,0.00570486014103237,0.00440830101807047}),"")</f>
        <v>1.5818021300135199E-2</v>
      </c>
      <c r="AB26" s="9">
        <f>IFERROR(IF(Z26="",L26,Z26)*AA26,"")</f>
        <v>3.1636042600270399E-2</v>
      </c>
      <c r="AC26" s="10" t="s">
        <v>200</v>
      </c>
      <c r="AD26" s="8">
        <v>13516</v>
      </c>
      <c r="AF26" s="9">
        <f>IFERROR(LOOKUP(IF(AE26="",L26,AE26),{0,1,10,50,100,1000,10000},{0,0.14,0.01,0.01,0.009,0.007,0.00599999999999999}),"")</f>
        <v>0.14000000000000001</v>
      </c>
      <c r="AG26" s="9">
        <f t="shared" si="6"/>
        <v>0.28000000000000003</v>
      </c>
      <c r="AH26" s="10" t="s">
        <v>218</v>
      </c>
      <c r="AI26" s="8">
        <v>34</v>
      </c>
      <c r="AK26" s="9">
        <f>IFERROR(LOOKUP(IF(AJ26="",L26,AJ26),{0,1,10,25,50,100,10000,20000,40000},{0,0.01,0.01,0.01,0.009,0.009,0.005,0.005,0.004}),"")</f>
        <v>0.01</v>
      </c>
      <c r="AL26" s="9">
        <f t="shared" si="7"/>
        <v>0.02</v>
      </c>
      <c r="AM26" s="10" t="s">
        <v>238</v>
      </c>
    </row>
    <row r="27" spans="1:49" x14ac:dyDescent="0.3">
      <c r="A27" s="8" t="s">
        <v>120</v>
      </c>
      <c r="B27" s="8" t="s">
        <v>121</v>
      </c>
      <c r="C27" s="8" t="s">
        <v>122</v>
      </c>
      <c r="I27" s="8" t="s">
        <v>107</v>
      </c>
      <c r="J27" s="8" t="s">
        <v>29</v>
      </c>
      <c r="K27" s="8" t="s">
        <v>123</v>
      </c>
      <c r="L27" s="8">
        <f>BoardQty*1</f>
        <v>1</v>
      </c>
      <c r="M27" s="9">
        <f t="shared" ca="1" si="0"/>
        <v>2.9999999999999901E-3</v>
      </c>
      <c r="N27" s="9">
        <f t="shared" ca="1" si="1"/>
        <v>2.9999999999999901E-3</v>
      </c>
      <c r="O27" s="8">
        <v>6237</v>
      </c>
      <c r="Q27" s="9">
        <f>IFERROR(LOOKUP(IF(P27="",L27,P27),{0,1,10,1000,5000,6000,10000,25000,50000},{0,0.00299999999999999,0.00279999999999999,0.0027,0.0047,0.00259999999999999,0.0044,0.0038,0.00279999999999999}),"")</f>
        <v>2.9999999999999901E-3</v>
      </c>
      <c r="R27" s="9">
        <f>IFERROR(IF(P27="",L27,P27)*Q27,"")</f>
        <v>2.9999999999999901E-3</v>
      </c>
      <c r="S27" s="10" t="s">
        <v>123</v>
      </c>
      <c r="T27" s="8">
        <v>307334</v>
      </c>
      <c r="U27">
        <v>1</v>
      </c>
      <c r="V27" s="9">
        <f>IFERROR(LOOKUP(IF(U27="",L27,U27),{0,1,10,100,1000,2500,5000,10000,25000,50000,125000},{0,0.1,0.042,0.017,0.00762,0.00662,0.00496999999999999,0.00431,0.00379,0.00348,0.00341}),"")</f>
        <v>0.1</v>
      </c>
      <c r="W27" s="9">
        <f t="shared" si="3"/>
        <v>0.1</v>
      </c>
      <c r="X27" s="10" t="s">
        <v>181</v>
      </c>
      <c r="AD27" s="8">
        <v>101960</v>
      </c>
      <c r="AF27" s="9">
        <f>IFERROR(LOOKUP(IF(AE27="",L27,AE27),{0,1,10,50,100,1000,10000},{0,0.13,0.031,0.031,0.011,0.008,0.005}),"")</f>
        <v>0.13</v>
      </c>
      <c r="AG27" s="9">
        <f t="shared" si="6"/>
        <v>0.13</v>
      </c>
      <c r="AH27" s="10" t="s">
        <v>219</v>
      </c>
      <c r="AI27" s="11" t="s">
        <v>162</v>
      </c>
      <c r="AK27" s="9">
        <f>IFERROR(LOOKUP(IF(AJ27="",L27,AJ27),{0,1,5000,10000,15000},{0,0.0119999999999999,0.0119999999999999,0.009,0.00599999999999999}),"")</f>
        <v>1.19999999999999E-2</v>
      </c>
      <c r="AL27" s="9">
        <f t="shared" si="7"/>
        <v>1.19999999999999E-2</v>
      </c>
      <c r="AM27" s="10" t="s">
        <v>239</v>
      </c>
    </row>
    <row r="28" spans="1:49" x14ac:dyDescent="0.3">
      <c r="A28" s="8" t="s">
        <v>124</v>
      </c>
      <c r="B28" s="8" t="s">
        <v>125</v>
      </c>
      <c r="C28" s="8" t="s">
        <v>126</v>
      </c>
      <c r="I28" s="8" t="s">
        <v>107</v>
      </c>
      <c r="J28" s="8" t="s">
        <v>29</v>
      </c>
      <c r="K28" s="8" t="s">
        <v>127</v>
      </c>
      <c r="L28" s="8">
        <f>BoardQty*2</f>
        <v>2</v>
      </c>
      <c r="M28" s="9">
        <f t="shared" ca="1" si="0"/>
        <v>1.19999999999999E-2</v>
      </c>
      <c r="N28" s="9">
        <f t="shared" ca="1" si="1"/>
        <v>2.3999999999999799E-2</v>
      </c>
      <c r="T28" s="8">
        <v>66537</v>
      </c>
      <c r="U28">
        <v>2</v>
      </c>
      <c r="V28" s="9">
        <f>IFERROR(LOOKUP(IF(U28="",L28,U28),{0,1,10,100,1000,2500,5000,10000,25000,50000,125000},{0,0.1,0.042,0.017,0.00762,0.00662,0.00496999999999999,0.00431,0.00379,0.00348,0.00341}),"")</f>
        <v>0.1</v>
      </c>
      <c r="W28" s="9">
        <f t="shared" si="3"/>
        <v>0.2</v>
      </c>
      <c r="X28" s="10" t="s">
        <v>182</v>
      </c>
      <c r="AD28" s="8">
        <v>17231</v>
      </c>
      <c r="AF28" s="9">
        <f>IFERROR(LOOKUP(IF(AE28="",L28,AE28),{0,1,10,50,100,1000,10000},{0,0.13,0.031,0.031,0.011,0.008,0.005}),"")</f>
        <v>0.13</v>
      </c>
      <c r="AG28" s="9">
        <f t="shared" si="6"/>
        <v>0.26</v>
      </c>
      <c r="AH28" s="10" t="s">
        <v>220</v>
      </c>
      <c r="AI28" s="11" t="s">
        <v>162</v>
      </c>
      <c r="AK28" s="9">
        <f>IFERROR(LOOKUP(IF(AJ28="",L28,AJ28),{0,1,5000,10000,15000},{0,0.0119999999999999,0.0119999999999999,0.009,0.00599999999999999}),"")</f>
        <v>1.19999999999999E-2</v>
      </c>
      <c r="AL28" s="9">
        <f t="shared" si="7"/>
        <v>2.3999999999999799E-2</v>
      </c>
      <c r="AM28" s="10" t="s">
        <v>240</v>
      </c>
      <c r="AS28" s="8">
        <v>2300</v>
      </c>
      <c r="AU28" s="9">
        <f>IFERROR(LOOKUP(IF(AT28="",L28,AT28),{0,1,100,1000,5000,15000,50000},{0,0.03947,0.03947,0.01709,0.00669,0.00519999999999999,0.00446}),"")</f>
        <v>3.9469999999999998E-2</v>
      </c>
      <c r="AV28" s="9">
        <f>IFERROR(IF(AT28="",L28,AT28)*AU28,"")</f>
        <v>7.8939999999999996E-2</v>
      </c>
      <c r="AW28" s="10" t="s">
        <v>127</v>
      </c>
    </row>
    <row r="29" spans="1:49" x14ac:dyDescent="0.3">
      <c r="A29" s="8" t="s">
        <v>128</v>
      </c>
      <c r="B29" s="8" t="s">
        <v>129</v>
      </c>
      <c r="C29" s="8" t="s">
        <v>130</v>
      </c>
      <c r="I29" s="8" t="s">
        <v>107</v>
      </c>
      <c r="J29" s="8" t="s">
        <v>29</v>
      </c>
      <c r="K29" s="8" t="s">
        <v>131</v>
      </c>
      <c r="L29" s="8">
        <f>BoardQty*1</f>
        <v>1</v>
      </c>
      <c r="M29" s="9">
        <f t="shared" ca="1" si="0"/>
        <v>2.9999999999999901E-3</v>
      </c>
      <c r="N29" s="9">
        <f t="shared" ca="1" si="1"/>
        <v>2.9999999999999901E-3</v>
      </c>
      <c r="O29" s="8">
        <v>16773</v>
      </c>
      <c r="Q29" s="9">
        <f>IFERROR(LOOKUP(IF(P29="",L29,P29),{0,1,25,3000,5000,10000,15000,25000,50000},{0,0.00299999999999999,0.00279999999999999,0.0027,0.0047,0.0044,0.00259999999999999,0.0036,0.0033}),"")</f>
        <v>2.9999999999999901E-3</v>
      </c>
      <c r="R29" s="9">
        <f>IFERROR(IF(P29="",L29,P29)*Q29,"")</f>
        <v>2.9999999999999901E-3</v>
      </c>
      <c r="S29" s="10" t="s">
        <v>131</v>
      </c>
      <c r="T29" s="8">
        <v>302269</v>
      </c>
      <c r="U29">
        <v>1</v>
      </c>
      <c r="V29" s="9">
        <f>IFERROR(LOOKUP(IF(U29="",L29,U29),{0,1,10,100,1000,2500,5000,10000,25000,50000,125000},{0,0.1,0.042,0.017,0.00762,0.00662,0.00496999999999999,0.00431,0.00379,0.00348,0.00341}),"")</f>
        <v>0.1</v>
      </c>
      <c r="W29" s="9">
        <f t="shared" si="3"/>
        <v>0.1</v>
      </c>
      <c r="X29" s="10" t="s">
        <v>183</v>
      </c>
      <c r="AD29" s="8">
        <v>49649</v>
      </c>
      <c r="AF29" s="9">
        <f>IFERROR(LOOKUP(IF(AE29="",L29,AE29),{0,1,10,50,100,1000,10000},{0,0.13,0.031,0.031,0.011,0.008,0.005}),"")</f>
        <v>0.13</v>
      </c>
      <c r="AG29" s="9">
        <f t="shared" si="6"/>
        <v>0.13</v>
      </c>
      <c r="AH29" s="10" t="s">
        <v>221</v>
      </c>
      <c r="AI29" s="11" t="s">
        <v>162</v>
      </c>
      <c r="AK29" s="9">
        <f>IFERROR(LOOKUP(IF(AJ29="",L29,AJ29),{0,1,5000,10000,15000},{0,0.0119999999999999,0.0119999999999999,0.009,0.00599999999999999}),"")</f>
        <v>1.19999999999999E-2</v>
      </c>
      <c r="AL29" s="9">
        <f t="shared" si="7"/>
        <v>1.19999999999999E-2</v>
      </c>
      <c r="AM29" s="10" t="s">
        <v>241</v>
      </c>
      <c r="AS29" s="8">
        <v>13800</v>
      </c>
      <c r="AU29" s="9">
        <f>IFERROR(LOOKUP(IF(AT29="",L29,AT29),{0,1,100,1000,5000,15000,50000},{0,0.03947,0.03947,0.01709,0.00669,0.00519999999999999,0.00446}),"")</f>
        <v>3.9469999999999998E-2</v>
      </c>
      <c r="AV29" s="9">
        <f>IFERROR(IF(AT29="",L29,AT29)*AU29,"")</f>
        <v>3.9469999999999998E-2</v>
      </c>
      <c r="AW29" s="10" t="s">
        <v>131</v>
      </c>
    </row>
    <row r="30" spans="1:49" x14ac:dyDescent="0.3">
      <c r="A30" s="8" t="s">
        <v>132</v>
      </c>
      <c r="B30" s="8" t="s">
        <v>133</v>
      </c>
      <c r="C30" s="8" t="s">
        <v>134</v>
      </c>
      <c r="I30" s="8" t="s">
        <v>107</v>
      </c>
      <c r="J30" s="8" t="s">
        <v>29</v>
      </c>
      <c r="K30" s="8" t="s">
        <v>135</v>
      </c>
      <c r="L30" s="8">
        <f>BoardQty*1</f>
        <v>1</v>
      </c>
      <c r="M30" s="9">
        <f t="shared" ca="1" si="0"/>
        <v>2.79999999999999E-3</v>
      </c>
      <c r="N30" s="9">
        <f t="shared" ca="1" si="1"/>
        <v>2.79999999999999E-3</v>
      </c>
      <c r="O30" s="8">
        <v>5674</v>
      </c>
      <c r="Q30" s="9">
        <f>IFERROR(LOOKUP(IF(P30="",L30,P30),{0,1,500,3000,5000,10000,25000,50000},{0,0.00279999999999999,0.0027,0.00259999999999999,0.0047,0.0046,0.0035,0.00319999999999999}),"")</f>
        <v>2.79999999999999E-3</v>
      </c>
      <c r="R30" s="9">
        <f>IFERROR(IF(P30="",L30,P30)*Q30,"")</f>
        <v>2.79999999999999E-3</v>
      </c>
      <c r="S30" s="10" t="s">
        <v>135</v>
      </c>
      <c r="T30" s="8">
        <v>254536</v>
      </c>
      <c r="U30">
        <v>1</v>
      </c>
      <c r="V30" s="9">
        <f>IFERROR(LOOKUP(IF(U30="",L30,U30),{0,1,10,100,1000,2500,5000,10000,25000,50000,125000},{0,0.1,0.042,0.017,0.00762,0.00662,0.00496999999999999,0.00431,0.00379,0.00348,0.00341}),"")</f>
        <v>0.1</v>
      </c>
      <c r="W30" s="9">
        <f t="shared" si="3"/>
        <v>0.1</v>
      </c>
      <c r="X30" s="10" t="s">
        <v>184</v>
      </c>
      <c r="AD30" s="8">
        <v>51819</v>
      </c>
      <c r="AF30" s="9">
        <f>IFERROR(LOOKUP(IF(AE30="",L30,AE30),{0,1,10,50,100,1000,10000},{0,0.13,0.031,0.031,0.011,0.008,0.005}),"")</f>
        <v>0.13</v>
      </c>
      <c r="AG30" s="9">
        <f t="shared" si="6"/>
        <v>0.13</v>
      </c>
      <c r="AH30" s="10" t="s">
        <v>222</v>
      </c>
      <c r="AI30" s="11" t="s">
        <v>162</v>
      </c>
      <c r="AK30" s="9">
        <f>IFERROR(LOOKUP(IF(AJ30="",L30,AJ30),{0,1,5000,10000,15000},{0,0.0119999999999999,0.0119999999999999,0.009,0.00599999999999999}),"")</f>
        <v>1.19999999999999E-2</v>
      </c>
      <c r="AL30" s="9">
        <f t="shared" si="7"/>
        <v>1.19999999999999E-2</v>
      </c>
      <c r="AM30" s="10" t="s">
        <v>242</v>
      </c>
    </row>
    <row r="31" spans="1:49" x14ac:dyDescent="0.3">
      <c r="A31" s="8" t="s">
        <v>136</v>
      </c>
      <c r="B31" s="8" t="s">
        <v>137</v>
      </c>
      <c r="C31" s="8" t="s">
        <v>138</v>
      </c>
      <c r="I31" s="8" t="s">
        <v>107</v>
      </c>
      <c r="J31" s="8" t="s">
        <v>113</v>
      </c>
      <c r="K31" s="8" t="s">
        <v>139</v>
      </c>
      <c r="L31" s="8">
        <f>BoardQty*1</f>
        <v>1</v>
      </c>
      <c r="M31" s="9">
        <f t="shared" ca="1" si="0"/>
        <v>5.0000000000000001E-3</v>
      </c>
      <c r="N31" s="9">
        <f t="shared" ca="1" si="1"/>
        <v>5.0000000000000001E-3</v>
      </c>
      <c r="O31" s="8">
        <v>208</v>
      </c>
      <c r="Q31" s="9">
        <f>IFERROR(LOOKUP(IF(P31="",L31,P31),{0,1,10,25,100},{0,0.095,0.0292,0.0289,0.0119999999999999}),"")</f>
        <v>9.5000000000000001E-2</v>
      </c>
      <c r="R31" s="9">
        <f>IFERROR(IF(P31="",L31,P31)*Q31,"")</f>
        <v>9.5000000000000001E-2</v>
      </c>
      <c r="S31" s="10" t="s">
        <v>139</v>
      </c>
      <c r="T31" s="8">
        <v>199199</v>
      </c>
      <c r="U31">
        <v>1</v>
      </c>
      <c r="V31" s="9">
        <f>IFERROR(LOOKUP(IF(U31="",L31,U31),{0,1,10,100,1000,2500,5000,10000,30000},{0,0.1,0.038,0.0156,0.007,0.00607,0.00502,0.00396,0.0036}),"")</f>
        <v>0.1</v>
      </c>
      <c r="W31" s="9">
        <f t="shared" si="3"/>
        <v>0.1</v>
      </c>
      <c r="X31" s="10" t="s">
        <v>185</v>
      </c>
      <c r="AD31" s="8">
        <v>92322</v>
      </c>
      <c r="AF31" s="9">
        <f>IFERROR(LOOKUP(IF(AE31="",L31,AE31),{0,1,10,50,100,1000,10000},{0,0.1,0.029,0.029,0.011,0.004,0.004}),"")</f>
        <v>0.1</v>
      </c>
      <c r="AG31" s="9">
        <f t="shared" si="6"/>
        <v>0.1</v>
      </c>
      <c r="AH31" s="10" t="s">
        <v>223</v>
      </c>
      <c r="AI31" s="11" t="s">
        <v>162</v>
      </c>
      <c r="AK31" s="9">
        <f>IFERROR(LOOKUP(IF(AJ31="",L31,AJ31),{0,1,10000},{0,0.005,0.005}),"")</f>
        <v>5.0000000000000001E-3</v>
      </c>
      <c r="AL31" s="9">
        <f t="shared" si="7"/>
        <v>5.0000000000000001E-3</v>
      </c>
      <c r="AM31" s="10" t="s">
        <v>243</v>
      </c>
    </row>
    <row r="32" spans="1:49" x14ac:dyDescent="0.3">
      <c r="A32" s="8" t="s">
        <v>140</v>
      </c>
      <c r="B32" s="8" t="s">
        <v>141</v>
      </c>
      <c r="C32" s="8" t="s">
        <v>142</v>
      </c>
      <c r="I32" s="8" t="s">
        <v>107</v>
      </c>
      <c r="J32" s="8" t="s">
        <v>113</v>
      </c>
      <c r="K32" s="8" t="s">
        <v>143</v>
      </c>
      <c r="L32" s="8">
        <f>BoardQty*3</f>
        <v>3</v>
      </c>
      <c r="M32" s="9">
        <f t="shared" ca="1" si="0"/>
        <v>2.5000000000000001E-2</v>
      </c>
      <c r="N32" s="9">
        <f t="shared" ca="1" si="1"/>
        <v>7.5000000000000011E-2</v>
      </c>
      <c r="O32" s="8">
        <v>17266</v>
      </c>
      <c r="Q32" s="9">
        <f>IFERROR(LOOKUP(IF(P32="",L32,P32),{0,1,10,25,100,250,500,1000,3000,6000,15000},{0,0.095,0.0285,0.0283,0.0271,0.0258,0.0246,0.0233,0.0221,0.0207999999999999,0.0196}),"")</f>
        <v>9.5000000000000001E-2</v>
      </c>
      <c r="R32" s="9">
        <f>IFERROR(IF(P32="",L32,P32)*Q32,"")</f>
        <v>0.28500000000000003</v>
      </c>
      <c r="S32" s="10" t="s">
        <v>143</v>
      </c>
      <c r="T32" s="8">
        <v>137370</v>
      </c>
      <c r="U32">
        <v>3</v>
      </c>
      <c r="V32" s="9">
        <f>IFERROR(LOOKUP(IF(U32="",L32,U32),{0,1,10,100,1000,2500,5000,10000,25000},{0,0.1,0.038,0.0156,0.007,0.00607,0.00456,0.00396,0.0036}),"")</f>
        <v>0.1</v>
      </c>
      <c r="W32" s="9">
        <f t="shared" si="3"/>
        <v>0.30000000000000004</v>
      </c>
      <c r="X32" s="10" t="s">
        <v>186</v>
      </c>
      <c r="AD32" s="8">
        <v>35992</v>
      </c>
      <c r="AF32" s="9">
        <f>IFERROR(LOOKUP(IF(AE32="",L32,AE32),{0,1,10,50,100,1000,10000},{0,0.1,0.029,0.029,0.011,0.004,0.004}),"")</f>
        <v>0.1</v>
      </c>
      <c r="AG32" s="9">
        <f t="shared" si="6"/>
        <v>0.30000000000000004</v>
      </c>
      <c r="AH32" s="10" t="s">
        <v>224</v>
      </c>
      <c r="AI32" s="8">
        <v>40000</v>
      </c>
      <c r="AK32" s="9">
        <f>IFERROR(LOOKUP(IF(AJ32="",L32,AJ32),{0,1,5000,10000,20000,30000,50000},{0,0.025,0.025,0.0239999999999999,0.0239999999999999,0.01,0.00299999999999999}),"")</f>
        <v>2.5000000000000001E-2</v>
      </c>
      <c r="AL32" s="9">
        <f t="shared" si="7"/>
        <v>7.5000000000000011E-2</v>
      </c>
      <c r="AM32" s="10" t="s">
        <v>244</v>
      </c>
    </row>
    <row r="34" spans="1:48" ht="17.399999999999999" x14ac:dyDescent="0.3">
      <c r="A34" s="2" t="s">
        <v>256</v>
      </c>
      <c r="M34" s="1" t="s">
        <v>144</v>
      </c>
      <c r="N34" s="5">
        <f ca="1">SUM(INDIRECT(ADDRESS(ROW(),COLUMN(arrow_part_data)+3)),INDIRECT(ADDRESS(ROW(),COLUMN(digikey_part_data)+3)),INDIRECT(ADDRESS(ROW(),COLUMN(farnell_part_data)+3)),INDIRECT(ADDRESS(ROW(),COLUMN(mouser_part_data)+3)),INDIRECT(ADDRESS(ROW(),COLUMN(newark_part_data)+3)),INDIRECT(ADDRESS(ROW(),COLUMN(rs_part_data)+3)),INDIRECT(ADDRESS(ROW(),COLUMN(tme_part_data)+3)))</f>
        <v>42.02852</v>
      </c>
      <c r="P34" s="6" t="str">
        <f>IFERROR(IF(OR(P7:P32),COUNTIFS(P7:P32,"&gt;0",R7:R32,"&lt;&gt;")&amp;" of "&amp;(ROWS(R7:R32)-COUNTBLANK(R7:R32))&amp;" parts purchased",""),"")</f>
        <v/>
      </c>
      <c r="R34" s="5">
        <f>SUMIF(P7:P32,"&gt;0",R7:R32)</f>
        <v>0</v>
      </c>
      <c r="U34" s="6" t="str">
        <f>IFERROR(IF(OR(U7:U32),COUNTIFS(U7:U32,"&gt;0",W7:W32,"&lt;&gt;")&amp;" of "&amp;(ROWS(W7:W32)-COUNTBLANK(W7:W32))&amp;" parts purchased",""),"")</f>
        <v>26 of 26 parts purchased</v>
      </c>
      <c r="W34" s="5">
        <f>SUMIF(U7:U32,"&gt;0",W7:W32)</f>
        <v>42.02852</v>
      </c>
      <c r="Z34" s="6" t="str">
        <f>IFERROR(IF(OR(Z7:Z32),COUNTIFS(Z7:Z32,"&gt;0",AB7:AB32,"&lt;&gt;")&amp;" of "&amp;(ROWS(AB7:AB32)-COUNTBLANK(AB7:AB32))&amp;" parts purchased",""),"")</f>
        <v/>
      </c>
      <c r="AB34" s="5">
        <f>SUMIF(Z7:Z32,"&gt;0",AB7:AB32)</f>
        <v>0</v>
      </c>
      <c r="AE34" s="6" t="str">
        <f>IFERROR(IF(OR(AE7:AE32),COUNTIFS(AE7:AE32,"&gt;0",AG7:AG32,"&lt;&gt;")&amp;" of "&amp;(ROWS(AG7:AG32)-COUNTBLANK(AG7:AG32))&amp;" parts purchased",""),"")</f>
        <v/>
      </c>
      <c r="AG34" s="5">
        <f>SUMIF(AE7:AE32,"&gt;0",AG7:AG32)</f>
        <v>0</v>
      </c>
      <c r="AJ34" s="6" t="str">
        <f>IFERROR(IF(OR(AJ7:AJ32),COUNTIFS(AJ7:AJ32,"&gt;0",AL7:AL32,"&lt;&gt;")&amp;" of "&amp;(ROWS(AL7:AL32)-COUNTBLANK(AL7:AL32))&amp;" parts purchased",""),"")</f>
        <v/>
      </c>
      <c r="AL34" s="5">
        <f>SUMIF(AJ7:AJ32,"&gt;0",AL7:AL32)</f>
        <v>0</v>
      </c>
      <c r="AO34" s="6" t="str">
        <f>IFERROR(IF(OR(AO7:AO32),COUNTIFS(AO7:AO32,"&gt;0",AQ7:AQ32,"&lt;&gt;")&amp;" of "&amp;(ROWS(AQ7:AQ32)-COUNTBLANK(AQ7:AQ32))&amp;" parts purchased",""),"")</f>
        <v/>
      </c>
      <c r="AQ34" s="5">
        <f>SUMIF(AO7:AO32,"&gt;0",AQ7:AQ32)</f>
        <v>0</v>
      </c>
      <c r="AT34" s="6" t="str">
        <f>IFERROR(IF(OR(AT7:AT32),COUNTIFS(AT7:AT32,"&gt;0",AV7:AV32,"&lt;&gt;")&amp;" of "&amp;(ROWS(AV7:AV32)-COUNTBLANK(AV7:AV32))&amp;" parts purchased",""),"")</f>
        <v/>
      </c>
      <c r="AV34" s="5">
        <f>SUMIF(AT7:AT32,"&gt;0",AV7:AV32)</f>
        <v>0</v>
      </c>
    </row>
    <row r="35" spans="1:48" x14ac:dyDescent="0.3">
      <c r="P35" t="str">
        <f t="array" ref="P35">IFERROR(CONCATENATE(INDEX(S7:S32,SMALL(IF(ISNUMBER(P7:P32),IF(P7:P32&gt;0,IF(S7:S32&lt;&gt;"",ROW(P7:P32)-MIN(ROW(P7:P32))+1))),ROW()-ROW(A$35)+1)),",",TEXT(INDEX(P7:P32,SMALL(IF(ISNUMBER(P7:P32),IF(P7:P32&gt;0,IF(S7:S32&lt;&gt;"",ROW(P7:P32)-MIN(ROW(P7:P32))+1))),ROW()-ROW(A$35)+1)),"##0"),",",SUBSTITUTE(INDEX(A7:A32,SMALL(IF(ISNUMBER(P7:P32),IF(P7:P32&gt;0,IF(S7:S32&lt;&gt;"",ROW(P7:P32)-MIN(ROW(P7:P32))+1))),ROW()-ROW(A$35)+1)),",",";")),"")</f>
        <v/>
      </c>
      <c r="U35" t="str">
        <f t="array" ref="U35">IFERROR(CONCATENATE(TEXT(INDEX(U7:U32,SMALL(IF(ISNUMBER(U7:U32),IF(U7:U32&gt;0,IF(X7:X32&lt;&gt;"",ROW(U7:U32)-MIN(ROW(U7:U32))+1))),ROW()-ROW(A$35)+1)),"##0"),",",INDEX(X7:X32,SMALL(IF(ISNUMBER(U7:U32),IF(U7:U32&gt;0,IF(X7:X32&lt;&gt;"",ROW(U7:U32)-MIN(ROW(U7:U32))+1))),ROW()-ROW(A$35)+1)),",",SUBSTITUTE(INDEX(A7:A32,SMALL(IF(ISNUMBER(U7:U32),IF(U7:U32&gt;0,IF(X7:X32&lt;&gt;"",ROW(U7:U32)-MIN(ROW(U7:U32))+1))),ROW()-ROW(A$35)+1)),",",";")),"")</f>
        <v>2,401-1427-1-ND,BOOT1;EN1</v>
      </c>
      <c r="Z35" t="str">
        <f t="array" ref="Z35">IFERROR(CONCATENATE(INDEX(AC7:AC32,SMALL(IF(ISNUMBER(Z7:Z32),IF(Z7:Z32&gt;0,IF(AC7:AC32&lt;&gt;"",ROW(Z7:Z32)-MIN(ROW(Z7:Z32))+1))),ROW()-ROW(A$35)+1))," ",TEXT(INDEX(Z7:Z32,SMALL(IF(ISNUMBER(Z7:Z32),IF(Z7:Z32&gt;0,IF(AC7:AC32&lt;&gt;"",ROW(Z7:Z32)-MIN(ROW(Z7:Z32))+1))),ROW()-ROW(A$35)+1)),"##0")," ",SUBSTITUTE(INDEX(A7:A32,SMALL(IF(ISNUMBER(Z7:Z32),IF(Z7:Z32&gt;0,IF(AC7:AC32&lt;&gt;"",ROW(Z7:Z32)-MIN(ROW(Z7:Z32))+1))),ROW()-ROW(A$35)+1))," ",";")),"")</f>
        <v/>
      </c>
      <c r="AE35" t="str">
        <f t="array" ref="AE35">IFERROR(CONCATENATE(INDEX(AH7:AH32,SMALL(IF(ISNUMBER(AE7:AE32),IF(AE7:AE32&gt;0,IF(AH7:AH32&lt;&gt;"",ROW(AE7:AE32)-MIN(ROW(AE7:AE32))+1))),ROW()-ROW(A$35)+1)),"|",TEXT(INDEX(AE7:AE32,SMALL(IF(ISNUMBER(AE7:AE32),IF(AE7:AE32&gt;0,IF(AH7:AH32&lt;&gt;"",ROW(AE7:AE32)-MIN(ROW(AE7:AE32))+1))),ROW()-ROW(A$35)+1)),"##0"),"|",SUBSTITUTE(SUBSTITUTE(INDEX(A7:A32,SMALL(IF(ISNUMBER(AE7:AE32),IF(AE7:AE32&gt;0,IF(AH7:AH32&lt;&gt;"",ROW(AE7:AE32)-MIN(ROW(AE7:AE32))+1))),ROW()-ROW(A$35)+1)),"|",";")," ","_")),"")</f>
        <v/>
      </c>
      <c r="AJ35" t="str">
        <f t="array" ref="AJ35">IFERROR(CONCATENATE(INDEX(AM7:AM32,SMALL(IF(ISNUMBER(AJ7:AJ32),IF(AJ7:AJ32&gt;0,IF(AM7:AM32&lt;&gt;"",ROW(AJ7:AJ32)-MIN(ROW(AJ7:AJ32))+1))),ROW()-ROW(A$35)+1)),",",TEXT(INDEX(AJ7:AJ32,SMALL(IF(ISNUMBER(AJ7:AJ32),IF(AJ7:AJ32&gt;0,IF(AM7:AM32&lt;&gt;"",ROW(AJ7:AJ32)-MIN(ROW(AJ7:AJ32))+1))),ROW()-ROW(A$35)+1)),"##0"),",",SUBSTITUTE(INDEX(A7:A32,SMALL(IF(ISNUMBER(AJ7:AJ32),IF(AJ7:AJ32&gt;0,IF(AM7:AM32&lt;&gt;"",ROW(AJ7:AJ32)-MIN(ROW(AJ7:AJ32))+1))),ROW()-ROW(A$35)+1)),",",";")),"")</f>
        <v/>
      </c>
      <c r="AO35" t="str">
        <f t="array" ref="AO35">IFERROR(CONCATENATE(INDEX(AR7:AR32,SMALL(IF(ISNUMBER(AO7:AO32),IF(AO7:AO32&gt;0,IF(AR7:AR32&lt;&gt;"",ROW(AO7:AO32)-MIN(ROW(AO7:AO32))+1))),ROW()-ROW(A$35)+1))," ",TEXT(INDEX(AO7:AO32,SMALL(IF(ISNUMBER(AO7:AO32),IF(AO7:AO32&gt;0,IF(AR7:AR32&lt;&gt;"",ROW(AO7:AO32)-MIN(ROW(AO7:AO32))+1))),ROW()-ROW(A$35)+1)),"##0")," ",SUBSTITUTE(INDEX(A7:A32,SMALL(IF(ISNUMBER(AO7:AO32),IF(AO7:AO32&gt;0,IF(AR7:AR32&lt;&gt;"",ROW(AO7:AO32)-MIN(ROW(AO7:AO32))+1))),ROW()-ROW(A$35)+1))," ",";")),"")</f>
        <v/>
      </c>
      <c r="AT35" t="str">
        <f t="array" ref="AT35">IFERROR(CONCATENATE(INDEX(AW7:AW32,SMALL(IF(ISNUMBER(AT7:AT32),IF(AT7:AT32&gt;0,IF(AW7:AW32&lt;&gt;"",ROW(AT7:AT32)-MIN(ROW(AT7:AT32))+1))),ROW()-ROW(A$35)+1))," ",TEXT(INDEX(AT7:AT32,SMALL(IF(ISNUMBER(AT7:AT32),IF(AT7:AT32&gt;0,IF(AW7:AW32&lt;&gt;"",ROW(AT7:AT32)-MIN(ROW(AT7:AT32))+1))),ROW()-ROW(A$35)+1)),"##0")," ",SUBSTITUTE(INDEX(A7:A32,SMALL(IF(ISNUMBER(AT7:AT32),IF(AT7:AT32&gt;0,IF(AW7:AW32&lt;&gt;"",ROW(AT7:AT32)-MIN(ROW(AT7:AT32))+1))),ROW()-ROW(A$35)+1))," ",";")),"")</f>
        <v/>
      </c>
    </row>
    <row r="36" spans="1:48" x14ac:dyDescent="0.3">
      <c r="P36" t="str">
        <f t="array" ref="P36">IFERROR(CONCATENATE(INDEX(S7:S32,SMALL(IF(ISNUMBER(P7:P32),IF(P7:P32&gt;0,IF(S7:S32&lt;&gt;"",ROW(P7:P32)-MIN(ROW(P7:P32))+1))),ROW()-ROW(A$35)+1)),",",TEXT(INDEX(P7:P32,SMALL(IF(ISNUMBER(P7:P32),IF(P7:P32&gt;0,IF(S7:S32&lt;&gt;"",ROW(P7:P32)-MIN(ROW(P7:P32))+1))),ROW()-ROW(A$35)+1)),"##0"),",",SUBSTITUTE(INDEX(A7:A32,SMALL(IF(ISNUMBER(P7:P32),IF(P7:P32&gt;0,IF(S7:S32&lt;&gt;"",ROW(P7:P32)-MIN(ROW(P7:P32))+1))),ROW()-ROW(A$35)+1)),",",";")),"")</f>
        <v/>
      </c>
      <c r="U36" t="str">
        <f t="array" ref="U36">IFERROR(CONCATENATE(TEXT(INDEX(U7:U32,SMALL(IF(ISNUMBER(U7:U32),IF(U7:U32&gt;0,IF(X7:X32&lt;&gt;"",ROW(U7:U32)-MIN(ROW(U7:U32))+1))),ROW()-ROW(A$35)+1)),"##0"),",",INDEX(X7:X32,SMALL(IF(ISNUMBER(U7:U32),IF(U7:U32&gt;0,IF(X7:X32&lt;&gt;"",ROW(U7:U32)-MIN(ROW(U7:U32))+1))),ROW()-ROW(A$35)+1)),",",SUBSTITUTE(INDEX(A7:A32,SMALL(IF(ISNUMBER(U7:U32),IF(U7:U32&gt;0,IF(X7:X32&lt;&gt;"",ROW(U7:U32)-MIN(ROW(U7:U32))+1))),ROW()-ROW(A$35)+1)),",",";")),"")</f>
        <v>6,490-3340-2-ND,C1;C2;C5;C6;C16;C18</v>
      </c>
      <c r="Z36" t="str">
        <f t="array" ref="Z36">IFERROR(CONCATENATE(INDEX(AC7:AC32,SMALL(IF(ISNUMBER(Z7:Z32),IF(Z7:Z32&gt;0,IF(AC7:AC32&lt;&gt;"",ROW(Z7:Z32)-MIN(ROW(Z7:Z32))+1))),ROW()-ROW(A$35)+1))," ",TEXT(INDEX(Z7:Z32,SMALL(IF(ISNUMBER(Z7:Z32),IF(Z7:Z32&gt;0,IF(AC7:AC32&lt;&gt;"",ROW(Z7:Z32)-MIN(ROW(Z7:Z32))+1))),ROW()-ROW(A$35)+1)),"##0")," ",SUBSTITUTE(INDEX(A7:A32,SMALL(IF(ISNUMBER(Z7:Z32),IF(Z7:Z32&gt;0,IF(AC7:AC32&lt;&gt;"",ROW(Z7:Z32)-MIN(ROW(Z7:Z32))+1))),ROW()-ROW(A$35)+1))," ",";")),"")</f>
        <v/>
      </c>
      <c r="AE36" t="str">
        <f t="array" ref="AE36">IFERROR(CONCATENATE(INDEX(AH7:AH32,SMALL(IF(ISNUMBER(AE7:AE32),IF(AE7:AE32&gt;0,IF(AH7:AH32&lt;&gt;"",ROW(AE7:AE32)-MIN(ROW(AE7:AE32))+1))),ROW()-ROW(A$35)+1)),"|",TEXT(INDEX(AE7:AE32,SMALL(IF(ISNUMBER(AE7:AE32),IF(AE7:AE32&gt;0,IF(AH7:AH32&lt;&gt;"",ROW(AE7:AE32)-MIN(ROW(AE7:AE32))+1))),ROW()-ROW(A$35)+1)),"##0"),"|",SUBSTITUTE(SUBSTITUTE(INDEX(A7:A32,SMALL(IF(ISNUMBER(AE7:AE32),IF(AE7:AE32&gt;0,IF(AH7:AH32&lt;&gt;"",ROW(AE7:AE32)-MIN(ROW(AE7:AE32))+1))),ROW()-ROW(A$35)+1)),"|",";")," ","_")),"")</f>
        <v/>
      </c>
      <c r="AJ36" t="str">
        <f t="array" ref="AJ36">IFERROR(CONCATENATE(INDEX(AM7:AM32,SMALL(IF(ISNUMBER(AJ7:AJ32),IF(AJ7:AJ32&gt;0,IF(AM7:AM32&lt;&gt;"",ROW(AJ7:AJ32)-MIN(ROW(AJ7:AJ32))+1))),ROW()-ROW(A$35)+1)),",",TEXT(INDEX(AJ7:AJ32,SMALL(IF(ISNUMBER(AJ7:AJ32),IF(AJ7:AJ32&gt;0,IF(AM7:AM32&lt;&gt;"",ROW(AJ7:AJ32)-MIN(ROW(AJ7:AJ32))+1))),ROW()-ROW(A$35)+1)),"##0"),",",SUBSTITUTE(INDEX(A7:A32,SMALL(IF(ISNUMBER(AJ7:AJ32),IF(AJ7:AJ32&gt;0,IF(AM7:AM32&lt;&gt;"",ROW(AJ7:AJ32)-MIN(ROW(AJ7:AJ32))+1))),ROW()-ROW(A$35)+1)),",",";")),"")</f>
        <v/>
      </c>
      <c r="AO36" t="str">
        <f t="array" ref="AO36">IFERROR(CONCATENATE(INDEX(AR7:AR32,SMALL(IF(ISNUMBER(AO7:AO32),IF(AO7:AO32&gt;0,IF(AR7:AR32&lt;&gt;"",ROW(AO7:AO32)-MIN(ROW(AO7:AO32))+1))),ROW()-ROW(A$35)+1))," ",TEXT(INDEX(AO7:AO32,SMALL(IF(ISNUMBER(AO7:AO32),IF(AO7:AO32&gt;0,IF(AR7:AR32&lt;&gt;"",ROW(AO7:AO32)-MIN(ROW(AO7:AO32))+1))),ROW()-ROW(A$35)+1)),"##0")," ",SUBSTITUTE(INDEX(A7:A32,SMALL(IF(ISNUMBER(AO7:AO32),IF(AO7:AO32&gt;0,IF(AR7:AR32&lt;&gt;"",ROW(AO7:AO32)-MIN(ROW(AO7:AO32))+1))),ROW()-ROW(A$35)+1))," ",";")),"")</f>
        <v/>
      </c>
      <c r="AT36" t="str">
        <f t="array" ref="AT36">IFERROR(CONCATENATE(INDEX(AW7:AW32,SMALL(IF(ISNUMBER(AT7:AT32),IF(AT7:AT32&gt;0,IF(AW7:AW32&lt;&gt;"",ROW(AT7:AT32)-MIN(ROW(AT7:AT32))+1))),ROW()-ROW(A$35)+1))," ",TEXT(INDEX(AT7:AT32,SMALL(IF(ISNUMBER(AT7:AT32),IF(AT7:AT32&gt;0,IF(AW7:AW32&lt;&gt;"",ROW(AT7:AT32)-MIN(ROW(AT7:AT32))+1))),ROW()-ROW(A$35)+1)),"##0")," ",SUBSTITUTE(INDEX(A7:A32,SMALL(IF(ISNUMBER(AT7:AT32),IF(AT7:AT32&gt;0,IF(AW7:AW32&lt;&gt;"",ROW(AT7:AT32)-MIN(ROW(AT7:AT32))+1))),ROW()-ROW(A$35)+1))," ",";")),"")</f>
        <v/>
      </c>
    </row>
    <row r="37" spans="1:48" x14ac:dyDescent="0.3">
      <c r="P37" t="str">
        <f t="array" ref="P37">IFERROR(CONCATENATE(INDEX(S7:S32,SMALL(IF(ISNUMBER(P7:P32),IF(P7:P32&gt;0,IF(S7:S32&lt;&gt;"",ROW(P7:P32)-MIN(ROW(P7:P32))+1))),ROW()-ROW(A$35)+1)),",",TEXT(INDEX(P7:P32,SMALL(IF(ISNUMBER(P7:P32),IF(P7:P32&gt;0,IF(S7:S32&lt;&gt;"",ROW(P7:P32)-MIN(ROW(P7:P32))+1))),ROW()-ROW(A$35)+1)),"##0"),",",SUBSTITUTE(INDEX(A7:A32,SMALL(IF(ISNUMBER(P7:P32),IF(P7:P32&gt;0,IF(S7:S32&lt;&gt;"",ROW(P7:P32)-MIN(ROW(P7:P32))+1))),ROW()-ROW(A$35)+1)),",",";")),"")</f>
        <v/>
      </c>
      <c r="U37" t="str">
        <f t="array" ref="U37">IFERROR(CONCATENATE(TEXT(INDEX(U7:U32,SMALL(IF(ISNUMBER(U7:U32),IF(U7:U32&gt;0,IF(X7:X32&lt;&gt;"",ROW(U7:U32)-MIN(ROW(U7:U32))+1))),ROW()-ROW(A$35)+1)),"##0"),",",INDEX(X7:X32,SMALL(IF(ISNUMBER(U7:U32),IF(U7:U32&gt;0,IF(X7:X32&lt;&gt;"",ROW(U7:U32)-MIN(ROW(U7:U32))+1))),ROW()-ROW(A$35)+1)),",",SUBSTITUTE(INDEX(A7:A32,SMALL(IF(ISNUMBER(U7:U32),IF(U7:U32&gt;0,IF(X7:X32&lt;&gt;"",ROW(U7:U32)-MIN(ROW(U7:U32))+1))),ROW()-ROW(A$35)+1)),",",";")),"")</f>
        <v>2,311-1136-1-ND,C10;C12</v>
      </c>
      <c r="Z37" t="str">
        <f t="array" ref="Z37">IFERROR(CONCATENATE(INDEX(AC7:AC32,SMALL(IF(ISNUMBER(Z7:Z32),IF(Z7:Z32&gt;0,IF(AC7:AC32&lt;&gt;"",ROW(Z7:Z32)-MIN(ROW(Z7:Z32))+1))),ROW()-ROW(A$35)+1))," ",TEXT(INDEX(Z7:Z32,SMALL(IF(ISNUMBER(Z7:Z32),IF(Z7:Z32&gt;0,IF(AC7:AC32&lt;&gt;"",ROW(Z7:Z32)-MIN(ROW(Z7:Z32))+1))),ROW()-ROW(A$35)+1)),"##0")," ",SUBSTITUTE(INDEX(A7:A32,SMALL(IF(ISNUMBER(Z7:Z32),IF(Z7:Z32&gt;0,IF(AC7:AC32&lt;&gt;"",ROW(Z7:Z32)-MIN(ROW(Z7:Z32))+1))),ROW()-ROW(A$35)+1))," ",";")),"")</f>
        <v/>
      </c>
      <c r="AE37" t="str">
        <f t="array" ref="AE37">IFERROR(CONCATENATE(INDEX(AH7:AH32,SMALL(IF(ISNUMBER(AE7:AE32),IF(AE7:AE32&gt;0,IF(AH7:AH32&lt;&gt;"",ROW(AE7:AE32)-MIN(ROW(AE7:AE32))+1))),ROW()-ROW(A$35)+1)),"|",TEXT(INDEX(AE7:AE32,SMALL(IF(ISNUMBER(AE7:AE32),IF(AE7:AE32&gt;0,IF(AH7:AH32&lt;&gt;"",ROW(AE7:AE32)-MIN(ROW(AE7:AE32))+1))),ROW()-ROW(A$35)+1)),"##0"),"|",SUBSTITUTE(SUBSTITUTE(INDEX(A7:A32,SMALL(IF(ISNUMBER(AE7:AE32),IF(AE7:AE32&gt;0,IF(AH7:AH32&lt;&gt;"",ROW(AE7:AE32)-MIN(ROW(AE7:AE32))+1))),ROW()-ROW(A$35)+1)),"|",";")," ","_")),"")</f>
        <v/>
      </c>
      <c r="AJ37" t="str">
        <f t="array" ref="AJ37">IFERROR(CONCATENATE(INDEX(AM7:AM32,SMALL(IF(ISNUMBER(AJ7:AJ32),IF(AJ7:AJ32&gt;0,IF(AM7:AM32&lt;&gt;"",ROW(AJ7:AJ32)-MIN(ROW(AJ7:AJ32))+1))),ROW()-ROW(A$35)+1)),",",TEXT(INDEX(AJ7:AJ32,SMALL(IF(ISNUMBER(AJ7:AJ32),IF(AJ7:AJ32&gt;0,IF(AM7:AM32&lt;&gt;"",ROW(AJ7:AJ32)-MIN(ROW(AJ7:AJ32))+1))),ROW()-ROW(A$35)+1)),"##0"),",",SUBSTITUTE(INDEX(A7:A32,SMALL(IF(ISNUMBER(AJ7:AJ32),IF(AJ7:AJ32&gt;0,IF(AM7:AM32&lt;&gt;"",ROW(AJ7:AJ32)-MIN(ROW(AJ7:AJ32))+1))),ROW()-ROW(A$35)+1)),",",";")),"")</f>
        <v/>
      </c>
      <c r="AO37" t="str">
        <f t="array" ref="AO37">IFERROR(CONCATENATE(INDEX(AR7:AR32,SMALL(IF(ISNUMBER(AO7:AO32),IF(AO7:AO32&gt;0,IF(AR7:AR32&lt;&gt;"",ROW(AO7:AO32)-MIN(ROW(AO7:AO32))+1))),ROW()-ROW(A$35)+1))," ",TEXT(INDEX(AO7:AO32,SMALL(IF(ISNUMBER(AO7:AO32),IF(AO7:AO32&gt;0,IF(AR7:AR32&lt;&gt;"",ROW(AO7:AO32)-MIN(ROW(AO7:AO32))+1))),ROW()-ROW(A$35)+1)),"##0")," ",SUBSTITUTE(INDEX(A7:A32,SMALL(IF(ISNUMBER(AO7:AO32),IF(AO7:AO32&gt;0,IF(AR7:AR32&lt;&gt;"",ROW(AO7:AO32)-MIN(ROW(AO7:AO32))+1))),ROW()-ROW(A$35)+1))," ",";")),"")</f>
        <v/>
      </c>
      <c r="AT37" t="str">
        <f t="array" ref="AT37">IFERROR(CONCATENATE(INDEX(AW7:AW32,SMALL(IF(ISNUMBER(AT7:AT32),IF(AT7:AT32&gt;0,IF(AW7:AW32&lt;&gt;"",ROW(AT7:AT32)-MIN(ROW(AT7:AT32))+1))),ROW()-ROW(A$35)+1))," ",TEXT(INDEX(AT7:AT32,SMALL(IF(ISNUMBER(AT7:AT32),IF(AT7:AT32&gt;0,IF(AW7:AW32&lt;&gt;"",ROW(AT7:AT32)-MIN(ROW(AT7:AT32))+1))),ROW()-ROW(A$35)+1)),"##0")," ",SUBSTITUTE(INDEX(A7:A32,SMALL(IF(ISNUMBER(AT7:AT32),IF(AT7:AT32&gt;0,IF(AW7:AW32&lt;&gt;"",ROW(AT7:AT32)-MIN(ROW(AT7:AT32))+1))),ROW()-ROW(A$35)+1))," ",";")),"")</f>
        <v/>
      </c>
    </row>
    <row r="38" spans="1:48" x14ac:dyDescent="0.3">
      <c r="P38" t="str">
        <f t="array" ref="P38">IFERROR(CONCATENATE(INDEX(S7:S32,SMALL(IF(ISNUMBER(P7:P32),IF(P7:P32&gt;0,IF(S7:S32&lt;&gt;"",ROW(P7:P32)-MIN(ROW(P7:P32))+1))),ROW()-ROW(A$35)+1)),",",TEXT(INDEX(P7:P32,SMALL(IF(ISNUMBER(P7:P32),IF(P7:P32&gt;0,IF(S7:S32&lt;&gt;"",ROW(P7:P32)-MIN(ROW(P7:P32))+1))),ROW()-ROW(A$35)+1)),"##0"),",",SUBSTITUTE(INDEX(A7:A32,SMALL(IF(ISNUMBER(P7:P32),IF(P7:P32&gt;0,IF(S7:S32&lt;&gt;"",ROW(P7:P32)-MIN(ROW(P7:P32))+1))),ROW()-ROW(A$35)+1)),",",";")),"")</f>
        <v/>
      </c>
      <c r="U38" t="str">
        <f t="array" ref="U38">IFERROR(CONCATENATE(TEXT(INDEX(U7:U32,SMALL(IF(ISNUMBER(U7:U32),IF(U7:U32&gt;0,IF(X7:X32&lt;&gt;"",ROW(U7:U32)-MIN(ROW(U7:U32))+1))),ROW()-ROW(A$35)+1)),"##0"),",",INDEX(X7:X32,SMALL(IF(ISNUMBER(U7:U32),IF(U7:U32&gt;0,IF(X7:X32&lt;&gt;"",ROW(U7:U32)-MIN(ROW(U7:U32))+1))),ROW()-ROW(A$35)+1)),",",SUBSTITUTE(INDEX(A7:A32,SMALL(IF(ISNUMBER(U7:U32),IF(U7:U32&gt;0,IF(X7:X32&lt;&gt;"",ROW(U7:U32)-MIN(ROW(U7:U32))+1))),ROW()-ROW(A$35)+1)),",",";")),"")</f>
        <v>2,399-16641-1-ND,C20;C21</v>
      </c>
      <c r="Z38" t="str">
        <f t="array" ref="Z38">IFERROR(CONCATENATE(INDEX(AC7:AC32,SMALL(IF(ISNUMBER(Z7:Z32),IF(Z7:Z32&gt;0,IF(AC7:AC32&lt;&gt;"",ROW(Z7:Z32)-MIN(ROW(Z7:Z32))+1))),ROW()-ROW(A$35)+1))," ",TEXT(INDEX(Z7:Z32,SMALL(IF(ISNUMBER(Z7:Z32),IF(Z7:Z32&gt;0,IF(AC7:AC32&lt;&gt;"",ROW(Z7:Z32)-MIN(ROW(Z7:Z32))+1))),ROW()-ROW(A$35)+1)),"##0")," ",SUBSTITUTE(INDEX(A7:A32,SMALL(IF(ISNUMBER(Z7:Z32),IF(Z7:Z32&gt;0,IF(AC7:AC32&lt;&gt;"",ROW(Z7:Z32)-MIN(ROW(Z7:Z32))+1))),ROW()-ROW(A$35)+1))," ",";")),"")</f>
        <v/>
      </c>
      <c r="AE38" t="str">
        <f t="array" ref="AE38">IFERROR(CONCATENATE(INDEX(AH7:AH32,SMALL(IF(ISNUMBER(AE7:AE32),IF(AE7:AE32&gt;0,IF(AH7:AH32&lt;&gt;"",ROW(AE7:AE32)-MIN(ROW(AE7:AE32))+1))),ROW()-ROW(A$35)+1)),"|",TEXT(INDEX(AE7:AE32,SMALL(IF(ISNUMBER(AE7:AE32),IF(AE7:AE32&gt;0,IF(AH7:AH32&lt;&gt;"",ROW(AE7:AE32)-MIN(ROW(AE7:AE32))+1))),ROW()-ROW(A$35)+1)),"##0"),"|",SUBSTITUTE(SUBSTITUTE(INDEX(A7:A32,SMALL(IF(ISNUMBER(AE7:AE32),IF(AE7:AE32&gt;0,IF(AH7:AH32&lt;&gt;"",ROW(AE7:AE32)-MIN(ROW(AE7:AE32))+1))),ROW()-ROW(A$35)+1)),"|",";")," ","_")),"")</f>
        <v/>
      </c>
      <c r="AJ38" t="str">
        <f t="array" ref="AJ38">IFERROR(CONCATENATE(INDEX(AM7:AM32,SMALL(IF(ISNUMBER(AJ7:AJ32),IF(AJ7:AJ32&gt;0,IF(AM7:AM32&lt;&gt;"",ROW(AJ7:AJ32)-MIN(ROW(AJ7:AJ32))+1))),ROW()-ROW(A$35)+1)),",",TEXT(INDEX(AJ7:AJ32,SMALL(IF(ISNUMBER(AJ7:AJ32),IF(AJ7:AJ32&gt;0,IF(AM7:AM32&lt;&gt;"",ROW(AJ7:AJ32)-MIN(ROW(AJ7:AJ32))+1))),ROW()-ROW(A$35)+1)),"##0"),",",SUBSTITUTE(INDEX(A7:A32,SMALL(IF(ISNUMBER(AJ7:AJ32),IF(AJ7:AJ32&gt;0,IF(AM7:AM32&lt;&gt;"",ROW(AJ7:AJ32)-MIN(ROW(AJ7:AJ32))+1))),ROW()-ROW(A$35)+1)),",",";")),"")</f>
        <v/>
      </c>
      <c r="AO38" t="str">
        <f t="array" ref="AO38">IFERROR(CONCATENATE(INDEX(AR7:AR32,SMALL(IF(ISNUMBER(AO7:AO32),IF(AO7:AO32&gt;0,IF(AR7:AR32&lt;&gt;"",ROW(AO7:AO32)-MIN(ROW(AO7:AO32))+1))),ROW()-ROW(A$35)+1))," ",TEXT(INDEX(AO7:AO32,SMALL(IF(ISNUMBER(AO7:AO32),IF(AO7:AO32&gt;0,IF(AR7:AR32&lt;&gt;"",ROW(AO7:AO32)-MIN(ROW(AO7:AO32))+1))),ROW()-ROW(A$35)+1)),"##0")," ",SUBSTITUTE(INDEX(A7:A32,SMALL(IF(ISNUMBER(AO7:AO32),IF(AO7:AO32&gt;0,IF(AR7:AR32&lt;&gt;"",ROW(AO7:AO32)-MIN(ROW(AO7:AO32))+1))),ROW()-ROW(A$35)+1))," ",";")),"")</f>
        <v/>
      </c>
      <c r="AT38" t="str">
        <f t="array" ref="AT38">IFERROR(CONCATENATE(INDEX(AW7:AW32,SMALL(IF(ISNUMBER(AT7:AT32),IF(AT7:AT32&gt;0,IF(AW7:AW32&lt;&gt;"",ROW(AT7:AT32)-MIN(ROW(AT7:AT32))+1))),ROW()-ROW(A$35)+1))," ",TEXT(INDEX(AT7:AT32,SMALL(IF(ISNUMBER(AT7:AT32),IF(AT7:AT32&gt;0,IF(AW7:AW32&lt;&gt;"",ROW(AT7:AT32)-MIN(ROW(AT7:AT32))+1))),ROW()-ROW(A$35)+1)),"##0")," ",SUBSTITUTE(INDEX(A7:A32,SMALL(IF(ISNUMBER(AT7:AT32),IF(AT7:AT32&gt;0,IF(AW7:AW32&lt;&gt;"",ROW(AT7:AT32)-MIN(ROW(AT7:AT32))+1))),ROW()-ROW(A$35)+1))," ",";")),"")</f>
        <v/>
      </c>
    </row>
    <row r="39" spans="1:48" x14ac:dyDescent="0.3">
      <c r="P39" t="str">
        <f t="array" ref="P39">IFERROR(CONCATENATE(INDEX(S7:S32,SMALL(IF(ISNUMBER(P7:P32),IF(P7:P32&gt;0,IF(S7:S32&lt;&gt;"",ROW(P7:P32)-MIN(ROW(P7:P32))+1))),ROW()-ROW(A$35)+1)),",",TEXT(INDEX(P7:P32,SMALL(IF(ISNUMBER(P7:P32),IF(P7:P32&gt;0,IF(S7:S32&lt;&gt;"",ROW(P7:P32)-MIN(ROW(P7:P32))+1))),ROW()-ROW(A$35)+1)),"##0"),",",SUBSTITUTE(INDEX(A7:A32,SMALL(IF(ISNUMBER(P7:P32),IF(P7:P32&gt;0,IF(S7:S32&lt;&gt;"",ROW(P7:P32)-MIN(ROW(P7:P32))+1))),ROW()-ROW(A$35)+1)),",",";")),"")</f>
        <v/>
      </c>
      <c r="U39" t="str">
        <f t="array" ref="U39">IFERROR(CONCATENATE(TEXT(INDEX(U7:U32,SMALL(IF(ISNUMBER(U7:U32),IF(U7:U32&gt;0,IF(X7:X32&lt;&gt;"",ROW(U7:U32)-MIN(ROW(U7:U32))+1))),ROW()-ROW(A$35)+1)),"##0"),",",INDEX(X7:X32,SMALL(IF(ISNUMBER(U7:U32),IF(U7:U32&gt;0,IF(X7:X32&lt;&gt;"",ROW(U7:U32)-MIN(ROW(U7:U32))+1))),ROW()-ROW(A$35)+1)),",",SUBSTITUTE(INDEX(A7:A32,SMALL(IF(ISNUMBER(U7:U32),IF(U7:U32&gt;0,IF(X7:X32&lt;&gt;"",ROW(U7:U32)-MIN(ROW(U7:U32))+1))),ROW()-ROW(A$35)+1)),",",";")),"")</f>
        <v>2,1276-1300-1-ND,C3;C4</v>
      </c>
      <c r="Z39" t="str">
        <f t="array" ref="Z39">IFERROR(CONCATENATE(INDEX(AC7:AC32,SMALL(IF(ISNUMBER(Z7:Z32),IF(Z7:Z32&gt;0,IF(AC7:AC32&lt;&gt;"",ROW(Z7:Z32)-MIN(ROW(Z7:Z32))+1))),ROW()-ROW(A$35)+1))," ",TEXT(INDEX(Z7:Z32,SMALL(IF(ISNUMBER(Z7:Z32),IF(Z7:Z32&gt;0,IF(AC7:AC32&lt;&gt;"",ROW(Z7:Z32)-MIN(ROW(Z7:Z32))+1))),ROW()-ROW(A$35)+1)),"##0")," ",SUBSTITUTE(INDEX(A7:A32,SMALL(IF(ISNUMBER(Z7:Z32),IF(Z7:Z32&gt;0,IF(AC7:AC32&lt;&gt;"",ROW(Z7:Z32)-MIN(ROW(Z7:Z32))+1))),ROW()-ROW(A$35)+1))," ",";")),"")</f>
        <v/>
      </c>
      <c r="AE39" t="str">
        <f t="array" ref="AE39">IFERROR(CONCATENATE(INDEX(AH7:AH32,SMALL(IF(ISNUMBER(AE7:AE32),IF(AE7:AE32&gt;0,IF(AH7:AH32&lt;&gt;"",ROW(AE7:AE32)-MIN(ROW(AE7:AE32))+1))),ROW()-ROW(A$35)+1)),"|",TEXT(INDEX(AE7:AE32,SMALL(IF(ISNUMBER(AE7:AE32),IF(AE7:AE32&gt;0,IF(AH7:AH32&lt;&gt;"",ROW(AE7:AE32)-MIN(ROW(AE7:AE32))+1))),ROW()-ROW(A$35)+1)),"##0"),"|",SUBSTITUTE(SUBSTITUTE(INDEX(A7:A32,SMALL(IF(ISNUMBER(AE7:AE32),IF(AE7:AE32&gt;0,IF(AH7:AH32&lt;&gt;"",ROW(AE7:AE32)-MIN(ROW(AE7:AE32))+1))),ROW()-ROW(A$35)+1)),"|",";")," ","_")),"")</f>
        <v/>
      </c>
      <c r="AJ39" t="str">
        <f t="array" ref="AJ39">IFERROR(CONCATENATE(INDEX(AM7:AM32,SMALL(IF(ISNUMBER(AJ7:AJ32),IF(AJ7:AJ32&gt;0,IF(AM7:AM32&lt;&gt;"",ROW(AJ7:AJ32)-MIN(ROW(AJ7:AJ32))+1))),ROW()-ROW(A$35)+1)),",",TEXT(INDEX(AJ7:AJ32,SMALL(IF(ISNUMBER(AJ7:AJ32),IF(AJ7:AJ32&gt;0,IF(AM7:AM32&lt;&gt;"",ROW(AJ7:AJ32)-MIN(ROW(AJ7:AJ32))+1))),ROW()-ROW(A$35)+1)),"##0"),",",SUBSTITUTE(INDEX(A7:A32,SMALL(IF(ISNUMBER(AJ7:AJ32),IF(AJ7:AJ32&gt;0,IF(AM7:AM32&lt;&gt;"",ROW(AJ7:AJ32)-MIN(ROW(AJ7:AJ32))+1))),ROW()-ROW(A$35)+1)),",",";")),"")</f>
        <v/>
      </c>
      <c r="AO39" t="str">
        <f t="array" ref="AO39">IFERROR(CONCATENATE(INDEX(AR7:AR32,SMALL(IF(ISNUMBER(AO7:AO32),IF(AO7:AO32&gt;0,IF(AR7:AR32&lt;&gt;"",ROW(AO7:AO32)-MIN(ROW(AO7:AO32))+1))),ROW()-ROW(A$35)+1))," ",TEXT(INDEX(AO7:AO32,SMALL(IF(ISNUMBER(AO7:AO32),IF(AO7:AO32&gt;0,IF(AR7:AR32&lt;&gt;"",ROW(AO7:AO32)-MIN(ROW(AO7:AO32))+1))),ROW()-ROW(A$35)+1)),"##0")," ",SUBSTITUTE(INDEX(A7:A32,SMALL(IF(ISNUMBER(AO7:AO32),IF(AO7:AO32&gt;0,IF(AR7:AR32&lt;&gt;"",ROW(AO7:AO32)-MIN(ROW(AO7:AO32))+1))),ROW()-ROW(A$35)+1))," ",";")),"")</f>
        <v/>
      </c>
      <c r="AT39" t="str">
        <f t="array" ref="AT39">IFERROR(CONCATENATE(INDEX(AW7:AW32,SMALL(IF(ISNUMBER(AT7:AT32),IF(AT7:AT32&gt;0,IF(AW7:AW32&lt;&gt;"",ROW(AT7:AT32)-MIN(ROW(AT7:AT32))+1))),ROW()-ROW(A$35)+1))," ",TEXT(INDEX(AT7:AT32,SMALL(IF(ISNUMBER(AT7:AT32),IF(AT7:AT32&gt;0,IF(AW7:AW32&lt;&gt;"",ROW(AT7:AT32)-MIN(ROW(AT7:AT32))+1))),ROW()-ROW(A$35)+1)),"##0")," ",SUBSTITUTE(INDEX(A7:A32,SMALL(IF(ISNUMBER(AT7:AT32),IF(AT7:AT32&gt;0,IF(AW7:AW32&lt;&gt;"",ROW(AT7:AT32)-MIN(ROW(AT7:AT32))+1))),ROW()-ROW(A$35)+1))," ",";")),"")</f>
        <v/>
      </c>
    </row>
    <row r="40" spans="1:48" x14ac:dyDescent="0.3">
      <c r="P40" t="str">
        <f t="array" ref="P40">IFERROR(CONCATENATE(INDEX(S7:S32,SMALL(IF(ISNUMBER(P7:P32),IF(P7:P32&gt;0,IF(S7:S32&lt;&gt;"",ROW(P7:P32)-MIN(ROW(P7:P32))+1))),ROW()-ROW(A$35)+1)),",",TEXT(INDEX(P7:P32,SMALL(IF(ISNUMBER(P7:P32),IF(P7:P32&gt;0,IF(S7:S32&lt;&gt;"",ROW(P7:P32)-MIN(ROW(P7:P32))+1))),ROW()-ROW(A$35)+1)),"##0"),",",SUBSTITUTE(INDEX(A7:A32,SMALL(IF(ISNUMBER(P7:P32),IF(P7:P32&gt;0,IF(S7:S32&lt;&gt;"",ROW(P7:P32)-MIN(ROW(P7:P32))+1))),ROW()-ROW(A$35)+1)),",",";")),"")</f>
        <v/>
      </c>
      <c r="U40" t="str">
        <f t="array" ref="U40">IFERROR(CONCATENATE(TEXT(INDEX(U7:U32,SMALL(IF(ISNUMBER(U7:U32),IF(U7:U32&gt;0,IF(X7:X32&lt;&gt;"",ROW(U7:U32)-MIN(ROW(U7:U32))+1))),ROW()-ROW(A$35)+1)),"##0"),",",INDEX(X7:X32,SMALL(IF(ISNUMBER(U7:U32),IF(U7:U32&gt;0,IF(X7:X32&lt;&gt;"",ROW(U7:U32)-MIN(ROW(U7:U32))+1))),ROW()-ROW(A$35)+1)),",",SUBSTITUTE(INDEX(A7:A32,SMALL(IF(ISNUMBER(U7:U32),IF(U7:U32&gt;0,IF(X7:X32&lt;&gt;"",ROW(U7:U32)-MIN(ROW(U7:U32))+1))),ROW()-ROW(A$35)+1)),",",";")),"")</f>
        <v>9,478-1395-1-ND,C7-C9;C11;C13-C15;C17;C19</v>
      </c>
      <c r="Z40" t="str">
        <f t="array" ref="Z40">IFERROR(CONCATENATE(INDEX(AC7:AC32,SMALL(IF(ISNUMBER(Z7:Z32),IF(Z7:Z32&gt;0,IF(AC7:AC32&lt;&gt;"",ROW(Z7:Z32)-MIN(ROW(Z7:Z32))+1))),ROW()-ROW(A$35)+1))," ",TEXT(INDEX(Z7:Z32,SMALL(IF(ISNUMBER(Z7:Z32),IF(Z7:Z32&gt;0,IF(AC7:AC32&lt;&gt;"",ROW(Z7:Z32)-MIN(ROW(Z7:Z32))+1))),ROW()-ROW(A$35)+1)),"##0")," ",SUBSTITUTE(INDEX(A7:A32,SMALL(IF(ISNUMBER(Z7:Z32),IF(Z7:Z32&gt;0,IF(AC7:AC32&lt;&gt;"",ROW(Z7:Z32)-MIN(ROW(Z7:Z32))+1))),ROW()-ROW(A$35)+1))," ",";")),"")</f>
        <v/>
      </c>
      <c r="AE40" t="str">
        <f t="array" ref="AE40">IFERROR(CONCATENATE(INDEX(AH7:AH32,SMALL(IF(ISNUMBER(AE7:AE32),IF(AE7:AE32&gt;0,IF(AH7:AH32&lt;&gt;"",ROW(AE7:AE32)-MIN(ROW(AE7:AE32))+1))),ROW()-ROW(A$35)+1)),"|",TEXT(INDEX(AE7:AE32,SMALL(IF(ISNUMBER(AE7:AE32),IF(AE7:AE32&gt;0,IF(AH7:AH32&lt;&gt;"",ROW(AE7:AE32)-MIN(ROW(AE7:AE32))+1))),ROW()-ROW(A$35)+1)),"##0"),"|",SUBSTITUTE(SUBSTITUTE(INDEX(A7:A32,SMALL(IF(ISNUMBER(AE7:AE32),IF(AE7:AE32&gt;0,IF(AH7:AH32&lt;&gt;"",ROW(AE7:AE32)-MIN(ROW(AE7:AE32))+1))),ROW()-ROW(A$35)+1)),"|",";")," ","_")),"")</f>
        <v/>
      </c>
      <c r="AJ40" t="str">
        <f t="array" ref="AJ40">IFERROR(CONCATENATE(INDEX(AM7:AM32,SMALL(IF(ISNUMBER(AJ7:AJ32),IF(AJ7:AJ32&gt;0,IF(AM7:AM32&lt;&gt;"",ROW(AJ7:AJ32)-MIN(ROW(AJ7:AJ32))+1))),ROW()-ROW(A$35)+1)),",",TEXT(INDEX(AJ7:AJ32,SMALL(IF(ISNUMBER(AJ7:AJ32),IF(AJ7:AJ32&gt;0,IF(AM7:AM32&lt;&gt;"",ROW(AJ7:AJ32)-MIN(ROW(AJ7:AJ32))+1))),ROW()-ROW(A$35)+1)),"##0"),",",SUBSTITUTE(INDEX(A7:A32,SMALL(IF(ISNUMBER(AJ7:AJ32),IF(AJ7:AJ32&gt;0,IF(AM7:AM32&lt;&gt;"",ROW(AJ7:AJ32)-MIN(ROW(AJ7:AJ32))+1))),ROW()-ROW(A$35)+1)),",",";")),"")</f>
        <v/>
      </c>
      <c r="AO40" t="str">
        <f t="array" ref="AO40">IFERROR(CONCATENATE(INDEX(AR7:AR32,SMALL(IF(ISNUMBER(AO7:AO32),IF(AO7:AO32&gt;0,IF(AR7:AR32&lt;&gt;"",ROW(AO7:AO32)-MIN(ROW(AO7:AO32))+1))),ROW()-ROW(A$35)+1))," ",TEXT(INDEX(AO7:AO32,SMALL(IF(ISNUMBER(AO7:AO32),IF(AO7:AO32&gt;0,IF(AR7:AR32&lt;&gt;"",ROW(AO7:AO32)-MIN(ROW(AO7:AO32))+1))),ROW()-ROW(A$35)+1)),"##0")," ",SUBSTITUTE(INDEX(A7:A32,SMALL(IF(ISNUMBER(AO7:AO32),IF(AO7:AO32&gt;0,IF(AR7:AR32&lt;&gt;"",ROW(AO7:AO32)-MIN(ROW(AO7:AO32))+1))),ROW()-ROW(A$35)+1))," ",";")),"")</f>
        <v/>
      </c>
      <c r="AT40" t="str">
        <f t="array" ref="AT40">IFERROR(CONCATENATE(INDEX(AW7:AW32,SMALL(IF(ISNUMBER(AT7:AT32),IF(AT7:AT32&gt;0,IF(AW7:AW32&lt;&gt;"",ROW(AT7:AT32)-MIN(ROW(AT7:AT32))+1))),ROW()-ROW(A$35)+1))," ",TEXT(INDEX(AT7:AT32,SMALL(IF(ISNUMBER(AT7:AT32),IF(AT7:AT32&gt;0,IF(AW7:AW32&lt;&gt;"",ROW(AT7:AT32)-MIN(ROW(AT7:AT32))+1))),ROW()-ROW(A$35)+1)),"##0")," ",SUBSTITUTE(INDEX(A7:A32,SMALL(IF(ISNUMBER(AT7:AT32),IF(AT7:AT32&gt;0,IF(AW7:AW32&lt;&gt;"",ROW(AT7:AT32)-MIN(ROW(AT7:AT32))+1))),ROW()-ROW(A$35)+1))," ",";")),"")</f>
        <v/>
      </c>
    </row>
    <row r="41" spans="1:48" x14ac:dyDescent="0.3">
      <c r="P41" t="str">
        <f t="array" ref="P41">IFERROR(CONCATENATE(INDEX(S7:S32,SMALL(IF(ISNUMBER(P7:P32),IF(P7:P32&gt;0,IF(S7:S32&lt;&gt;"",ROW(P7:P32)-MIN(ROW(P7:P32))+1))),ROW()-ROW(A$35)+1)),",",TEXT(INDEX(P7:P32,SMALL(IF(ISNUMBER(P7:P32),IF(P7:P32&gt;0,IF(S7:S32&lt;&gt;"",ROW(P7:P32)-MIN(ROW(P7:P32))+1))),ROW()-ROW(A$35)+1)),"##0"),",",SUBSTITUTE(INDEX(A7:A32,SMALL(IF(ISNUMBER(P7:P32),IF(P7:P32&gt;0,IF(S7:S32&lt;&gt;"",ROW(P7:P32)-MIN(ROW(P7:P32))+1))),ROW()-ROW(A$35)+1)),",",";")),"")</f>
        <v/>
      </c>
      <c r="U41" t="str">
        <f t="array" ref="U41">IFERROR(CONCATENATE(TEXT(INDEX(U7:U32,SMALL(IF(ISNUMBER(U7:U32),IF(U7:U32&gt;0,IF(X7:X32&lt;&gt;"",ROW(U7:U32)-MIN(ROW(U7:U32))+1))),ROW()-ROW(A$35)+1)),"##0"),",",INDEX(X7:X32,SMALL(IF(ISNUMBER(U7:U32),IF(U7:U32&gt;0,IF(X7:X32&lt;&gt;"",ROW(U7:U32)-MIN(ROW(U7:U32))+1))),ROW()-ROW(A$35)+1)),",",SUBSTITUTE(INDEX(A7:A32,SMALL(IF(ISNUMBER(U7:U32),IF(U7:U32&gt;0,IF(X7:X32&lt;&gt;"",ROW(U7:U32)-MIN(ROW(U7:U32))+1))),ROW()-ROW(A$35)+1)),",",";")),"")</f>
        <v>1,497-18870-1-ND,D7</v>
      </c>
      <c r="Z41" t="str">
        <f t="array" ref="Z41">IFERROR(CONCATENATE(INDEX(AC7:AC32,SMALL(IF(ISNUMBER(Z7:Z32),IF(Z7:Z32&gt;0,IF(AC7:AC32&lt;&gt;"",ROW(Z7:Z32)-MIN(ROW(Z7:Z32))+1))),ROW()-ROW(A$35)+1))," ",TEXT(INDEX(Z7:Z32,SMALL(IF(ISNUMBER(Z7:Z32),IF(Z7:Z32&gt;0,IF(AC7:AC32&lt;&gt;"",ROW(Z7:Z32)-MIN(ROW(Z7:Z32))+1))),ROW()-ROW(A$35)+1)),"##0")," ",SUBSTITUTE(INDEX(A7:A32,SMALL(IF(ISNUMBER(Z7:Z32),IF(Z7:Z32&gt;0,IF(AC7:AC32&lt;&gt;"",ROW(Z7:Z32)-MIN(ROW(Z7:Z32))+1))),ROW()-ROW(A$35)+1))," ",";")),"")</f>
        <v/>
      </c>
      <c r="AE41" t="str">
        <f t="array" ref="AE41">IFERROR(CONCATENATE(INDEX(AH7:AH32,SMALL(IF(ISNUMBER(AE7:AE32),IF(AE7:AE32&gt;0,IF(AH7:AH32&lt;&gt;"",ROW(AE7:AE32)-MIN(ROW(AE7:AE32))+1))),ROW()-ROW(A$35)+1)),"|",TEXT(INDEX(AE7:AE32,SMALL(IF(ISNUMBER(AE7:AE32),IF(AE7:AE32&gt;0,IF(AH7:AH32&lt;&gt;"",ROW(AE7:AE32)-MIN(ROW(AE7:AE32))+1))),ROW()-ROW(A$35)+1)),"##0"),"|",SUBSTITUTE(SUBSTITUTE(INDEX(A7:A32,SMALL(IF(ISNUMBER(AE7:AE32),IF(AE7:AE32&gt;0,IF(AH7:AH32&lt;&gt;"",ROW(AE7:AE32)-MIN(ROW(AE7:AE32))+1))),ROW()-ROW(A$35)+1)),"|",";")," ","_")),"")</f>
        <v/>
      </c>
      <c r="AJ41" t="str">
        <f t="array" ref="AJ41">IFERROR(CONCATENATE(INDEX(AM7:AM32,SMALL(IF(ISNUMBER(AJ7:AJ32),IF(AJ7:AJ32&gt;0,IF(AM7:AM32&lt;&gt;"",ROW(AJ7:AJ32)-MIN(ROW(AJ7:AJ32))+1))),ROW()-ROW(A$35)+1)),",",TEXT(INDEX(AJ7:AJ32,SMALL(IF(ISNUMBER(AJ7:AJ32),IF(AJ7:AJ32&gt;0,IF(AM7:AM32&lt;&gt;"",ROW(AJ7:AJ32)-MIN(ROW(AJ7:AJ32))+1))),ROW()-ROW(A$35)+1)),"##0"),",",SUBSTITUTE(INDEX(A7:A32,SMALL(IF(ISNUMBER(AJ7:AJ32),IF(AJ7:AJ32&gt;0,IF(AM7:AM32&lt;&gt;"",ROW(AJ7:AJ32)-MIN(ROW(AJ7:AJ32))+1))),ROW()-ROW(A$35)+1)),",",";")),"")</f>
        <v/>
      </c>
      <c r="AO41" t="str">
        <f t="array" ref="AO41">IFERROR(CONCATENATE(INDEX(AR7:AR32,SMALL(IF(ISNUMBER(AO7:AO32),IF(AO7:AO32&gt;0,IF(AR7:AR32&lt;&gt;"",ROW(AO7:AO32)-MIN(ROW(AO7:AO32))+1))),ROW()-ROW(A$35)+1))," ",TEXT(INDEX(AO7:AO32,SMALL(IF(ISNUMBER(AO7:AO32),IF(AO7:AO32&gt;0,IF(AR7:AR32&lt;&gt;"",ROW(AO7:AO32)-MIN(ROW(AO7:AO32))+1))),ROW()-ROW(A$35)+1)),"##0")," ",SUBSTITUTE(INDEX(A7:A32,SMALL(IF(ISNUMBER(AO7:AO32),IF(AO7:AO32&gt;0,IF(AR7:AR32&lt;&gt;"",ROW(AO7:AO32)-MIN(ROW(AO7:AO32))+1))),ROW()-ROW(A$35)+1))," ",";")),"")</f>
        <v/>
      </c>
      <c r="AT41" t="str">
        <f t="array" ref="AT41">IFERROR(CONCATENATE(INDEX(AW7:AW32,SMALL(IF(ISNUMBER(AT7:AT32),IF(AT7:AT32&gt;0,IF(AW7:AW32&lt;&gt;"",ROW(AT7:AT32)-MIN(ROW(AT7:AT32))+1))),ROW()-ROW(A$35)+1))," ",TEXT(INDEX(AT7:AT32,SMALL(IF(ISNUMBER(AT7:AT32),IF(AT7:AT32&gt;0,IF(AW7:AW32&lt;&gt;"",ROW(AT7:AT32)-MIN(ROW(AT7:AT32))+1))),ROW()-ROW(A$35)+1)),"##0")," ",SUBSTITUTE(INDEX(A7:A32,SMALL(IF(ISNUMBER(AT7:AT32),IF(AT7:AT32&gt;0,IF(AW7:AW32&lt;&gt;"",ROW(AT7:AT32)-MIN(ROW(AT7:AT32))+1))),ROW()-ROW(A$35)+1))," ",";")),"")</f>
        <v/>
      </c>
    </row>
    <row r="42" spans="1:48" x14ac:dyDescent="0.3">
      <c r="P42" t="str">
        <f t="array" ref="P42">IFERROR(CONCATENATE(INDEX(S7:S32,SMALL(IF(ISNUMBER(P7:P32),IF(P7:P32&gt;0,IF(S7:S32&lt;&gt;"",ROW(P7:P32)-MIN(ROW(P7:P32))+1))),ROW()-ROW(A$35)+1)),",",TEXT(INDEX(P7:P32,SMALL(IF(ISNUMBER(P7:P32),IF(P7:P32&gt;0,IF(S7:S32&lt;&gt;"",ROW(P7:P32)-MIN(ROW(P7:P32))+1))),ROW()-ROW(A$35)+1)),"##0"),",",SUBSTITUTE(INDEX(A7:A32,SMALL(IF(ISNUMBER(P7:P32),IF(P7:P32&gt;0,IF(S7:S32&lt;&gt;"",ROW(P7:P32)-MIN(ROW(P7:P32))+1))),ROW()-ROW(A$35)+1)),",",";")),"")</f>
        <v/>
      </c>
      <c r="U42" t="str">
        <f t="array" ref="U42">IFERROR(CONCATENATE(TEXT(INDEX(U7:U32,SMALL(IF(ISNUMBER(U7:U32),IF(U7:U32&gt;0,IF(X7:X32&lt;&gt;"",ROW(U7:U32)-MIN(ROW(U7:U32))+1))),ROW()-ROW(A$35)+1)),"##0"),",",INDEX(X7:X32,SMALL(IF(ISNUMBER(U7:U32),IF(U7:U32&gt;0,IF(X7:X32&lt;&gt;"",ROW(U7:U32)-MIN(ROW(U7:U32))+1))),ROW()-ROW(A$35)+1)),",",SUBSTITUTE(INDEX(A7:A32,SMALL(IF(ISNUMBER(U7:U32),IF(U7:U32&gt;0,IF(X7:X32&lt;&gt;"",ROW(U7:U32)-MIN(ROW(U7:U32))+1))),ROW()-ROW(A$35)+1)),",",";")),"")</f>
        <v>1,1904-1010-1-ND,IC1</v>
      </c>
      <c r="Z42" t="str">
        <f t="array" ref="Z42">IFERROR(CONCATENATE(INDEX(AC7:AC32,SMALL(IF(ISNUMBER(Z7:Z32),IF(Z7:Z32&gt;0,IF(AC7:AC32&lt;&gt;"",ROW(Z7:Z32)-MIN(ROW(Z7:Z32))+1))),ROW()-ROW(A$35)+1))," ",TEXT(INDEX(Z7:Z32,SMALL(IF(ISNUMBER(Z7:Z32),IF(Z7:Z32&gt;0,IF(AC7:AC32&lt;&gt;"",ROW(Z7:Z32)-MIN(ROW(Z7:Z32))+1))),ROW()-ROW(A$35)+1)),"##0")," ",SUBSTITUTE(INDEX(A7:A32,SMALL(IF(ISNUMBER(Z7:Z32),IF(Z7:Z32&gt;0,IF(AC7:AC32&lt;&gt;"",ROW(Z7:Z32)-MIN(ROW(Z7:Z32))+1))),ROW()-ROW(A$35)+1))," ",";")),"")</f>
        <v/>
      </c>
      <c r="AE42" t="str">
        <f t="array" ref="AE42">IFERROR(CONCATENATE(INDEX(AH7:AH32,SMALL(IF(ISNUMBER(AE7:AE32),IF(AE7:AE32&gt;0,IF(AH7:AH32&lt;&gt;"",ROW(AE7:AE32)-MIN(ROW(AE7:AE32))+1))),ROW()-ROW(A$35)+1)),"|",TEXT(INDEX(AE7:AE32,SMALL(IF(ISNUMBER(AE7:AE32),IF(AE7:AE32&gt;0,IF(AH7:AH32&lt;&gt;"",ROW(AE7:AE32)-MIN(ROW(AE7:AE32))+1))),ROW()-ROW(A$35)+1)),"##0"),"|",SUBSTITUTE(SUBSTITUTE(INDEX(A7:A32,SMALL(IF(ISNUMBER(AE7:AE32),IF(AE7:AE32&gt;0,IF(AH7:AH32&lt;&gt;"",ROW(AE7:AE32)-MIN(ROW(AE7:AE32))+1))),ROW()-ROW(A$35)+1)),"|",";")," ","_")),"")</f>
        <v/>
      </c>
      <c r="AJ42" t="str">
        <f t="array" ref="AJ42">IFERROR(CONCATENATE(INDEX(AM7:AM32,SMALL(IF(ISNUMBER(AJ7:AJ32),IF(AJ7:AJ32&gt;0,IF(AM7:AM32&lt;&gt;"",ROW(AJ7:AJ32)-MIN(ROW(AJ7:AJ32))+1))),ROW()-ROW(A$35)+1)),",",TEXT(INDEX(AJ7:AJ32,SMALL(IF(ISNUMBER(AJ7:AJ32),IF(AJ7:AJ32&gt;0,IF(AM7:AM32&lt;&gt;"",ROW(AJ7:AJ32)-MIN(ROW(AJ7:AJ32))+1))),ROW()-ROW(A$35)+1)),"##0"),",",SUBSTITUTE(INDEX(A7:A32,SMALL(IF(ISNUMBER(AJ7:AJ32),IF(AJ7:AJ32&gt;0,IF(AM7:AM32&lt;&gt;"",ROW(AJ7:AJ32)-MIN(ROW(AJ7:AJ32))+1))),ROW()-ROW(A$35)+1)),",",";")),"")</f>
        <v/>
      </c>
      <c r="AO42" t="str">
        <f t="array" ref="AO42">IFERROR(CONCATENATE(INDEX(AR7:AR32,SMALL(IF(ISNUMBER(AO7:AO32),IF(AO7:AO32&gt;0,IF(AR7:AR32&lt;&gt;"",ROW(AO7:AO32)-MIN(ROW(AO7:AO32))+1))),ROW()-ROW(A$35)+1))," ",TEXT(INDEX(AO7:AO32,SMALL(IF(ISNUMBER(AO7:AO32),IF(AO7:AO32&gt;0,IF(AR7:AR32&lt;&gt;"",ROW(AO7:AO32)-MIN(ROW(AO7:AO32))+1))),ROW()-ROW(A$35)+1)),"##0")," ",SUBSTITUTE(INDEX(A7:A32,SMALL(IF(ISNUMBER(AO7:AO32),IF(AO7:AO32&gt;0,IF(AR7:AR32&lt;&gt;"",ROW(AO7:AO32)-MIN(ROW(AO7:AO32))+1))),ROW()-ROW(A$35)+1))," ",";")),"")</f>
        <v/>
      </c>
      <c r="AT42" t="str">
        <f t="array" ref="AT42">IFERROR(CONCATENATE(INDEX(AW7:AW32,SMALL(IF(ISNUMBER(AT7:AT32),IF(AT7:AT32&gt;0,IF(AW7:AW32&lt;&gt;"",ROW(AT7:AT32)-MIN(ROW(AT7:AT32))+1))),ROW()-ROW(A$35)+1))," ",TEXT(INDEX(AT7:AT32,SMALL(IF(ISNUMBER(AT7:AT32),IF(AT7:AT32&gt;0,IF(AW7:AW32&lt;&gt;"",ROW(AT7:AT32)-MIN(ROW(AT7:AT32))+1))),ROW()-ROW(A$35)+1)),"##0")," ",SUBSTITUTE(INDEX(A7:A32,SMALL(IF(ISNUMBER(AT7:AT32),IF(AT7:AT32&gt;0,IF(AW7:AW32&lt;&gt;"",ROW(AT7:AT32)-MIN(ROW(AT7:AT32))+1))),ROW()-ROW(A$35)+1))," ",";")),"")</f>
        <v/>
      </c>
    </row>
    <row r="43" spans="1:48" x14ac:dyDescent="0.3">
      <c r="P43" t="str">
        <f t="array" ref="P43">IFERROR(CONCATENATE(INDEX(S7:S32,SMALL(IF(ISNUMBER(P7:P32),IF(P7:P32&gt;0,IF(S7:S32&lt;&gt;"",ROW(P7:P32)-MIN(ROW(P7:P32))+1))),ROW()-ROW(A$35)+1)),",",TEXT(INDEX(P7:P32,SMALL(IF(ISNUMBER(P7:P32),IF(P7:P32&gt;0,IF(S7:S32&lt;&gt;"",ROW(P7:P32)-MIN(ROW(P7:P32))+1))),ROW()-ROW(A$35)+1)),"##0"),",",SUBSTITUTE(INDEX(A7:A32,SMALL(IF(ISNUMBER(P7:P32),IF(P7:P32&gt;0,IF(S7:S32&lt;&gt;"",ROW(P7:P32)-MIN(ROW(P7:P32))+1))),ROW()-ROW(A$35)+1)),",",";")),"")</f>
        <v/>
      </c>
      <c r="U43" t="str">
        <f t="array" ref="U43">IFERROR(CONCATENATE(TEXT(INDEX(U7:U32,SMALL(IF(ISNUMBER(U7:U32),IF(U7:U32&gt;0,IF(X7:X32&lt;&gt;"",ROW(U7:U32)-MIN(ROW(U7:U32))+1))),ROW()-ROW(A$35)+1)),"##0"),",",INDEX(X7:X32,SMALL(IF(ISNUMBER(U7:U32),IF(U7:U32&gt;0,IF(X7:X32&lt;&gt;"",ROW(U7:U32)-MIN(ROW(U7:U32))+1))),ROW()-ROW(A$35)+1)),",",SUBSTITUTE(INDEX(A7:A32,SMALL(IF(ISNUMBER(U7:U32),IF(U7:U32&gt;0,IF(X7:X32&lt;&gt;"",ROW(U7:U32)-MIN(ROW(U7:U32))+1))),ROW()-ROW(A$35)+1)),",",";")),"")</f>
        <v>1,AD5667RBRMZ-2-ND,IC2</v>
      </c>
      <c r="Z43" t="str">
        <f t="array" ref="Z43">IFERROR(CONCATENATE(INDEX(AC7:AC32,SMALL(IF(ISNUMBER(Z7:Z32),IF(Z7:Z32&gt;0,IF(AC7:AC32&lt;&gt;"",ROW(Z7:Z32)-MIN(ROW(Z7:Z32))+1))),ROW()-ROW(A$35)+1))," ",TEXT(INDEX(Z7:Z32,SMALL(IF(ISNUMBER(Z7:Z32),IF(Z7:Z32&gt;0,IF(AC7:AC32&lt;&gt;"",ROW(Z7:Z32)-MIN(ROW(Z7:Z32))+1))),ROW()-ROW(A$35)+1)),"##0")," ",SUBSTITUTE(INDEX(A7:A32,SMALL(IF(ISNUMBER(Z7:Z32),IF(Z7:Z32&gt;0,IF(AC7:AC32&lt;&gt;"",ROW(Z7:Z32)-MIN(ROW(Z7:Z32))+1))),ROW()-ROW(A$35)+1))," ",";")),"")</f>
        <v/>
      </c>
      <c r="AE43" t="str">
        <f t="array" ref="AE43">IFERROR(CONCATENATE(INDEX(AH7:AH32,SMALL(IF(ISNUMBER(AE7:AE32),IF(AE7:AE32&gt;0,IF(AH7:AH32&lt;&gt;"",ROW(AE7:AE32)-MIN(ROW(AE7:AE32))+1))),ROW()-ROW(A$35)+1)),"|",TEXT(INDEX(AE7:AE32,SMALL(IF(ISNUMBER(AE7:AE32),IF(AE7:AE32&gt;0,IF(AH7:AH32&lt;&gt;"",ROW(AE7:AE32)-MIN(ROW(AE7:AE32))+1))),ROW()-ROW(A$35)+1)),"##0"),"|",SUBSTITUTE(SUBSTITUTE(INDEX(A7:A32,SMALL(IF(ISNUMBER(AE7:AE32),IF(AE7:AE32&gt;0,IF(AH7:AH32&lt;&gt;"",ROW(AE7:AE32)-MIN(ROW(AE7:AE32))+1))),ROW()-ROW(A$35)+1)),"|",";")," ","_")),"")</f>
        <v/>
      </c>
      <c r="AJ43" t="str">
        <f t="array" ref="AJ43">IFERROR(CONCATENATE(INDEX(AM7:AM32,SMALL(IF(ISNUMBER(AJ7:AJ32),IF(AJ7:AJ32&gt;0,IF(AM7:AM32&lt;&gt;"",ROW(AJ7:AJ32)-MIN(ROW(AJ7:AJ32))+1))),ROW()-ROW(A$35)+1)),",",TEXT(INDEX(AJ7:AJ32,SMALL(IF(ISNUMBER(AJ7:AJ32),IF(AJ7:AJ32&gt;0,IF(AM7:AM32&lt;&gt;"",ROW(AJ7:AJ32)-MIN(ROW(AJ7:AJ32))+1))),ROW()-ROW(A$35)+1)),"##0"),",",SUBSTITUTE(INDEX(A7:A32,SMALL(IF(ISNUMBER(AJ7:AJ32),IF(AJ7:AJ32&gt;0,IF(AM7:AM32&lt;&gt;"",ROW(AJ7:AJ32)-MIN(ROW(AJ7:AJ32))+1))),ROW()-ROW(A$35)+1)),",",";")),"")</f>
        <v/>
      </c>
      <c r="AO43" t="str">
        <f t="array" ref="AO43">IFERROR(CONCATENATE(INDEX(AR7:AR32,SMALL(IF(ISNUMBER(AO7:AO32),IF(AO7:AO32&gt;0,IF(AR7:AR32&lt;&gt;"",ROW(AO7:AO32)-MIN(ROW(AO7:AO32))+1))),ROW()-ROW(A$35)+1))," ",TEXT(INDEX(AO7:AO32,SMALL(IF(ISNUMBER(AO7:AO32),IF(AO7:AO32&gt;0,IF(AR7:AR32&lt;&gt;"",ROW(AO7:AO32)-MIN(ROW(AO7:AO32))+1))),ROW()-ROW(A$35)+1)),"##0")," ",SUBSTITUTE(INDEX(A7:A32,SMALL(IF(ISNUMBER(AO7:AO32),IF(AO7:AO32&gt;0,IF(AR7:AR32&lt;&gt;"",ROW(AO7:AO32)-MIN(ROW(AO7:AO32))+1))),ROW()-ROW(A$35)+1))," ",";")),"")</f>
        <v/>
      </c>
      <c r="AT43" t="str">
        <f t="array" ref="AT43">IFERROR(CONCATENATE(INDEX(AW7:AW32,SMALL(IF(ISNUMBER(AT7:AT32),IF(AT7:AT32&gt;0,IF(AW7:AW32&lt;&gt;"",ROW(AT7:AT32)-MIN(ROW(AT7:AT32))+1))),ROW()-ROW(A$35)+1))," ",TEXT(INDEX(AT7:AT32,SMALL(IF(ISNUMBER(AT7:AT32),IF(AT7:AT32&gt;0,IF(AW7:AW32&lt;&gt;"",ROW(AT7:AT32)-MIN(ROW(AT7:AT32))+1))),ROW()-ROW(A$35)+1)),"##0")," ",SUBSTITUTE(INDEX(A7:A32,SMALL(IF(ISNUMBER(AT7:AT32),IF(AT7:AT32&gt;0,IF(AW7:AW32&lt;&gt;"",ROW(AT7:AT32)-MIN(ROW(AT7:AT32))+1))),ROW()-ROW(A$35)+1))," ",";")),"")</f>
        <v/>
      </c>
    </row>
    <row r="44" spans="1:48" x14ac:dyDescent="0.3">
      <c r="P44" t="str">
        <f t="array" ref="P44">IFERROR(CONCATENATE(INDEX(S7:S32,SMALL(IF(ISNUMBER(P7:P32),IF(P7:P32&gt;0,IF(S7:S32&lt;&gt;"",ROW(P7:P32)-MIN(ROW(P7:P32))+1))),ROW()-ROW(A$35)+1)),",",TEXT(INDEX(P7:P32,SMALL(IF(ISNUMBER(P7:P32),IF(P7:P32&gt;0,IF(S7:S32&lt;&gt;"",ROW(P7:P32)-MIN(ROW(P7:P32))+1))),ROW()-ROW(A$35)+1)),"##0"),",",SUBSTITUTE(INDEX(A7:A32,SMALL(IF(ISNUMBER(P7:P32),IF(P7:P32&gt;0,IF(S7:S32&lt;&gt;"",ROW(P7:P32)-MIN(ROW(P7:P32))+1))),ROW()-ROW(A$35)+1)),",",";")),"")</f>
        <v/>
      </c>
      <c r="U44" t="str">
        <f t="array" ref="U44">IFERROR(CONCATENATE(TEXT(INDEX(U7:U32,SMALL(IF(ISNUMBER(U7:U32),IF(U7:U32&gt;0,IF(X7:X32&lt;&gt;"",ROW(U7:U32)-MIN(ROW(U7:U32))+1))),ROW()-ROW(A$35)+1)),"##0"),",",INDEX(X7:X32,SMALL(IF(ISNUMBER(U7:U32),IF(U7:U32&gt;0,IF(X7:X32&lt;&gt;"",ROW(U7:U32)-MIN(ROW(U7:U32))+1))),ROW()-ROW(A$35)+1)),",",SUBSTITUTE(INDEX(A7:A32,SMALL(IF(ISNUMBER(U7:U32),IF(U7:U32&gt;0,IF(X7:X32&lt;&gt;"",ROW(U7:U32)-MIN(ROW(U7:U32))+1))),ROW()-ROW(A$35)+1)),",",";")),"")</f>
        <v>1,AD8608ARUZ-ND,IC3</v>
      </c>
      <c r="Z44" t="str">
        <f t="array" ref="Z44">IFERROR(CONCATENATE(INDEX(AC7:AC32,SMALL(IF(ISNUMBER(Z7:Z32),IF(Z7:Z32&gt;0,IF(AC7:AC32&lt;&gt;"",ROW(Z7:Z32)-MIN(ROW(Z7:Z32))+1))),ROW()-ROW(A$35)+1))," ",TEXT(INDEX(Z7:Z32,SMALL(IF(ISNUMBER(Z7:Z32),IF(Z7:Z32&gt;0,IF(AC7:AC32&lt;&gt;"",ROW(Z7:Z32)-MIN(ROW(Z7:Z32))+1))),ROW()-ROW(A$35)+1)),"##0")," ",SUBSTITUTE(INDEX(A7:A32,SMALL(IF(ISNUMBER(Z7:Z32),IF(Z7:Z32&gt;0,IF(AC7:AC32&lt;&gt;"",ROW(Z7:Z32)-MIN(ROW(Z7:Z32))+1))),ROW()-ROW(A$35)+1))," ",";")),"")</f>
        <v/>
      </c>
      <c r="AE44" t="str">
        <f t="array" ref="AE44">IFERROR(CONCATENATE(INDEX(AH7:AH32,SMALL(IF(ISNUMBER(AE7:AE32),IF(AE7:AE32&gt;0,IF(AH7:AH32&lt;&gt;"",ROW(AE7:AE32)-MIN(ROW(AE7:AE32))+1))),ROW()-ROW(A$35)+1)),"|",TEXT(INDEX(AE7:AE32,SMALL(IF(ISNUMBER(AE7:AE32),IF(AE7:AE32&gt;0,IF(AH7:AH32&lt;&gt;"",ROW(AE7:AE32)-MIN(ROW(AE7:AE32))+1))),ROW()-ROW(A$35)+1)),"##0"),"|",SUBSTITUTE(SUBSTITUTE(INDEX(A7:A32,SMALL(IF(ISNUMBER(AE7:AE32),IF(AE7:AE32&gt;0,IF(AH7:AH32&lt;&gt;"",ROW(AE7:AE32)-MIN(ROW(AE7:AE32))+1))),ROW()-ROW(A$35)+1)),"|",";")," ","_")),"")</f>
        <v/>
      </c>
      <c r="AJ44" t="str">
        <f t="array" ref="AJ44">IFERROR(CONCATENATE(INDEX(AM7:AM32,SMALL(IF(ISNUMBER(AJ7:AJ32),IF(AJ7:AJ32&gt;0,IF(AM7:AM32&lt;&gt;"",ROW(AJ7:AJ32)-MIN(ROW(AJ7:AJ32))+1))),ROW()-ROW(A$35)+1)),",",TEXT(INDEX(AJ7:AJ32,SMALL(IF(ISNUMBER(AJ7:AJ32),IF(AJ7:AJ32&gt;0,IF(AM7:AM32&lt;&gt;"",ROW(AJ7:AJ32)-MIN(ROW(AJ7:AJ32))+1))),ROW()-ROW(A$35)+1)),"##0"),",",SUBSTITUTE(INDEX(A7:A32,SMALL(IF(ISNUMBER(AJ7:AJ32),IF(AJ7:AJ32&gt;0,IF(AM7:AM32&lt;&gt;"",ROW(AJ7:AJ32)-MIN(ROW(AJ7:AJ32))+1))),ROW()-ROW(A$35)+1)),",",";")),"")</f>
        <v/>
      </c>
      <c r="AO44" t="str">
        <f t="array" ref="AO44">IFERROR(CONCATENATE(INDEX(AR7:AR32,SMALL(IF(ISNUMBER(AO7:AO32),IF(AO7:AO32&gt;0,IF(AR7:AR32&lt;&gt;"",ROW(AO7:AO32)-MIN(ROW(AO7:AO32))+1))),ROW()-ROW(A$35)+1))," ",TEXT(INDEX(AO7:AO32,SMALL(IF(ISNUMBER(AO7:AO32),IF(AO7:AO32&gt;0,IF(AR7:AR32&lt;&gt;"",ROW(AO7:AO32)-MIN(ROW(AO7:AO32))+1))),ROW()-ROW(A$35)+1)),"##0")," ",SUBSTITUTE(INDEX(A7:A32,SMALL(IF(ISNUMBER(AO7:AO32),IF(AO7:AO32&gt;0,IF(AR7:AR32&lt;&gt;"",ROW(AO7:AO32)-MIN(ROW(AO7:AO32))+1))),ROW()-ROW(A$35)+1))," ",";")),"")</f>
        <v/>
      </c>
      <c r="AT44" t="str">
        <f t="array" ref="AT44">IFERROR(CONCATENATE(INDEX(AW7:AW32,SMALL(IF(ISNUMBER(AT7:AT32),IF(AT7:AT32&gt;0,IF(AW7:AW32&lt;&gt;"",ROW(AT7:AT32)-MIN(ROW(AT7:AT32))+1))),ROW()-ROW(A$35)+1))," ",TEXT(INDEX(AT7:AT32,SMALL(IF(ISNUMBER(AT7:AT32),IF(AT7:AT32&gt;0,IF(AW7:AW32&lt;&gt;"",ROW(AT7:AT32)-MIN(ROW(AT7:AT32))+1))),ROW()-ROW(A$35)+1)),"##0")," ",SUBSTITUTE(INDEX(A7:A32,SMALL(IF(ISNUMBER(AT7:AT32),IF(AT7:AT32&gt;0,IF(AW7:AW32&lt;&gt;"",ROW(AT7:AT32)-MIN(ROW(AT7:AT32))+1))),ROW()-ROW(A$35)+1))," ",";")),"")</f>
        <v/>
      </c>
    </row>
    <row r="45" spans="1:48" x14ac:dyDescent="0.3">
      <c r="P45" t="str">
        <f t="array" ref="P45">IFERROR(CONCATENATE(INDEX(S7:S32,SMALL(IF(ISNUMBER(P7:P32),IF(P7:P32&gt;0,IF(S7:S32&lt;&gt;"",ROW(P7:P32)-MIN(ROW(P7:P32))+1))),ROW()-ROW(A$35)+1)),",",TEXT(INDEX(P7:P32,SMALL(IF(ISNUMBER(P7:P32),IF(P7:P32&gt;0,IF(S7:S32&lt;&gt;"",ROW(P7:P32)-MIN(ROW(P7:P32))+1))),ROW()-ROW(A$35)+1)),"##0"),",",SUBSTITUTE(INDEX(A7:A32,SMALL(IF(ISNUMBER(P7:P32),IF(P7:P32&gt;0,IF(S7:S32&lt;&gt;"",ROW(P7:P32)-MIN(ROW(P7:P32))+1))),ROW()-ROW(A$35)+1)),",",";")),"")</f>
        <v/>
      </c>
      <c r="U45" t="str">
        <f t="array" ref="U45">IFERROR(CONCATENATE(TEXT(INDEX(U7:U32,SMALL(IF(ISNUMBER(U7:U32),IF(U7:U32&gt;0,IF(X7:X32&lt;&gt;"",ROW(U7:U32)-MIN(ROW(U7:U32))+1))),ROW()-ROW(A$35)+1)),"##0"),",",INDEX(X7:X32,SMALL(IF(ISNUMBER(U7:U32),IF(U7:U32&gt;0,IF(X7:X32&lt;&gt;"",ROW(U7:U32)-MIN(ROW(U7:U32))+1))),ROW()-ROW(A$35)+1)),",",SUBSTITUTE(INDEX(A7:A32,SMALL(IF(ISNUMBER(U7:U32),IF(U7:U32&gt;0,IF(X7:X32&lt;&gt;"",ROW(U7:U32)-MIN(ROW(U7:U32))+1))),ROW()-ROW(A$35)+1)),",",";")),"")</f>
        <v>2,576-1259-1-ND,IC4;IC5</v>
      </c>
      <c r="Z45" t="str">
        <f t="array" ref="Z45">IFERROR(CONCATENATE(INDEX(AC7:AC32,SMALL(IF(ISNUMBER(Z7:Z32),IF(Z7:Z32&gt;0,IF(AC7:AC32&lt;&gt;"",ROW(Z7:Z32)-MIN(ROW(Z7:Z32))+1))),ROW()-ROW(A$35)+1))," ",TEXT(INDEX(Z7:Z32,SMALL(IF(ISNUMBER(Z7:Z32),IF(Z7:Z32&gt;0,IF(AC7:AC32&lt;&gt;"",ROW(Z7:Z32)-MIN(ROW(Z7:Z32))+1))),ROW()-ROW(A$35)+1)),"##0")," ",SUBSTITUTE(INDEX(A7:A32,SMALL(IF(ISNUMBER(Z7:Z32),IF(Z7:Z32&gt;0,IF(AC7:AC32&lt;&gt;"",ROW(Z7:Z32)-MIN(ROW(Z7:Z32))+1))),ROW()-ROW(A$35)+1))," ",";")),"")</f>
        <v/>
      </c>
      <c r="AE45" t="str">
        <f t="array" ref="AE45">IFERROR(CONCATENATE(INDEX(AH7:AH32,SMALL(IF(ISNUMBER(AE7:AE32),IF(AE7:AE32&gt;0,IF(AH7:AH32&lt;&gt;"",ROW(AE7:AE32)-MIN(ROW(AE7:AE32))+1))),ROW()-ROW(A$35)+1)),"|",TEXT(INDEX(AE7:AE32,SMALL(IF(ISNUMBER(AE7:AE32),IF(AE7:AE32&gt;0,IF(AH7:AH32&lt;&gt;"",ROW(AE7:AE32)-MIN(ROW(AE7:AE32))+1))),ROW()-ROW(A$35)+1)),"##0"),"|",SUBSTITUTE(SUBSTITUTE(INDEX(A7:A32,SMALL(IF(ISNUMBER(AE7:AE32),IF(AE7:AE32&gt;0,IF(AH7:AH32&lt;&gt;"",ROW(AE7:AE32)-MIN(ROW(AE7:AE32))+1))),ROW()-ROW(A$35)+1)),"|",";")," ","_")),"")</f>
        <v/>
      </c>
      <c r="AJ45" t="str">
        <f t="array" ref="AJ45">IFERROR(CONCATENATE(INDEX(AM7:AM32,SMALL(IF(ISNUMBER(AJ7:AJ32),IF(AJ7:AJ32&gt;0,IF(AM7:AM32&lt;&gt;"",ROW(AJ7:AJ32)-MIN(ROW(AJ7:AJ32))+1))),ROW()-ROW(A$35)+1)),",",TEXT(INDEX(AJ7:AJ32,SMALL(IF(ISNUMBER(AJ7:AJ32),IF(AJ7:AJ32&gt;0,IF(AM7:AM32&lt;&gt;"",ROW(AJ7:AJ32)-MIN(ROW(AJ7:AJ32))+1))),ROW()-ROW(A$35)+1)),"##0"),",",SUBSTITUTE(INDEX(A7:A32,SMALL(IF(ISNUMBER(AJ7:AJ32),IF(AJ7:AJ32&gt;0,IF(AM7:AM32&lt;&gt;"",ROW(AJ7:AJ32)-MIN(ROW(AJ7:AJ32))+1))),ROW()-ROW(A$35)+1)),",",";")),"")</f>
        <v/>
      </c>
      <c r="AO45" t="str">
        <f t="array" ref="AO45">IFERROR(CONCATENATE(INDEX(AR7:AR32,SMALL(IF(ISNUMBER(AO7:AO32),IF(AO7:AO32&gt;0,IF(AR7:AR32&lt;&gt;"",ROW(AO7:AO32)-MIN(ROW(AO7:AO32))+1))),ROW()-ROW(A$35)+1))," ",TEXT(INDEX(AO7:AO32,SMALL(IF(ISNUMBER(AO7:AO32),IF(AO7:AO32&gt;0,IF(AR7:AR32&lt;&gt;"",ROW(AO7:AO32)-MIN(ROW(AO7:AO32))+1))),ROW()-ROW(A$35)+1)),"##0")," ",SUBSTITUTE(INDEX(A7:A32,SMALL(IF(ISNUMBER(AO7:AO32),IF(AO7:AO32&gt;0,IF(AR7:AR32&lt;&gt;"",ROW(AO7:AO32)-MIN(ROW(AO7:AO32))+1))),ROW()-ROW(A$35)+1))," ",";")),"")</f>
        <v/>
      </c>
      <c r="AT45" t="str">
        <f t="array" ref="AT45">IFERROR(CONCATENATE(INDEX(AW7:AW32,SMALL(IF(ISNUMBER(AT7:AT32),IF(AT7:AT32&gt;0,IF(AW7:AW32&lt;&gt;"",ROW(AT7:AT32)-MIN(ROW(AT7:AT32))+1))),ROW()-ROW(A$35)+1))," ",TEXT(INDEX(AT7:AT32,SMALL(IF(ISNUMBER(AT7:AT32),IF(AT7:AT32&gt;0,IF(AW7:AW32&lt;&gt;"",ROW(AT7:AT32)-MIN(ROW(AT7:AT32))+1))),ROW()-ROW(A$35)+1)),"##0")," ",SUBSTITUTE(INDEX(A7:A32,SMALL(IF(ISNUMBER(AT7:AT32),IF(AT7:AT32&gt;0,IF(AW7:AW32&lt;&gt;"",ROW(AT7:AT32)-MIN(ROW(AT7:AT32))+1))),ROW()-ROW(A$35)+1))," ",";")),"")</f>
        <v/>
      </c>
    </row>
    <row r="46" spans="1:48" x14ac:dyDescent="0.3">
      <c r="P46" t="str">
        <f t="array" ref="P46">IFERROR(CONCATENATE(INDEX(S7:S32,SMALL(IF(ISNUMBER(P7:P32),IF(P7:P32&gt;0,IF(S7:S32&lt;&gt;"",ROW(P7:P32)-MIN(ROW(P7:P32))+1))),ROW()-ROW(A$35)+1)),",",TEXT(INDEX(P7:P32,SMALL(IF(ISNUMBER(P7:P32),IF(P7:P32&gt;0,IF(S7:S32&lt;&gt;"",ROW(P7:P32)-MIN(ROW(P7:P32))+1))),ROW()-ROW(A$35)+1)),"##0"),",",SUBSTITUTE(INDEX(A7:A32,SMALL(IF(ISNUMBER(P7:P32),IF(P7:P32&gt;0,IF(S7:S32&lt;&gt;"",ROW(P7:P32)-MIN(ROW(P7:P32))+1))),ROW()-ROW(A$35)+1)),",",";")),"")</f>
        <v/>
      </c>
      <c r="U46" t="str">
        <f t="array" ref="U46">IFERROR(CONCATENATE(TEXT(INDEX(U7:U32,SMALL(IF(ISNUMBER(U7:U32),IF(U7:U32&gt;0,IF(X7:X32&lt;&gt;"",ROW(U7:U32)-MIN(ROW(U7:U32))+1))),ROW()-ROW(A$35)+1)),"##0"),",",INDEX(X7:X32,SMALL(IF(ISNUMBER(U7:U32),IF(U7:U32&gt;0,IF(X7:X32&lt;&gt;"",ROW(U7:U32)-MIN(ROW(U7:U32))+1))),ROW()-ROW(A$35)+1)),",",SUBSTITUTE(INDEX(A7:A32,SMALL(IF(ISNUMBER(U7:U32),IF(U7:U32&gt;0,IF(X7:X32&lt;&gt;"",ROW(U7:U32)-MIN(ROW(U7:U32))+1))),ROW()-ROW(A$35)+1)),",",";")),"")</f>
        <v>1,MAX4643EUA+-ND,IC6</v>
      </c>
      <c r="Z46" t="str">
        <f t="array" ref="Z46">IFERROR(CONCATENATE(INDEX(AC7:AC32,SMALL(IF(ISNUMBER(Z7:Z32),IF(Z7:Z32&gt;0,IF(AC7:AC32&lt;&gt;"",ROW(Z7:Z32)-MIN(ROW(Z7:Z32))+1))),ROW()-ROW(A$35)+1))," ",TEXT(INDEX(Z7:Z32,SMALL(IF(ISNUMBER(Z7:Z32),IF(Z7:Z32&gt;0,IF(AC7:AC32&lt;&gt;"",ROW(Z7:Z32)-MIN(ROW(Z7:Z32))+1))),ROW()-ROW(A$35)+1)),"##0")," ",SUBSTITUTE(INDEX(A7:A32,SMALL(IF(ISNUMBER(Z7:Z32),IF(Z7:Z32&gt;0,IF(AC7:AC32&lt;&gt;"",ROW(Z7:Z32)-MIN(ROW(Z7:Z32))+1))),ROW()-ROW(A$35)+1))," ",";")),"")</f>
        <v/>
      </c>
      <c r="AE46" t="str">
        <f t="array" ref="AE46">IFERROR(CONCATENATE(INDEX(AH7:AH32,SMALL(IF(ISNUMBER(AE7:AE32),IF(AE7:AE32&gt;0,IF(AH7:AH32&lt;&gt;"",ROW(AE7:AE32)-MIN(ROW(AE7:AE32))+1))),ROW()-ROW(A$35)+1)),"|",TEXT(INDEX(AE7:AE32,SMALL(IF(ISNUMBER(AE7:AE32),IF(AE7:AE32&gt;0,IF(AH7:AH32&lt;&gt;"",ROW(AE7:AE32)-MIN(ROW(AE7:AE32))+1))),ROW()-ROW(A$35)+1)),"##0"),"|",SUBSTITUTE(SUBSTITUTE(INDEX(A7:A32,SMALL(IF(ISNUMBER(AE7:AE32),IF(AE7:AE32&gt;0,IF(AH7:AH32&lt;&gt;"",ROW(AE7:AE32)-MIN(ROW(AE7:AE32))+1))),ROW()-ROW(A$35)+1)),"|",";")," ","_")),"")</f>
        <v/>
      </c>
      <c r="AJ46" t="str">
        <f t="array" ref="AJ46">IFERROR(CONCATENATE(INDEX(AM7:AM32,SMALL(IF(ISNUMBER(AJ7:AJ32),IF(AJ7:AJ32&gt;0,IF(AM7:AM32&lt;&gt;"",ROW(AJ7:AJ32)-MIN(ROW(AJ7:AJ32))+1))),ROW()-ROW(A$35)+1)),",",TEXT(INDEX(AJ7:AJ32,SMALL(IF(ISNUMBER(AJ7:AJ32),IF(AJ7:AJ32&gt;0,IF(AM7:AM32&lt;&gt;"",ROW(AJ7:AJ32)-MIN(ROW(AJ7:AJ32))+1))),ROW()-ROW(A$35)+1)),"##0"),",",SUBSTITUTE(INDEX(A7:A32,SMALL(IF(ISNUMBER(AJ7:AJ32),IF(AJ7:AJ32&gt;0,IF(AM7:AM32&lt;&gt;"",ROW(AJ7:AJ32)-MIN(ROW(AJ7:AJ32))+1))),ROW()-ROW(A$35)+1)),",",";")),"")</f>
        <v/>
      </c>
      <c r="AO46" t="str">
        <f t="array" ref="AO46">IFERROR(CONCATENATE(INDEX(AR7:AR32,SMALL(IF(ISNUMBER(AO7:AO32),IF(AO7:AO32&gt;0,IF(AR7:AR32&lt;&gt;"",ROW(AO7:AO32)-MIN(ROW(AO7:AO32))+1))),ROW()-ROW(A$35)+1))," ",TEXT(INDEX(AO7:AO32,SMALL(IF(ISNUMBER(AO7:AO32),IF(AO7:AO32&gt;0,IF(AR7:AR32&lt;&gt;"",ROW(AO7:AO32)-MIN(ROW(AO7:AO32))+1))),ROW()-ROW(A$35)+1)),"##0")," ",SUBSTITUTE(INDEX(A7:A32,SMALL(IF(ISNUMBER(AO7:AO32),IF(AO7:AO32&gt;0,IF(AR7:AR32&lt;&gt;"",ROW(AO7:AO32)-MIN(ROW(AO7:AO32))+1))),ROW()-ROW(A$35)+1))," ",";")),"")</f>
        <v/>
      </c>
      <c r="AT46" t="str">
        <f t="array" ref="AT46">IFERROR(CONCATENATE(INDEX(AW7:AW32,SMALL(IF(ISNUMBER(AT7:AT32),IF(AT7:AT32&gt;0,IF(AW7:AW32&lt;&gt;"",ROW(AT7:AT32)-MIN(ROW(AT7:AT32))+1))),ROW()-ROW(A$35)+1))," ",TEXT(INDEX(AT7:AT32,SMALL(IF(ISNUMBER(AT7:AT32),IF(AT7:AT32&gt;0,IF(AW7:AW32&lt;&gt;"",ROW(AT7:AT32)-MIN(ROW(AT7:AT32))+1))),ROW()-ROW(A$35)+1)),"##0")," ",SUBSTITUTE(INDEX(A7:A32,SMALL(IF(ISNUMBER(AT7:AT32),IF(AT7:AT32&gt;0,IF(AW7:AW32&lt;&gt;"",ROW(AT7:AT32)-MIN(ROW(AT7:AT32))+1))),ROW()-ROW(A$35)+1))," ",";")),"")</f>
        <v/>
      </c>
    </row>
    <row r="47" spans="1:48" x14ac:dyDescent="0.3">
      <c r="P47" t="str">
        <f t="array" ref="P47">IFERROR(CONCATENATE(INDEX(S7:S32,SMALL(IF(ISNUMBER(P7:P32),IF(P7:P32&gt;0,IF(S7:S32&lt;&gt;"",ROW(P7:P32)-MIN(ROW(P7:P32))+1))),ROW()-ROW(A$35)+1)),",",TEXT(INDEX(P7:P32,SMALL(IF(ISNUMBER(P7:P32),IF(P7:P32&gt;0,IF(S7:S32&lt;&gt;"",ROW(P7:P32)-MIN(ROW(P7:P32))+1))),ROW()-ROW(A$35)+1)),"##0"),",",SUBSTITUTE(INDEX(A7:A32,SMALL(IF(ISNUMBER(P7:P32),IF(P7:P32&gt;0,IF(S7:S32&lt;&gt;"",ROW(P7:P32)-MIN(ROW(P7:P32))+1))),ROW()-ROW(A$35)+1)),",",";")),"")</f>
        <v/>
      </c>
      <c r="U47" t="str">
        <f t="array" ref="U47">IFERROR(CONCATENATE(TEXT(INDEX(U7:U32,SMALL(IF(ISNUMBER(U7:U32),IF(U7:U32&gt;0,IF(X7:X32&lt;&gt;"",ROW(U7:U32)-MIN(ROW(U7:U32))+1))),ROW()-ROW(A$35)+1)),"##0"),",",INDEX(X7:X32,SMALL(IF(ISNUMBER(U7:U32),IF(U7:U32&gt;0,IF(X7:X32&lt;&gt;"",ROW(U7:U32)-MIN(ROW(U7:U32))+1))),ROW()-ROW(A$35)+1)),",",SUBSTITUTE(INDEX(A7:A32,SMALL(IF(ISNUMBER(U7:U32),IF(U7:U32&gt;0,IF(X7:X32&lt;&gt;"",ROW(U7:U32)-MIN(ROW(U7:U32))+1))),ROW()-ROW(A$35)+1)),",",";")),"")</f>
        <v>1,MAX4644EUT+TCT-ND,IC7</v>
      </c>
      <c r="Z47" t="str">
        <f t="array" ref="Z47">IFERROR(CONCATENATE(INDEX(AC7:AC32,SMALL(IF(ISNUMBER(Z7:Z32),IF(Z7:Z32&gt;0,IF(AC7:AC32&lt;&gt;"",ROW(Z7:Z32)-MIN(ROW(Z7:Z32))+1))),ROW()-ROW(A$35)+1))," ",TEXT(INDEX(Z7:Z32,SMALL(IF(ISNUMBER(Z7:Z32),IF(Z7:Z32&gt;0,IF(AC7:AC32&lt;&gt;"",ROW(Z7:Z32)-MIN(ROW(Z7:Z32))+1))),ROW()-ROW(A$35)+1)),"##0")," ",SUBSTITUTE(INDEX(A7:A32,SMALL(IF(ISNUMBER(Z7:Z32),IF(Z7:Z32&gt;0,IF(AC7:AC32&lt;&gt;"",ROW(Z7:Z32)-MIN(ROW(Z7:Z32))+1))),ROW()-ROW(A$35)+1))," ",";")),"")</f>
        <v/>
      </c>
      <c r="AE47" t="str">
        <f t="array" ref="AE47">IFERROR(CONCATENATE(INDEX(AH7:AH32,SMALL(IF(ISNUMBER(AE7:AE32),IF(AE7:AE32&gt;0,IF(AH7:AH32&lt;&gt;"",ROW(AE7:AE32)-MIN(ROW(AE7:AE32))+1))),ROW()-ROW(A$35)+1)),"|",TEXT(INDEX(AE7:AE32,SMALL(IF(ISNUMBER(AE7:AE32),IF(AE7:AE32&gt;0,IF(AH7:AH32&lt;&gt;"",ROW(AE7:AE32)-MIN(ROW(AE7:AE32))+1))),ROW()-ROW(A$35)+1)),"##0"),"|",SUBSTITUTE(SUBSTITUTE(INDEX(A7:A32,SMALL(IF(ISNUMBER(AE7:AE32),IF(AE7:AE32&gt;0,IF(AH7:AH32&lt;&gt;"",ROW(AE7:AE32)-MIN(ROW(AE7:AE32))+1))),ROW()-ROW(A$35)+1)),"|",";")," ","_")),"")</f>
        <v/>
      </c>
      <c r="AJ47" t="str">
        <f t="array" ref="AJ47">IFERROR(CONCATENATE(INDEX(AM7:AM32,SMALL(IF(ISNUMBER(AJ7:AJ32),IF(AJ7:AJ32&gt;0,IF(AM7:AM32&lt;&gt;"",ROW(AJ7:AJ32)-MIN(ROW(AJ7:AJ32))+1))),ROW()-ROW(A$35)+1)),",",TEXT(INDEX(AJ7:AJ32,SMALL(IF(ISNUMBER(AJ7:AJ32),IF(AJ7:AJ32&gt;0,IF(AM7:AM32&lt;&gt;"",ROW(AJ7:AJ32)-MIN(ROW(AJ7:AJ32))+1))),ROW()-ROW(A$35)+1)),"##0"),",",SUBSTITUTE(INDEX(A7:A32,SMALL(IF(ISNUMBER(AJ7:AJ32),IF(AJ7:AJ32&gt;0,IF(AM7:AM32&lt;&gt;"",ROW(AJ7:AJ32)-MIN(ROW(AJ7:AJ32))+1))),ROW()-ROW(A$35)+1)),",",";")),"")</f>
        <v/>
      </c>
      <c r="AO47" t="str">
        <f t="array" ref="AO47">IFERROR(CONCATENATE(INDEX(AR7:AR32,SMALL(IF(ISNUMBER(AO7:AO32),IF(AO7:AO32&gt;0,IF(AR7:AR32&lt;&gt;"",ROW(AO7:AO32)-MIN(ROW(AO7:AO32))+1))),ROW()-ROW(A$35)+1))," ",TEXT(INDEX(AO7:AO32,SMALL(IF(ISNUMBER(AO7:AO32),IF(AO7:AO32&gt;0,IF(AR7:AR32&lt;&gt;"",ROW(AO7:AO32)-MIN(ROW(AO7:AO32))+1))),ROW()-ROW(A$35)+1)),"##0")," ",SUBSTITUTE(INDEX(A7:A32,SMALL(IF(ISNUMBER(AO7:AO32),IF(AO7:AO32&gt;0,IF(AR7:AR32&lt;&gt;"",ROW(AO7:AO32)-MIN(ROW(AO7:AO32))+1))),ROW()-ROW(A$35)+1))," ",";")),"")</f>
        <v/>
      </c>
      <c r="AT47" t="str">
        <f t="array" ref="AT47">IFERROR(CONCATENATE(INDEX(AW7:AW32,SMALL(IF(ISNUMBER(AT7:AT32),IF(AT7:AT32&gt;0,IF(AW7:AW32&lt;&gt;"",ROW(AT7:AT32)-MIN(ROW(AT7:AT32))+1))),ROW()-ROW(A$35)+1))," ",TEXT(INDEX(AT7:AT32,SMALL(IF(ISNUMBER(AT7:AT32),IF(AT7:AT32&gt;0,IF(AW7:AW32&lt;&gt;"",ROW(AT7:AT32)-MIN(ROW(AT7:AT32))+1))),ROW()-ROW(A$35)+1)),"##0")," ",SUBSTITUTE(INDEX(A7:A32,SMALL(IF(ISNUMBER(AT7:AT32),IF(AT7:AT32&gt;0,IF(AW7:AW32&lt;&gt;"",ROW(AT7:AT32)-MIN(ROW(AT7:AT32))+1))),ROW()-ROW(A$35)+1))," ",";")),"")</f>
        <v/>
      </c>
    </row>
    <row r="48" spans="1:48" x14ac:dyDescent="0.3">
      <c r="P48" t="str">
        <f t="array" ref="P48">IFERROR(CONCATENATE(INDEX(S7:S32,SMALL(IF(ISNUMBER(P7:P32),IF(P7:P32&gt;0,IF(S7:S32&lt;&gt;"",ROW(P7:P32)-MIN(ROW(P7:P32))+1))),ROW()-ROW(A$35)+1)),",",TEXT(INDEX(P7:P32,SMALL(IF(ISNUMBER(P7:P32),IF(P7:P32&gt;0,IF(S7:S32&lt;&gt;"",ROW(P7:P32)-MIN(ROW(P7:P32))+1))),ROW()-ROW(A$35)+1)),"##0"),",",SUBSTITUTE(INDEX(A7:A32,SMALL(IF(ISNUMBER(P7:P32),IF(P7:P32&gt;0,IF(S7:S32&lt;&gt;"",ROW(P7:P32)-MIN(ROW(P7:P32))+1))),ROW()-ROW(A$35)+1)),",",";")),"")</f>
        <v/>
      </c>
      <c r="U48" t="str">
        <f t="array" ref="U48">IFERROR(CONCATENATE(TEXT(INDEX(U7:U32,SMALL(IF(ISNUMBER(U7:U32),IF(U7:U32&gt;0,IF(X7:X32&lt;&gt;"",ROW(U7:U32)-MIN(ROW(U7:U32))+1))),ROW()-ROW(A$35)+1)),"##0"),",",INDEX(X7:X32,SMALL(IF(ISNUMBER(U7:U32),IF(U7:U32&gt;0,IF(X7:X32&lt;&gt;"",ROW(U7:U32)-MIN(ROW(U7:U32))+1))),ROW()-ROW(A$35)+1)),",",SUBSTITUTE(INDEX(A7:A32,SMALL(IF(ISNUMBER(U7:U32),IF(U7:U32&gt;0,IF(X7:X32&lt;&gt;"",ROW(U7:U32)-MIN(ROW(U7:U32))+1))),ROW()-ROW(A$35)+1)),",",";")),"")</f>
        <v>1,LTC2471IMS#PBF-ND,IC8</v>
      </c>
      <c r="Z48" t="str">
        <f t="array" ref="Z48">IFERROR(CONCATENATE(INDEX(AC7:AC32,SMALL(IF(ISNUMBER(Z7:Z32),IF(Z7:Z32&gt;0,IF(AC7:AC32&lt;&gt;"",ROW(Z7:Z32)-MIN(ROW(Z7:Z32))+1))),ROW()-ROW(A$35)+1))," ",TEXT(INDEX(Z7:Z32,SMALL(IF(ISNUMBER(Z7:Z32),IF(Z7:Z32&gt;0,IF(AC7:AC32&lt;&gt;"",ROW(Z7:Z32)-MIN(ROW(Z7:Z32))+1))),ROW()-ROW(A$35)+1)),"##0")," ",SUBSTITUTE(INDEX(A7:A32,SMALL(IF(ISNUMBER(Z7:Z32),IF(Z7:Z32&gt;0,IF(AC7:AC32&lt;&gt;"",ROW(Z7:Z32)-MIN(ROW(Z7:Z32))+1))),ROW()-ROW(A$35)+1))," ",";")),"")</f>
        <v/>
      </c>
      <c r="AE48" t="str">
        <f t="array" ref="AE48">IFERROR(CONCATENATE(INDEX(AH7:AH32,SMALL(IF(ISNUMBER(AE7:AE32),IF(AE7:AE32&gt;0,IF(AH7:AH32&lt;&gt;"",ROW(AE7:AE32)-MIN(ROW(AE7:AE32))+1))),ROW()-ROW(A$35)+1)),"|",TEXT(INDEX(AE7:AE32,SMALL(IF(ISNUMBER(AE7:AE32),IF(AE7:AE32&gt;0,IF(AH7:AH32&lt;&gt;"",ROW(AE7:AE32)-MIN(ROW(AE7:AE32))+1))),ROW()-ROW(A$35)+1)),"##0"),"|",SUBSTITUTE(SUBSTITUTE(INDEX(A7:A32,SMALL(IF(ISNUMBER(AE7:AE32),IF(AE7:AE32&gt;0,IF(AH7:AH32&lt;&gt;"",ROW(AE7:AE32)-MIN(ROW(AE7:AE32))+1))),ROW()-ROW(A$35)+1)),"|",";")," ","_")),"")</f>
        <v/>
      </c>
      <c r="AJ48" t="str">
        <f t="array" ref="AJ48">IFERROR(CONCATENATE(INDEX(AM7:AM32,SMALL(IF(ISNUMBER(AJ7:AJ32),IF(AJ7:AJ32&gt;0,IF(AM7:AM32&lt;&gt;"",ROW(AJ7:AJ32)-MIN(ROW(AJ7:AJ32))+1))),ROW()-ROW(A$35)+1)),",",TEXT(INDEX(AJ7:AJ32,SMALL(IF(ISNUMBER(AJ7:AJ32),IF(AJ7:AJ32&gt;0,IF(AM7:AM32&lt;&gt;"",ROW(AJ7:AJ32)-MIN(ROW(AJ7:AJ32))+1))),ROW()-ROW(A$35)+1)),"##0"),",",SUBSTITUTE(INDEX(A7:A32,SMALL(IF(ISNUMBER(AJ7:AJ32),IF(AJ7:AJ32&gt;0,IF(AM7:AM32&lt;&gt;"",ROW(AJ7:AJ32)-MIN(ROW(AJ7:AJ32))+1))),ROW()-ROW(A$35)+1)),",",";")),"")</f>
        <v/>
      </c>
      <c r="AO48" t="str">
        <f t="array" ref="AO48">IFERROR(CONCATENATE(INDEX(AR7:AR32,SMALL(IF(ISNUMBER(AO7:AO32),IF(AO7:AO32&gt;0,IF(AR7:AR32&lt;&gt;"",ROW(AO7:AO32)-MIN(ROW(AO7:AO32))+1))),ROW()-ROW(A$35)+1))," ",TEXT(INDEX(AO7:AO32,SMALL(IF(ISNUMBER(AO7:AO32),IF(AO7:AO32&gt;0,IF(AR7:AR32&lt;&gt;"",ROW(AO7:AO32)-MIN(ROW(AO7:AO32))+1))),ROW()-ROW(A$35)+1)),"##0")," ",SUBSTITUTE(INDEX(A7:A32,SMALL(IF(ISNUMBER(AO7:AO32),IF(AO7:AO32&gt;0,IF(AR7:AR32&lt;&gt;"",ROW(AO7:AO32)-MIN(ROW(AO7:AO32))+1))),ROW()-ROW(A$35)+1))," ",";")),"")</f>
        <v/>
      </c>
      <c r="AT48" t="str">
        <f t="array" ref="AT48">IFERROR(CONCATENATE(INDEX(AW7:AW32,SMALL(IF(ISNUMBER(AT7:AT32),IF(AT7:AT32&gt;0,IF(AW7:AW32&lt;&gt;"",ROW(AT7:AT32)-MIN(ROW(AT7:AT32))+1))),ROW()-ROW(A$35)+1))," ",TEXT(INDEX(AT7:AT32,SMALL(IF(ISNUMBER(AT7:AT32),IF(AT7:AT32&gt;0,IF(AW7:AW32&lt;&gt;"",ROW(AT7:AT32)-MIN(ROW(AT7:AT32))+1))),ROW()-ROW(A$35)+1)),"##0")," ",SUBSTITUTE(INDEX(A7:A32,SMALL(IF(ISNUMBER(AT7:AT32),IF(AT7:AT32&gt;0,IF(AW7:AW32&lt;&gt;"",ROW(AT7:AT32)-MIN(ROW(AT7:AT32))+1))),ROW()-ROW(A$35)+1))," ",";")),"")</f>
        <v/>
      </c>
    </row>
    <row r="49" spans="16:46" x14ac:dyDescent="0.3">
      <c r="P49" t="str">
        <f t="array" ref="P49">IFERROR(CONCATENATE(INDEX(S7:S32,SMALL(IF(ISNUMBER(P7:P32),IF(P7:P32&gt;0,IF(S7:S32&lt;&gt;"",ROW(P7:P32)-MIN(ROW(P7:P32))+1))),ROW()-ROW(A$35)+1)),",",TEXT(INDEX(P7:P32,SMALL(IF(ISNUMBER(P7:P32),IF(P7:P32&gt;0,IF(S7:S32&lt;&gt;"",ROW(P7:P32)-MIN(ROW(P7:P32))+1))),ROW()-ROW(A$35)+1)),"##0"),",",SUBSTITUTE(INDEX(A7:A32,SMALL(IF(ISNUMBER(P7:P32),IF(P7:P32&gt;0,IF(S7:S32&lt;&gt;"",ROW(P7:P32)-MIN(ROW(P7:P32))+1))),ROW()-ROW(A$35)+1)),",",";")),"")</f>
        <v/>
      </c>
      <c r="U49" t="str">
        <f t="array" ref="U49">IFERROR(CONCATENATE(TEXT(INDEX(U7:U32,SMALL(IF(ISNUMBER(U7:U32),IF(U7:U32&gt;0,IF(X7:X32&lt;&gt;"",ROW(U7:U32)-MIN(ROW(U7:U32))+1))),ROW()-ROW(A$35)+1)),"##0"),",",INDEX(X7:X32,SMALL(IF(ISNUMBER(U7:U32),IF(U7:U32&gt;0,IF(X7:X32&lt;&gt;"",ROW(U7:U32)-MIN(ROW(U7:U32))+1))),ROW()-ROW(A$35)+1)),",",SUBSTITUTE(INDEX(A7:A32,SMALL(IF(ISNUMBER(U7:U32),IF(U7:U32&gt;0,IF(X7:X32&lt;&gt;"",ROW(U7:U32)-MIN(ROW(U7:U32))+1))),ROW()-ROW(A$35)+1)),",",";")),"")</f>
        <v>1,VAOL-S8SB4CT-ND,LED1</v>
      </c>
      <c r="Z49" t="str">
        <f t="array" ref="Z49">IFERROR(CONCATENATE(INDEX(AC7:AC32,SMALL(IF(ISNUMBER(Z7:Z32),IF(Z7:Z32&gt;0,IF(AC7:AC32&lt;&gt;"",ROW(Z7:Z32)-MIN(ROW(Z7:Z32))+1))),ROW()-ROW(A$35)+1))," ",TEXT(INDEX(Z7:Z32,SMALL(IF(ISNUMBER(Z7:Z32),IF(Z7:Z32&gt;0,IF(AC7:AC32&lt;&gt;"",ROW(Z7:Z32)-MIN(ROW(Z7:Z32))+1))),ROW()-ROW(A$35)+1)),"##0")," ",SUBSTITUTE(INDEX(A7:A32,SMALL(IF(ISNUMBER(Z7:Z32),IF(Z7:Z32&gt;0,IF(AC7:AC32&lt;&gt;"",ROW(Z7:Z32)-MIN(ROW(Z7:Z32))+1))),ROW()-ROW(A$35)+1))," ",";")),"")</f>
        <v/>
      </c>
      <c r="AE49" t="str">
        <f t="array" ref="AE49">IFERROR(CONCATENATE(INDEX(AH7:AH32,SMALL(IF(ISNUMBER(AE7:AE32),IF(AE7:AE32&gt;0,IF(AH7:AH32&lt;&gt;"",ROW(AE7:AE32)-MIN(ROW(AE7:AE32))+1))),ROW()-ROW(A$35)+1)),"|",TEXT(INDEX(AE7:AE32,SMALL(IF(ISNUMBER(AE7:AE32),IF(AE7:AE32&gt;0,IF(AH7:AH32&lt;&gt;"",ROW(AE7:AE32)-MIN(ROW(AE7:AE32))+1))),ROW()-ROW(A$35)+1)),"##0"),"|",SUBSTITUTE(SUBSTITUTE(INDEX(A7:A32,SMALL(IF(ISNUMBER(AE7:AE32),IF(AE7:AE32&gt;0,IF(AH7:AH32&lt;&gt;"",ROW(AE7:AE32)-MIN(ROW(AE7:AE32))+1))),ROW()-ROW(A$35)+1)),"|",";")," ","_")),"")</f>
        <v/>
      </c>
      <c r="AJ49" t="str">
        <f t="array" ref="AJ49">IFERROR(CONCATENATE(INDEX(AM7:AM32,SMALL(IF(ISNUMBER(AJ7:AJ32),IF(AJ7:AJ32&gt;0,IF(AM7:AM32&lt;&gt;"",ROW(AJ7:AJ32)-MIN(ROW(AJ7:AJ32))+1))),ROW()-ROW(A$35)+1)),",",TEXT(INDEX(AJ7:AJ32,SMALL(IF(ISNUMBER(AJ7:AJ32),IF(AJ7:AJ32&gt;0,IF(AM7:AM32&lt;&gt;"",ROW(AJ7:AJ32)-MIN(ROW(AJ7:AJ32))+1))),ROW()-ROW(A$35)+1)),"##0"),",",SUBSTITUTE(INDEX(A7:A32,SMALL(IF(ISNUMBER(AJ7:AJ32),IF(AJ7:AJ32&gt;0,IF(AM7:AM32&lt;&gt;"",ROW(AJ7:AJ32)-MIN(ROW(AJ7:AJ32))+1))),ROW()-ROW(A$35)+1)),",",";")),"")</f>
        <v/>
      </c>
      <c r="AO49" t="str">
        <f t="array" ref="AO49">IFERROR(CONCATENATE(INDEX(AR7:AR32,SMALL(IF(ISNUMBER(AO7:AO32),IF(AO7:AO32&gt;0,IF(AR7:AR32&lt;&gt;"",ROW(AO7:AO32)-MIN(ROW(AO7:AO32))+1))),ROW()-ROW(A$35)+1))," ",TEXT(INDEX(AO7:AO32,SMALL(IF(ISNUMBER(AO7:AO32),IF(AO7:AO32&gt;0,IF(AR7:AR32&lt;&gt;"",ROW(AO7:AO32)-MIN(ROW(AO7:AO32))+1))),ROW()-ROW(A$35)+1)),"##0")," ",SUBSTITUTE(INDEX(A7:A32,SMALL(IF(ISNUMBER(AO7:AO32),IF(AO7:AO32&gt;0,IF(AR7:AR32&lt;&gt;"",ROW(AO7:AO32)-MIN(ROW(AO7:AO32))+1))),ROW()-ROW(A$35)+1))," ",";")),"")</f>
        <v/>
      </c>
      <c r="AT49" t="str">
        <f t="array" ref="AT49">IFERROR(CONCATENATE(INDEX(AW7:AW32,SMALL(IF(ISNUMBER(AT7:AT32),IF(AT7:AT32&gt;0,IF(AW7:AW32&lt;&gt;"",ROW(AT7:AT32)-MIN(ROW(AT7:AT32))+1))),ROW()-ROW(A$35)+1))," ",TEXT(INDEX(AT7:AT32,SMALL(IF(ISNUMBER(AT7:AT32),IF(AT7:AT32&gt;0,IF(AW7:AW32&lt;&gt;"",ROW(AT7:AT32)-MIN(ROW(AT7:AT32))+1))),ROW()-ROW(A$35)+1)),"##0")," ",SUBSTITUTE(INDEX(A7:A32,SMALL(IF(ISNUMBER(AT7:AT32),IF(AT7:AT32&gt;0,IF(AW7:AW32&lt;&gt;"",ROW(AT7:AT32)-MIN(ROW(AT7:AT32))+1))),ROW()-ROW(A$35)+1))," ",";")),"")</f>
        <v/>
      </c>
    </row>
    <row r="50" spans="16:46" x14ac:dyDescent="0.3">
      <c r="P50" t="str">
        <f t="array" ref="P50">IFERROR(CONCATENATE(INDEX(S7:S32,SMALL(IF(ISNUMBER(P7:P32),IF(P7:P32&gt;0,IF(S7:S32&lt;&gt;"",ROW(P7:P32)-MIN(ROW(P7:P32))+1))),ROW()-ROW(A$35)+1)),",",TEXT(INDEX(P7:P32,SMALL(IF(ISNUMBER(P7:P32),IF(P7:P32&gt;0,IF(S7:S32&lt;&gt;"",ROW(P7:P32)-MIN(ROW(P7:P32))+1))),ROW()-ROW(A$35)+1)),"##0"),",",SUBSTITUTE(INDEX(A7:A32,SMALL(IF(ISNUMBER(P7:P32),IF(P7:P32&gt;0,IF(S7:S32&lt;&gt;"",ROW(P7:P32)-MIN(ROW(P7:P32))+1))),ROW()-ROW(A$35)+1)),",",";")),"")</f>
        <v/>
      </c>
      <c r="U50" t="str">
        <f t="array" ref="U50">IFERROR(CONCATENATE(TEXT(INDEX(U7:U32,SMALL(IF(ISNUMBER(U7:U32),IF(U7:U32&gt;0,IF(X7:X32&lt;&gt;"",ROW(U7:U32)-MIN(ROW(U7:U32))+1))),ROW()-ROW(A$35)+1)),"##0"),",",INDEX(X7:X32,SMALL(IF(ISNUMBER(U7:U32),IF(U7:U32&gt;0,IF(X7:X32&lt;&gt;"",ROW(U7:U32)-MIN(ROW(U7:U32))+1))),ROW()-ROW(A$35)+1)),",",SUBSTITUTE(INDEX(A7:A32,SMALL(IF(ISNUMBER(U7:U32),IF(U7:U32&gt;0,IF(X7:X32&lt;&gt;"",ROW(U7:U32)-MIN(ROW(U7:U32))+1))),ROW()-ROW(A$35)+1)),",",";")),"")</f>
        <v>1,CP-032HPJCT-ND,P1</v>
      </c>
      <c r="Z50" t="str">
        <f t="array" ref="Z50">IFERROR(CONCATENATE(INDEX(AC7:AC32,SMALL(IF(ISNUMBER(Z7:Z32),IF(Z7:Z32&gt;0,IF(AC7:AC32&lt;&gt;"",ROW(Z7:Z32)-MIN(ROW(Z7:Z32))+1))),ROW()-ROW(A$35)+1))," ",TEXT(INDEX(Z7:Z32,SMALL(IF(ISNUMBER(Z7:Z32),IF(Z7:Z32&gt;0,IF(AC7:AC32&lt;&gt;"",ROW(Z7:Z32)-MIN(ROW(Z7:Z32))+1))),ROW()-ROW(A$35)+1)),"##0")," ",SUBSTITUTE(INDEX(A7:A32,SMALL(IF(ISNUMBER(Z7:Z32),IF(Z7:Z32&gt;0,IF(AC7:AC32&lt;&gt;"",ROW(Z7:Z32)-MIN(ROW(Z7:Z32))+1))),ROW()-ROW(A$35)+1))," ",";")),"")</f>
        <v/>
      </c>
      <c r="AE50" t="str">
        <f t="array" ref="AE50">IFERROR(CONCATENATE(INDEX(AH7:AH32,SMALL(IF(ISNUMBER(AE7:AE32),IF(AE7:AE32&gt;0,IF(AH7:AH32&lt;&gt;"",ROW(AE7:AE32)-MIN(ROW(AE7:AE32))+1))),ROW()-ROW(A$35)+1)),"|",TEXT(INDEX(AE7:AE32,SMALL(IF(ISNUMBER(AE7:AE32),IF(AE7:AE32&gt;0,IF(AH7:AH32&lt;&gt;"",ROW(AE7:AE32)-MIN(ROW(AE7:AE32))+1))),ROW()-ROW(A$35)+1)),"##0"),"|",SUBSTITUTE(SUBSTITUTE(INDEX(A7:A32,SMALL(IF(ISNUMBER(AE7:AE32),IF(AE7:AE32&gt;0,IF(AH7:AH32&lt;&gt;"",ROW(AE7:AE32)-MIN(ROW(AE7:AE32))+1))),ROW()-ROW(A$35)+1)),"|",";")," ","_")),"")</f>
        <v/>
      </c>
      <c r="AJ50" t="str">
        <f t="array" ref="AJ50">IFERROR(CONCATENATE(INDEX(AM7:AM32,SMALL(IF(ISNUMBER(AJ7:AJ32),IF(AJ7:AJ32&gt;0,IF(AM7:AM32&lt;&gt;"",ROW(AJ7:AJ32)-MIN(ROW(AJ7:AJ32))+1))),ROW()-ROW(A$35)+1)),",",TEXT(INDEX(AJ7:AJ32,SMALL(IF(ISNUMBER(AJ7:AJ32),IF(AJ7:AJ32&gt;0,IF(AM7:AM32&lt;&gt;"",ROW(AJ7:AJ32)-MIN(ROW(AJ7:AJ32))+1))),ROW()-ROW(A$35)+1)),"##0"),",",SUBSTITUTE(INDEX(A7:A32,SMALL(IF(ISNUMBER(AJ7:AJ32),IF(AJ7:AJ32&gt;0,IF(AM7:AM32&lt;&gt;"",ROW(AJ7:AJ32)-MIN(ROW(AJ7:AJ32))+1))),ROW()-ROW(A$35)+1)),",",";")),"")</f>
        <v/>
      </c>
      <c r="AO50" t="str">
        <f t="array" ref="AO50">IFERROR(CONCATENATE(INDEX(AR7:AR32,SMALL(IF(ISNUMBER(AO7:AO32),IF(AO7:AO32&gt;0,IF(AR7:AR32&lt;&gt;"",ROW(AO7:AO32)-MIN(ROW(AO7:AO32))+1))),ROW()-ROW(A$35)+1))," ",TEXT(INDEX(AO7:AO32,SMALL(IF(ISNUMBER(AO7:AO32),IF(AO7:AO32&gt;0,IF(AR7:AR32&lt;&gt;"",ROW(AO7:AO32)-MIN(ROW(AO7:AO32))+1))),ROW()-ROW(A$35)+1)),"##0")," ",SUBSTITUTE(INDEX(A7:A32,SMALL(IF(ISNUMBER(AO7:AO32),IF(AO7:AO32&gt;0,IF(AR7:AR32&lt;&gt;"",ROW(AO7:AO32)-MIN(ROW(AO7:AO32))+1))),ROW()-ROW(A$35)+1))," ",";")),"")</f>
        <v/>
      </c>
      <c r="AT50" t="str">
        <f t="array" ref="AT50">IFERROR(CONCATENATE(INDEX(AW7:AW32,SMALL(IF(ISNUMBER(AT7:AT32),IF(AT7:AT32&gt;0,IF(AW7:AW32&lt;&gt;"",ROW(AT7:AT32)-MIN(ROW(AT7:AT32))+1))),ROW()-ROW(A$35)+1))," ",TEXT(INDEX(AT7:AT32,SMALL(IF(ISNUMBER(AT7:AT32),IF(AT7:AT32&gt;0,IF(AW7:AW32&lt;&gt;"",ROW(AT7:AT32)-MIN(ROW(AT7:AT32))+1))),ROW()-ROW(A$35)+1)),"##0")," ",SUBSTITUTE(INDEX(A7:A32,SMALL(IF(ISNUMBER(AT7:AT32),IF(AT7:AT32&gt;0,IF(AW7:AW32&lt;&gt;"",ROW(AT7:AT32)-MIN(ROW(AT7:AT32))+1))),ROW()-ROW(A$35)+1))," ",";")),"")</f>
        <v/>
      </c>
    </row>
    <row r="51" spans="16:46" x14ac:dyDescent="0.3">
      <c r="P51" t="str">
        <f t="array" ref="P51">IFERROR(CONCATENATE(INDEX(S7:S32,SMALL(IF(ISNUMBER(P7:P32),IF(P7:P32&gt;0,IF(S7:S32&lt;&gt;"",ROW(P7:P32)-MIN(ROW(P7:P32))+1))),ROW()-ROW(A$35)+1)),",",TEXT(INDEX(P7:P32,SMALL(IF(ISNUMBER(P7:P32),IF(P7:P32&gt;0,IF(S7:S32&lt;&gt;"",ROW(P7:P32)-MIN(ROW(P7:P32))+1))),ROW()-ROW(A$35)+1)),"##0"),",",SUBSTITUTE(INDEX(A7:A32,SMALL(IF(ISNUMBER(P7:P32),IF(P7:P32&gt;0,IF(S7:S32&lt;&gt;"",ROW(P7:P32)-MIN(ROW(P7:P32))+1))),ROW()-ROW(A$35)+1)),",",";")),"")</f>
        <v/>
      </c>
      <c r="U51" t="str">
        <f t="array" ref="U51">IFERROR(CONCATENATE(TEXT(INDEX(U7:U32,SMALL(IF(ISNUMBER(U7:U32),IF(U7:U32&gt;0,IF(X7:X32&lt;&gt;"",ROW(U7:U32)-MIN(ROW(U7:U32))+1))),ROW()-ROW(A$35)+1)),"##0"),",",INDEX(X7:X32,SMALL(IF(ISNUMBER(U7:U32),IF(U7:U32&gt;0,IF(X7:X32&lt;&gt;"",ROW(U7:U32)-MIN(ROW(U7:U32))+1))),ROW()-ROW(A$35)+1)),",",SUBSTITUTE(INDEX(A7:A32,SMALL(IF(ISNUMBER(U7:U32),IF(U7:U32&gt;0,IF(X7:X32&lt;&gt;"",ROW(U7:U32)-MIN(ROW(U7:U32))+1))),ROW()-ROW(A$35)+1)),",",";")),"")</f>
        <v>1,GH7540CT-ND,P2</v>
      </c>
      <c r="Z51" t="str">
        <f t="array" ref="Z51">IFERROR(CONCATENATE(INDEX(AC7:AC32,SMALL(IF(ISNUMBER(Z7:Z32),IF(Z7:Z32&gt;0,IF(AC7:AC32&lt;&gt;"",ROW(Z7:Z32)-MIN(ROW(Z7:Z32))+1))),ROW()-ROW(A$35)+1))," ",TEXT(INDEX(Z7:Z32,SMALL(IF(ISNUMBER(Z7:Z32),IF(Z7:Z32&gt;0,IF(AC7:AC32&lt;&gt;"",ROW(Z7:Z32)-MIN(ROW(Z7:Z32))+1))),ROW()-ROW(A$35)+1)),"##0")," ",SUBSTITUTE(INDEX(A7:A32,SMALL(IF(ISNUMBER(Z7:Z32),IF(Z7:Z32&gt;0,IF(AC7:AC32&lt;&gt;"",ROW(Z7:Z32)-MIN(ROW(Z7:Z32))+1))),ROW()-ROW(A$35)+1))," ",";")),"")</f>
        <v/>
      </c>
      <c r="AE51" t="str">
        <f t="array" ref="AE51">IFERROR(CONCATENATE(INDEX(AH7:AH32,SMALL(IF(ISNUMBER(AE7:AE32),IF(AE7:AE32&gt;0,IF(AH7:AH32&lt;&gt;"",ROW(AE7:AE32)-MIN(ROW(AE7:AE32))+1))),ROW()-ROW(A$35)+1)),"|",TEXT(INDEX(AE7:AE32,SMALL(IF(ISNUMBER(AE7:AE32),IF(AE7:AE32&gt;0,IF(AH7:AH32&lt;&gt;"",ROW(AE7:AE32)-MIN(ROW(AE7:AE32))+1))),ROW()-ROW(A$35)+1)),"##0"),"|",SUBSTITUTE(SUBSTITUTE(INDEX(A7:A32,SMALL(IF(ISNUMBER(AE7:AE32),IF(AE7:AE32&gt;0,IF(AH7:AH32&lt;&gt;"",ROW(AE7:AE32)-MIN(ROW(AE7:AE32))+1))),ROW()-ROW(A$35)+1)),"|",";")," ","_")),"")</f>
        <v/>
      </c>
      <c r="AJ51" t="str">
        <f t="array" ref="AJ51">IFERROR(CONCATENATE(INDEX(AM7:AM32,SMALL(IF(ISNUMBER(AJ7:AJ32),IF(AJ7:AJ32&gt;0,IF(AM7:AM32&lt;&gt;"",ROW(AJ7:AJ32)-MIN(ROW(AJ7:AJ32))+1))),ROW()-ROW(A$35)+1)),",",TEXT(INDEX(AJ7:AJ32,SMALL(IF(ISNUMBER(AJ7:AJ32),IF(AJ7:AJ32&gt;0,IF(AM7:AM32&lt;&gt;"",ROW(AJ7:AJ32)-MIN(ROW(AJ7:AJ32))+1))),ROW()-ROW(A$35)+1)),"##0"),",",SUBSTITUTE(INDEX(A7:A32,SMALL(IF(ISNUMBER(AJ7:AJ32),IF(AJ7:AJ32&gt;0,IF(AM7:AM32&lt;&gt;"",ROW(AJ7:AJ32)-MIN(ROW(AJ7:AJ32))+1))),ROW()-ROW(A$35)+1)),",",";")),"")</f>
        <v/>
      </c>
      <c r="AO51" t="str">
        <f t="array" ref="AO51">IFERROR(CONCATENATE(INDEX(AR7:AR32,SMALL(IF(ISNUMBER(AO7:AO32),IF(AO7:AO32&gt;0,IF(AR7:AR32&lt;&gt;"",ROW(AO7:AO32)-MIN(ROW(AO7:AO32))+1))),ROW()-ROW(A$35)+1))," ",TEXT(INDEX(AO7:AO32,SMALL(IF(ISNUMBER(AO7:AO32),IF(AO7:AO32&gt;0,IF(AR7:AR32&lt;&gt;"",ROW(AO7:AO32)-MIN(ROW(AO7:AO32))+1))),ROW()-ROW(A$35)+1)),"##0")," ",SUBSTITUTE(INDEX(A7:A32,SMALL(IF(ISNUMBER(AO7:AO32),IF(AO7:AO32&gt;0,IF(AR7:AR32&lt;&gt;"",ROW(AO7:AO32)-MIN(ROW(AO7:AO32))+1))),ROW()-ROW(A$35)+1))," ",";")),"")</f>
        <v/>
      </c>
      <c r="AT51" t="str">
        <f t="array" ref="AT51">IFERROR(CONCATENATE(INDEX(AW7:AW32,SMALL(IF(ISNUMBER(AT7:AT32),IF(AT7:AT32&gt;0,IF(AW7:AW32&lt;&gt;"",ROW(AT7:AT32)-MIN(ROW(AT7:AT32))+1))),ROW()-ROW(A$35)+1))," ",TEXT(INDEX(AT7:AT32,SMALL(IF(ISNUMBER(AT7:AT32),IF(AT7:AT32&gt;0,IF(AW7:AW32&lt;&gt;"",ROW(AT7:AT32)-MIN(ROW(AT7:AT32))+1))),ROW()-ROW(A$35)+1)),"##0")," ",SUBSTITUTE(INDEX(A7:A32,SMALL(IF(ISNUMBER(AT7:AT32),IF(AT7:AT32&gt;0,IF(AW7:AW32&lt;&gt;"",ROW(AT7:AT32)-MIN(ROW(AT7:AT32))+1))),ROW()-ROW(A$35)+1))," ",";")),"")</f>
        <v/>
      </c>
    </row>
    <row r="52" spans="16:46" x14ac:dyDescent="0.3">
      <c r="P52" t="str">
        <f t="array" ref="P52">IFERROR(CONCATENATE(INDEX(S7:S32,SMALL(IF(ISNUMBER(P7:P32),IF(P7:P32&gt;0,IF(S7:S32&lt;&gt;"",ROW(P7:P32)-MIN(ROW(P7:P32))+1))),ROW()-ROW(A$35)+1)),",",TEXT(INDEX(P7:P32,SMALL(IF(ISNUMBER(P7:P32),IF(P7:P32&gt;0,IF(S7:S32&lt;&gt;"",ROW(P7:P32)-MIN(ROW(P7:P32))+1))),ROW()-ROW(A$35)+1)),"##0"),",",SUBSTITUTE(INDEX(A7:A32,SMALL(IF(ISNUMBER(P7:P32),IF(P7:P32&gt;0,IF(S7:S32&lt;&gt;"",ROW(P7:P32)-MIN(ROW(P7:P32))+1))),ROW()-ROW(A$35)+1)),",",";")),"")</f>
        <v/>
      </c>
      <c r="U52" t="str">
        <f t="array" ref="U52">IFERROR(CONCATENATE(TEXT(INDEX(U7:U32,SMALL(IF(ISNUMBER(U7:U32),IF(U7:U32&gt;0,IF(X7:X32&lt;&gt;"",ROW(U7:U32)-MIN(ROW(U7:U32))+1))),ROW()-ROW(A$35)+1)),"##0"),",",INDEX(X7:X32,SMALL(IF(ISNUMBER(U7:U32),IF(U7:U32&gt;0,IF(X7:X32&lt;&gt;"",ROW(U7:U32)-MIN(ROW(U7:U32))+1))),ROW()-ROW(A$35)+1)),",",SUBSTITUTE(INDEX(A7:A32,SMALL(IF(ISNUMBER(U7:U32),IF(U7:U32&gt;0,IF(X7:X32&lt;&gt;"",ROW(U7:U32)-MIN(ROW(U7:U32))+1))),ROW()-ROW(A$35)+1)),",",";")),"")</f>
        <v>1,RR12P1.2KDCT-ND,R1</v>
      </c>
      <c r="Z52" t="str">
        <f t="array" ref="Z52">IFERROR(CONCATENATE(INDEX(AC7:AC32,SMALL(IF(ISNUMBER(Z7:Z32),IF(Z7:Z32&gt;0,IF(AC7:AC32&lt;&gt;"",ROW(Z7:Z32)-MIN(ROW(Z7:Z32))+1))),ROW()-ROW(A$35)+1))," ",TEXT(INDEX(Z7:Z32,SMALL(IF(ISNUMBER(Z7:Z32),IF(Z7:Z32&gt;0,IF(AC7:AC32&lt;&gt;"",ROW(Z7:Z32)-MIN(ROW(Z7:Z32))+1))),ROW()-ROW(A$35)+1)),"##0")," ",SUBSTITUTE(INDEX(A7:A32,SMALL(IF(ISNUMBER(Z7:Z32),IF(Z7:Z32&gt;0,IF(AC7:AC32&lt;&gt;"",ROW(Z7:Z32)-MIN(ROW(Z7:Z32))+1))),ROW()-ROW(A$35)+1))," ",";")),"")</f>
        <v/>
      </c>
      <c r="AE52" t="str">
        <f t="array" ref="AE52">IFERROR(CONCATENATE(INDEX(AH7:AH32,SMALL(IF(ISNUMBER(AE7:AE32),IF(AE7:AE32&gt;0,IF(AH7:AH32&lt;&gt;"",ROW(AE7:AE32)-MIN(ROW(AE7:AE32))+1))),ROW()-ROW(A$35)+1)),"|",TEXT(INDEX(AE7:AE32,SMALL(IF(ISNUMBER(AE7:AE32),IF(AE7:AE32&gt;0,IF(AH7:AH32&lt;&gt;"",ROW(AE7:AE32)-MIN(ROW(AE7:AE32))+1))),ROW()-ROW(A$35)+1)),"##0"),"|",SUBSTITUTE(SUBSTITUTE(INDEX(A7:A32,SMALL(IF(ISNUMBER(AE7:AE32),IF(AE7:AE32&gt;0,IF(AH7:AH32&lt;&gt;"",ROW(AE7:AE32)-MIN(ROW(AE7:AE32))+1))),ROW()-ROW(A$35)+1)),"|",";")," ","_")),"")</f>
        <v/>
      </c>
      <c r="AJ52" t="str">
        <f t="array" ref="AJ52">IFERROR(CONCATENATE(INDEX(AM7:AM32,SMALL(IF(ISNUMBER(AJ7:AJ32),IF(AJ7:AJ32&gt;0,IF(AM7:AM32&lt;&gt;"",ROW(AJ7:AJ32)-MIN(ROW(AJ7:AJ32))+1))),ROW()-ROW(A$35)+1)),",",TEXT(INDEX(AJ7:AJ32,SMALL(IF(ISNUMBER(AJ7:AJ32),IF(AJ7:AJ32&gt;0,IF(AM7:AM32&lt;&gt;"",ROW(AJ7:AJ32)-MIN(ROW(AJ7:AJ32))+1))),ROW()-ROW(A$35)+1)),"##0"),",",SUBSTITUTE(INDEX(A7:A32,SMALL(IF(ISNUMBER(AJ7:AJ32),IF(AJ7:AJ32&gt;0,IF(AM7:AM32&lt;&gt;"",ROW(AJ7:AJ32)-MIN(ROW(AJ7:AJ32))+1))),ROW()-ROW(A$35)+1)),",",";")),"")</f>
        <v/>
      </c>
      <c r="AO52" t="str">
        <f t="array" ref="AO52">IFERROR(CONCATENATE(INDEX(AR7:AR32,SMALL(IF(ISNUMBER(AO7:AO32),IF(AO7:AO32&gt;0,IF(AR7:AR32&lt;&gt;"",ROW(AO7:AO32)-MIN(ROW(AO7:AO32))+1))),ROW()-ROW(A$35)+1))," ",TEXT(INDEX(AO7:AO32,SMALL(IF(ISNUMBER(AO7:AO32),IF(AO7:AO32&gt;0,IF(AR7:AR32&lt;&gt;"",ROW(AO7:AO32)-MIN(ROW(AO7:AO32))+1))),ROW()-ROW(A$35)+1)),"##0")," ",SUBSTITUTE(INDEX(A7:A32,SMALL(IF(ISNUMBER(AO7:AO32),IF(AO7:AO32&gt;0,IF(AR7:AR32&lt;&gt;"",ROW(AO7:AO32)-MIN(ROW(AO7:AO32))+1))),ROW()-ROW(A$35)+1))," ",";")),"")</f>
        <v/>
      </c>
      <c r="AT52" t="str">
        <f t="array" ref="AT52">IFERROR(CONCATENATE(INDEX(AW7:AW32,SMALL(IF(ISNUMBER(AT7:AT32),IF(AT7:AT32&gt;0,IF(AW7:AW32&lt;&gt;"",ROW(AT7:AT32)-MIN(ROW(AT7:AT32))+1))),ROW()-ROW(A$35)+1))," ",TEXT(INDEX(AT7:AT32,SMALL(IF(ISNUMBER(AT7:AT32),IF(AT7:AT32&gt;0,IF(AW7:AW32&lt;&gt;"",ROW(AT7:AT32)-MIN(ROW(AT7:AT32))+1))),ROW()-ROW(A$35)+1)),"##0")," ",SUBSTITUTE(INDEX(A7:A32,SMALL(IF(ISNUMBER(AT7:AT32),IF(AT7:AT32&gt;0,IF(AW7:AW32&lt;&gt;"",ROW(AT7:AT32)-MIN(ROW(AT7:AT32))+1))),ROW()-ROW(A$35)+1))," ",";")),"")</f>
        <v/>
      </c>
    </row>
    <row r="53" spans="16:46" x14ac:dyDescent="0.3">
      <c r="P53" t="str">
        <f t="array" ref="P53">IFERROR(CONCATENATE(INDEX(S7:S32,SMALL(IF(ISNUMBER(P7:P32),IF(P7:P32&gt;0,IF(S7:S32&lt;&gt;"",ROW(P7:P32)-MIN(ROW(P7:P32))+1))),ROW()-ROW(A$35)+1)),",",TEXT(INDEX(P7:P32,SMALL(IF(ISNUMBER(P7:P32),IF(P7:P32&gt;0,IF(S7:S32&lt;&gt;"",ROW(P7:P32)-MIN(ROW(P7:P32))+1))),ROW()-ROW(A$35)+1)),"##0"),",",SUBSTITUTE(INDEX(A7:A32,SMALL(IF(ISNUMBER(P7:P32),IF(P7:P32&gt;0,IF(S7:S32&lt;&gt;"",ROW(P7:P32)-MIN(ROW(P7:P32))+1))),ROW()-ROW(A$35)+1)),",",";")),"")</f>
        <v/>
      </c>
      <c r="U53" t="str">
        <f t="array" ref="U53">IFERROR(CONCATENATE(TEXT(INDEX(U7:U32,SMALL(IF(ISNUMBER(U7:U32),IF(U7:U32&gt;0,IF(X7:X32&lt;&gt;"",ROW(U7:U32)-MIN(ROW(U7:U32))+1))),ROW()-ROW(A$35)+1)),"##0"),",",INDEX(X7:X32,SMALL(IF(ISNUMBER(U7:U32),IF(U7:U32&gt;0,IF(X7:X32&lt;&gt;"",ROW(U7:U32)-MIN(ROW(U7:U32))+1))),ROW()-ROW(A$35)+1)),",",SUBSTITUTE(INDEX(A7:A32,SMALL(IF(ISNUMBER(U7:U32),IF(U7:U32&gt;0,IF(X7:X32&lt;&gt;"",ROW(U7:U32)-MIN(ROW(U7:U32))+1))),ROW()-ROW(A$35)+1)),",",";")),"")</f>
        <v>2,541-4163-1-ND,R11;R12</v>
      </c>
      <c r="Z53" t="str">
        <f t="array" ref="Z53">IFERROR(CONCATENATE(INDEX(AC7:AC32,SMALL(IF(ISNUMBER(Z7:Z32),IF(Z7:Z32&gt;0,IF(AC7:AC32&lt;&gt;"",ROW(Z7:Z32)-MIN(ROW(Z7:Z32))+1))),ROW()-ROW(A$35)+1))," ",TEXT(INDEX(Z7:Z32,SMALL(IF(ISNUMBER(Z7:Z32),IF(Z7:Z32&gt;0,IF(AC7:AC32&lt;&gt;"",ROW(Z7:Z32)-MIN(ROW(Z7:Z32))+1))),ROW()-ROW(A$35)+1)),"##0")," ",SUBSTITUTE(INDEX(A7:A32,SMALL(IF(ISNUMBER(Z7:Z32),IF(Z7:Z32&gt;0,IF(AC7:AC32&lt;&gt;"",ROW(Z7:Z32)-MIN(ROW(Z7:Z32))+1))),ROW()-ROW(A$35)+1))," ",";")),"")</f>
        <v/>
      </c>
      <c r="AE53" t="str">
        <f t="array" ref="AE53">IFERROR(CONCATENATE(INDEX(AH7:AH32,SMALL(IF(ISNUMBER(AE7:AE32),IF(AE7:AE32&gt;0,IF(AH7:AH32&lt;&gt;"",ROW(AE7:AE32)-MIN(ROW(AE7:AE32))+1))),ROW()-ROW(A$35)+1)),"|",TEXT(INDEX(AE7:AE32,SMALL(IF(ISNUMBER(AE7:AE32),IF(AE7:AE32&gt;0,IF(AH7:AH32&lt;&gt;"",ROW(AE7:AE32)-MIN(ROW(AE7:AE32))+1))),ROW()-ROW(A$35)+1)),"##0"),"|",SUBSTITUTE(SUBSTITUTE(INDEX(A7:A32,SMALL(IF(ISNUMBER(AE7:AE32),IF(AE7:AE32&gt;0,IF(AH7:AH32&lt;&gt;"",ROW(AE7:AE32)-MIN(ROW(AE7:AE32))+1))),ROW()-ROW(A$35)+1)),"|",";")," ","_")),"")</f>
        <v/>
      </c>
      <c r="AJ53" t="str">
        <f t="array" ref="AJ53">IFERROR(CONCATENATE(INDEX(AM7:AM32,SMALL(IF(ISNUMBER(AJ7:AJ32),IF(AJ7:AJ32&gt;0,IF(AM7:AM32&lt;&gt;"",ROW(AJ7:AJ32)-MIN(ROW(AJ7:AJ32))+1))),ROW()-ROW(A$35)+1)),",",TEXT(INDEX(AJ7:AJ32,SMALL(IF(ISNUMBER(AJ7:AJ32),IF(AJ7:AJ32&gt;0,IF(AM7:AM32&lt;&gt;"",ROW(AJ7:AJ32)-MIN(ROW(AJ7:AJ32))+1))),ROW()-ROW(A$35)+1)),"##0"),",",SUBSTITUTE(INDEX(A7:A32,SMALL(IF(ISNUMBER(AJ7:AJ32),IF(AJ7:AJ32&gt;0,IF(AM7:AM32&lt;&gt;"",ROW(AJ7:AJ32)-MIN(ROW(AJ7:AJ32))+1))),ROW()-ROW(A$35)+1)),",",";")),"")</f>
        <v/>
      </c>
      <c r="AO53" t="str">
        <f t="array" ref="AO53">IFERROR(CONCATENATE(INDEX(AR7:AR32,SMALL(IF(ISNUMBER(AO7:AO32),IF(AO7:AO32&gt;0,IF(AR7:AR32&lt;&gt;"",ROW(AO7:AO32)-MIN(ROW(AO7:AO32))+1))),ROW()-ROW(A$35)+1))," ",TEXT(INDEX(AO7:AO32,SMALL(IF(ISNUMBER(AO7:AO32),IF(AO7:AO32&gt;0,IF(AR7:AR32&lt;&gt;"",ROW(AO7:AO32)-MIN(ROW(AO7:AO32))+1))),ROW()-ROW(A$35)+1)),"##0")," ",SUBSTITUTE(INDEX(A7:A32,SMALL(IF(ISNUMBER(AO7:AO32),IF(AO7:AO32&gt;0,IF(AR7:AR32&lt;&gt;"",ROW(AO7:AO32)-MIN(ROW(AO7:AO32))+1))),ROW()-ROW(A$35)+1))," ",";")),"")</f>
        <v/>
      </c>
      <c r="AT53" t="str">
        <f t="array" ref="AT53">IFERROR(CONCATENATE(INDEX(AW7:AW32,SMALL(IF(ISNUMBER(AT7:AT32),IF(AT7:AT32&gt;0,IF(AW7:AW32&lt;&gt;"",ROW(AT7:AT32)-MIN(ROW(AT7:AT32))+1))),ROW()-ROW(A$35)+1))," ",TEXT(INDEX(AT7:AT32,SMALL(IF(ISNUMBER(AT7:AT32),IF(AT7:AT32&gt;0,IF(AW7:AW32&lt;&gt;"",ROW(AT7:AT32)-MIN(ROW(AT7:AT32))+1))),ROW()-ROW(A$35)+1)),"##0")," ",SUBSTITUTE(INDEX(A7:A32,SMALL(IF(ISNUMBER(AT7:AT32),IF(AT7:AT32&gt;0,IF(AW7:AW32&lt;&gt;"",ROW(AT7:AT32)-MIN(ROW(AT7:AT32))+1))),ROW()-ROW(A$35)+1))," ",";")),"")</f>
        <v/>
      </c>
    </row>
    <row r="54" spans="16:46" x14ac:dyDescent="0.3">
      <c r="P54" t="str">
        <f t="array" ref="P54">IFERROR(CONCATENATE(INDEX(S7:S32,SMALL(IF(ISNUMBER(P7:P32),IF(P7:P32&gt;0,IF(S7:S32&lt;&gt;"",ROW(P7:P32)-MIN(ROW(P7:P32))+1))),ROW()-ROW(A$35)+1)),",",TEXT(INDEX(P7:P32,SMALL(IF(ISNUMBER(P7:P32),IF(P7:P32&gt;0,IF(S7:S32&lt;&gt;"",ROW(P7:P32)-MIN(ROW(P7:P32))+1))),ROW()-ROW(A$35)+1)),"##0"),",",SUBSTITUTE(INDEX(A7:A32,SMALL(IF(ISNUMBER(P7:P32),IF(P7:P32&gt;0,IF(S7:S32&lt;&gt;"",ROW(P7:P32)-MIN(ROW(P7:P32))+1))),ROW()-ROW(A$35)+1)),",",";")),"")</f>
        <v/>
      </c>
      <c r="U54" t="str">
        <f t="array" ref="U54">IFERROR(CONCATENATE(TEXT(INDEX(U7:U32,SMALL(IF(ISNUMBER(U7:U32),IF(U7:U32&gt;0,IF(X7:X32&lt;&gt;"",ROW(U7:U32)-MIN(ROW(U7:U32))+1))),ROW()-ROW(A$35)+1)),"##0"),",",INDEX(X7:X32,SMALL(IF(ISNUMBER(U7:U32),IF(U7:U32&gt;0,IF(X7:X32&lt;&gt;"",ROW(U7:U32)-MIN(ROW(U7:U32))+1))),ROW()-ROW(A$35)+1)),",",SUBSTITUTE(INDEX(A7:A32,SMALL(IF(ISNUMBER(U7:U32),IF(U7:U32&gt;0,IF(X7:X32&lt;&gt;"",ROW(U7:U32)-MIN(ROW(U7:U32))+1))),ROW()-ROW(A$35)+1)),",",";")),"")</f>
        <v>2,A130132CT-ND,R14;R15</v>
      </c>
      <c r="Z54" t="str">
        <f t="array" ref="Z54">IFERROR(CONCATENATE(INDEX(AC7:AC32,SMALL(IF(ISNUMBER(Z7:Z32),IF(Z7:Z32&gt;0,IF(AC7:AC32&lt;&gt;"",ROW(Z7:Z32)-MIN(ROW(Z7:Z32))+1))),ROW()-ROW(A$35)+1))," ",TEXT(INDEX(Z7:Z32,SMALL(IF(ISNUMBER(Z7:Z32),IF(Z7:Z32&gt;0,IF(AC7:AC32&lt;&gt;"",ROW(Z7:Z32)-MIN(ROW(Z7:Z32))+1))),ROW()-ROW(A$35)+1)),"##0")," ",SUBSTITUTE(INDEX(A7:A32,SMALL(IF(ISNUMBER(Z7:Z32),IF(Z7:Z32&gt;0,IF(AC7:AC32&lt;&gt;"",ROW(Z7:Z32)-MIN(ROW(Z7:Z32))+1))),ROW()-ROW(A$35)+1))," ",";")),"")</f>
        <v/>
      </c>
      <c r="AE54" t="str">
        <f t="array" ref="AE54">IFERROR(CONCATENATE(INDEX(AH7:AH32,SMALL(IF(ISNUMBER(AE7:AE32),IF(AE7:AE32&gt;0,IF(AH7:AH32&lt;&gt;"",ROW(AE7:AE32)-MIN(ROW(AE7:AE32))+1))),ROW()-ROW(A$35)+1)),"|",TEXT(INDEX(AE7:AE32,SMALL(IF(ISNUMBER(AE7:AE32),IF(AE7:AE32&gt;0,IF(AH7:AH32&lt;&gt;"",ROW(AE7:AE32)-MIN(ROW(AE7:AE32))+1))),ROW()-ROW(A$35)+1)),"##0"),"|",SUBSTITUTE(SUBSTITUTE(INDEX(A7:A32,SMALL(IF(ISNUMBER(AE7:AE32),IF(AE7:AE32&gt;0,IF(AH7:AH32&lt;&gt;"",ROW(AE7:AE32)-MIN(ROW(AE7:AE32))+1))),ROW()-ROW(A$35)+1)),"|",";")," ","_")),"")</f>
        <v/>
      </c>
      <c r="AJ54" t="str">
        <f t="array" ref="AJ54">IFERROR(CONCATENATE(INDEX(AM7:AM32,SMALL(IF(ISNUMBER(AJ7:AJ32),IF(AJ7:AJ32&gt;0,IF(AM7:AM32&lt;&gt;"",ROW(AJ7:AJ32)-MIN(ROW(AJ7:AJ32))+1))),ROW()-ROW(A$35)+1)),",",TEXT(INDEX(AJ7:AJ32,SMALL(IF(ISNUMBER(AJ7:AJ32),IF(AJ7:AJ32&gt;0,IF(AM7:AM32&lt;&gt;"",ROW(AJ7:AJ32)-MIN(ROW(AJ7:AJ32))+1))),ROW()-ROW(A$35)+1)),"##0"),",",SUBSTITUTE(INDEX(A7:A32,SMALL(IF(ISNUMBER(AJ7:AJ32),IF(AJ7:AJ32&gt;0,IF(AM7:AM32&lt;&gt;"",ROW(AJ7:AJ32)-MIN(ROW(AJ7:AJ32))+1))),ROW()-ROW(A$35)+1)),",",";")),"")</f>
        <v/>
      </c>
      <c r="AO54" t="str">
        <f t="array" ref="AO54">IFERROR(CONCATENATE(INDEX(AR7:AR32,SMALL(IF(ISNUMBER(AO7:AO32),IF(AO7:AO32&gt;0,IF(AR7:AR32&lt;&gt;"",ROW(AO7:AO32)-MIN(ROW(AO7:AO32))+1))),ROW()-ROW(A$35)+1))," ",TEXT(INDEX(AO7:AO32,SMALL(IF(ISNUMBER(AO7:AO32),IF(AO7:AO32&gt;0,IF(AR7:AR32&lt;&gt;"",ROW(AO7:AO32)-MIN(ROW(AO7:AO32))+1))),ROW()-ROW(A$35)+1)),"##0")," ",SUBSTITUTE(INDEX(A7:A32,SMALL(IF(ISNUMBER(AO7:AO32),IF(AO7:AO32&gt;0,IF(AR7:AR32&lt;&gt;"",ROW(AO7:AO32)-MIN(ROW(AO7:AO32))+1))),ROW()-ROW(A$35)+1))," ",";")),"")</f>
        <v/>
      </c>
      <c r="AT54" t="str">
        <f t="array" ref="AT54">IFERROR(CONCATENATE(INDEX(AW7:AW32,SMALL(IF(ISNUMBER(AT7:AT32),IF(AT7:AT32&gt;0,IF(AW7:AW32&lt;&gt;"",ROW(AT7:AT32)-MIN(ROW(AT7:AT32))+1))),ROW()-ROW(A$35)+1))," ",TEXT(INDEX(AT7:AT32,SMALL(IF(ISNUMBER(AT7:AT32),IF(AT7:AT32&gt;0,IF(AW7:AW32&lt;&gt;"",ROW(AT7:AT32)-MIN(ROW(AT7:AT32))+1))),ROW()-ROW(A$35)+1)),"##0")," ",SUBSTITUTE(INDEX(A7:A32,SMALL(IF(ISNUMBER(AT7:AT32),IF(AT7:AT32&gt;0,IF(AW7:AW32&lt;&gt;"",ROW(AT7:AT32)-MIN(ROW(AT7:AT32))+1))),ROW()-ROW(A$35)+1))," ",";")),"")</f>
        <v/>
      </c>
    </row>
    <row r="55" spans="16:46" x14ac:dyDescent="0.3">
      <c r="P55" t="str">
        <f t="array" ref="P55">IFERROR(CONCATENATE(INDEX(S7:S32,SMALL(IF(ISNUMBER(P7:P32),IF(P7:P32&gt;0,IF(S7:S32&lt;&gt;"",ROW(P7:P32)-MIN(ROW(P7:P32))+1))),ROW()-ROW(A$35)+1)),",",TEXT(INDEX(P7:P32,SMALL(IF(ISNUMBER(P7:P32),IF(P7:P32&gt;0,IF(S7:S32&lt;&gt;"",ROW(P7:P32)-MIN(ROW(P7:P32))+1))),ROW()-ROW(A$35)+1)),"##0"),",",SUBSTITUTE(INDEX(A7:A32,SMALL(IF(ISNUMBER(P7:P32),IF(P7:P32&gt;0,IF(S7:S32&lt;&gt;"",ROW(P7:P32)-MIN(ROW(P7:P32))+1))),ROW()-ROW(A$35)+1)),",",";")),"")</f>
        <v/>
      </c>
      <c r="U55" t="str">
        <f t="array" ref="U55">IFERROR(CONCATENATE(TEXT(INDEX(U7:U32,SMALL(IF(ISNUMBER(U7:U32),IF(U7:U32&gt;0,IF(X7:X32&lt;&gt;"",ROW(U7:U32)-MIN(ROW(U7:U32))+1))),ROW()-ROW(A$35)+1)),"##0"),",",INDEX(X7:X32,SMALL(IF(ISNUMBER(U7:U32),IF(U7:U32&gt;0,IF(X7:X32&lt;&gt;"",ROW(U7:U32)-MIN(ROW(U7:U32))+1))),ROW()-ROW(A$35)+1)),",",SUBSTITUTE(INDEX(A7:A32,SMALL(IF(ISNUMBER(U7:U32),IF(U7:U32&gt;0,IF(X7:X32&lt;&gt;"",ROW(U7:U32)-MIN(ROW(U7:U32))+1))),ROW()-ROW(A$35)+1)),",",";")),"")</f>
        <v>1,311-16.2KCRCT-ND,R2</v>
      </c>
      <c r="Z55" t="str">
        <f t="array" ref="Z55">IFERROR(CONCATENATE(INDEX(AC7:AC32,SMALL(IF(ISNUMBER(Z7:Z32),IF(Z7:Z32&gt;0,IF(AC7:AC32&lt;&gt;"",ROW(Z7:Z32)-MIN(ROW(Z7:Z32))+1))),ROW()-ROW(A$35)+1))," ",TEXT(INDEX(Z7:Z32,SMALL(IF(ISNUMBER(Z7:Z32),IF(Z7:Z32&gt;0,IF(AC7:AC32&lt;&gt;"",ROW(Z7:Z32)-MIN(ROW(Z7:Z32))+1))),ROW()-ROW(A$35)+1)),"##0")," ",SUBSTITUTE(INDEX(A7:A32,SMALL(IF(ISNUMBER(Z7:Z32),IF(Z7:Z32&gt;0,IF(AC7:AC32&lt;&gt;"",ROW(Z7:Z32)-MIN(ROW(Z7:Z32))+1))),ROW()-ROW(A$35)+1))," ",";")),"")</f>
        <v/>
      </c>
      <c r="AE55" t="str">
        <f t="array" ref="AE55">IFERROR(CONCATENATE(INDEX(AH7:AH32,SMALL(IF(ISNUMBER(AE7:AE32),IF(AE7:AE32&gt;0,IF(AH7:AH32&lt;&gt;"",ROW(AE7:AE32)-MIN(ROW(AE7:AE32))+1))),ROW()-ROW(A$35)+1)),"|",TEXT(INDEX(AE7:AE32,SMALL(IF(ISNUMBER(AE7:AE32),IF(AE7:AE32&gt;0,IF(AH7:AH32&lt;&gt;"",ROW(AE7:AE32)-MIN(ROW(AE7:AE32))+1))),ROW()-ROW(A$35)+1)),"##0"),"|",SUBSTITUTE(SUBSTITUTE(INDEX(A7:A32,SMALL(IF(ISNUMBER(AE7:AE32),IF(AE7:AE32&gt;0,IF(AH7:AH32&lt;&gt;"",ROW(AE7:AE32)-MIN(ROW(AE7:AE32))+1))),ROW()-ROW(A$35)+1)),"|",";")," ","_")),"")</f>
        <v/>
      </c>
      <c r="AJ55" t="str">
        <f t="array" ref="AJ55">IFERROR(CONCATENATE(INDEX(AM7:AM32,SMALL(IF(ISNUMBER(AJ7:AJ32),IF(AJ7:AJ32&gt;0,IF(AM7:AM32&lt;&gt;"",ROW(AJ7:AJ32)-MIN(ROW(AJ7:AJ32))+1))),ROW()-ROW(A$35)+1)),",",TEXT(INDEX(AJ7:AJ32,SMALL(IF(ISNUMBER(AJ7:AJ32),IF(AJ7:AJ32&gt;0,IF(AM7:AM32&lt;&gt;"",ROW(AJ7:AJ32)-MIN(ROW(AJ7:AJ32))+1))),ROW()-ROW(A$35)+1)),"##0"),",",SUBSTITUTE(INDEX(A7:A32,SMALL(IF(ISNUMBER(AJ7:AJ32),IF(AJ7:AJ32&gt;0,IF(AM7:AM32&lt;&gt;"",ROW(AJ7:AJ32)-MIN(ROW(AJ7:AJ32))+1))),ROW()-ROW(A$35)+1)),",",";")),"")</f>
        <v/>
      </c>
      <c r="AO55" t="str">
        <f t="array" ref="AO55">IFERROR(CONCATENATE(INDEX(AR7:AR32,SMALL(IF(ISNUMBER(AO7:AO32),IF(AO7:AO32&gt;0,IF(AR7:AR32&lt;&gt;"",ROW(AO7:AO32)-MIN(ROW(AO7:AO32))+1))),ROW()-ROW(A$35)+1))," ",TEXT(INDEX(AO7:AO32,SMALL(IF(ISNUMBER(AO7:AO32),IF(AO7:AO32&gt;0,IF(AR7:AR32&lt;&gt;"",ROW(AO7:AO32)-MIN(ROW(AO7:AO32))+1))),ROW()-ROW(A$35)+1)),"##0")," ",SUBSTITUTE(INDEX(A7:A32,SMALL(IF(ISNUMBER(AO7:AO32),IF(AO7:AO32&gt;0,IF(AR7:AR32&lt;&gt;"",ROW(AO7:AO32)-MIN(ROW(AO7:AO32))+1))),ROW()-ROW(A$35)+1))," ",";")),"")</f>
        <v/>
      </c>
      <c r="AT55" t="str">
        <f t="array" ref="AT55">IFERROR(CONCATENATE(INDEX(AW7:AW32,SMALL(IF(ISNUMBER(AT7:AT32),IF(AT7:AT32&gt;0,IF(AW7:AW32&lt;&gt;"",ROW(AT7:AT32)-MIN(ROW(AT7:AT32))+1))),ROW()-ROW(A$35)+1))," ",TEXT(INDEX(AT7:AT32,SMALL(IF(ISNUMBER(AT7:AT32),IF(AT7:AT32&gt;0,IF(AW7:AW32&lt;&gt;"",ROW(AT7:AT32)-MIN(ROW(AT7:AT32))+1))),ROW()-ROW(A$35)+1)),"##0")," ",SUBSTITUTE(INDEX(A7:A32,SMALL(IF(ISNUMBER(AT7:AT32),IF(AT7:AT32&gt;0,IF(AW7:AW32&lt;&gt;"",ROW(AT7:AT32)-MIN(ROW(AT7:AT32))+1))),ROW()-ROW(A$35)+1))," ",";")),"")</f>
        <v/>
      </c>
    </row>
    <row r="56" spans="16:46" x14ac:dyDescent="0.3">
      <c r="P56" t="str">
        <f t="array" ref="P56">IFERROR(CONCATENATE(INDEX(S7:S32,SMALL(IF(ISNUMBER(P7:P32),IF(P7:P32&gt;0,IF(S7:S32&lt;&gt;"",ROW(P7:P32)-MIN(ROW(P7:P32))+1))),ROW()-ROW(A$35)+1)),",",TEXT(INDEX(P7:P32,SMALL(IF(ISNUMBER(P7:P32),IF(P7:P32&gt;0,IF(S7:S32&lt;&gt;"",ROW(P7:P32)-MIN(ROW(P7:P32))+1))),ROW()-ROW(A$35)+1)),"##0"),",",SUBSTITUTE(INDEX(A7:A32,SMALL(IF(ISNUMBER(P7:P32),IF(P7:P32&gt;0,IF(S7:S32&lt;&gt;"",ROW(P7:P32)-MIN(ROW(P7:P32))+1))),ROW()-ROW(A$35)+1)),",",";")),"")</f>
        <v/>
      </c>
      <c r="U56" t="str">
        <f t="array" ref="U56">IFERROR(CONCATENATE(TEXT(INDEX(U7:U32,SMALL(IF(ISNUMBER(U7:U32),IF(U7:U32&gt;0,IF(X7:X32&lt;&gt;"",ROW(U7:U32)-MIN(ROW(U7:U32))+1))),ROW()-ROW(A$35)+1)),"##0"),",",INDEX(X7:X32,SMALL(IF(ISNUMBER(U7:U32),IF(U7:U32&gt;0,IF(X7:X32&lt;&gt;"",ROW(U7:U32)-MIN(ROW(U7:U32))+1))),ROW()-ROW(A$35)+1)),",",SUBSTITUTE(INDEX(A7:A32,SMALL(IF(ISNUMBER(U7:U32),IF(U7:U32&gt;0,IF(X7:X32&lt;&gt;"",ROW(U7:U32)-MIN(ROW(U7:U32))+1))),ROW()-ROW(A$35)+1)),",",";")),"")</f>
        <v>2,311-845CRCT-ND,R3;R10</v>
      </c>
      <c r="Z56" t="str">
        <f t="array" ref="Z56">IFERROR(CONCATENATE(INDEX(AC7:AC32,SMALL(IF(ISNUMBER(Z7:Z32),IF(Z7:Z32&gt;0,IF(AC7:AC32&lt;&gt;"",ROW(Z7:Z32)-MIN(ROW(Z7:Z32))+1))),ROW()-ROW(A$35)+1))," ",TEXT(INDEX(Z7:Z32,SMALL(IF(ISNUMBER(Z7:Z32),IF(Z7:Z32&gt;0,IF(AC7:AC32&lt;&gt;"",ROW(Z7:Z32)-MIN(ROW(Z7:Z32))+1))),ROW()-ROW(A$35)+1)),"##0")," ",SUBSTITUTE(INDEX(A7:A32,SMALL(IF(ISNUMBER(Z7:Z32),IF(Z7:Z32&gt;0,IF(AC7:AC32&lt;&gt;"",ROW(Z7:Z32)-MIN(ROW(Z7:Z32))+1))),ROW()-ROW(A$35)+1))," ",";")),"")</f>
        <v/>
      </c>
      <c r="AE56" t="str">
        <f t="array" ref="AE56">IFERROR(CONCATENATE(INDEX(AH7:AH32,SMALL(IF(ISNUMBER(AE7:AE32),IF(AE7:AE32&gt;0,IF(AH7:AH32&lt;&gt;"",ROW(AE7:AE32)-MIN(ROW(AE7:AE32))+1))),ROW()-ROW(A$35)+1)),"|",TEXT(INDEX(AE7:AE32,SMALL(IF(ISNUMBER(AE7:AE32),IF(AE7:AE32&gt;0,IF(AH7:AH32&lt;&gt;"",ROW(AE7:AE32)-MIN(ROW(AE7:AE32))+1))),ROW()-ROW(A$35)+1)),"##0"),"|",SUBSTITUTE(SUBSTITUTE(INDEX(A7:A32,SMALL(IF(ISNUMBER(AE7:AE32),IF(AE7:AE32&gt;0,IF(AH7:AH32&lt;&gt;"",ROW(AE7:AE32)-MIN(ROW(AE7:AE32))+1))),ROW()-ROW(A$35)+1)),"|",";")," ","_")),"")</f>
        <v/>
      </c>
      <c r="AJ56" t="str">
        <f t="array" ref="AJ56">IFERROR(CONCATENATE(INDEX(AM7:AM32,SMALL(IF(ISNUMBER(AJ7:AJ32),IF(AJ7:AJ32&gt;0,IF(AM7:AM32&lt;&gt;"",ROW(AJ7:AJ32)-MIN(ROW(AJ7:AJ32))+1))),ROW()-ROW(A$35)+1)),",",TEXT(INDEX(AJ7:AJ32,SMALL(IF(ISNUMBER(AJ7:AJ32),IF(AJ7:AJ32&gt;0,IF(AM7:AM32&lt;&gt;"",ROW(AJ7:AJ32)-MIN(ROW(AJ7:AJ32))+1))),ROW()-ROW(A$35)+1)),"##0"),",",SUBSTITUTE(INDEX(A7:A32,SMALL(IF(ISNUMBER(AJ7:AJ32),IF(AJ7:AJ32&gt;0,IF(AM7:AM32&lt;&gt;"",ROW(AJ7:AJ32)-MIN(ROW(AJ7:AJ32))+1))),ROW()-ROW(A$35)+1)),",",";")),"")</f>
        <v/>
      </c>
      <c r="AO56" t="str">
        <f t="array" ref="AO56">IFERROR(CONCATENATE(INDEX(AR7:AR32,SMALL(IF(ISNUMBER(AO7:AO32),IF(AO7:AO32&gt;0,IF(AR7:AR32&lt;&gt;"",ROW(AO7:AO32)-MIN(ROW(AO7:AO32))+1))),ROW()-ROW(A$35)+1))," ",TEXT(INDEX(AO7:AO32,SMALL(IF(ISNUMBER(AO7:AO32),IF(AO7:AO32&gt;0,IF(AR7:AR32&lt;&gt;"",ROW(AO7:AO32)-MIN(ROW(AO7:AO32))+1))),ROW()-ROW(A$35)+1)),"##0")," ",SUBSTITUTE(INDEX(A7:A32,SMALL(IF(ISNUMBER(AO7:AO32),IF(AO7:AO32&gt;0,IF(AR7:AR32&lt;&gt;"",ROW(AO7:AO32)-MIN(ROW(AO7:AO32))+1))),ROW()-ROW(A$35)+1))," ",";")),"")</f>
        <v/>
      </c>
      <c r="AT56" t="str">
        <f t="array" ref="AT56">IFERROR(CONCATENATE(INDEX(AW7:AW32,SMALL(IF(ISNUMBER(AT7:AT32),IF(AT7:AT32&gt;0,IF(AW7:AW32&lt;&gt;"",ROW(AT7:AT32)-MIN(ROW(AT7:AT32))+1))),ROW()-ROW(A$35)+1))," ",TEXT(INDEX(AT7:AT32,SMALL(IF(ISNUMBER(AT7:AT32),IF(AT7:AT32&gt;0,IF(AW7:AW32&lt;&gt;"",ROW(AT7:AT32)-MIN(ROW(AT7:AT32))+1))),ROW()-ROW(A$35)+1)),"##0")," ",SUBSTITUTE(INDEX(A7:A32,SMALL(IF(ISNUMBER(AT7:AT32),IF(AT7:AT32&gt;0,IF(AW7:AW32&lt;&gt;"",ROW(AT7:AT32)-MIN(ROW(AT7:AT32))+1))),ROW()-ROW(A$35)+1))," ",";")),"")</f>
        <v/>
      </c>
    </row>
    <row r="57" spans="16:46" x14ac:dyDescent="0.3">
      <c r="P57" t="str">
        <f t="array" ref="P57">IFERROR(CONCATENATE(INDEX(S7:S32,SMALL(IF(ISNUMBER(P7:P32),IF(P7:P32&gt;0,IF(S7:S32&lt;&gt;"",ROW(P7:P32)-MIN(ROW(P7:P32))+1))),ROW()-ROW(A$35)+1)),",",TEXT(INDEX(P7:P32,SMALL(IF(ISNUMBER(P7:P32),IF(P7:P32&gt;0,IF(S7:S32&lt;&gt;"",ROW(P7:P32)-MIN(ROW(P7:P32))+1))),ROW()-ROW(A$35)+1)),"##0"),",",SUBSTITUTE(INDEX(A7:A32,SMALL(IF(ISNUMBER(P7:P32),IF(P7:P32&gt;0,IF(S7:S32&lt;&gt;"",ROW(P7:P32)-MIN(ROW(P7:P32))+1))),ROW()-ROW(A$35)+1)),",",";")),"")</f>
        <v/>
      </c>
      <c r="U57" t="str">
        <f t="array" ref="U57">IFERROR(CONCATENATE(TEXT(INDEX(U7:U32,SMALL(IF(ISNUMBER(U7:U32),IF(U7:U32&gt;0,IF(X7:X32&lt;&gt;"",ROW(U7:U32)-MIN(ROW(U7:U32))+1))),ROW()-ROW(A$35)+1)),"##0"),",",INDEX(X7:X32,SMALL(IF(ISNUMBER(U7:U32),IF(U7:U32&gt;0,IF(X7:X32&lt;&gt;"",ROW(U7:U32)-MIN(ROW(U7:U32))+1))),ROW()-ROW(A$35)+1)),",",SUBSTITUTE(INDEX(A7:A32,SMALL(IF(ISNUMBER(U7:U32),IF(U7:U32&gt;0,IF(X7:X32&lt;&gt;"",ROW(U7:U32)-MIN(ROW(U7:U32))+1))),ROW()-ROW(A$35)+1)),",",";")),"")</f>
        <v>1,311-29.4KCRCT-ND,R4</v>
      </c>
      <c r="Z57" t="str">
        <f t="array" ref="Z57">IFERROR(CONCATENATE(INDEX(AC7:AC32,SMALL(IF(ISNUMBER(Z7:Z32),IF(Z7:Z32&gt;0,IF(AC7:AC32&lt;&gt;"",ROW(Z7:Z32)-MIN(ROW(Z7:Z32))+1))),ROW()-ROW(A$35)+1))," ",TEXT(INDEX(Z7:Z32,SMALL(IF(ISNUMBER(Z7:Z32),IF(Z7:Z32&gt;0,IF(AC7:AC32&lt;&gt;"",ROW(Z7:Z32)-MIN(ROW(Z7:Z32))+1))),ROW()-ROW(A$35)+1)),"##0")," ",SUBSTITUTE(INDEX(A7:A32,SMALL(IF(ISNUMBER(Z7:Z32),IF(Z7:Z32&gt;0,IF(AC7:AC32&lt;&gt;"",ROW(Z7:Z32)-MIN(ROW(Z7:Z32))+1))),ROW()-ROW(A$35)+1))," ",";")),"")</f>
        <v/>
      </c>
      <c r="AE57" t="str">
        <f t="array" ref="AE57">IFERROR(CONCATENATE(INDEX(AH7:AH32,SMALL(IF(ISNUMBER(AE7:AE32),IF(AE7:AE32&gt;0,IF(AH7:AH32&lt;&gt;"",ROW(AE7:AE32)-MIN(ROW(AE7:AE32))+1))),ROW()-ROW(A$35)+1)),"|",TEXT(INDEX(AE7:AE32,SMALL(IF(ISNUMBER(AE7:AE32),IF(AE7:AE32&gt;0,IF(AH7:AH32&lt;&gt;"",ROW(AE7:AE32)-MIN(ROW(AE7:AE32))+1))),ROW()-ROW(A$35)+1)),"##0"),"|",SUBSTITUTE(SUBSTITUTE(INDEX(A7:A32,SMALL(IF(ISNUMBER(AE7:AE32),IF(AE7:AE32&gt;0,IF(AH7:AH32&lt;&gt;"",ROW(AE7:AE32)-MIN(ROW(AE7:AE32))+1))),ROW()-ROW(A$35)+1)),"|",";")," ","_")),"")</f>
        <v/>
      </c>
      <c r="AJ57" t="str">
        <f t="array" ref="AJ57">IFERROR(CONCATENATE(INDEX(AM7:AM32,SMALL(IF(ISNUMBER(AJ7:AJ32),IF(AJ7:AJ32&gt;0,IF(AM7:AM32&lt;&gt;"",ROW(AJ7:AJ32)-MIN(ROW(AJ7:AJ32))+1))),ROW()-ROW(A$35)+1)),",",TEXT(INDEX(AJ7:AJ32,SMALL(IF(ISNUMBER(AJ7:AJ32),IF(AJ7:AJ32&gt;0,IF(AM7:AM32&lt;&gt;"",ROW(AJ7:AJ32)-MIN(ROW(AJ7:AJ32))+1))),ROW()-ROW(A$35)+1)),"##0"),",",SUBSTITUTE(INDEX(A7:A32,SMALL(IF(ISNUMBER(AJ7:AJ32),IF(AJ7:AJ32&gt;0,IF(AM7:AM32&lt;&gt;"",ROW(AJ7:AJ32)-MIN(ROW(AJ7:AJ32))+1))),ROW()-ROW(A$35)+1)),",",";")),"")</f>
        <v/>
      </c>
      <c r="AO57" t="str">
        <f t="array" ref="AO57">IFERROR(CONCATENATE(INDEX(AR7:AR32,SMALL(IF(ISNUMBER(AO7:AO32),IF(AO7:AO32&gt;0,IF(AR7:AR32&lt;&gt;"",ROW(AO7:AO32)-MIN(ROW(AO7:AO32))+1))),ROW()-ROW(A$35)+1))," ",TEXT(INDEX(AO7:AO32,SMALL(IF(ISNUMBER(AO7:AO32),IF(AO7:AO32&gt;0,IF(AR7:AR32&lt;&gt;"",ROW(AO7:AO32)-MIN(ROW(AO7:AO32))+1))),ROW()-ROW(A$35)+1)),"##0")," ",SUBSTITUTE(INDEX(A7:A32,SMALL(IF(ISNUMBER(AO7:AO32),IF(AO7:AO32&gt;0,IF(AR7:AR32&lt;&gt;"",ROW(AO7:AO32)-MIN(ROW(AO7:AO32))+1))),ROW()-ROW(A$35)+1))," ",";")),"")</f>
        <v/>
      </c>
      <c r="AT57" t="str">
        <f t="array" ref="AT57">IFERROR(CONCATENATE(INDEX(AW7:AW32,SMALL(IF(ISNUMBER(AT7:AT32),IF(AT7:AT32&gt;0,IF(AW7:AW32&lt;&gt;"",ROW(AT7:AT32)-MIN(ROW(AT7:AT32))+1))),ROW()-ROW(A$35)+1))," ",TEXT(INDEX(AT7:AT32,SMALL(IF(ISNUMBER(AT7:AT32),IF(AT7:AT32&gt;0,IF(AW7:AW32&lt;&gt;"",ROW(AT7:AT32)-MIN(ROW(AT7:AT32))+1))),ROW()-ROW(A$35)+1)),"##0")," ",SUBSTITUTE(INDEX(A7:A32,SMALL(IF(ISNUMBER(AT7:AT32),IF(AT7:AT32&gt;0,IF(AW7:AW32&lt;&gt;"",ROW(AT7:AT32)-MIN(ROW(AT7:AT32))+1))),ROW()-ROW(A$35)+1))," ",";")),"")</f>
        <v/>
      </c>
    </row>
    <row r="58" spans="16:46" x14ac:dyDescent="0.3">
      <c r="P58" t="str">
        <f t="array" ref="P58">IFERROR(CONCATENATE(INDEX(S7:S32,SMALL(IF(ISNUMBER(P7:P32),IF(P7:P32&gt;0,IF(S7:S32&lt;&gt;"",ROW(P7:P32)-MIN(ROW(P7:P32))+1))),ROW()-ROW(A$35)+1)),",",TEXT(INDEX(P7:P32,SMALL(IF(ISNUMBER(P7:P32),IF(P7:P32&gt;0,IF(S7:S32&lt;&gt;"",ROW(P7:P32)-MIN(ROW(P7:P32))+1))),ROW()-ROW(A$35)+1)),"##0"),",",SUBSTITUTE(INDEX(A7:A32,SMALL(IF(ISNUMBER(P7:P32),IF(P7:P32&gt;0,IF(S7:S32&lt;&gt;"",ROW(P7:P32)-MIN(ROW(P7:P32))+1))),ROW()-ROW(A$35)+1)),",",";")),"")</f>
        <v/>
      </c>
      <c r="U58" t="str">
        <f t="array" ref="U58">IFERROR(CONCATENATE(TEXT(INDEX(U7:U32,SMALL(IF(ISNUMBER(U7:U32),IF(U7:U32&gt;0,IF(X7:X32&lt;&gt;"",ROW(U7:U32)-MIN(ROW(U7:U32))+1))),ROW()-ROW(A$35)+1)),"##0"),",",INDEX(X7:X32,SMALL(IF(ISNUMBER(U7:U32),IF(U7:U32&gt;0,IF(X7:X32&lt;&gt;"",ROW(U7:U32)-MIN(ROW(U7:U32))+1))),ROW()-ROW(A$35)+1)),",",SUBSTITUTE(INDEX(A7:A32,SMALL(IF(ISNUMBER(U7:U32),IF(U7:U32&gt;0,IF(X7:X32&lt;&gt;"",ROW(U7:U32)-MIN(ROW(U7:U32))+1))),ROW()-ROW(A$35)+1)),",",";")),"")</f>
        <v>1,311-8.06KCRCT-ND,R5</v>
      </c>
      <c r="Z58" t="str">
        <f t="array" ref="Z58">IFERROR(CONCATENATE(INDEX(AC7:AC32,SMALL(IF(ISNUMBER(Z7:Z32),IF(Z7:Z32&gt;0,IF(AC7:AC32&lt;&gt;"",ROW(Z7:Z32)-MIN(ROW(Z7:Z32))+1))),ROW()-ROW(A$35)+1))," ",TEXT(INDEX(Z7:Z32,SMALL(IF(ISNUMBER(Z7:Z32),IF(Z7:Z32&gt;0,IF(AC7:AC32&lt;&gt;"",ROW(Z7:Z32)-MIN(ROW(Z7:Z32))+1))),ROW()-ROW(A$35)+1)),"##0")," ",SUBSTITUTE(INDEX(A7:A32,SMALL(IF(ISNUMBER(Z7:Z32),IF(Z7:Z32&gt;0,IF(AC7:AC32&lt;&gt;"",ROW(Z7:Z32)-MIN(ROW(Z7:Z32))+1))),ROW()-ROW(A$35)+1))," ",";")),"")</f>
        <v/>
      </c>
      <c r="AE58" t="str">
        <f t="array" ref="AE58">IFERROR(CONCATENATE(INDEX(AH7:AH32,SMALL(IF(ISNUMBER(AE7:AE32),IF(AE7:AE32&gt;0,IF(AH7:AH32&lt;&gt;"",ROW(AE7:AE32)-MIN(ROW(AE7:AE32))+1))),ROW()-ROW(A$35)+1)),"|",TEXT(INDEX(AE7:AE32,SMALL(IF(ISNUMBER(AE7:AE32),IF(AE7:AE32&gt;0,IF(AH7:AH32&lt;&gt;"",ROW(AE7:AE32)-MIN(ROW(AE7:AE32))+1))),ROW()-ROW(A$35)+1)),"##0"),"|",SUBSTITUTE(SUBSTITUTE(INDEX(A7:A32,SMALL(IF(ISNUMBER(AE7:AE32),IF(AE7:AE32&gt;0,IF(AH7:AH32&lt;&gt;"",ROW(AE7:AE32)-MIN(ROW(AE7:AE32))+1))),ROW()-ROW(A$35)+1)),"|",";")," ","_")),"")</f>
        <v/>
      </c>
      <c r="AJ58" t="str">
        <f t="array" ref="AJ58">IFERROR(CONCATENATE(INDEX(AM7:AM32,SMALL(IF(ISNUMBER(AJ7:AJ32),IF(AJ7:AJ32&gt;0,IF(AM7:AM32&lt;&gt;"",ROW(AJ7:AJ32)-MIN(ROW(AJ7:AJ32))+1))),ROW()-ROW(A$35)+1)),",",TEXT(INDEX(AJ7:AJ32,SMALL(IF(ISNUMBER(AJ7:AJ32),IF(AJ7:AJ32&gt;0,IF(AM7:AM32&lt;&gt;"",ROW(AJ7:AJ32)-MIN(ROW(AJ7:AJ32))+1))),ROW()-ROW(A$35)+1)),"##0"),",",SUBSTITUTE(INDEX(A7:A32,SMALL(IF(ISNUMBER(AJ7:AJ32),IF(AJ7:AJ32&gt;0,IF(AM7:AM32&lt;&gt;"",ROW(AJ7:AJ32)-MIN(ROW(AJ7:AJ32))+1))),ROW()-ROW(A$35)+1)),",",";")),"")</f>
        <v/>
      </c>
      <c r="AO58" t="str">
        <f t="array" ref="AO58">IFERROR(CONCATENATE(INDEX(AR7:AR32,SMALL(IF(ISNUMBER(AO7:AO32),IF(AO7:AO32&gt;0,IF(AR7:AR32&lt;&gt;"",ROW(AO7:AO32)-MIN(ROW(AO7:AO32))+1))),ROW()-ROW(A$35)+1))," ",TEXT(INDEX(AO7:AO32,SMALL(IF(ISNUMBER(AO7:AO32),IF(AO7:AO32&gt;0,IF(AR7:AR32&lt;&gt;"",ROW(AO7:AO32)-MIN(ROW(AO7:AO32))+1))),ROW()-ROW(A$35)+1)),"##0")," ",SUBSTITUTE(INDEX(A7:A32,SMALL(IF(ISNUMBER(AO7:AO32),IF(AO7:AO32&gt;0,IF(AR7:AR32&lt;&gt;"",ROW(AO7:AO32)-MIN(ROW(AO7:AO32))+1))),ROW()-ROW(A$35)+1))," ",";")),"")</f>
        <v/>
      </c>
      <c r="AT58" t="str">
        <f t="array" ref="AT58">IFERROR(CONCATENATE(INDEX(AW7:AW32,SMALL(IF(ISNUMBER(AT7:AT32),IF(AT7:AT32&gt;0,IF(AW7:AW32&lt;&gt;"",ROW(AT7:AT32)-MIN(ROW(AT7:AT32))+1))),ROW()-ROW(A$35)+1))," ",TEXT(INDEX(AT7:AT32,SMALL(IF(ISNUMBER(AT7:AT32),IF(AT7:AT32&gt;0,IF(AW7:AW32&lt;&gt;"",ROW(AT7:AT32)-MIN(ROW(AT7:AT32))+1))),ROW()-ROW(A$35)+1)),"##0")," ",SUBSTITUTE(INDEX(A7:A32,SMALL(IF(ISNUMBER(AT7:AT32),IF(AT7:AT32&gt;0,IF(AW7:AW32&lt;&gt;"",ROW(AT7:AT32)-MIN(ROW(AT7:AT32))+1))),ROW()-ROW(A$35)+1))," ",";")),"")</f>
        <v/>
      </c>
    </row>
    <row r="59" spans="16:46" x14ac:dyDescent="0.3">
      <c r="P59" t="str">
        <f t="array" ref="P59">IFERROR(CONCATENATE(INDEX(S7:S32,SMALL(IF(ISNUMBER(P7:P32),IF(P7:P32&gt;0,IF(S7:S32&lt;&gt;"",ROW(P7:P32)-MIN(ROW(P7:P32))+1))),ROW()-ROW(A$35)+1)),",",TEXT(INDEX(P7:P32,SMALL(IF(ISNUMBER(P7:P32),IF(P7:P32&gt;0,IF(S7:S32&lt;&gt;"",ROW(P7:P32)-MIN(ROW(P7:P32))+1))),ROW()-ROW(A$35)+1)),"##0"),",",SUBSTITUTE(INDEX(A7:A32,SMALL(IF(ISNUMBER(P7:P32),IF(P7:P32&gt;0,IF(S7:S32&lt;&gt;"",ROW(P7:P32)-MIN(ROW(P7:P32))+1))),ROW()-ROW(A$35)+1)),",",";")),"")</f>
        <v/>
      </c>
      <c r="U59" t="str">
        <f t="array" ref="U59">IFERROR(CONCATENATE(TEXT(INDEX(U7:U32,SMALL(IF(ISNUMBER(U7:U32),IF(U7:U32&gt;0,IF(X7:X32&lt;&gt;"",ROW(U7:U32)-MIN(ROW(U7:U32))+1))),ROW()-ROW(A$35)+1)),"##0"),",",INDEX(X7:X32,SMALL(IF(ISNUMBER(U7:U32),IF(U7:U32&gt;0,IF(X7:X32&lt;&gt;"",ROW(U7:U32)-MIN(ROW(U7:U32))+1))),ROW()-ROW(A$35)+1)),",",SUBSTITUTE(INDEX(A7:A32,SMALL(IF(ISNUMBER(U7:U32),IF(U7:U32&gt;0,IF(X7:X32&lt;&gt;"",ROW(U7:U32)-MIN(ROW(U7:U32))+1))),ROW()-ROW(A$35)+1)),",",";")),"")</f>
        <v>1,541-4126-1-ND,R7</v>
      </c>
      <c r="Z59" t="str">
        <f t="array" ref="Z59">IFERROR(CONCATENATE(INDEX(AC7:AC32,SMALL(IF(ISNUMBER(Z7:Z32),IF(Z7:Z32&gt;0,IF(AC7:AC32&lt;&gt;"",ROW(Z7:Z32)-MIN(ROW(Z7:Z32))+1))),ROW()-ROW(A$35)+1))," ",TEXT(INDEX(Z7:Z32,SMALL(IF(ISNUMBER(Z7:Z32),IF(Z7:Z32&gt;0,IF(AC7:AC32&lt;&gt;"",ROW(Z7:Z32)-MIN(ROW(Z7:Z32))+1))),ROW()-ROW(A$35)+1)),"##0")," ",SUBSTITUTE(INDEX(A7:A32,SMALL(IF(ISNUMBER(Z7:Z32),IF(Z7:Z32&gt;0,IF(AC7:AC32&lt;&gt;"",ROW(Z7:Z32)-MIN(ROW(Z7:Z32))+1))),ROW()-ROW(A$35)+1))," ",";")),"")</f>
        <v/>
      </c>
      <c r="AE59" t="str">
        <f t="array" ref="AE59">IFERROR(CONCATENATE(INDEX(AH7:AH32,SMALL(IF(ISNUMBER(AE7:AE32),IF(AE7:AE32&gt;0,IF(AH7:AH32&lt;&gt;"",ROW(AE7:AE32)-MIN(ROW(AE7:AE32))+1))),ROW()-ROW(A$35)+1)),"|",TEXT(INDEX(AE7:AE32,SMALL(IF(ISNUMBER(AE7:AE32),IF(AE7:AE32&gt;0,IF(AH7:AH32&lt;&gt;"",ROW(AE7:AE32)-MIN(ROW(AE7:AE32))+1))),ROW()-ROW(A$35)+1)),"##0"),"|",SUBSTITUTE(SUBSTITUTE(INDEX(A7:A32,SMALL(IF(ISNUMBER(AE7:AE32),IF(AE7:AE32&gt;0,IF(AH7:AH32&lt;&gt;"",ROW(AE7:AE32)-MIN(ROW(AE7:AE32))+1))),ROW()-ROW(A$35)+1)),"|",";")," ","_")),"")</f>
        <v/>
      </c>
      <c r="AJ59" t="str">
        <f t="array" ref="AJ59">IFERROR(CONCATENATE(INDEX(AM7:AM32,SMALL(IF(ISNUMBER(AJ7:AJ32),IF(AJ7:AJ32&gt;0,IF(AM7:AM32&lt;&gt;"",ROW(AJ7:AJ32)-MIN(ROW(AJ7:AJ32))+1))),ROW()-ROW(A$35)+1)),",",TEXT(INDEX(AJ7:AJ32,SMALL(IF(ISNUMBER(AJ7:AJ32),IF(AJ7:AJ32&gt;0,IF(AM7:AM32&lt;&gt;"",ROW(AJ7:AJ32)-MIN(ROW(AJ7:AJ32))+1))),ROW()-ROW(A$35)+1)),"##0"),",",SUBSTITUTE(INDEX(A7:A32,SMALL(IF(ISNUMBER(AJ7:AJ32),IF(AJ7:AJ32&gt;0,IF(AM7:AM32&lt;&gt;"",ROW(AJ7:AJ32)-MIN(ROW(AJ7:AJ32))+1))),ROW()-ROW(A$35)+1)),",",";")),"")</f>
        <v/>
      </c>
      <c r="AO59" t="str">
        <f t="array" ref="AO59">IFERROR(CONCATENATE(INDEX(AR7:AR32,SMALL(IF(ISNUMBER(AO7:AO32),IF(AO7:AO32&gt;0,IF(AR7:AR32&lt;&gt;"",ROW(AO7:AO32)-MIN(ROW(AO7:AO32))+1))),ROW()-ROW(A$35)+1))," ",TEXT(INDEX(AO7:AO32,SMALL(IF(ISNUMBER(AO7:AO32),IF(AO7:AO32&gt;0,IF(AR7:AR32&lt;&gt;"",ROW(AO7:AO32)-MIN(ROW(AO7:AO32))+1))),ROW()-ROW(A$35)+1)),"##0")," ",SUBSTITUTE(INDEX(A7:A32,SMALL(IF(ISNUMBER(AO7:AO32),IF(AO7:AO32&gt;0,IF(AR7:AR32&lt;&gt;"",ROW(AO7:AO32)-MIN(ROW(AO7:AO32))+1))),ROW()-ROW(A$35)+1))," ",";")),"")</f>
        <v/>
      </c>
      <c r="AT59" t="str">
        <f t="array" ref="AT59">IFERROR(CONCATENATE(INDEX(AW7:AW32,SMALL(IF(ISNUMBER(AT7:AT32),IF(AT7:AT32&gt;0,IF(AW7:AW32&lt;&gt;"",ROW(AT7:AT32)-MIN(ROW(AT7:AT32))+1))),ROW()-ROW(A$35)+1))," ",TEXT(INDEX(AT7:AT32,SMALL(IF(ISNUMBER(AT7:AT32),IF(AT7:AT32&gt;0,IF(AW7:AW32&lt;&gt;"",ROW(AT7:AT32)-MIN(ROW(AT7:AT32))+1))),ROW()-ROW(A$35)+1)),"##0")," ",SUBSTITUTE(INDEX(A7:A32,SMALL(IF(ISNUMBER(AT7:AT32),IF(AT7:AT32&gt;0,IF(AW7:AW32&lt;&gt;"",ROW(AT7:AT32)-MIN(ROW(AT7:AT32))+1))),ROW()-ROW(A$35)+1))," ",";")),"")</f>
        <v/>
      </c>
    </row>
    <row r="60" spans="16:46" x14ac:dyDescent="0.3">
      <c r="P60" t="str">
        <f t="array" ref="P60">IFERROR(CONCATENATE(INDEX(S7:S32,SMALL(IF(ISNUMBER(P7:P32),IF(P7:P32&gt;0,IF(S7:S32&lt;&gt;"",ROW(P7:P32)-MIN(ROW(P7:P32))+1))),ROW()-ROW(A$35)+1)),",",TEXT(INDEX(P7:P32,SMALL(IF(ISNUMBER(P7:P32),IF(P7:P32&gt;0,IF(S7:S32&lt;&gt;"",ROW(P7:P32)-MIN(ROW(P7:P32))+1))),ROW()-ROW(A$35)+1)),"##0"),",",SUBSTITUTE(INDEX(A7:A32,SMALL(IF(ISNUMBER(P7:P32),IF(P7:P32&gt;0,IF(S7:S32&lt;&gt;"",ROW(P7:P32)-MIN(ROW(P7:P32))+1))),ROW()-ROW(A$35)+1)),",",";")),"")</f>
        <v/>
      </c>
      <c r="U60" t="str">
        <f t="array" ref="U60">IFERROR(CONCATENATE(TEXT(INDEX(U7:U32,SMALL(IF(ISNUMBER(U7:U32),IF(U7:U32&gt;0,IF(X7:X32&lt;&gt;"",ROW(U7:U32)-MIN(ROW(U7:U32))+1))),ROW()-ROW(A$35)+1)),"##0"),",",INDEX(X7:X32,SMALL(IF(ISNUMBER(U7:U32),IF(U7:U32&gt;0,IF(X7:X32&lt;&gt;"",ROW(U7:U32)-MIN(ROW(U7:U32))+1))),ROW()-ROW(A$35)+1)),",",SUBSTITUTE(INDEX(A7:A32,SMALL(IF(ISNUMBER(U7:U32),IF(U7:U32&gt;0,IF(X7:X32&lt;&gt;"",ROW(U7:U32)-MIN(ROW(U7:U32))+1))),ROW()-ROW(A$35)+1)),",",";")),"")</f>
        <v>3,541-4164-1-ND,R8;R9;R13</v>
      </c>
      <c r="Z60" t="str">
        <f t="array" ref="Z60">IFERROR(CONCATENATE(INDEX(AC7:AC32,SMALL(IF(ISNUMBER(Z7:Z32),IF(Z7:Z32&gt;0,IF(AC7:AC32&lt;&gt;"",ROW(Z7:Z32)-MIN(ROW(Z7:Z32))+1))),ROW()-ROW(A$35)+1))," ",TEXT(INDEX(Z7:Z32,SMALL(IF(ISNUMBER(Z7:Z32),IF(Z7:Z32&gt;0,IF(AC7:AC32&lt;&gt;"",ROW(Z7:Z32)-MIN(ROW(Z7:Z32))+1))),ROW()-ROW(A$35)+1)),"##0")," ",SUBSTITUTE(INDEX(A7:A32,SMALL(IF(ISNUMBER(Z7:Z32),IF(Z7:Z32&gt;0,IF(AC7:AC32&lt;&gt;"",ROW(Z7:Z32)-MIN(ROW(Z7:Z32))+1))),ROW()-ROW(A$35)+1))," ",";")),"")</f>
        <v/>
      </c>
      <c r="AE60" t="str">
        <f t="array" ref="AE60">IFERROR(CONCATENATE(INDEX(AH7:AH32,SMALL(IF(ISNUMBER(AE7:AE32),IF(AE7:AE32&gt;0,IF(AH7:AH32&lt;&gt;"",ROW(AE7:AE32)-MIN(ROW(AE7:AE32))+1))),ROW()-ROW(A$35)+1)),"|",TEXT(INDEX(AE7:AE32,SMALL(IF(ISNUMBER(AE7:AE32),IF(AE7:AE32&gt;0,IF(AH7:AH32&lt;&gt;"",ROW(AE7:AE32)-MIN(ROW(AE7:AE32))+1))),ROW()-ROW(A$35)+1)),"##0"),"|",SUBSTITUTE(SUBSTITUTE(INDEX(A7:A32,SMALL(IF(ISNUMBER(AE7:AE32),IF(AE7:AE32&gt;0,IF(AH7:AH32&lt;&gt;"",ROW(AE7:AE32)-MIN(ROW(AE7:AE32))+1))),ROW()-ROW(A$35)+1)),"|",";")," ","_")),"")</f>
        <v/>
      </c>
      <c r="AJ60" t="str">
        <f t="array" ref="AJ60">IFERROR(CONCATENATE(INDEX(AM7:AM32,SMALL(IF(ISNUMBER(AJ7:AJ32),IF(AJ7:AJ32&gt;0,IF(AM7:AM32&lt;&gt;"",ROW(AJ7:AJ32)-MIN(ROW(AJ7:AJ32))+1))),ROW()-ROW(A$35)+1)),",",TEXT(INDEX(AJ7:AJ32,SMALL(IF(ISNUMBER(AJ7:AJ32),IF(AJ7:AJ32&gt;0,IF(AM7:AM32&lt;&gt;"",ROW(AJ7:AJ32)-MIN(ROW(AJ7:AJ32))+1))),ROW()-ROW(A$35)+1)),"##0"),",",SUBSTITUTE(INDEX(A7:A32,SMALL(IF(ISNUMBER(AJ7:AJ32),IF(AJ7:AJ32&gt;0,IF(AM7:AM32&lt;&gt;"",ROW(AJ7:AJ32)-MIN(ROW(AJ7:AJ32))+1))),ROW()-ROW(A$35)+1)),",",";")),"")</f>
        <v/>
      </c>
      <c r="AO60" t="str">
        <f t="array" ref="AO60">IFERROR(CONCATENATE(INDEX(AR7:AR32,SMALL(IF(ISNUMBER(AO7:AO32),IF(AO7:AO32&gt;0,IF(AR7:AR32&lt;&gt;"",ROW(AO7:AO32)-MIN(ROW(AO7:AO32))+1))),ROW()-ROW(A$35)+1))," ",TEXT(INDEX(AO7:AO32,SMALL(IF(ISNUMBER(AO7:AO32),IF(AO7:AO32&gt;0,IF(AR7:AR32&lt;&gt;"",ROW(AO7:AO32)-MIN(ROW(AO7:AO32))+1))),ROW()-ROW(A$35)+1)),"##0")," ",SUBSTITUTE(INDEX(A7:A32,SMALL(IF(ISNUMBER(AO7:AO32),IF(AO7:AO32&gt;0,IF(AR7:AR32&lt;&gt;"",ROW(AO7:AO32)-MIN(ROW(AO7:AO32))+1))),ROW()-ROW(A$35)+1))," ",";")),"")</f>
        <v/>
      </c>
      <c r="AT60" t="str">
        <f t="array" ref="AT60">IFERROR(CONCATENATE(INDEX(AW7:AW32,SMALL(IF(ISNUMBER(AT7:AT32),IF(AT7:AT32&gt;0,IF(AW7:AW32&lt;&gt;"",ROW(AT7:AT32)-MIN(ROW(AT7:AT32))+1))),ROW()-ROW(A$35)+1))," ",TEXT(INDEX(AT7:AT32,SMALL(IF(ISNUMBER(AT7:AT32),IF(AT7:AT32&gt;0,IF(AW7:AW32&lt;&gt;"",ROW(AT7:AT32)-MIN(ROW(AT7:AT32))+1))),ROW()-ROW(A$35)+1)),"##0")," ",SUBSTITUTE(INDEX(A7:A32,SMALL(IF(ISNUMBER(AT7:AT32),IF(AT7:AT32&gt;0,IF(AW7:AW32&lt;&gt;"",ROW(AT7:AT32)-MIN(ROW(AT7:AT32))+1))),ROW()-ROW(A$35)+1))," ",";")),"")</f>
        <v/>
      </c>
    </row>
  </sheetData>
  <mergeCells count="8">
    <mergeCell ref="AI5:AM5"/>
    <mergeCell ref="AN5:AR5"/>
    <mergeCell ref="AS5:AW5"/>
    <mergeCell ref="A5:N5"/>
    <mergeCell ref="O5:S5"/>
    <mergeCell ref="T5:X5"/>
    <mergeCell ref="Y5:AC5"/>
    <mergeCell ref="AD5:AH5"/>
  </mergeCells>
  <conditionalFormatting sqref="AA10">
    <cfRule type="cellIs" dxfId="668" priority="349" operator="lessThanOrEqual">
      <formula>M10</formula>
    </cfRule>
  </conditionalFormatting>
  <conditionalFormatting sqref="AA12">
    <cfRule type="cellIs" dxfId="667" priority="354" operator="lessThanOrEqual">
      <formula>M12</formula>
    </cfRule>
  </conditionalFormatting>
  <conditionalFormatting sqref="AA15">
    <cfRule type="cellIs" dxfId="666" priority="359" operator="lessThanOrEqual">
      <formula>M15</formula>
    </cfRule>
  </conditionalFormatting>
  <conditionalFormatting sqref="AA16">
    <cfRule type="cellIs" dxfId="665" priority="364" operator="lessThanOrEqual">
      <formula>M16</formula>
    </cfRule>
  </conditionalFormatting>
  <conditionalFormatting sqref="AA17">
    <cfRule type="cellIs" dxfId="664" priority="369" operator="lessThanOrEqual">
      <formula>M17</formula>
    </cfRule>
  </conditionalFormatting>
  <conditionalFormatting sqref="AA18">
    <cfRule type="cellIs" dxfId="663" priority="374" operator="lessThanOrEqual">
      <formula>M18</formula>
    </cfRule>
  </conditionalFormatting>
  <conditionalFormatting sqref="AA19">
    <cfRule type="cellIs" dxfId="662" priority="379" operator="lessThanOrEqual">
      <formula>M19</formula>
    </cfRule>
  </conditionalFormatting>
  <conditionalFormatting sqref="AA21">
    <cfRule type="cellIs" dxfId="661" priority="384" operator="lessThanOrEqual">
      <formula>M21</formula>
    </cfRule>
  </conditionalFormatting>
  <conditionalFormatting sqref="AA24">
    <cfRule type="cellIs" dxfId="660" priority="389" operator="lessThanOrEqual">
      <formula>M24</formula>
    </cfRule>
  </conditionalFormatting>
  <conditionalFormatting sqref="AA26">
    <cfRule type="cellIs" dxfId="659" priority="394" operator="lessThanOrEqual">
      <formula>M26</formula>
    </cfRule>
  </conditionalFormatting>
  <conditionalFormatting sqref="AA7">
    <cfRule type="cellIs" dxfId="658" priority="334" operator="lessThanOrEqual">
      <formula>M7</formula>
    </cfRule>
  </conditionalFormatting>
  <conditionalFormatting sqref="AA8">
    <cfRule type="cellIs" dxfId="657" priority="339" operator="lessThanOrEqual">
      <formula>M8</formula>
    </cfRule>
  </conditionalFormatting>
  <conditionalFormatting sqref="AA9">
    <cfRule type="cellIs" dxfId="656" priority="344" operator="lessThanOrEqual">
      <formula>M9</formula>
    </cfRule>
  </conditionalFormatting>
  <conditionalFormatting sqref="AB10">
    <cfRule type="cellIs" dxfId="655" priority="348" operator="lessThanOrEqual">
      <formula>N10</formula>
    </cfRule>
  </conditionalFormatting>
  <conditionalFormatting sqref="AB12">
    <cfRule type="cellIs" dxfId="654" priority="353" operator="lessThanOrEqual">
      <formula>N12</formula>
    </cfRule>
  </conditionalFormatting>
  <conditionalFormatting sqref="AB15">
    <cfRule type="cellIs" dxfId="653" priority="358" operator="lessThanOrEqual">
      <formula>N15</formula>
    </cfRule>
  </conditionalFormatting>
  <conditionalFormatting sqref="AB16">
    <cfRule type="cellIs" dxfId="652" priority="363" operator="lessThanOrEqual">
      <formula>N16</formula>
    </cfRule>
  </conditionalFormatting>
  <conditionalFormatting sqref="AB17">
    <cfRule type="cellIs" dxfId="651" priority="368" operator="lessThanOrEqual">
      <formula>N17</formula>
    </cfRule>
  </conditionalFormatting>
  <conditionalFormatting sqref="AB18">
    <cfRule type="cellIs" dxfId="650" priority="373" operator="lessThanOrEqual">
      <formula>N18</formula>
    </cfRule>
  </conditionalFormatting>
  <conditionalFormatting sqref="AB19">
    <cfRule type="cellIs" dxfId="649" priority="378" operator="lessThanOrEqual">
      <formula>N19</formula>
    </cfRule>
  </conditionalFormatting>
  <conditionalFormatting sqref="AB21">
    <cfRule type="cellIs" dxfId="648" priority="383" operator="lessThanOrEqual">
      <formula>N21</formula>
    </cfRule>
  </conditionalFormatting>
  <conditionalFormatting sqref="AB24">
    <cfRule type="cellIs" dxfId="647" priority="388" operator="lessThanOrEqual">
      <formula>N24</formula>
    </cfRule>
  </conditionalFormatting>
  <conditionalFormatting sqref="AB26">
    <cfRule type="cellIs" dxfId="646" priority="393" operator="lessThanOrEqual">
      <formula>N26</formula>
    </cfRule>
  </conditionalFormatting>
  <conditionalFormatting sqref="AB7">
    <cfRule type="cellIs" dxfId="645" priority="333" operator="lessThanOrEqual">
      <formula>N7</formula>
    </cfRule>
  </conditionalFormatting>
  <conditionalFormatting sqref="AB8">
    <cfRule type="cellIs" dxfId="644" priority="338" operator="lessThanOrEqual">
      <formula>N8</formula>
    </cfRule>
  </conditionalFormatting>
  <conditionalFormatting sqref="AB9">
    <cfRule type="cellIs" dxfId="643" priority="343" operator="lessThanOrEqual">
      <formula>N9</formula>
    </cfRule>
  </conditionalFormatting>
  <conditionalFormatting sqref="AD10">
    <cfRule type="cellIs" dxfId="642" priority="405" operator="equal">
      <formula>0</formula>
    </cfRule>
    <cfRule type="cellIs" dxfId="641" priority="406" operator="lessThan">
      <formula>L10</formula>
    </cfRule>
  </conditionalFormatting>
  <conditionalFormatting sqref="AD12">
    <cfRule type="cellIs" dxfId="640" priority="410" operator="equal">
      <formula>0</formula>
    </cfRule>
    <cfRule type="cellIs" dxfId="639" priority="411" operator="lessThan">
      <formula>L12</formula>
    </cfRule>
  </conditionalFormatting>
  <conditionalFormatting sqref="AD13">
    <cfRule type="cellIs" dxfId="638" priority="415" operator="equal">
      <formula>0</formula>
    </cfRule>
    <cfRule type="cellIs" dxfId="637" priority="416" operator="lessThan">
      <formula>L13</formula>
    </cfRule>
  </conditionalFormatting>
  <conditionalFormatting sqref="AD14">
    <cfRule type="cellIs" dxfId="636" priority="420" operator="equal">
      <formula>0</formula>
    </cfRule>
    <cfRule type="cellIs" dxfId="635" priority="421" operator="lessThan">
      <formula>L14</formula>
    </cfRule>
  </conditionalFormatting>
  <conditionalFormatting sqref="AD15">
    <cfRule type="cellIs" dxfId="634" priority="425" operator="equal">
      <formula>0</formula>
    </cfRule>
    <cfRule type="cellIs" dxfId="633" priority="426" operator="lessThan">
      <formula>L15</formula>
    </cfRule>
  </conditionalFormatting>
  <conditionalFormatting sqref="AD16">
    <cfRule type="cellIs" dxfId="632" priority="430" operator="equal">
      <formula>0</formula>
    </cfRule>
    <cfRule type="cellIs" dxfId="631" priority="431" operator="lessThan">
      <formula>L16</formula>
    </cfRule>
  </conditionalFormatting>
  <conditionalFormatting sqref="AD17">
    <cfRule type="cellIs" dxfId="630" priority="435" operator="equal">
      <formula>0</formula>
    </cfRule>
    <cfRule type="cellIs" dxfId="629" priority="436" operator="lessThan">
      <formula>L17</formula>
    </cfRule>
  </conditionalFormatting>
  <conditionalFormatting sqref="AD18">
    <cfRule type="cellIs" dxfId="628" priority="440" operator="equal">
      <formula>0</formula>
    </cfRule>
    <cfRule type="cellIs" dxfId="627" priority="441" operator="lessThan">
      <formula>L18</formula>
    </cfRule>
  </conditionalFormatting>
  <conditionalFormatting sqref="AD19">
    <cfRule type="cellIs" dxfId="626" priority="445" operator="equal">
      <formula>0</formula>
    </cfRule>
    <cfRule type="cellIs" dxfId="625" priority="446" operator="lessThan">
      <formula>L19</formula>
    </cfRule>
  </conditionalFormatting>
  <conditionalFormatting sqref="AD21">
    <cfRule type="cellIs" dxfId="624" priority="450" operator="equal">
      <formula>0</formula>
    </cfRule>
    <cfRule type="cellIs" dxfId="623" priority="451" operator="lessThan">
      <formula>L21</formula>
    </cfRule>
  </conditionalFormatting>
  <conditionalFormatting sqref="AD22">
    <cfRule type="cellIs" dxfId="622" priority="455" operator="equal">
      <formula>0</formula>
    </cfRule>
    <cfRule type="cellIs" dxfId="621" priority="456" operator="lessThan">
      <formula>L22</formula>
    </cfRule>
  </conditionalFormatting>
  <conditionalFormatting sqref="AD23">
    <cfRule type="cellIs" dxfId="620" priority="460" operator="equal">
      <formula>0</formula>
    </cfRule>
    <cfRule type="cellIs" dxfId="619" priority="461" operator="lessThan">
      <formula>L23</formula>
    </cfRule>
  </conditionalFormatting>
  <conditionalFormatting sqref="AD24">
    <cfRule type="cellIs" dxfId="618" priority="465" operator="equal">
      <formula>0</formula>
    </cfRule>
    <cfRule type="cellIs" dxfId="617" priority="466" operator="lessThan">
      <formula>L24</formula>
    </cfRule>
  </conditionalFormatting>
  <conditionalFormatting sqref="AD25">
    <cfRule type="cellIs" dxfId="616" priority="470" operator="equal">
      <formula>0</formula>
    </cfRule>
    <cfRule type="cellIs" dxfId="615" priority="471" operator="lessThan">
      <formula>L25</formula>
    </cfRule>
  </conditionalFormatting>
  <conditionalFormatting sqref="AD26">
    <cfRule type="cellIs" dxfId="614" priority="475" operator="equal">
      <formula>0</formula>
    </cfRule>
    <cfRule type="cellIs" dxfId="613" priority="476" operator="lessThan">
      <formula>L26</formula>
    </cfRule>
  </conditionalFormatting>
  <conditionalFormatting sqref="AD27">
    <cfRule type="cellIs" dxfId="612" priority="480" operator="equal">
      <formula>0</formula>
    </cfRule>
    <cfRule type="cellIs" dxfId="611" priority="481" operator="lessThan">
      <formula>L27</formula>
    </cfRule>
  </conditionalFormatting>
  <conditionalFormatting sqref="AD28">
    <cfRule type="cellIs" dxfId="610" priority="485" operator="equal">
      <formula>0</formula>
    </cfRule>
    <cfRule type="cellIs" dxfId="609" priority="486" operator="lessThan">
      <formula>L28</formula>
    </cfRule>
  </conditionalFormatting>
  <conditionalFormatting sqref="AD29">
    <cfRule type="cellIs" dxfId="608" priority="490" operator="equal">
      <formula>0</formula>
    </cfRule>
    <cfRule type="cellIs" dxfId="607" priority="491" operator="lessThan">
      <formula>L29</formula>
    </cfRule>
  </conditionalFormatting>
  <conditionalFormatting sqref="AD30">
    <cfRule type="cellIs" dxfId="606" priority="495" operator="equal">
      <formula>0</formula>
    </cfRule>
    <cfRule type="cellIs" dxfId="605" priority="496" operator="lessThan">
      <formula>L30</formula>
    </cfRule>
  </conditionalFormatting>
  <conditionalFormatting sqref="AD31">
    <cfRule type="cellIs" dxfId="604" priority="500" operator="equal">
      <formula>0</formula>
    </cfRule>
    <cfRule type="cellIs" dxfId="603" priority="501" operator="lessThan">
      <formula>L31</formula>
    </cfRule>
  </conditionalFormatting>
  <conditionalFormatting sqref="AD32">
    <cfRule type="cellIs" dxfId="602" priority="505" operator="equal">
      <formula>0</formula>
    </cfRule>
    <cfRule type="cellIs" dxfId="601" priority="506" operator="lessThan">
      <formula>L32</formula>
    </cfRule>
  </conditionalFormatting>
  <conditionalFormatting sqref="AD7">
    <cfRule type="cellIs" dxfId="600" priority="395" operator="equal">
      <formula>0</formula>
    </cfRule>
    <cfRule type="cellIs" dxfId="599" priority="396" operator="lessThan">
      <formula>L7</formula>
    </cfRule>
  </conditionalFormatting>
  <conditionalFormatting sqref="AD9">
    <cfRule type="cellIs" dxfId="598" priority="400" operator="equal">
      <formula>0</formula>
    </cfRule>
    <cfRule type="cellIs" dxfId="597" priority="401" operator="lessThan">
      <formula>L9</formula>
    </cfRule>
  </conditionalFormatting>
  <conditionalFormatting sqref="AE10">
    <cfRule type="cellIs" dxfId="596" priority="407" operator="greaterThan">
      <formula>AD10</formula>
    </cfRule>
  </conditionalFormatting>
  <conditionalFormatting sqref="AE12">
    <cfRule type="cellIs" dxfId="595" priority="412" operator="greaterThan">
      <formula>AD12</formula>
    </cfRule>
  </conditionalFormatting>
  <conditionalFormatting sqref="AE13">
    <cfRule type="cellIs" dxfId="594" priority="417" operator="greaterThan">
      <formula>AD13</formula>
    </cfRule>
  </conditionalFormatting>
  <conditionalFormatting sqref="AE14">
    <cfRule type="cellIs" dxfId="593" priority="422" operator="greaterThan">
      <formula>AD14</formula>
    </cfRule>
  </conditionalFormatting>
  <conditionalFormatting sqref="AE15">
    <cfRule type="cellIs" dxfId="592" priority="427" operator="greaterThan">
      <formula>AD15</formula>
    </cfRule>
  </conditionalFormatting>
  <conditionalFormatting sqref="AE16">
    <cfRule type="cellIs" dxfId="591" priority="432" operator="greaterThan">
      <formula>AD16</formula>
    </cfRule>
  </conditionalFormatting>
  <conditionalFormatting sqref="AE17">
    <cfRule type="cellIs" dxfId="590" priority="437" operator="greaterThan">
      <formula>AD17</formula>
    </cfRule>
  </conditionalFormatting>
  <conditionalFormatting sqref="AE18">
    <cfRule type="cellIs" dxfId="589" priority="442" operator="greaterThan">
      <formula>AD18</formula>
    </cfRule>
  </conditionalFormatting>
  <conditionalFormatting sqref="AE19">
    <cfRule type="cellIs" dxfId="588" priority="447" operator="greaterThan">
      <formula>AD19</formula>
    </cfRule>
  </conditionalFormatting>
  <conditionalFormatting sqref="AE21">
    <cfRule type="cellIs" dxfId="587" priority="452" operator="greaterThan">
      <formula>AD21</formula>
    </cfRule>
  </conditionalFormatting>
  <conditionalFormatting sqref="AE22">
    <cfRule type="cellIs" dxfId="586" priority="457" operator="greaterThan">
      <formula>AD22</formula>
    </cfRule>
  </conditionalFormatting>
  <conditionalFormatting sqref="AE23">
    <cfRule type="cellIs" dxfId="585" priority="462" operator="greaterThan">
      <formula>AD23</formula>
    </cfRule>
  </conditionalFormatting>
  <conditionalFormatting sqref="AE24">
    <cfRule type="cellIs" dxfId="584" priority="467" operator="greaterThan">
      <formula>AD24</formula>
    </cfRule>
  </conditionalFormatting>
  <conditionalFormatting sqref="AE25">
    <cfRule type="cellIs" dxfId="583" priority="472" operator="greaterThan">
      <formula>AD25</formula>
    </cfRule>
  </conditionalFormatting>
  <conditionalFormatting sqref="AE26">
    <cfRule type="cellIs" dxfId="582" priority="477" operator="greaterThan">
      <formula>AD26</formula>
    </cfRule>
  </conditionalFormatting>
  <conditionalFormatting sqref="AE27">
    <cfRule type="cellIs" dxfId="581" priority="482" operator="greaterThan">
      <formula>AD27</formula>
    </cfRule>
  </conditionalFormatting>
  <conditionalFormatting sqref="AE28">
    <cfRule type="cellIs" dxfId="580" priority="487" operator="greaterThan">
      <formula>AD28</formula>
    </cfRule>
  </conditionalFormatting>
  <conditionalFormatting sqref="AE29">
    <cfRule type="cellIs" dxfId="579" priority="492" operator="greaterThan">
      <formula>AD29</formula>
    </cfRule>
  </conditionalFormatting>
  <conditionalFormatting sqref="AE30">
    <cfRule type="cellIs" dxfId="578" priority="497" operator="greaterThan">
      <formula>AD30</formula>
    </cfRule>
  </conditionalFormatting>
  <conditionalFormatting sqref="AE31">
    <cfRule type="cellIs" dxfId="577" priority="502" operator="greaterThan">
      <formula>AD31</formula>
    </cfRule>
  </conditionalFormatting>
  <conditionalFormatting sqref="AE32">
    <cfRule type="cellIs" dxfId="576" priority="507" operator="greaterThan">
      <formula>AD32</formula>
    </cfRule>
  </conditionalFormatting>
  <conditionalFormatting sqref="AE7">
    <cfRule type="cellIs" dxfId="575" priority="397" operator="greaterThan">
      <formula>AD7</formula>
    </cfRule>
  </conditionalFormatting>
  <conditionalFormatting sqref="AE9">
    <cfRule type="cellIs" dxfId="574" priority="402" operator="greaterThan">
      <formula>AD9</formula>
    </cfRule>
  </conditionalFormatting>
  <conditionalFormatting sqref="AF10">
    <cfRule type="cellIs" dxfId="573" priority="409" operator="lessThanOrEqual">
      <formula>M10</formula>
    </cfRule>
  </conditionalFormatting>
  <conditionalFormatting sqref="AF12">
    <cfRule type="cellIs" dxfId="572" priority="414" operator="lessThanOrEqual">
      <formula>M12</formula>
    </cfRule>
  </conditionalFormatting>
  <conditionalFormatting sqref="AF13">
    <cfRule type="cellIs" dxfId="571" priority="419" operator="lessThanOrEqual">
      <formula>M13</formula>
    </cfRule>
  </conditionalFormatting>
  <conditionalFormatting sqref="AF14">
    <cfRule type="cellIs" dxfId="570" priority="424" operator="lessThanOrEqual">
      <formula>M14</formula>
    </cfRule>
  </conditionalFormatting>
  <conditionalFormatting sqref="AF15">
    <cfRule type="cellIs" dxfId="569" priority="429" operator="lessThanOrEqual">
      <formula>M15</formula>
    </cfRule>
  </conditionalFormatting>
  <conditionalFormatting sqref="AF16">
    <cfRule type="cellIs" dxfId="568" priority="434" operator="lessThanOrEqual">
      <formula>M16</formula>
    </cfRule>
  </conditionalFormatting>
  <conditionalFormatting sqref="AF17">
    <cfRule type="cellIs" dxfId="567" priority="439" operator="lessThanOrEqual">
      <formula>M17</formula>
    </cfRule>
  </conditionalFormatting>
  <conditionalFormatting sqref="AF18">
    <cfRule type="cellIs" dxfId="566" priority="444" operator="lessThanOrEqual">
      <formula>M18</formula>
    </cfRule>
  </conditionalFormatting>
  <conditionalFormatting sqref="AF19">
    <cfRule type="cellIs" dxfId="565" priority="449" operator="lessThanOrEqual">
      <formula>M19</formula>
    </cfRule>
  </conditionalFormatting>
  <conditionalFormatting sqref="AF21">
    <cfRule type="cellIs" dxfId="564" priority="454" operator="lessThanOrEqual">
      <formula>M21</formula>
    </cfRule>
  </conditionalFormatting>
  <conditionalFormatting sqref="AF22">
    <cfRule type="cellIs" dxfId="563" priority="459" operator="lessThanOrEqual">
      <formula>M22</formula>
    </cfRule>
  </conditionalFormatting>
  <conditionalFormatting sqref="AF23">
    <cfRule type="cellIs" dxfId="562" priority="464" operator="lessThanOrEqual">
      <formula>M23</formula>
    </cfRule>
  </conditionalFormatting>
  <conditionalFormatting sqref="AF24">
    <cfRule type="cellIs" dxfId="561" priority="469" operator="lessThanOrEqual">
      <formula>M24</formula>
    </cfRule>
  </conditionalFormatting>
  <conditionalFormatting sqref="AF25">
    <cfRule type="cellIs" dxfId="560" priority="474" operator="lessThanOrEqual">
      <formula>M25</formula>
    </cfRule>
  </conditionalFormatting>
  <conditionalFormatting sqref="AF26">
    <cfRule type="cellIs" dxfId="559" priority="479" operator="lessThanOrEqual">
      <formula>M26</formula>
    </cfRule>
  </conditionalFormatting>
  <conditionalFormatting sqref="AF27">
    <cfRule type="cellIs" dxfId="558" priority="484" operator="lessThanOrEqual">
      <formula>M27</formula>
    </cfRule>
  </conditionalFormatting>
  <conditionalFormatting sqref="AF28">
    <cfRule type="cellIs" dxfId="557" priority="489" operator="lessThanOrEqual">
      <formula>M28</formula>
    </cfRule>
  </conditionalFormatting>
  <conditionalFormatting sqref="AF29">
    <cfRule type="cellIs" dxfId="556" priority="494" operator="lessThanOrEqual">
      <formula>M29</formula>
    </cfRule>
  </conditionalFormatting>
  <conditionalFormatting sqref="AF30">
    <cfRule type="cellIs" dxfId="555" priority="499" operator="lessThanOrEqual">
      <formula>M30</formula>
    </cfRule>
  </conditionalFormatting>
  <conditionalFormatting sqref="AF31">
    <cfRule type="cellIs" dxfId="554" priority="504" operator="lessThanOrEqual">
      <formula>M31</formula>
    </cfRule>
  </conditionalFormatting>
  <conditionalFormatting sqref="AF32">
    <cfRule type="cellIs" dxfId="553" priority="509" operator="lessThanOrEqual">
      <formula>M32</formula>
    </cfRule>
  </conditionalFormatting>
  <conditionalFormatting sqref="AF7">
    <cfRule type="cellIs" dxfId="552" priority="399" operator="lessThanOrEqual">
      <formula>M7</formula>
    </cfRule>
  </conditionalFormatting>
  <conditionalFormatting sqref="AF9">
    <cfRule type="cellIs" dxfId="551" priority="404" operator="lessThanOrEqual">
      <formula>M9</formula>
    </cfRule>
  </conditionalFormatting>
  <conditionalFormatting sqref="AG10">
    <cfRule type="cellIs" dxfId="550" priority="408" operator="lessThanOrEqual">
      <formula>N10</formula>
    </cfRule>
  </conditionalFormatting>
  <conditionalFormatting sqref="AG12">
    <cfRule type="cellIs" dxfId="549" priority="413" operator="lessThanOrEqual">
      <formula>N12</formula>
    </cfRule>
  </conditionalFormatting>
  <conditionalFormatting sqref="AG13">
    <cfRule type="cellIs" dxfId="548" priority="418" operator="lessThanOrEqual">
      <formula>N13</formula>
    </cfRule>
  </conditionalFormatting>
  <conditionalFormatting sqref="AG14">
    <cfRule type="cellIs" dxfId="547" priority="423" operator="lessThanOrEqual">
      <formula>N14</formula>
    </cfRule>
  </conditionalFormatting>
  <conditionalFormatting sqref="AG15">
    <cfRule type="cellIs" dxfId="546" priority="428" operator="lessThanOrEqual">
      <formula>N15</formula>
    </cfRule>
  </conditionalFormatting>
  <conditionalFormatting sqref="AG16">
    <cfRule type="cellIs" dxfId="545" priority="433" operator="lessThanOrEqual">
      <formula>N16</formula>
    </cfRule>
  </conditionalFormatting>
  <conditionalFormatting sqref="AG17">
    <cfRule type="cellIs" dxfId="544" priority="438" operator="lessThanOrEqual">
      <formula>N17</formula>
    </cfRule>
  </conditionalFormatting>
  <conditionalFormatting sqref="AG18">
    <cfRule type="cellIs" dxfId="543" priority="443" operator="lessThanOrEqual">
      <formula>N18</formula>
    </cfRule>
  </conditionalFormatting>
  <conditionalFormatting sqref="AG19">
    <cfRule type="cellIs" dxfId="542" priority="448" operator="lessThanOrEqual">
      <formula>N19</formula>
    </cfRule>
  </conditionalFormatting>
  <conditionalFormatting sqref="AG21">
    <cfRule type="cellIs" dxfId="541" priority="453" operator="lessThanOrEqual">
      <formula>N21</formula>
    </cfRule>
  </conditionalFormatting>
  <conditionalFormatting sqref="AG22">
    <cfRule type="cellIs" dxfId="540" priority="458" operator="lessThanOrEqual">
      <formula>N22</formula>
    </cfRule>
  </conditionalFormatting>
  <conditionalFormatting sqref="AG23">
    <cfRule type="cellIs" dxfId="539" priority="463" operator="lessThanOrEqual">
      <formula>N23</formula>
    </cfRule>
  </conditionalFormatting>
  <conditionalFormatting sqref="AG24">
    <cfRule type="cellIs" dxfId="538" priority="468" operator="lessThanOrEqual">
      <formula>N24</formula>
    </cfRule>
  </conditionalFormatting>
  <conditionalFormatting sqref="AG25">
    <cfRule type="cellIs" dxfId="537" priority="473" operator="lessThanOrEqual">
      <formula>N25</formula>
    </cfRule>
  </conditionalFormatting>
  <conditionalFormatting sqref="AG26">
    <cfRule type="cellIs" dxfId="536" priority="478" operator="lessThanOrEqual">
      <formula>N26</formula>
    </cfRule>
  </conditionalFormatting>
  <conditionalFormatting sqref="AG27">
    <cfRule type="cellIs" dxfId="535" priority="483" operator="lessThanOrEqual">
      <formula>N27</formula>
    </cfRule>
  </conditionalFormatting>
  <conditionalFormatting sqref="AG28">
    <cfRule type="cellIs" dxfId="534" priority="488" operator="lessThanOrEqual">
      <formula>N28</formula>
    </cfRule>
  </conditionalFormatting>
  <conditionalFormatting sqref="AG29">
    <cfRule type="cellIs" dxfId="533" priority="493" operator="lessThanOrEqual">
      <formula>N29</formula>
    </cfRule>
  </conditionalFormatting>
  <conditionalFormatting sqref="AG30">
    <cfRule type="cellIs" dxfId="532" priority="498" operator="lessThanOrEqual">
      <formula>N30</formula>
    </cfRule>
  </conditionalFormatting>
  <conditionalFormatting sqref="AG31">
    <cfRule type="cellIs" dxfId="531" priority="503" operator="lessThanOrEqual">
      <formula>N31</formula>
    </cfRule>
  </conditionalFormatting>
  <conditionalFormatting sqref="AG32">
    <cfRule type="cellIs" dxfId="530" priority="508" operator="lessThanOrEqual">
      <formula>N32</formula>
    </cfRule>
  </conditionalFormatting>
  <conditionalFormatting sqref="AG7">
    <cfRule type="cellIs" dxfId="529" priority="398" operator="lessThanOrEqual">
      <formula>N7</formula>
    </cfRule>
  </conditionalFormatting>
  <conditionalFormatting sqref="AG9">
    <cfRule type="cellIs" dxfId="528" priority="403" operator="lessThanOrEqual">
      <formula>N9</formula>
    </cfRule>
  </conditionalFormatting>
  <conditionalFormatting sqref="AI12">
    <cfRule type="cellIs" dxfId="527" priority="520" operator="equal">
      <formula>0</formula>
    </cfRule>
    <cfRule type="cellIs" dxfId="526" priority="521" operator="lessThan">
      <formula>L12</formula>
    </cfRule>
  </conditionalFormatting>
  <conditionalFormatting sqref="AI13">
    <cfRule type="cellIs" dxfId="525" priority="525" operator="equal">
      <formula>0</formula>
    </cfRule>
    <cfRule type="cellIs" dxfId="524" priority="526" operator="lessThan">
      <formula>L13</formula>
    </cfRule>
  </conditionalFormatting>
  <conditionalFormatting sqref="AI17">
    <cfRule type="cellIs" dxfId="523" priority="530" operator="equal">
      <formula>0</formula>
    </cfRule>
    <cfRule type="cellIs" dxfId="522" priority="531" operator="lessThan">
      <formula>L17</formula>
    </cfRule>
  </conditionalFormatting>
  <conditionalFormatting sqref="AI19">
    <cfRule type="cellIs" dxfId="521" priority="535" operator="equal">
      <formula>0</formula>
    </cfRule>
    <cfRule type="cellIs" dxfId="520" priority="536" operator="lessThan">
      <formula>L19</formula>
    </cfRule>
  </conditionalFormatting>
  <conditionalFormatting sqref="AI21">
    <cfRule type="cellIs" dxfId="519" priority="540" operator="equal">
      <formula>0</formula>
    </cfRule>
    <cfRule type="cellIs" dxfId="518" priority="541" operator="lessThan">
      <formula>L21</formula>
    </cfRule>
  </conditionalFormatting>
  <conditionalFormatting sqref="AI23">
    <cfRule type="cellIs" dxfId="517" priority="545" operator="equal">
      <formula>0</formula>
    </cfRule>
    <cfRule type="cellIs" dxfId="516" priority="546" operator="lessThan">
      <formula>L23</formula>
    </cfRule>
  </conditionalFormatting>
  <conditionalFormatting sqref="AI24">
    <cfRule type="cellIs" dxfId="515" priority="550" operator="equal">
      <formula>0</formula>
    </cfRule>
    <cfRule type="cellIs" dxfId="514" priority="551" operator="lessThan">
      <formula>L24</formula>
    </cfRule>
  </conditionalFormatting>
  <conditionalFormatting sqref="AI25">
    <cfRule type="cellIs" dxfId="513" priority="555" operator="equal">
      <formula>0</formula>
    </cfRule>
    <cfRule type="cellIs" dxfId="512" priority="556" operator="lessThan">
      <formula>L25</formula>
    </cfRule>
  </conditionalFormatting>
  <conditionalFormatting sqref="AI26">
    <cfRule type="cellIs" dxfId="511" priority="560" operator="equal">
      <formula>0</formula>
    </cfRule>
    <cfRule type="cellIs" dxfId="510" priority="561" operator="lessThan">
      <formula>L26</formula>
    </cfRule>
  </conditionalFormatting>
  <conditionalFormatting sqref="AI27">
    <cfRule type="cellIs" dxfId="509" priority="565" operator="equal">
      <formula>0</formula>
    </cfRule>
    <cfRule type="cellIs" dxfId="508" priority="566" operator="lessThan">
      <formula>L27</formula>
    </cfRule>
  </conditionalFormatting>
  <conditionalFormatting sqref="AI28">
    <cfRule type="cellIs" dxfId="507" priority="570" operator="equal">
      <formula>0</formula>
    </cfRule>
    <cfRule type="cellIs" dxfId="506" priority="571" operator="lessThan">
      <formula>L28</formula>
    </cfRule>
  </conditionalFormatting>
  <conditionalFormatting sqref="AI29">
    <cfRule type="cellIs" dxfId="505" priority="575" operator="equal">
      <formula>0</formula>
    </cfRule>
    <cfRule type="cellIs" dxfId="504" priority="576" operator="lessThan">
      <formula>L29</formula>
    </cfRule>
  </conditionalFormatting>
  <conditionalFormatting sqref="AI30">
    <cfRule type="cellIs" dxfId="503" priority="580" operator="equal">
      <formula>0</formula>
    </cfRule>
    <cfRule type="cellIs" dxfId="502" priority="581" operator="lessThan">
      <formula>L30</formula>
    </cfRule>
  </conditionalFormatting>
  <conditionalFormatting sqref="AI31">
    <cfRule type="cellIs" dxfId="501" priority="585" operator="equal">
      <formula>0</formula>
    </cfRule>
    <cfRule type="cellIs" dxfId="500" priority="586" operator="lessThan">
      <formula>L31</formula>
    </cfRule>
  </conditionalFormatting>
  <conditionalFormatting sqref="AI32">
    <cfRule type="cellIs" dxfId="499" priority="590" operator="equal">
      <formula>0</formula>
    </cfRule>
    <cfRule type="cellIs" dxfId="498" priority="591" operator="lessThan">
      <formula>L32</formula>
    </cfRule>
  </conditionalFormatting>
  <conditionalFormatting sqref="AI7">
    <cfRule type="cellIs" dxfId="497" priority="510" operator="equal">
      <formula>0</formula>
    </cfRule>
    <cfRule type="cellIs" dxfId="496" priority="511" operator="lessThan">
      <formula>L7</formula>
    </cfRule>
  </conditionalFormatting>
  <conditionalFormatting sqref="AI9">
    <cfRule type="cellIs" dxfId="495" priority="515" operator="equal">
      <formula>0</formula>
    </cfRule>
    <cfRule type="cellIs" dxfId="494" priority="516" operator="lessThan">
      <formula>L9</formula>
    </cfRule>
  </conditionalFormatting>
  <conditionalFormatting sqref="AJ12">
    <cfRule type="cellIs" dxfId="493" priority="522" operator="greaterThan">
      <formula>AI12</formula>
    </cfRule>
  </conditionalFormatting>
  <conditionalFormatting sqref="AJ13">
    <cfRule type="cellIs" dxfId="492" priority="527" operator="greaterThan">
      <formula>AI13</formula>
    </cfRule>
  </conditionalFormatting>
  <conditionalFormatting sqref="AJ17">
    <cfRule type="cellIs" dxfId="491" priority="532" operator="greaterThan">
      <formula>AI17</formula>
    </cfRule>
  </conditionalFormatting>
  <conditionalFormatting sqref="AJ19">
    <cfRule type="cellIs" dxfId="490" priority="537" operator="greaterThan">
      <formula>AI19</formula>
    </cfRule>
  </conditionalFormatting>
  <conditionalFormatting sqref="AJ21">
    <cfRule type="cellIs" dxfId="489" priority="542" operator="greaterThan">
      <formula>AI21</formula>
    </cfRule>
  </conditionalFormatting>
  <conditionalFormatting sqref="AJ23">
    <cfRule type="cellIs" dxfId="488" priority="547" operator="greaterThan">
      <formula>AI23</formula>
    </cfRule>
  </conditionalFormatting>
  <conditionalFormatting sqref="AJ24">
    <cfRule type="cellIs" dxfId="487" priority="552" operator="greaterThan">
      <formula>AI24</formula>
    </cfRule>
  </conditionalFormatting>
  <conditionalFormatting sqref="AJ25">
    <cfRule type="cellIs" dxfId="486" priority="557" operator="greaterThan">
      <formula>AI25</formula>
    </cfRule>
  </conditionalFormatting>
  <conditionalFormatting sqref="AJ26">
    <cfRule type="cellIs" dxfId="485" priority="562" operator="greaterThan">
      <formula>AI26</formula>
    </cfRule>
  </conditionalFormatting>
  <conditionalFormatting sqref="AJ27">
    <cfRule type="cellIs" dxfId="484" priority="567" operator="greaterThan">
      <formula>AI27</formula>
    </cfRule>
  </conditionalFormatting>
  <conditionalFormatting sqref="AJ28">
    <cfRule type="cellIs" dxfId="483" priority="572" operator="greaterThan">
      <formula>AI28</formula>
    </cfRule>
  </conditionalFormatting>
  <conditionalFormatting sqref="AJ29">
    <cfRule type="cellIs" dxfId="482" priority="577" operator="greaterThan">
      <formula>AI29</formula>
    </cfRule>
  </conditionalFormatting>
  <conditionalFormatting sqref="AJ30">
    <cfRule type="cellIs" dxfId="481" priority="582" operator="greaterThan">
      <formula>AI30</formula>
    </cfRule>
  </conditionalFormatting>
  <conditionalFormatting sqref="AJ31">
    <cfRule type="cellIs" dxfId="480" priority="587" operator="greaterThan">
      <formula>AI31</formula>
    </cfRule>
  </conditionalFormatting>
  <conditionalFormatting sqref="AJ32">
    <cfRule type="cellIs" dxfId="479" priority="592" operator="greaterThan">
      <formula>AI32</formula>
    </cfRule>
  </conditionalFormatting>
  <conditionalFormatting sqref="AJ7">
    <cfRule type="cellIs" dxfId="478" priority="512" operator="greaterThan">
      <formula>AI7</formula>
    </cfRule>
  </conditionalFormatting>
  <conditionalFormatting sqref="AJ9">
    <cfRule type="cellIs" dxfId="477" priority="517" operator="greaterThan">
      <formula>AI9</formula>
    </cfRule>
  </conditionalFormatting>
  <conditionalFormatting sqref="AK12">
    <cfRule type="cellIs" dxfId="476" priority="524" operator="lessThanOrEqual">
      <formula>M12</formula>
    </cfRule>
  </conditionalFormatting>
  <conditionalFormatting sqref="AK13">
    <cfRule type="cellIs" dxfId="475" priority="529" operator="lessThanOrEqual">
      <formula>M13</formula>
    </cfRule>
  </conditionalFormatting>
  <conditionalFormatting sqref="AK17">
    <cfRule type="cellIs" dxfId="474" priority="534" operator="lessThanOrEqual">
      <formula>M17</formula>
    </cfRule>
  </conditionalFormatting>
  <conditionalFormatting sqref="AK19">
    <cfRule type="cellIs" dxfId="473" priority="539" operator="lessThanOrEqual">
      <formula>M19</formula>
    </cfRule>
  </conditionalFormatting>
  <conditionalFormatting sqref="AK21">
    <cfRule type="cellIs" dxfId="472" priority="544" operator="lessThanOrEqual">
      <formula>M21</formula>
    </cfRule>
  </conditionalFormatting>
  <conditionalFormatting sqref="AK23">
    <cfRule type="cellIs" dxfId="471" priority="549" operator="lessThanOrEqual">
      <formula>M23</formula>
    </cfRule>
  </conditionalFormatting>
  <conditionalFormatting sqref="AK24">
    <cfRule type="cellIs" dxfId="470" priority="554" operator="lessThanOrEqual">
      <formula>M24</formula>
    </cfRule>
  </conditionalFormatting>
  <conditionalFormatting sqref="AK25">
    <cfRule type="cellIs" dxfId="469" priority="559" operator="lessThanOrEqual">
      <formula>M25</formula>
    </cfRule>
  </conditionalFormatting>
  <conditionalFormatting sqref="AK26">
    <cfRule type="cellIs" dxfId="468" priority="564" operator="lessThanOrEqual">
      <formula>M26</formula>
    </cfRule>
  </conditionalFormatting>
  <conditionalFormatting sqref="AK27">
    <cfRule type="cellIs" dxfId="467" priority="569" operator="lessThanOrEqual">
      <formula>M27</formula>
    </cfRule>
  </conditionalFormatting>
  <conditionalFormatting sqref="AK28">
    <cfRule type="cellIs" dxfId="466" priority="574" operator="lessThanOrEqual">
      <formula>M28</formula>
    </cfRule>
  </conditionalFormatting>
  <conditionalFormatting sqref="AK29">
    <cfRule type="cellIs" dxfId="465" priority="579" operator="lessThanOrEqual">
      <formula>M29</formula>
    </cfRule>
  </conditionalFormatting>
  <conditionalFormatting sqref="AK30">
    <cfRule type="cellIs" dxfId="464" priority="584" operator="lessThanOrEqual">
      <formula>M30</formula>
    </cfRule>
  </conditionalFormatting>
  <conditionalFormatting sqref="AK31">
    <cfRule type="cellIs" dxfId="463" priority="589" operator="lessThanOrEqual">
      <formula>M31</formula>
    </cfRule>
  </conditionalFormatting>
  <conditionalFormatting sqref="AK32">
    <cfRule type="cellIs" dxfId="462" priority="594" operator="lessThanOrEqual">
      <formula>M32</formula>
    </cfRule>
  </conditionalFormatting>
  <conditionalFormatting sqref="AK7">
    <cfRule type="cellIs" dxfId="461" priority="514" operator="lessThanOrEqual">
      <formula>M7</formula>
    </cfRule>
  </conditionalFormatting>
  <conditionalFormatting sqref="AK9">
    <cfRule type="cellIs" dxfId="460" priority="519" operator="lessThanOrEqual">
      <formula>M9</formula>
    </cfRule>
  </conditionalFormatting>
  <conditionalFormatting sqref="AL12">
    <cfRule type="cellIs" dxfId="459" priority="523" operator="lessThanOrEqual">
      <formula>N12</formula>
    </cfRule>
  </conditionalFormatting>
  <conditionalFormatting sqref="AL13">
    <cfRule type="cellIs" dxfId="458" priority="528" operator="lessThanOrEqual">
      <formula>N13</formula>
    </cfRule>
  </conditionalFormatting>
  <conditionalFormatting sqref="AL17">
    <cfRule type="cellIs" dxfId="457" priority="533" operator="lessThanOrEqual">
      <formula>N17</formula>
    </cfRule>
  </conditionalFormatting>
  <conditionalFormatting sqref="AL19">
    <cfRule type="cellIs" dxfId="456" priority="538" operator="lessThanOrEqual">
      <formula>N19</formula>
    </cfRule>
  </conditionalFormatting>
  <conditionalFormatting sqref="AL21">
    <cfRule type="cellIs" dxfId="455" priority="543" operator="lessThanOrEqual">
      <formula>N21</formula>
    </cfRule>
  </conditionalFormatting>
  <conditionalFormatting sqref="AL23">
    <cfRule type="cellIs" dxfId="454" priority="548" operator="lessThanOrEqual">
      <formula>N23</formula>
    </cfRule>
  </conditionalFormatting>
  <conditionalFormatting sqref="AL24">
    <cfRule type="cellIs" dxfId="453" priority="553" operator="lessThanOrEqual">
      <formula>N24</formula>
    </cfRule>
  </conditionalFormatting>
  <conditionalFormatting sqref="AL25">
    <cfRule type="cellIs" dxfId="452" priority="558" operator="lessThanOrEqual">
      <formula>N25</formula>
    </cfRule>
  </conditionalFormatting>
  <conditionalFormatting sqref="AL26">
    <cfRule type="cellIs" dxfId="451" priority="563" operator="lessThanOrEqual">
      <formula>N26</formula>
    </cfRule>
  </conditionalFormatting>
  <conditionalFormatting sqref="AL27">
    <cfRule type="cellIs" dxfId="450" priority="568" operator="lessThanOrEqual">
      <formula>N27</formula>
    </cfRule>
  </conditionalFormatting>
  <conditionalFormatting sqref="AL28">
    <cfRule type="cellIs" dxfId="449" priority="573" operator="lessThanOrEqual">
      <formula>N28</formula>
    </cfRule>
  </conditionalFormatting>
  <conditionalFormatting sqref="AL29">
    <cfRule type="cellIs" dxfId="448" priority="578" operator="lessThanOrEqual">
      <formula>N29</formula>
    </cfRule>
  </conditionalFormatting>
  <conditionalFormatting sqref="AL30">
    <cfRule type="cellIs" dxfId="447" priority="583" operator="lessThanOrEqual">
      <formula>N30</formula>
    </cfRule>
  </conditionalFormatting>
  <conditionalFormatting sqref="AL31">
    <cfRule type="cellIs" dxfId="446" priority="588" operator="lessThanOrEqual">
      <formula>N31</formula>
    </cfRule>
  </conditionalFormatting>
  <conditionalFormatting sqref="AL32">
    <cfRule type="cellIs" dxfId="445" priority="593" operator="lessThanOrEqual">
      <formula>N32</formula>
    </cfRule>
  </conditionalFormatting>
  <conditionalFormatting sqref="AL7">
    <cfRule type="cellIs" dxfId="444" priority="513" operator="lessThanOrEqual">
      <formula>N7</formula>
    </cfRule>
  </conditionalFormatting>
  <conditionalFormatting sqref="AL9">
    <cfRule type="cellIs" dxfId="443" priority="518" operator="lessThanOrEqual">
      <formula>N9</formula>
    </cfRule>
  </conditionalFormatting>
  <conditionalFormatting sqref="AN11">
    <cfRule type="cellIs" dxfId="442" priority="605" operator="equal">
      <formula>0</formula>
    </cfRule>
    <cfRule type="cellIs" dxfId="441" priority="606" operator="lessThan">
      <formula>L11</formula>
    </cfRule>
  </conditionalFormatting>
  <conditionalFormatting sqref="AN12">
    <cfRule type="cellIs" dxfId="440" priority="610" operator="equal">
      <formula>0</formula>
    </cfRule>
    <cfRule type="cellIs" dxfId="439" priority="611" operator="lessThan">
      <formula>L12</formula>
    </cfRule>
  </conditionalFormatting>
  <conditionalFormatting sqref="AN15">
    <cfRule type="cellIs" dxfId="438" priority="615" operator="equal">
      <formula>0</formula>
    </cfRule>
    <cfRule type="cellIs" dxfId="437" priority="616" operator="lessThan">
      <formula>L15</formula>
    </cfRule>
  </conditionalFormatting>
  <conditionalFormatting sqref="AN16">
    <cfRule type="cellIs" dxfId="436" priority="620" operator="equal">
      <formula>0</formula>
    </cfRule>
    <cfRule type="cellIs" dxfId="435" priority="621" operator="lessThan">
      <formula>L16</formula>
    </cfRule>
  </conditionalFormatting>
  <conditionalFormatting sqref="AN17">
    <cfRule type="cellIs" dxfId="434" priority="625" operator="equal">
      <formula>0</formula>
    </cfRule>
    <cfRule type="cellIs" dxfId="433" priority="626" operator="lessThan">
      <formula>L17</formula>
    </cfRule>
  </conditionalFormatting>
  <conditionalFormatting sqref="AN7">
    <cfRule type="cellIs" dxfId="432" priority="595" operator="equal">
      <formula>0</formula>
    </cfRule>
    <cfRule type="cellIs" dxfId="431" priority="596" operator="lessThan">
      <formula>L7</formula>
    </cfRule>
  </conditionalFormatting>
  <conditionalFormatting sqref="AN9">
    <cfRule type="cellIs" dxfId="430" priority="600" operator="equal">
      <formula>0</formula>
    </cfRule>
    <cfRule type="cellIs" dxfId="429" priority="601" operator="lessThan">
      <formula>L9</formula>
    </cfRule>
  </conditionalFormatting>
  <conditionalFormatting sqref="AO11">
    <cfRule type="cellIs" dxfId="428" priority="607" operator="greaterThan">
      <formula>AN11</formula>
    </cfRule>
  </conditionalFormatting>
  <conditionalFormatting sqref="AO12">
    <cfRule type="cellIs" dxfId="427" priority="612" operator="greaterThan">
      <formula>AN12</formula>
    </cfRule>
  </conditionalFormatting>
  <conditionalFormatting sqref="AO15">
    <cfRule type="cellIs" dxfId="426" priority="617" operator="greaterThan">
      <formula>AN15</formula>
    </cfRule>
  </conditionalFormatting>
  <conditionalFormatting sqref="AO16">
    <cfRule type="cellIs" dxfId="425" priority="622" operator="greaterThan">
      <formula>AN16</formula>
    </cfRule>
  </conditionalFormatting>
  <conditionalFormatting sqref="AO17">
    <cfRule type="cellIs" dxfId="424" priority="627" operator="greaterThan">
      <formula>AN17</formula>
    </cfRule>
  </conditionalFormatting>
  <conditionalFormatting sqref="AO7">
    <cfRule type="cellIs" dxfId="423" priority="597" operator="greaterThan">
      <formula>AN7</formula>
    </cfRule>
  </conditionalFormatting>
  <conditionalFormatting sqref="AO9">
    <cfRule type="cellIs" dxfId="422" priority="602" operator="greaterThan">
      <formula>AN9</formula>
    </cfRule>
  </conditionalFormatting>
  <conditionalFormatting sqref="AP11">
    <cfRule type="cellIs" dxfId="421" priority="609" operator="lessThanOrEqual">
      <formula>M11</formula>
    </cfRule>
  </conditionalFormatting>
  <conditionalFormatting sqref="AP12">
    <cfRule type="cellIs" dxfId="420" priority="614" operator="lessThanOrEqual">
      <formula>M12</formula>
    </cfRule>
  </conditionalFormatting>
  <conditionalFormatting sqref="AP15">
    <cfRule type="cellIs" dxfId="419" priority="619" operator="lessThanOrEqual">
      <formula>M15</formula>
    </cfRule>
  </conditionalFormatting>
  <conditionalFormatting sqref="AP16">
    <cfRule type="cellIs" dxfId="418" priority="624" operator="lessThanOrEqual">
      <formula>M16</formula>
    </cfRule>
  </conditionalFormatting>
  <conditionalFormatting sqref="AP17">
    <cfRule type="cellIs" dxfId="417" priority="629" operator="lessThanOrEqual">
      <formula>M17</formula>
    </cfRule>
  </conditionalFormatting>
  <conditionalFormatting sqref="AP7">
    <cfRule type="cellIs" dxfId="416" priority="599" operator="lessThanOrEqual">
      <formula>M7</formula>
    </cfRule>
  </conditionalFormatting>
  <conditionalFormatting sqref="AP9">
    <cfRule type="cellIs" dxfId="415" priority="604" operator="lessThanOrEqual">
      <formula>M9</formula>
    </cfRule>
  </conditionalFormatting>
  <conditionalFormatting sqref="AQ11">
    <cfRule type="cellIs" dxfId="414" priority="608" operator="lessThanOrEqual">
      <formula>N11</formula>
    </cfRule>
  </conditionalFormatting>
  <conditionalFormatting sqref="AQ12">
    <cfRule type="cellIs" dxfId="413" priority="613" operator="lessThanOrEqual">
      <formula>N12</formula>
    </cfRule>
  </conditionalFormatting>
  <conditionalFormatting sqref="AQ15">
    <cfRule type="cellIs" dxfId="412" priority="618" operator="lessThanOrEqual">
      <formula>N15</formula>
    </cfRule>
  </conditionalFormatting>
  <conditionalFormatting sqref="AQ16">
    <cfRule type="cellIs" dxfId="411" priority="623" operator="lessThanOrEqual">
      <formula>N16</formula>
    </cfRule>
  </conditionalFormatting>
  <conditionalFormatting sqref="AQ17">
    <cfRule type="cellIs" dxfId="410" priority="628" operator="lessThanOrEqual">
      <formula>N17</formula>
    </cfRule>
  </conditionalFormatting>
  <conditionalFormatting sqref="AQ7">
    <cfRule type="cellIs" dxfId="409" priority="598" operator="lessThanOrEqual">
      <formula>N7</formula>
    </cfRule>
  </conditionalFormatting>
  <conditionalFormatting sqref="AQ9">
    <cfRule type="cellIs" dxfId="408" priority="603" operator="lessThanOrEqual">
      <formula>N9</formula>
    </cfRule>
  </conditionalFormatting>
  <conditionalFormatting sqref="AS11">
    <cfRule type="cellIs" dxfId="407" priority="640" operator="equal">
      <formula>0</formula>
    </cfRule>
    <cfRule type="cellIs" dxfId="406" priority="641" operator="lessThan">
      <formula>L11</formula>
    </cfRule>
  </conditionalFormatting>
  <conditionalFormatting sqref="AS12">
    <cfRule type="cellIs" dxfId="405" priority="645" operator="equal">
      <formula>0</formula>
    </cfRule>
    <cfRule type="cellIs" dxfId="404" priority="646" operator="lessThan">
      <formula>L12</formula>
    </cfRule>
  </conditionalFormatting>
  <conditionalFormatting sqref="AS16">
    <cfRule type="cellIs" dxfId="403" priority="650" operator="equal">
      <formula>0</formula>
    </cfRule>
    <cfRule type="cellIs" dxfId="402" priority="651" operator="lessThan">
      <formula>L16</formula>
    </cfRule>
  </conditionalFormatting>
  <conditionalFormatting sqref="AS17">
    <cfRule type="cellIs" dxfId="401" priority="655" operator="equal">
      <formula>0</formula>
    </cfRule>
    <cfRule type="cellIs" dxfId="400" priority="656" operator="lessThan">
      <formula>L17</formula>
    </cfRule>
  </conditionalFormatting>
  <conditionalFormatting sqref="AS28">
    <cfRule type="cellIs" dxfId="399" priority="660" operator="equal">
      <formula>0</formula>
    </cfRule>
    <cfRule type="cellIs" dxfId="398" priority="661" operator="lessThan">
      <formula>L28</formula>
    </cfRule>
  </conditionalFormatting>
  <conditionalFormatting sqref="AS29">
    <cfRule type="cellIs" dxfId="397" priority="665" operator="equal">
      <formula>0</formula>
    </cfRule>
    <cfRule type="cellIs" dxfId="396" priority="666" operator="lessThan">
      <formula>L29</formula>
    </cfRule>
  </conditionalFormatting>
  <conditionalFormatting sqref="AS8">
    <cfRule type="cellIs" dxfId="395" priority="630" operator="equal">
      <formula>0</formula>
    </cfRule>
    <cfRule type="cellIs" dxfId="394" priority="631" operator="lessThan">
      <formula>L8</formula>
    </cfRule>
  </conditionalFormatting>
  <conditionalFormatting sqref="AS9">
    <cfRule type="cellIs" dxfId="393" priority="635" operator="equal">
      <formula>0</formula>
    </cfRule>
    <cfRule type="cellIs" dxfId="392" priority="636" operator="lessThan">
      <formula>L9</formula>
    </cfRule>
  </conditionalFormatting>
  <conditionalFormatting sqref="AT11">
    <cfRule type="cellIs" dxfId="391" priority="642" operator="greaterThan">
      <formula>AS11</formula>
    </cfRule>
  </conditionalFormatting>
  <conditionalFormatting sqref="AT12">
    <cfRule type="cellIs" dxfId="390" priority="647" operator="greaterThan">
      <formula>AS12</formula>
    </cfRule>
  </conditionalFormatting>
  <conditionalFormatting sqref="AT16">
    <cfRule type="cellIs" dxfId="389" priority="652" operator="greaterThan">
      <formula>AS16</formula>
    </cfRule>
  </conditionalFormatting>
  <conditionalFormatting sqref="AT17">
    <cfRule type="cellIs" dxfId="388" priority="657" operator="greaterThan">
      <formula>AS17</formula>
    </cfRule>
  </conditionalFormatting>
  <conditionalFormatting sqref="AT28">
    <cfRule type="cellIs" dxfId="387" priority="662" operator="greaterThan">
      <formula>AS28</formula>
    </cfRule>
  </conditionalFormatting>
  <conditionalFormatting sqref="AT29">
    <cfRule type="cellIs" dxfId="386" priority="667" operator="greaterThan">
      <formula>AS29</formula>
    </cfRule>
  </conditionalFormatting>
  <conditionalFormatting sqref="AT8">
    <cfRule type="cellIs" dxfId="385" priority="632" operator="greaterThan">
      <formula>AS8</formula>
    </cfRule>
  </conditionalFormatting>
  <conditionalFormatting sqref="AT9">
    <cfRule type="cellIs" dxfId="384" priority="637" operator="greaterThan">
      <formula>AS9</formula>
    </cfRule>
  </conditionalFormatting>
  <conditionalFormatting sqref="AU11">
    <cfRule type="cellIs" dxfId="383" priority="644" operator="lessThanOrEqual">
      <formula>M11</formula>
    </cfRule>
  </conditionalFormatting>
  <conditionalFormatting sqref="AU12">
    <cfRule type="cellIs" dxfId="382" priority="649" operator="lessThanOrEqual">
      <formula>M12</formula>
    </cfRule>
  </conditionalFormatting>
  <conditionalFormatting sqref="AU16">
    <cfRule type="cellIs" dxfId="381" priority="654" operator="lessThanOrEqual">
      <formula>M16</formula>
    </cfRule>
  </conditionalFormatting>
  <conditionalFormatting sqref="AU17">
    <cfRule type="cellIs" dxfId="380" priority="659" operator="lessThanOrEqual">
      <formula>M17</formula>
    </cfRule>
  </conditionalFormatting>
  <conditionalFormatting sqref="AU28">
    <cfRule type="cellIs" dxfId="379" priority="664" operator="lessThanOrEqual">
      <formula>M28</formula>
    </cfRule>
  </conditionalFormatting>
  <conditionalFormatting sqref="AU29">
    <cfRule type="cellIs" dxfId="378" priority="669" operator="lessThanOrEqual">
      <formula>M29</formula>
    </cfRule>
  </conditionalFormatting>
  <conditionalFormatting sqref="AU8">
    <cfRule type="cellIs" dxfId="377" priority="634" operator="lessThanOrEqual">
      <formula>M8</formula>
    </cfRule>
  </conditionalFormatting>
  <conditionalFormatting sqref="AU9">
    <cfRule type="cellIs" dxfId="376" priority="639" operator="lessThanOrEqual">
      <formula>M9</formula>
    </cfRule>
  </conditionalFormatting>
  <conditionalFormatting sqref="AV11">
    <cfRule type="cellIs" dxfId="375" priority="643" operator="lessThanOrEqual">
      <formula>N11</formula>
    </cfRule>
  </conditionalFormatting>
  <conditionalFormatting sqref="AV12">
    <cfRule type="cellIs" dxfId="374" priority="648" operator="lessThanOrEqual">
      <formula>N12</formula>
    </cfRule>
  </conditionalFormatting>
  <conditionalFormatting sqref="AV16">
    <cfRule type="cellIs" dxfId="373" priority="653" operator="lessThanOrEqual">
      <formula>N16</formula>
    </cfRule>
  </conditionalFormatting>
  <conditionalFormatting sqref="AV17">
    <cfRule type="cellIs" dxfId="372" priority="658" operator="lessThanOrEqual">
      <formula>N17</formula>
    </cfRule>
  </conditionalFormatting>
  <conditionalFormatting sqref="AV28">
    <cfRule type="cellIs" dxfId="371" priority="663" operator="lessThanOrEqual">
      <formula>N28</formula>
    </cfRule>
  </conditionalFormatting>
  <conditionalFormatting sqref="AV29">
    <cfRule type="cellIs" dxfId="370" priority="668" operator="lessThanOrEqual">
      <formula>N29</formula>
    </cfRule>
  </conditionalFormatting>
  <conditionalFormatting sqref="AV8">
    <cfRule type="cellIs" dxfId="369" priority="633" operator="lessThanOrEqual">
      <formula>N8</formula>
    </cfRule>
  </conditionalFormatting>
  <conditionalFormatting sqref="AV9">
    <cfRule type="cellIs" dxfId="368" priority="638" operator="lessThanOrEqual">
      <formula>N9</formula>
    </cfRule>
  </conditionalFormatting>
  <conditionalFormatting sqref="L10">
    <cfRule type="expression" dxfId="367" priority="13">
      <formula>AND(ISBLANK(K10)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366" priority="1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365" priority="1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64" priority="1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L11">
    <cfRule type="expression" dxfId="363" priority="17">
      <formula>AND(ISBLANK(K11)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362" priority="1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361" priority="1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60" priority="2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L12">
    <cfRule type="expression" dxfId="359" priority="21">
      <formula>AND(ISBLANK(K12)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358" priority="2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357" priority="2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56" priority="2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L13">
    <cfRule type="expression" dxfId="355" priority="25">
      <formula>AND(ISBLANK(K13)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354" priority="2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353" priority="2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52" priority="2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L14">
    <cfRule type="expression" dxfId="351" priority="29">
      <formula>AND(ISBLANK(K14)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350" priority="3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349" priority="3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48" priority="3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L15">
    <cfRule type="expression" dxfId="347" priority="33">
      <formula>AND(ISBLANK(K15)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346" priority="3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345" priority="3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44" priority="3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L16">
    <cfRule type="expression" dxfId="343" priority="37">
      <formula>AND(ISBLANK(K16)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342" priority="3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341" priority="3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40" priority="4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L17">
    <cfRule type="expression" dxfId="339" priority="41">
      <formula>AND(ISBLANK(K17)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338" priority="4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337" priority="4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36" priority="4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L18">
    <cfRule type="expression" dxfId="335" priority="45">
      <formula>AND(ISBLANK(K18)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334" priority="4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333" priority="4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32" priority="4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L19">
    <cfRule type="expression" dxfId="331" priority="49">
      <formula>AND(ISBLANK(K19)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330" priority="5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329" priority="5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28" priority="5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L20">
    <cfRule type="expression" dxfId="327" priority="53">
      <formula>AND(ISBLANK(K20)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326" priority="5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325" priority="5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24" priority="5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L21">
    <cfRule type="expression" dxfId="323" priority="57">
      <formula>AND(ISBLANK(K21)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322" priority="5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321" priority="5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20" priority="6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L22">
    <cfRule type="expression" dxfId="319" priority="61">
      <formula>AND(ISBLANK(K22)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318" priority="6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317" priority="6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16" priority="6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L23">
    <cfRule type="expression" dxfId="315" priority="65">
      <formula>AND(ISBLANK(K23)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314" priority="6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313" priority="6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12" priority="6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L24">
    <cfRule type="expression" dxfId="311" priority="69">
      <formula>AND(ISBLANK(K24)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310" priority="7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309" priority="7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08" priority="7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L25">
    <cfRule type="expression" dxfId="307" priority="73">
      <formula>AND(ISBLANK(K25)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306" priority="7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305" priority="7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04" priority="7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L26">
    <cfRule type="expression" dxfId="303" priority="77">
      <formula>AND(ISBLANK(K26)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302" priority="7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301" priority="7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00" priority="8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L27">
    <cfRule type="expression" dxfId="299" priority="81">
      <formula>AND(ISBLANK(K27)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298" priority="8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97" priority="8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296" priority="8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L28">
    <cfRule type="expression" dxfId="295" priority="85">
      <formula>AND(ISBLANK(K28)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294" priority="8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93" priority="8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292" priority="8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L29">
    <cfRule type="expression" dxfId="291" priority="89">
      <formula>AND(ISBLANK(K29)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290" priority="9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89" priority="9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288" priority="9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L30">
    <cfRule type="expression" dxfId="287" priority="93">
      <formula>AND(ISBLANK(K30)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286" priority="9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85" priority="9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284" priority="9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L31">
    <cfRule type="expression" dxfId="283" priority="97">
      <formula>AND(ISBLANK(K31)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282" priority="9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81" priority="9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280" priority="10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L32">
    <cfRule type="expression" dxfId="279" priority="101">
      <formula>AND(ISBLANK(K32)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278" priority="10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77" priority="10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276" priority="10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L7">
    <cfRule type="expression" dxfId="275" priority="1">
      <formula>AND(ISBLANK(K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274" priority="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73" priority="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272" priority="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L8">
    <cfRule type="expression" dxfId="271" priority="5">
      <formula>AND(ISBLANK(K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270" priority="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69" priority="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268" priority="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L9">
    <cfRule type="expression" dxfId="267" priority="9">
      <formula>AND(ISBLANK(K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266" priority="1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65" priority="1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264" priority="1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O10">
    <cfRule type="cellIs" dxfId="263" priority="120" operator="equal">
      <formula>0</formula>
    </cfRule>
    <cfRule type="cellIs" dxfId="262" priority="121" operator="lessThan">
      <formula>L10</formula>
    </cfRule>
  </conditionalFormatting>
  <conditionalFormatting sqref="O11">
    <cfRule type="cellIs" dxfId="261" priority="125" operator="equal">
      <formula>0</formula>
    </cfRule>
    <cfRule type="cellIs" dxfId="260" priority="126" operator="lessThan">
      <formula>L11</formula>
    </cfRule>
  </conditionalFormatting>
  <conditionalFormatting sqref="O12">
    <cfRule type="cellIs" dxfId="259" priority="130" operator="equal">
      <formula>0</formula>
    </cfRule>
    <cfRule type="cellIs" dxfId="258" priority="131" operator="lessThan">
      <formula>L12</formula>
    </cfRule>
  </conditionalFormatting>
  <conditionalFormatting sqref="O13">
    <cfRule type="cellIs" dxfId="257" priority="135" operator="equal">
      <formula>0</formula>
    </cfRule>
    <cfRule type="cellIs" dxfId="256" priority="136" operator="lessThan">
      <formula>L13</formula>
    </cfRule>
  </conditionalFormatting>
  <conditionalFormatting sqref="O15">
    <cfRule type="cellIs" dxfId="255" priority="140" operator="equal">
      <formula>0</formula>
    </cfRule>
    <cfRule type="cellIs" dxfId="254" priority="141" operator="lessThan">
      <formula>L15</formula>
    </cfRule>
  </conditionalFormatting>
  <conditionalFormatting sqref="O16">
    <cfRule type="cellIs" dxfId="253" priority="145" operator="equal">
      <formula>0</formula>
    </cfRule>
    <cfRule type="cellIs" dxfId="252" priority="146" operator="lessThan">
      <formula>L16</formula>
    </cfRule>
  </conditionalFormatting>
  <conditionalFormatting sqref="O17">
    <cfRule type="cellIs" dxfId="251" priority="150" operator="equal">
      <formula>0</formula>
    </cfRule>
    <cfRule type="cellIs" dxfId="250" priority="151" operator="lessThan">
      <formula>L17</formula>
    </cfRule>
  </conditionalFormatting>
  <conditionalFormatting sqref="O21">
    <cfRule type="cellIs" dxfId="249" priority="155" operator="equal">
      <formula>0</formula>
    </cfRule>
    <cfRule type="cellIs" dxfId="248" priority="156" operator="lessThan">
      <formula>L21</formula>
    </cfRule>
  </conditionalFormatting>
  <conditionalFormatting sqref="O23">
    <cfRule type="cellIs" dxfId="247" priority="160" operator="equal">
      <formula>0</formula>
    </cfRule>
    <cfRule type="cellIs" dxfId="246" priority="161" operator="lessThan">
      <formula>L23</formula>
    </cfRule>
  </conditionalFormatting>
  <conditionalFormatting sqref="O25">
    <cfRule type="cellIs" dxfId="245" priority="165" operator="equal">
      <formula>0</formula>
    </cfRule>
    <cfRule type="cellIs" dxfId="244" priority="166" operator="lessThan">
      <formula>L25</formula>
    </cfRule>
  </conditionalFormatting>
  <conditionalFormatting sqref="O26">
    <cfRule type="cellIs" dxfId="243" priority="170" operator="equal">
      <formula>0</formula>
    </cfRule>
    <cfRule type="cellIs" dxfId="242" priority="171" operator="lessThan">
      <formula>L26</formula>
    </cfRule>
  </conditionalFormatting>
  <conditionalFormatting sqref="O27">
    <cfRule type="cellIs" dxfId="241" priority="175" operator="equal">
      <formula>0</formula>
    </cfRule>
    <cfRule type="cellIs" dxfId="240" priority="176" operator="lessThan">
      <formula>L27</formula>
    </cfRule>
  </conditionalFormatting>
  <conditionalFormatting sqref="O29">
    <cfRule type="cellIs" dxfId="239" priority="180" operator="equal">
      <formula>0</formula>
    </cfRule>
    <cfRule type="cellIs" dxfId="238" priority="181" operator="lessThan">
      <formula>L29</formula>
    </cfRule>
  </conditionalFormatting>
  <conditionalFormatting sqref="O30">
    <cfRule type="cellIs" dxfId="237" priority="185" operator="equal">
      <formula>0</formula>
    </cfRule>
    <cfRule type="cellIs" dxfId="236" priority="186" operator="lessThan">
      <formula>L30</formula>
    </cfRule>
  </conditionalFormatting>
  <conditionalFormatting sqref="O31">
    <cfRule type="cellIs" dxfId="235" priority="190" operator="equal">
      <formula>0</formula>
    </cfRule>
    <cfRule type="cellIs" dxfId="234" priority="191" operator="lessThan">
      <formula>L31</formula>
    </cfRule>
  </conditionalFormatting>
  <conditionalFormatting sqref="O32">
    <cfRule type="cellIs" dxfId="233" priority="195" operator="equal">
      <formula>0</formula>
    </cfRule>
    <cfRule type="cellIs" dxfId="232" priority="196" operator="lessThan">
      <formula>L32</formula>
    </cfRule>
  </conditionalFormatting>
  <conditionalFormatting sqref="O7">
    <cfRule type="cellIs" dxfId="231" priority="105" operator="equal">
      <formula>0</formula>
    </cfRule>
    <cfRule type="cellIs" dxfId="230" priority="106" operator="lessThan">
      <formula>L7</formula>
    </cfRule>
  </conditionalFormatting>
  <conditionalFormatting sqref="O8">
    <cfRule type="cellIs" dxfId="229" priority="110" operator="equal">
      <formula>0</formula>
    </cfRule>
    <cfRule type="cellIs" dxfId="228" priority="111" operator="lessThan">
      <formula>L8</formula>
    </cfRule>
  </conditionalFormatting>
  <conditionalFormatting sqref="O9">
    <cfRule type="cellIs" dxfId="227" priority="115" operator="equal">
      <formula>0</formula>
    </cfRule>
    <cfRule type="cellIs" dxfId="226" priority="116" operator="lessThan">
      <formula>L9</formula>
    </cfRule>
  </conditionalFormatting>
  <conditionalFormatting sqref="P10">
    <cfRule type="cellIs" dxfId="225" priority="122" operator="greaterThan">
      <formula>O10</formula>
    </cfRule>
  </conditionalFormatting>
  <conditionalFormatting sqref="P11">
    <cfRule type="cellIs" dxfId="224" priority="127" operator="greaterThan">
      <formula>O11</formula>
    </cfRule>
  </conditionalFormatting>
  <conditionalFormatting sqref="P12">
    <cfRule type="cellIs" dxfId="223" priority="132" operator="greaterThan">
      <formula>O12</formula>
    </cfRule>
  </conditionalFormatting>
  <conditionalFormatting sqref="P13">
    <cfRule type="cellIs" dxfId="222" priority="137" operator="greaterThan">
      <formula>O13</formula>
    </cfRule>
  </conditionalFormatting>
  <conditionalFormatting sqref="P15">
    <cfRule type="cellIs" dxfId="221" priority="142" operator="greaterThan">
      <formula>O15</formula>
    </cfRule>
  </conditionalFormatting>
  <conditionalFormatting sqref="P16">
    <cfRule type="cellIs" dxfId="220" priority="147" operator="greaterThan">
      <formula>O16</formula>
    </cfRule>
  </conditionalFormatting>
  <conditionalFormatting sqref="P17">
    <cfRule type="cellIs" dxfId="219" priority="152" operator="greaterThan">
      <formula>O17</formula>
    </cfRule>
  </conditionalFormatting>
  <conditionalFormatting sqref="P21">
    <cfRule type="cellIs" dxfId="218" priority="157" operator="greaterThan">
      <formula>O21</formula>
    </cfRule>
  </conditionalFormatting>
  <conditionalFormatting sqref="P23">
    <cfRule type="cellIs" dxfId="217" priority="162" operator="greaterThan">
      <formula>O23</formula>
    </cfRule>
  </conditionalFormatting>
  <conditionalFormatting sqref="P25">
    <cfRule type="cellIs" dxfId="216" priority="167" operator="greaterThan">
      <formula>O25</formula>
    </cfRule>
  </conditionalFormatting>
  <conditionalFormatting sqref="P26">
    <cfRule type="cellIs" dxfId="215" priority="172" operator="greaterThan">
      <formula>O26</formula>
    </cfRule>
  </conditionalFormatting>
  <conditionalFormatting sqref="P27">
    <cfRule type="cellIs" dxfId="214" priority="177" operator="greaterThan">
      <formula>O27</formula>
    </cfRule>
  </conditionalFormatting>
  <conditionalFormatting sqref="P29">
    <cfRule type="cellIs" dxfId="213" priority="182" operator="greaterThan">
      <formula>O29</formula>
    </cfRule>
  </conditionalFormatting>
  <conditionalFormatting sqref="P30">
    <cfRule type="cellIs" dxfId="212" priority="187" operator="greaterThan">
      <formula>O30</formula>
    </cfRule>
  </conditionalFormatting>
  <conditionalFormatting sqref="P31">
    <cfRule type="cellIs" dxfId="211" priority="192" operator="greaterThan">
      <formula>O31</formula>
    </cfRule>
  </conditionalFormatting>
  <conditionalFormatting sqref="P32">
    <cfRule type="cellIs" dxfId="210" priority="197" operator="greaterThan">
      <formula>O32</formula>
    </cfRule>
  </conditionalFormatting>
  <conditionalFormatting sqref="P7">
    <cfRule type="cellIs" dxfId="209" priority="107" operator="greaterThan">
      <formula>O7</formula>
    </cfRule>
  </conditionalFormatting>
  <conditionalFormatting sqref="P8">
    <cfRule type="cellIs" dxfId="208" priority="112" operator="greaterThan">
      <formula>O8</formula>
    </cfRule>
  </conditionalFormatting>
  <conditionalFormatting sqref="P9">
    <cfRule type="cellIs" dxfId="207" priority="117" operator="greaterThan">
      <formula>O9</formula>
    </cfRule>
  </conditionalFormatting>
  <conditionalFormatting sqref="Q10">
    <cfRule type="cellIs" dxfId="206" priority="124" operator="lessThanOrEqual">
      <formula>M10</formula>
    </cfRule>
  </conditionalFormatting>
  <conditionalFormatting sqref="Q11">
    <cfRule type="cellIs" dxfId="205" priority="129" operator="lessThanOrEqual">
      <formula>M11</formula>
    </cfRule>
  </conditionalFormatting>
  <conditionalFormatting sqref="Q12">
    <cfRule type="cellIs" dxfId="204" priority="134" operator="lessThanOrEqual">
      <formula>M12</formula>
    </cfRule>
  </conditionalFormatting>
  <conditionalFormatting sqref="Q13">
    <cfRule type="cellIs" dxfId="203" priority="139" operator="lessThanOrEqual">
      <formula>M13</formula>
    </cfRule>
  </conditionalFormatting>
  <conditionalFormatting sqref="Q15">
    <cfRule type="cellIs" dxfId="202" priority="144" operator="lessThanOrEqual">
      <formula>M15</formula>
    </cfRule>
  </conditionalFormatting>
  <conditionalFormatting sqref="Q16">
    <cfRule type="cellIs" dxfId="201" priority="149" operator="lessThanOrEqual">
      <formula>M16</formula>
    </cfRule>
  </conditionalFormatting>
  <conditionalFormatting sqref="Q17">
    <cfRule type="cellIs" dxfId="200" priority="154" operator="lessThanOrEqual">
      <formula>M17</formula>
    </cfRule>
  </conditionalFormatting>
  <conditionalFormatting sqref="Q21">
    <cfRule type="cellIs" dxfId="199" priority="159" operator="lessThanOrEqual">
      <formula>M21</formula>
    </cfRule>
  </conditionalFormatting>
  <conditionalFormatting sqref="Q23">
    <cfRule type="cellIs" dxfId="198" priority="164" operator="lessThanOrEqual">
      <formula>M23</formula>
    </cfRule>
  </conditionalFormatting>
  <conditionalFormatting sqref="Q25">
    <cfRule type="cellIs" dxfId="197" priority="169" operator="lessThanOrEqual">
      <formula>M25</formula>
    </cfRule>
  </conditionalFormatting>
  <conditionalFormatting sqref="Q26">
    <cfRule type="cellIs" dxfId="196" priority="174" operator="lessThanOrEqual">
      <formula>M26</formula>
    </cfRule>
  </conditionalFormatting>
  <conditionalFormatting sqref="Q27">
    <cfRule type="cellIs" dxfId="195" priority="179" operator="lessThanOrEqual">
      <formula>M27</formula>
    </cfRule>
  </conditionalFormatting>
  <conditionalFormatting sqref="Q29">
    <cfRule type="cellIs" dxfId="194" priority="184" operator="lessThanOrEqual">
      <formula>M29</formula>
    </cfRule>
  </conditionalFormatting>
  <conditionalFormatting sqref="Q30">
    <cfRule type="cellIs" dxfId="193" priority="189" operator="lessThanOrEqual">
      <formula>M30</formula>
    </cfRule>
  </conditionalFormatting>
  <conditionalFormatting sqref="Q31">
    <cfRule type="cellIs" dxfId="192" priority="194" operator="lessThanOrEqual">
      <formula>M31</formula>
    </cfRule>
  </conditionalFormatting>
  <conditionalFormatting sqref="Q32">
    <cfRule type="cellIs" dxfId="191" priority="199" operator="lessThanOrEqual">
      <formula>M32</formula>
    </cfRule>
  </conditionalFormatting>
  <conditionalFormatting sqref="Q7">
    <cfRule type="cellIs" dxfId="190" priority="109" operator="lessThanOrEqual">
      <formula>M7</formula>
    </cfRule>
  </conditionalFormatting>
  <conditionalFormatting sqref="Q8">
    <cfRule type="cellIs" dxfId="189" priority="114" operator="lessThanOrEqual">
      <formula>M8</formula>
    </cfRule>
  </conditionalFormatting>
  <conditionalFormatting sqref="Q9">
    <cfRule type="cellIs" dxfId="188" priority="119" operator="lessThanOrEqual">
      <formula>M9</formula>
    </cfRule>
  </conditionalFormatting>
  <conditionalFormatting sqref="R10">
    <cfRule type="cellIs" dxfId="187" priority="123" operator="lessThanOrEqual">
      <formula>N10</formula>
    </cfRule>
  </conditionalFormatting>
  <conditionalFormatting sqref="R11">
    <cfRule type="cellIs" dxfId="186" priority="128" operator="lessThanOrEqual">
      <formula>N11</formula>
    </cfRule>
  </conditionalFormatting>
  <conditionalFormatting sqref="R12">
    <cfRule type="cellIs" dxfId="185" priority="133" operator="lessThanOrEqual">
      <formula>N12</formula>
    </cfRule>
  </conditionalFormatting>
  <conditionalFormatting sqref="R13">
    <cfRule type="cellIs" dxfId="184" priority="138" operator="lessThanOrEqual">
      <formula>N13</formula>
    </cfRule>
  </conditionalFormatting>
  <conditionalFormatting sqref="R15">
    <cfRule type="cellIs" dxfId="183" priority="143" operator="lessThanOrEqual">
      <formula>N15</formula>
    </cfRule>
  </conditionalFormatting>
  <conditionalFormatting sqref="R16">
    <cfRule type="cellIs" dxfId="182" priority="148" operator="lessThanOrEqual">
      <formula>N16</formula>
    </cfRule>
  </conditionalFormatting>
  <conditionalFormatting sqref="R17">
    <cfRule type="cellIs" dxfId="181" priority="153" operator="lessThanOrEqual">
      <formula>N17</formula>
    </cfRule>
  </conditionalFormatting>
  <conditionalFormatting sqref="R21">
    <cfRule type="cellIs" dxfId="180" priority="158" operator="lessThanOrEqual">
      <formula>N21</formula>
    </cfRule>
  </conditionalFormatting>
  <conditionalFormatting sqref="R23">
    <cfRule type="cellIs" dxfId="179" priority="163" operator="lessThanOrEqual">
      <formula>N23</formula>
    </cfRule>
  </conditionalFormatting>
  <conditionalFormatting sqref="R25">
    <cfRule type="cellIs" dxfId="178" priority="168" operator="lessThanOrEqual">
      <formula>N25</formula>
    </cfRule>
  </conditionalFormatting>
  <conditionalFormatting sqref="R26">
    <cfRule type="cellIs" dxfId="177" priority="173" operator="lessThanOrEqual">
      <formula>N26</formula>
    </cfRule>
  </conditionalFormatting>
  <conditionalFormatting sqref="R27">
    <cfRule type="cellIs" dxfId="176" priority="178" operator="lessThanOrEqual">
      <formula>N27</formula>
    </cfRule>
  </conditionalFormatting>
  <conditionalFormatting sqref="R29">
    <cfRule type="cellIs" dxfId="175" priority="183" operator="lessThanOrEqual">
      <formula>N29</formula>
    </cfRule>
  </conditionalFormatting>
  <conditionalFormatting sqref="R30">
    <cfRule type="cellIs" dxfId="174" priority="188" operator="lessThanOrEqual">
      <formula>N30</formula>
    </cfRule>
  </conditionalFormatting>
  <conditionalFormatting sqref="R31">
    <cfRule type="cellIs" dxfId="173" priority="193" operator="lessThanOrEqual">
      <formula>N31</formula>
    </cfRule>
  </conditionalFormatting>
  <conditionalFormatting sqref="R32">
    <cfRule type="cellIs" dxfId="172" priority="198" operator="lessThanOrEqual">
      <formula>N32</formula>
    </cfRule>
  </conditionalFormatting>
  <conditionalFormatting sqref="R7">
    <cfRule type="cellIs" dxfId="171" priority="108" operator="lessThanOrEqual">
      <formula>N7</formula>
    </cfRule>
  </conditionalFormatting>
  <conditionalFormatting sqref="R8">
    <cfRule type="cellIs" dxfId="170" priority="113" operator="lessThanOrEqual">
      <formula>N8</formula>
    </cfRule>
  </conditionalFormatting>
  <conditionalFormatting sqref="R9">
    <cfRule type="cellIs" dxfId="169" priority="118" operator="lessThanOrEqual">
      <formula>N9</formula>
    </cfRule>
  </conditionalFormatting>
  <conditionalFormatting sqref="T10">
    <cfRule type="cellIs" dxfId="168" priority="215" operator="equal">
      <formula>0</formula>
    </cfRule>
    <cfRule type="cellIs" dxfId="167" priority="216" operator="lessThan">
      <formula>L10</formula>
    </cfRule>
  </conditionalFormatting>
  <conditionalFormatting sqref="T11">
    <cfRule type="cellIs" dxfId="166" priority="220" operator="equal">
      <formula>0</formula>
    </cfRule>
    <cfRule type="cellIs" dxfId="165" priority="221" operator="lessThan">
      <formula>L11</formula>
    </cfRule>
  </conditionalFormatting>
  <conditionalFormatting sqref="T12">
    <cfRule type="cellIs" dxfId="164" priority="225" operator="equal">
      <formula>0</formula>
    </cfRule>
    <cfRule type="cellIs" dxfId="163" priority="226" operator="lessThan">
      <formula>L12</formula>
    </cfRule>
  </conditionalFormatting>
  <conditionalFormatting sqref="T13">
    <cfRule type="cellIs" dxfId="162" priority="230" operator="equal">
      <formula>0</formula>
    </cfRule>
    <cfRule type="cellIs" dxfId="161" priority="231" operator="lessThan">
      <formula>L13</formula>
    </cfRule>
  </conditionalFormatting>
  <conditionalFormatting sqref="T14">
    <cfRule type="cellIs" dxfId="160" priority="235" operator="equal">
      <formula>0</formula>
    </cfRule>
    <cfRule type="cellIs" dxfId="159" priority="236" operator="lessThan">
      <formula>L14</formula>
    </cfRule>
  </conditionalFormatting>
  <conditionalFormatting sqref="T15">
    <cfRule type="cellIs" dxfId="158" priority="240" operator="equal">
      <formula>0</formula>
    </cfRule>
    <cfRule type="cellIs" dxfId="157" priority="241" operator="lessThan">
      <formula>L15</formula>
    </cfRule>
  </conditionalFormatting>
  <conditionalFormatting sqref="T16">
    <cfRule type="cellIs" dxfId="156" priority="245" operator="equal">
      <formula>0</formula>
    </cfRule>
    <cfRule type="cellIs" dxfId="155" priority="246" operator="lessThan">
      <formula>L16</formula>
    </cfRule>
  </conditionalFormatting>
  <conditionalFormatting sqref="T17">
    <cfRule type="cellIs" dxfId="154" priority="250" operator="equal">
      <formula>0</formula>
    </cfRule>
    <cfRule type="cellIs" dxfId="153" priority="251" operator="lessThan">
      <formula>L17</formula>
    </cfRule>
  </conditionalFormatting>
  <conditionalFormatting sqref="T18">
    <cfRule type="cellIs" dxfId="152" priority="255" operator="equal">
      <formula>0</formula>
    </cfRule>
    <cfRule type="cellIs" dxfId="151" priority="256" operator="lessThan">
      <formula>L18</formula>
    </cfRule>
  </conditionalFormatting>
  <conditionalFormatting sqref="T19">
    <cfRule type="cellIs" dxfId="150" priority="260" operator="equal">
      <formula>0</formula>
    </cfRule>
    <cfRule type="cellIs" dxfId="149" priority="261" operator="lessThan">
      <formula>L19</formula>
    </cfRule>
  </conditionalFormatting>
  <conditionalFormatting sqref="T20">
    <cfRule type="cellIs" dxfId="148" priority="265" operator="equal">
      <formula>0</formula>
    </cfRule>
    <cfRule type="cellIs" dxfId="147" priority="266" operator="lessThan">
      <formula>L20</formula>
    </cfRule>
  </conditionalFormatting>
  <conditionalFormatting sqref="T21">
    <cfRule type="cellIs" dxfId="146" priority="270" operator="equal">
      <formula>0</formula>
    </cfRule>
    <cfRule type="cellIs" dxfId="145" priority="271" operator="lessThan">
      <formula>L21</formula>
    </cfRule>
  </conditionalFormatting>
  <conditionalFormatting sqref="T22">
    <cfRule type="cellIs" dxfId="144" priority="275" operator="equal">
      <formula>0</formula>
    </cfRule>
    <cfRule type="cellIs" dxfId="143" priority="276" operator="lessThan">
      <formula>L22</formula>
    </cfRule>
  </conditionalFormatting>
  <conditionalFormatting sqref="T23">
    <cfRule type="cellIs" dxfId="142" priority="280" operator="equal">
      <formula>0</formula>
    </cfRule>
    <cfRule type="cellIs" dxfId="141" priority="281" operator="lessThan">
      <formula>L23</formula>
    </cfRule>
  </conditionalFormatting>
  <conditionalFormatting sqref="T24">
    <cfRule type="cellIs" dxfId="140" priority="285" operator="equal">
      <formula>0</formula>
    </cfRule>
    <cfRule type="cellIs" dxfId="139" priority="286" operator="lessThan">
      <formula>L24</formula>
    </cfRule>
  </conditionalFormatting>
  <conditionalFormatting sqref="T25">
    <cfRule type="cellIs" dxfId="138" priority="290" operator="equal">
      <formula>0</formula>
    </cfRule>
    <cfRule type="cellIs" dxfId="137" priority="291" operator="lessThan">
      <formula>L25</formula>
    </cfRule>
  </conditionalFormatting>
  <conditionalFormatting sqref="T26">
    <cfRule type="cellIs" dxfId="136" priority="295" operator="equal">
      <formula>0</formula>
    </cfRule>
    <cfRule type="cellIs" dxfId="135" priority="296" operator="lessThan">
      <formula>L26</formula>
    </cfRule>
  </conditionalFormatting>
  <conditionalFormatting sqref="T27">
    <cfRule type="cellIs" dxfId="134" priority="300" operator="equal">
      <formula>0</formula>
    </cfRule>
    <cfRule type="cellIs" dxfId="133" priority="301" operator="lessThan">
      <formula>L27</formula>
    </cfRule>
  </conditionalFormatting>
  <conditionalFormatting sqref="T28">
    <cfRule type="cellIs" dxfId="132" priority="305" operator="equal">
      <formula>0</formula>
    </cfRule>
    <cfRule type="cellIs" dxfId="131" priority="306" operator="lessThan">
      <formula>L28</formula>
    </cfRule>
  </conditionalFormatting>
  <conditionalFormatting sqref="T29">
    <cfRule type="cellIs" dxfId="130" priority="310" operator="equal">
      <formula>0</formula>
    </cfRule>
    <cfRule type="cellIs" dxfId="129" priority="311" operator="lessThan">
      <formula>L29</formula>
    </cfRule>
  </conditionalFormatting>
  <conditionalFormatting sqref="T30">
    <cfRule type="cellIs" dxfId="128" priority="315" operator="equal">
      <formula>0</formula>
    </cfRule>
    <cfRule type="cellIs" dxfId="127" priority="316" operator="lessThan">
      <formula>L30</formula>
    </cfRule>
  </conditionalFormatting>
  <conditionalFormatting sqref="T31">
    <cfRule type="cellIs" dxfId="126" priority="320" operator="equal">
      <formula>0</formula>
    </cfRule>
    <cfRule type="cellIs" dxfId="125" priority="321" operator="lessThan">
      <formula>L31</formula>
    </cfRule>
  </conditionalFormatting>
  <conditionalFormatting sqref="T32">
    <cfRule type="cellIs" dxfId="124" priority="325" operator="equal">
      <formula>0</formula>
    </cfRule>
    <cfRule type="cellIs" dxfId="123" priority="326" operator="lessThan">
      <formula>L32</formula>
    </cfRule>
  </conditionalFormatting>
  <conditionalFormatting sqref="T7">
    <cfRule type="cellIs" dxfId="122" priority="200" operator="equal">
      <formula>0</formula>
    </cfRule>
    <cfRule type="cellIs" dxfId="121" priority="201" operator="lessThan">
      <formula>L7</formula>
    </cfRule>
  </conditionalFormatting>
  <conditionalFormatting sqref="T8">
    <cfRule type="cellIs" dxfId="120" priority="205" operator="equal">
      <formula>0</formula>
    </cfRule>
    <cfRule type="cellIs" dxfId="119" priority="206" operator="lessThan">
      <formula>L8</formula>
    </cfRule>
  </conditionalFormatting>
  <conditionalFormatting sqref="T9">
    <cfRule type="cellIs" dxfId="118" priority="210" operator="equal">
      <formula>0</formula>
    </cfRule>
    <cfRule type="cellIs" dxfId="117" priority="211" operator="lessThan">
      <formula>L9</formula>
    </cfRule>
  </conditionalFormatting>
  <conditionalFormatting sqref="U10">
    <cfRule type="cellIs" dxfId="116" priority="217" operator="greaterThan">
      <formula>T10</formula>
    </cfRule>
  </conditionalFormatting>
  <conditionalFormatting sqref="U11">
    <cfRule type="cellIs" dxfId="115" priority="222" operator="greaterThan">
      <formula>T11</formula>
    </cfRule>
  </conditionalFormatting>
  <conditionalFormatting sqref="U12">
    <cfRule type="cellIs" dxfId="114" priority="227" operator="greaterThan">
      <formula>T12</formula>
    </cfRule>
  </conditionalFormatting>
  <conditionalFormatting sqref="U13">
    <cfRule type="cellIs" dxfId="113" priority="232" operator="greaterThan">
      <formula>T13</formula>
    </cfRule>
  </conditionalFormatting>
  <conditionalFormatting sqref="U14">
    <cfRule type="cellIs" dxfId="112" priority="237" operator="greaterThan">
      <formula>T14</formula>
    </cfRule>
  </conditionalFormatting>
  <conditionalFormatting sqref="U15">
    <cfRule type="cellIs" dxfId="111" priority="242" operator="greaterThan">
      <formula>T15</formula>
    </cfRule>
  </conditionalFormatting>
  <conditionalFormatting sqref="U16">
    <cfRule type="cellIs" dxfId="110" priority="247" operator="greaterThan">
      <formula>T16</formula>
    </cfRule>
  </conditionalFormatting>
  <conditionalFormatting sqref="U17">
    <cfRule type="cellIs" dxfId="109" priority="252" operator="greaterThan">
      <formula>T17</formula>
    </cfRule>
  </conditionalFormatting>
  <conditionalFormatting sqref="U18">
    <cfRule type="cellIs" dxfId="108" priority="257" operator="greaterThan">
      <formula>T18</formula>
    </cfRule>
  </conditionalFormatting>
  <conditionalFormatting sqref="U19">
    <cfRule type="cellIs" dxfId="107" priority="262" operator="greaterThan">
      <formula>T19</formula>
    </cfRule>
  </conditionalFormatting>
  <conditionalFormatting sqref="U20">
    <cfRule type="cellIs" dxfId="106" priority="267" operator="greaterThan">
      <formula>T20</formula>
    </cfRule>
  </conditionalFormatting>
  <conditionalFormatting sqref="U21">
    <cfRule type="cellIs" dxfId="105" priority="272" operator="greaterThan">
      <formula>T21</formula>
    </cfRule>
  </conditionalFormatting>
  <conditionalFormatting sqref="U22">
    <cfRule type="cellIs" dxfId="104" priority="277" operator="greaterThan">
      <formula>T22</formula>
    </cfRule>
  </conditionalFormatting>
  <conditionalFormatting sqref="U23">
    <cfRule type="cellIs" dxfId="103" priority="282" operator="greaterThan">
      <formula>T23</formula>
    </cfRule>
  </conditionalFormatting>
  <conditionalFormatting sqref="U24">
    <cfRule type="cellIs" dxfId="102" priority="287" operator="greaterThan">
      <formula>T24</formula>
    </cfRule>
  </conditionalFormatting>
  <conditionalFormatting sqref="U25">
    <cfRule type="cellIs" dxfId="101" priority="292" operator="greaterThan">
      <formula>T25</formula>
    </cfRule>
  </conditionalFormatting>
  <conditionalFormatting sqref="U26">
    <cfRule type="cellIs" dxfId="100" priority="297" operator="greaterThan">
      <formula>T26</formula>
    </cfRule>
  </conditionalFormatting>
  <conditionalFormatting sqref="U27">
    <cfRule type="cellIs" dxfId="99" priority="302" operator="greaterThan">
      <formula>T27</formula>
    </cfRule>
  </conditionalFormatting>
  <conditionalFormatting sqref="U28">
    <cfRule type="cellIs" dxfId="98" priority="307" operator="greaterThan">
      <formula>T28</formula>
    </cfRule>
  </conditionalFormatting>
  <conditionalFormatting sqref="U29">
    <cfRule type="cellIs" dxfId="97" priority="312" operator="greaterThan">
      <formula>T29</formula>
    </cfRule>
  </conditionalFormatting>
  <conditionalFormatting sqref="U30">
    <cfRule type="cellIs" dxfId="96" priority="317" operator="greaterThan">
      <formula>T30</formula>
    </cfRule>
  </conditionalFormatting>
  <conditionalFormatting sqref="U31">
    <cfRule type="cellIs" dxfId="95" priority="322" operator="greaterThan">
      <formula>T31</formula>
    </cfRule>
  </conditionalFormatting>
  <conditionalFormatting sqref="U32">
    <cfRule type="cellIs" dxfId="94" priority="327" operator="greaterThan">
      <formula>T32</formula>
    </cfRule>
  </conditionalFormatting>
  <conditionalFormatting sqref="U7">
    <cfRule type="cellIs" dxfId="93" priority="202" operator="greaterThan">
      <formula>T7</formula>
    </cfRule>
  </conditionalFormatting>
  <conditionalFormatting sqref="U8">
    <cfRule type="cellIs" dxfId="92" priority="207" operator="greaterThan">
      <formula>T8</formula>
    </cfRule>
  </conditionalFormatting>
  <conditionalFormatting sqref="U9">
    <cfRule type="cellIs" dxfId="91" priority="212" operator="greaterThan">
      <formula>T9</formula>
    </cfRule>
  </conditionalFormatting>
  <conditionalFormatting sqref="V10">
    <cfRule type="cellIs" dxfId="90" priority="219" operator="lessThanOrEqual">
      <formula>M10</formula>
    </cfRule>
  </conditionalFormatting>
  <conditionalFormatting sqref="V11">
    <cfRule type="cellIs" dxfId="89" priority="224" operator="lessThanOrEqual">
      <formula>M11</formula>
    </cfRule>
  </conditionalFormatting>
  <conditionalFormatting sqref="V12">
    <cfRule type="cellIs" dxfId="88" priority="229" operator="lessThanOrEqual">
      <formula>M12</formula>
    </cfRule>
  </conditionalFormatting>
  <conditionalFormatting sqref="V13">
    <cfRule type="cellIs" dxfId="87" priority="234" operator="lessThanOrEqual">
      <formula>M13</formula>
    </cfRule>
  </conditionalFormatting>
  <conditionalFormatting sqref="V14">
    <cfRule type="cellIs" dxfId="86" priority="239" operator="lessThanOrEqual">
      <formula>M14</formula>
    </cfRule>
  </conditionalFormatting>
  <conditionalFormatting sqref="V15">
    <cfRule type="cellIs" dxfId="85" priority="244" operator="lessThanOrEqual">
      <formula>M15</formula>
    </cfRule>
  </conditionalFormatting>
  <conditionalFormatting sqref="V16">
    <cfRule type="cellIs" dxfId="84" priority="249" operator="lessThanOrEqual">
      <formula>M16</formula>
    </cfRule>
  </conditionalFormatting>
  <conditionalFormatting sqref="V17">
    <cfRule type="cellIs" dxfId="83" priority="254" operator="lessThanOrEqual">
      <formula>M17</formula>
    </cfRule>
  </conditionalFormatting>
  <conditionalFormatting sqref="V18">
    <cfRule type="cellIs" dxfId="82" priority="259" operator="lessThanOrEqual">
      <formula>M18</formula>
    </cfRule>
  </conditionalFormatting>
  <conditionalFormatting sqref="V19">
    <cfRule type="cellIs" dxfId="81" priority="264" operator="lessThanOrEqual">
      <formula>M19</formula>
    </cfRule>
  </conditionalFormatting>
  <conditionalFormatting sqref="V20">
    <cfRule type="cellIs" dxfId="80" priority="269" operator="lessThanOrEqual">
      <formula>M20</formula>
    </cfRule>
  </conditionalFormatting>
  <conditionalFormatting sqref="V21">
    <cfRule type="cellIs" dxfId="79" priority="274" operator="lessThanOrEqual">
      <formula>M21</formula>
    </cfRule>
  </conditionalFormatting>
  <conditionalFormatting sqref="V22">
    <cfRule type="cellIs" dxfId="78" priority="279" operator="lessThanOrEqual">
      <formula>M22</formula>
    </cfRule>
  </conditionalFormatting>
  <conditionalFormatting sqref="V23">
    <cfRule type="cellIs" dxfId="77" priority="284" operator="lessThanOrEqual">
      <formula>M23</formula>
    </cfRule>
  </conditionalFormatting>
  <conditionalFormatting sqref="V24">
    <cfRule type="cellIs" dxfId="76" priority="289" operator="lessThanOrEqual">
      <formula>M24</formula>
    </cfRule>
  </conditionalFormatting>
  <conditionalFormatting sqref="V25">
    <cfRule type="cellIs" dxfId="75" priority="294" operator="lessThanOrEqual">
      <formula>M25</formula>
    </cfRule>
  </conditionalFormatting>
  <conditionalFormatting sqref="V26">
    <cfRule type="cellIs" dxfId="74" priority="299" operator="lessThanOrEqual">
      <formula>M26</formula>
    </cfRule>
  </conditionalFormatting>
  <conditionalFormatting sqref="V27">
    <cfRule type="cellIs" dxfId="73" priority="304" operator="lessThanOrEqual">
      <formula>M27</formula>
    </cfRule>
  </conditionalFormatting>
  <conditionalFormatting sqref="V28">
    <cfRule type="cellIs" dxfId="72" priority="309" operator="lessThanOrEqual">
      <formula>M28</formula>
    </cfRule>
  </conditionalFormatting>
  <conditionalFormatting sqref="V29">
    <cfRule type="cellIs" dxfId="71" priority="314" operator="lessThanOrEqual">
      <formula>M29</formula>
    </cfRule>
  </conditionalFormatting>
  <conditionalFormatting sqref="V30">
    <cfRule type="cellIs" dxfId="70" priority="319" operator="lessThanOrEqual">
      <formula>M30</formula>
    </cfRule>
  </conditionalFormatting>
  <conditionalFormatting sqref="V31">
    <cfRule type="cellIs" dxfId="69" priority="324" operator="lessThanOrEqual">
      <formula>M31</formula>
    </cfRule>
  </conditionalFormatting>
  <conditionalFormatting sqref="V32">
    <cfRule type="cellIs" dxfId="68" priority="329" operator="lessThanOrEqual">
      <formula>M32</formula>
    </cfRule>
  </conditionalFormatting>
  <conditionalFormatting sqref="V7">
    <cfRule type="cellIs" dxfId="67" priority="204" operator="lessThanOrEqual">
      <formula>M7</formula>
    </cfRule>
  </conditionalFormatting>
  <conditionalFormatting sqref="V8">
    <cfRule type="cellIs" dxfId="66" priority="209" operator="lessThanOrEqual">
      <formula>M8</formula>
    </cfRule>
  </conditionalFormatting>
  <conditionalFormatting sqref="V9">
    <cfRule type="cellIs" dxfId="65" priority="214" operator="lessThanOrEqual">
      <formula>M9</formula>
    </cfRule>
  </conditionalFormatting>
  <conditionalFormatting sqref="W10">
    <cfRule type="cellIs" dxfId="64" priority="218" operator="lessThanOrEqual">
      <formula>N10</formula>
    </cfRule>
  </conditionalFormatting>
  <conditionalFormatting sqref="W11">
    <cfRule type="cellIs" dxfId="63" priority="223" operator="lessThanOrEqual">
      <formula>N11</formula>
    </cfRule>
  </conditionalFormatting>
  <conditionalFormatting sqref="W12">
    <cfRule type="cellIs" dxfId="62" priority="228" operator="lessThanOrEqual">
      <formula>N12</formula>
    </cfRule>
  </conditionalFormatting>
  <conditionalFormatting sqref="W13">
    <cfRule type="cellIs" dxfId="61" priority="233" operator="lessThanOrEqual">
      <formula>N13</formula>
    </cfRule>
  </conditionalFormatting>
  <conditionalFormatting sqref="W14">
    <cfRule type="cellIs" dxfId="60" priority="238" operator="lessThanOrEqual">
      <formula>N14</formula>
    </cfRule>
  </conditionalFormatting>
  <conditionalFormatting sqref="W15">
    <cfRule type="cellIs" dxfId="59" priority="243" operator="lessThanOrEqual">
      <formula>N15</formula>
    </cfRule>
  </conditionalFormatting>
  <conditionalFormatting sqref="W16">
    <cfRule type="cellIs" dxfId="58" priority="248" operator="lessThanOrEqual">
      <formula>N16</formula>
    </cfRule>
  </conditionalFormatting>
  <conditionalFormatting sqref="W17">
    <cfRule type="cellIs" dxfId="57" priority="253" operator="lessThanOrEqual">
      <formula>N17</formula>
    </cfRule>
  </conditionalFormatting>
  <conditionalFormatting sqref="W18">
    <cfRule type="cellIs" dxfId="56" priority="258" operator="lessThanOrEqual">
      <formula>N18</formula>
    </cfRule>
  </conditionalFormatting>
  <conditionalFormatting sqref="W19">
    <cfRule type="cellIs" dxfId="55" priority="263" operator="lessThanOrEqual">
      <formula>N19</formula>
    </cfRule>
  </conditionalFormatting>
  <conditionalFormatting sqref="W20">
    <cfRule type="cellIs" dxfId="54" priority="268" operator="lessThanOrEqual">
      <formula>N20</formula>
    </cfRule>
  </conditionalFormatting>
  <conditionalFormatting sqref="W21">
    <cfRule type="cellIs" dxfId="53" priority="273" operator="lessThanOrEqual">
      <formula>N21</formula>
    </cfRule>
  </conditionalFormatting>
  <conditionalFormatting sqref="W22">
    <cfRule type="cellIs" dxfId="52" priority="278" operator="lessThanOrEqual">
      <formula>N22</formula>
    </cfRule>
  </conditionalFormatting>
  <conditionalFormatting sqref="W23">
    <cfRule type="cellIs" dxfId="51" priority="283" operator="lessThanOrEqual">
      <formula>N23</formula>
    </cfRule>
  </conditionalFormatting>
  <conditionalFormatting sqref="W24">
    <cfRule type="cellIs" dxfId="50" priority="288" operator="lessThanOrEqual">
      <formula>N24</formula>
    </cfRule>
  </conditionalFormatting>
  <conditionalFormatting sqref="W25">
    <cfRule type="cellIs" dxfId="49" priority="293" operator="lessThanOrEqual">
      <formula>N25</formula>
    </cfRule>
  </conditionalFormatting>
  <conditionalFormatting sqref="W26">
    <cfRule type="cellIs" dxfId="48" priority="298" operator="lessThanOrEqual">
      <formula>N26</formula>
    </cfRule>
  </conditionalFormatting>
  <conditionalFormatting sqref="W27">
    <cfRule type="cellIs" dxfId="47" priority="303" operator="lessThanOrEqual">
      <formula>N27</formula>
    </cfRule>
  </conditionalFormatting>
  <conditionalFormatting sqref="W28">
    <cfRule type="cellIs" dxfId="46" priority="308" operator="lessThanOrEqual">
      <formula>N28</formula>
    </cfRule>
  </conditionalFormatting>
  <conditionalFormatting sqref="W29">
    <cfRule type="cellIs" dxfId="45" priority="313" operator="lessThanOrEqual">
      <formula>N29</formula>
    </cfRule>
  </conditionalFormatting>
  <conditionalFormatting sqref="W30">
    <cfRule type="cellIs" dxfId="44" priority="318" operator="lessThanOrEqual">
      <formula>N30</formula>
    </cfRule>
  </conditionalFormatting>
  <conditionalFormatting sqref="W31">
    <cfRule type="cellIs" dxfId="43" priority="323" operator="lessThanOrEqual">
      <formula>N31</formula>
    </cfRule>
  </conditionalFormatting>
  <conditionalFormatting sqref="W32">
    <cfRule type="cellIs" dxfId="42" priority="328" operator="lessThanOrEqual">
      <formula>N32</formula>
    </cfRule>
  </conditionalFormatting>
  <conditionalFormatting sqref="W7">
    <cfRule type="cellIs" dxfId="41" priority="203" operator="lessThanOrEqual">
      <formula>N7</formula>
    </cfRule>
  </conditionalFormatting>
  <conditionalFormatting sqref="W8">
    <cfRule type="cellIs" dxfId="40" priority="208" operator="lessThanOrEqual">
      <formula>N8</formula>
    </cfRule>
  </conditionalFormatting>
  <conditionalFormatting sqref="W9">
    <cfRule type="cellIs" dxfId="39" priority="213" operator="lessThanOrEqual">
      <formula>N9</formula>
    </cfRule>
  </conditionalFormatting>
  <conditionalFormatting sqref="Y10">
    <cfRule type="cellIs" dxfId="38" priority="345" operator="equal">
      <formula>0</formula>
    </cfRule>
    <cfRule type="cellIs" dxfId="37" priority="346" operator="lessThan">
      <formula>L10</formula>
    </cfRule>
  </conditionalFormatting>
  <conditionalFormatting sqref="Y12">
    <cfRule type="cellIs" dxfId="36" priority="350" operator="equal">
      <formula>0</formula>
    </cfRule>
    <cfRule type="cellIs" dxfId="35" priority="351" operator="lessThan">
      <formula>L12</formula>
    </cfRule>
  </conditionalFormatting>
  <conditionalFormatting sqref="Y15">
    <cfRule type="cellIs" dxfId="34" priority="355" operator="equal">
      <formula>0</formula>
    </cfRule>
    <cfRule type="cellIs" dxfId="33" priority="356" operator="lessThan">
      <formula>L15</formula>
    </cfRule>
  </conditionalFormatting>
  <conditionalFormatting sqref="Y16">
    <cfRule type="cellIs" dxfId="32" priority="360" operator="equal">
      <formula>0</formula>
    </cfRule>
    <cfRule type="cellIs" dxfId="31" priority="361" operator="lessThan">
      <formula>L16</formula>
    </cfRule>
  </conditionalFormatting>
  <conditionalFormatting sqref="Y17">
    <cfRule type="cellIs" dxfId="30" priority="365" operator="equal">
      <formula>0</formula>
    </cfRule>
    <cfRule type="cellIs" dxfId="29" priority="366" operator="lessThan">
      <formula>L17</formula>
    </cfRule>
  </conditionalFormatting>
  <conditionalFormatting sqref="Y18">
    <cfRule type="cellIs" dxfId="28" priority="370" operator="equal">
      <formula>0</formula>
    </cfRule>
    <cfRule type="cellIs" dxfId="27" priority="371" operator="lessThan">
      <formula>L18</formula>
    </cfRule>
  </conditionalFormatting>
  <conditionalFormatting sqref="Y19">
    <cfRule type="cellIs" dxfId="26" priority="375" operator="equal">
      <formula>0</formula>
    </cfRule>
    <cfRule type="cellIs" dxfId="25" priority="376" operator="lessThan">
      <formula>L19</formula>
    </cfRule>
  </conditionalFormatting>
  <conditionalFormatting sqref="Y21">
    <cfRule type="cellIs" dxfId="24" priority="380" operator="equal">
      <formula>0</formula>
    </cfRule>
    <cfRule type="cellIs" dxfId="23" priority="381" operator="lessThan">
      <formula>L21</formula>
    </cfRule>
  </conditionalFormatting>
  <conditionalFormatting sqref="Y24">
    <cfRule type="cellIs" dxfId="22" priority="385" operator="equal">
      <formula>0</formula>
    </cfRule>
    <cfRule type="cellIs" dxfId="21" priority="386" operator="lessThan">
      <formula>L24</formula>
    </cfRule>
  </conditionalFormatting>
  <conditionalFormatting sqref="Y26">
    <cfRule type="cellIs" dxfId="20" priority="390" operator="equal">
      <formula>0</formula>
    </cfRule>
    <cfRule type="cellIs" dxfId="19" priority="391" operator="lessThan">
      <formula>L26</formula>
    </cfRule>
  </conditionalFormatting>
  <conditionalFormatting sqref="Y7">
    <cfRule type="cellIs" dxfId="18" priority="330" operator="equal">
      <formula>0</formula>
    </cfRule>
    <cfRule type="cellIs" dxfId="17" priority="331" operator="lessThan">
      <formula>L7</formula>
    </cfRule>
  </conditionalFormatting>
  <conditionalFormatting sqref="Y8">
    <cfRule type="cellIs" dxfId="16" priority="335" operator="equal">
      <formula>0</formula>
    </cfRule>
    <cfRule type="cellIs" dxfId="15" priority="336" operator="lessThan">
      <formula>L8</formula>
    </cfRule>
  </conditionalFormatting>
  <conditionalFormatting sqref="Y9">
    <cfRule type="cellIs" dxfId="14" priority="340" operator="equal">
      <formula>0</formula>
    </cfRule>
    <cfRule type="cellIs" dxfId="13" priority="341" operator="lessThan">
      <formula>L9</formula>
    </cfRule>
  </conditionalFormatting>
  <conditionalFormatting sqref="Z10">
    <cfRule type="cellIs" dxfId="12" priority="347" operator="greaterThan">
      <formula>Y10</formula>
    </cfRule>
  </conditionalFormatting>
  <conditionalFormatting sqref="Z12">
    <cfRule type="cellIs" dxfId="11" priority="352" operator="greaterThan">
      <formula>Y12</formula>
    </cfRule>
  </conditionalFormatting>
  <conditionalFormatting sqref="Z15">
    <cfRule type="cellIs" dxfId="10" priority="357" operator="greaterThan">
      <formula>Y15</formula>
    </cfRule>
  </conditionalFormatting>
  <conditionalFormatting sqref="Z16">
    <cfRule type="cellIs" dxfId="9" priority="362" operator="greaterThan">
      <formula>Y16</formula>
    </cfRule>
  </conditionalFormatting>
  <conditionalFormatting sqref="Z17">
    <cfRule type="cellIs" dxfId="8" priority="367" operator="greaterThan">
      <formula>Y17</formula>
    </cfRule>
  </conditionalFormatting>
  <conditionalFormatting sqref="Z18">
    <cfRule type="cellIs" dxfId="7" priority="372" operator="greaterThan">
      <formula>Y18</formula>
    </cfRule>
  </conditionalFormatting>
  <conditionalFormatting sqref="Z19">
    <cfRule type="cellIs" dxfId="6" priority="377" operator="greaterThan">
      <formula>Y19</formula>
    </cfRule>
  </conditionalFormatting>
  <conditionalFormatting sqref="Z21">
    <cfRule type="cellIs" dxfId="5" priority="382" operator="greaterThan">
      <formula>Y21</formula>
    </cfRule>
  </conditionalFormatting>
  <conditionalFormatting sqref="Z24">
    <cfRule type="cellIs" dxfId="4" priority="387" operator="greaterThan">
      <formula>Y24</formula>
    </cfRule>
  </conditionalFormatting>
  <conditionalFormatting sqref="Z26">
    <cfRule type="cellIs" dxfId="3" priority="392" operator="greaterThan">
      <formula>Y26</formula>
    </cfRule>
  </conditionalFormatting>
  <conditionalFormatting sqref="Z7">
    <cfRule type="cellIs" dxfId="2" priority="332" operator="greaterThan">
      <formula>Y7</formula>
    </cfRule>
  </conditionalFormatting>
  <conditionalFormatting sqref="Z8">
    <cfRule type="cellIs" dxfId="1" priority="337" operator="greaterThan">
      <formula>Y8</formula>
    </cfRule>
  </conditionalFormatting>
  <conditionalFormatting sqref="Z9">
    <cfRule type="cellIs" dxfId="0" priority="342" operator="greaterThan">
      <formula>Y9</formula>
    </cfRule>
  </conditionalFormatting>
  <hyperlinks>
    <hyperlink ref="K7" r:id="rId1" xr:uid="{00000000-0004-0000-0000-000000000000}"/>
    <hyperlink ref="S7" r:id="rId2" xr:uid="{00000000-0004-0000-0000-000001000000}"/>
    <hyperlink ref="X7" r:id="rId3" xr:uid="{00000000-0004-0000-0000-000002000000}"/>
    <hyperlink ref="AC7" r:id="rId4" xr:uid="{00000000-0004-0000-0000-000003000000}"/>
    <hyperlink ref="AH7" r:id="rId5" xr:uid="{00000000-0004-0000-0000-000004000000}"/>
    <hyperlink ref="AM7" r:id="rId6" xr:uid="{00000000-0004-0000-0000-000005000000}"/>
    <hyperlink ref="AR7" r:id="rId7" xr:uid="{00000000-0004-0000-0000-000006000000}"/>
    <hyperlink ref="K8" r:id="rId8" xr:uid="{00000000-0004-0000-0000-000007000000}"/>
    <hyperlink ref="S8" r:id="rId9" xr:uid="{00000000-0004-0000-0000-000008000000}"/>
    <hyperlink ref="X8" r:id="rId10" xr:uid="{00000000-0004-0000-0000-000009000000}"/>
    <hyperlink ref="AC8" r:id="rId11" xr:uid="{00000000-0004-0000-0000-00000A000000}"/>
    <hyperlink ref="AM8" r:id="rId12" xr:uid="{00000000-0004-0000-0000-00000B000000}"/>
    <hyperlink ref="AW8" r:id="rId13" xr:uid="{00000000-0004-0000-0000-00000C000000}"/>
    <hyperlink ref="K9" r:id="rId14" xr:uid="{00000000-0004-0000-0000-00000D000000}"/>
    <hyperlink ref="S9" r:id="rId15" xr:uid="{00000000-0004-0000-0000-00000E000000}"/>
    <hyperlink ref="X9" r:id="rId16" xr:uid="{00000000-0004-0000-0000-00000F000000}"/>
    <hyperlink ref="AC9" r:id="rId17" xr:uid="{00000000-0004-0000-0000-000010000000}"/>
    <hyperlink ref="AH9" r:id="rId18" xr:uid="{00000000-0004-0000-0000-000011000000}"/>
    <hyperlink ref="AM9" r:id="rId19" xr:uid="{00000000-0004-0000-0000-000012000000}"/>
    <hyperlink ref="AR9" r:id="rId20" xr:uid="{00000000-0004-0000-0000-000013000000}"/>
    <hyperlink ref="AW9" r:id="rId21" xr:uid="{00000000-0004-0000-0000-000014000000}"/>
    <hyperlink ref="K10" r:id="rId22" xr:uid="{00000000-0004-0000-0000-000015000000}"/>
    <hyperlink ref="S10" r:id="rId23" xr:uid="{00000000-0004-0000-0000-000016000000}"/>
    <hyperlink ref="X10" r:id="rId24" xr:uid="{00000000-0004-0000-0000-000017000000}"/>
    <hyperlink ref="AC10" r:id="rId25" xr:uid="{00000000-0004-0000-0000-000018000000}"/>
    <hyperlink ref="AH10" r:id="rId26" xr:uid="{00000000-0004-0000-0000-000019000000}"/>
    <hyperlink ref="K11" r:id="rId27" xr:uid="{00000000-0004-0000-0000-00001A000000}"/>
    <hyperlink ref="S11" r:id="rId28" xr:uid="{00000000-0004-0000-0000-00001B000000}"/>
    <hyperlink ref="X11" r:id="rId29" xr:uid="{00000000-0004-0000-0000-00001C000000}"/>
    <hyperlink ref="AR11" r:id="rId30" xr:uid="{00000000-0004-0000-0000-00001D000000}"/>
    <hyperlink ref="AW11" r:id="rId31" xr:uid="{00000000-0004-0000-0000-00001E000000}"/>
    <hyperlink ref="K12" r:id="rId32" xr:uid="{00000000-0004-0000-0000-00001F000000}"/>
    <hyperlink ref="S12" r:id="rId33" xr:uid="{00000000-0004-0000-0000-000020000000}"/>
    <hyperlink ref="X12" r:id="rId34" xr:uid="{00000000-0004-0000-0000-000021000000}"/>
    <hyperlink ref="AC12" r:id="rId35" xr:uid="{00000000-0004-0000-0000-000022000000}"/>
    <hyperlink ref="AH12" r:id="rId36" xr:uid="{00000000-0004-0000-0000-000023000000}"/>
    <hyperlink ref="AM12" r:id="rId37" xr:uid="{00000000-0004-0000-0000-000024000000}"/>
    <hyperlink ref="AR12" r:id="rId38" xr:uid="{00000000-0004-0000-0000-000025000000}"/>
    <hyperlink ref="AW12" r:id="rId39" xr:uid="{00000000-0004-0000-0000-000026000000}"/>
    <hyperlink ref="K13" r:id="rId40" xr:uid="{00000000-0004-0000-0000-000027000000}"/>
    <hyperlink ref="S13" r:id="rId41" xr:uid="{00000000-0004-0000-0000-000028000000}"/>
    <hyperlink ref="X13" r:id="rId42" xr:uid="{00000000-0004-0000-0000-000029000000}"/>
    <hyperlink ref="AH13" r:id="rId43" xr:uid="{00000000-0004-0000-0000-00002A000000}"/>
    <hyperlink ref="AM13" r:id="rId44" xr:uid="{00000000-0004-0000-0000-00002B000000}"/>
    <hyperlink ref="K14" r:id="rId45" xr:uid="{00000000-0004-0000-0000-00002C000000}"/>
    <hyperlink ref="X14" r:id="rId46" xr:uid="{00000000-0004-0000-0000-00002D000000}"/>
    <hyperlink ref="AH14" r:id="rId47" xr:uid="{00000000-0004-0000-0000-00002E000000}"/>
    <hyperlink ref="K15" r:id="rId48" xr:uid="{00000000-0004-0000-0000-00002F000000}"/>
    <hyperlink ref="S15" r:id="rId49" xr:uid="{00000000-0004-0000-0000-000030000000}"/>
    <hyperlink ref="X15" r:id="rId50" xr:uid="{00000000-0004-0000-0000-000031000000}"/>
    <hyperlink ref="AC15" r:id="rId51" xr:uid="{00000000-0004-0000-0000-000032000000}"/>
    <hyperlink ref="AH15" r:id="rId52" xr:uid="{00000000-0004-0000-0000-000033000000}"/>
    <hyperlink ref="AR15" r:id="rId53" xr:uid="{00000000-0004-0000-0000-000034000000}"/>
    <hyperlink ref="K16" r:id="rId54" xr:uid="{00000000-0004-0000-0000-000035000000}"/>
    <hyperlink ref="S16" r:id="rId55" xr:uid="{00000000-0004-0000-0000-000036000000}"/>
    <hyperlink ref="X16" r:id="rId56" xr:uid="{00000000-0004-0000-0000-000037000000}"/>
    <hyperlink ref="AC16" r:id="rId57" xr:uid="{00000000-0004-0000-0000-000038000000}"/>
    <hyperlink ref="AH16" r:id="rId58" xr:uid="{00000000-0004-0000-0000-000039000000}"/>
    <hyperlink ref="AR16" r:id="rId59" xr:uid="{00000000-0004-0000-0000-00003A000000}"/>
    <hyperlink ref="AW16" r:id="rId60" xr:uid="{00000000-0004-0000-0000-00003B000000}"/>
    <hyperlink ref="K17" r:id="rId61" xr:uid="{00000000-0004-0000-0000-00003C000000}"/>
    <hyperlink ref="S17" r:id="rId62" xr:uid="{00000000-0004-0000-0000-00003D000000}"/>
    <hyperlink ref="X17" r:id="rId63" xr:uid="{00000000-0004-0000-0000-00003E000000}"/>
    <hyperlink ref="AC17" r:id="rId64" xr:uid="{00000000-0004-0000-0000-00003F000000}"/>
    <hyperlink ref="AH17" r:id="rId65" xr:uid="{00000000-0004-0000-0000-000040000000}"/>
    <hyperlink ref="AM17" r:id="rId66" xr:uid="{00000000-0004-0000-0000-000041000000}"/>
    <hyperlink ref="AR17" r:id="rId67" xr:uid="{00000000-0004-0000-0000-000042000000}"/>
    <hyperlink ref="AW17" r:id="rId68" xr:uid="{00000000-0004-0000-0000-000043000000}"/>
    <hyperlink ref="K18" r:id="rId69" xr:uid="{00000000-0004-0000-0000-000044000000}"/>
    <hyperlink ref="X18" r:id="rId70" xr:uid="{00000000-0004-0000-0000-000045000000}"/>
    <hyperlink ref="AC18" r:id="rId71" xr:uid="{00000000-0004-0000-0000-000046000000}"/>
    <hyperlink ref="AH18" r:id="rId72" xr:uid="{00000000-0004-0000-0000-000047000000}"/>
    <hyperlink ref="AM18" r:id="rId73" xr:uid="{00000000-0004-0000-0000-000048000000}"/>
    <hyperlink ref="K19" r:id="rId74" xr:uid="{00000000-0004-0000-0000-000049000000}"/>
    <hyperlink ref="X19" r:id="rId75" xr:uid="{00000000-0004-0000-0000-00004A000000}"/>
    <hyperlink ref="AC19" r:id="rId76" xr:uid="{00000000-0004-0000-0000-00004B000000}"/>
    <hyperlink ref="AH19" r:id="rId77" xr:uid="{00000000-0004-0000-0000-00004C000000}"/>
    <hyperlink ref="AM19" r:id="rId78" xr:uid="{00000000-0004-0000-0000-00004D000000}"/>
    <hyperlink ref="K20" r:id="rId79" xr:uid="{00000000-0004-0000-0000-00004E000000}"/>
    <hyperlink ref="X20" r:id="rId80" xr:uid="{00000000-0004-0000-0000-00004F000000}"/>
    <hyperlink ref="K21" r:id="rId81" xr:uid="{00000000-0004-0000-0000-000050000000}"/>
    <hyperlink ref="S21" r:id="rId82" xr:uid="{00000000-0004-0000-0000-000051000000}"/>
    <hyperlink ref="X21" r:id="rId83" xr:uid="{00000000-0004-0000-0000-000052000000}"/>
    <hyperlink ref="AC21" r:id="rId84" xr:uid="{00000000-0004-0000-0000-000053000000}"/>
    <hyperlink ref="AH21" r:id="rId85" xr:uid="{00000000-0004-0000-0000-000054000000}"/>
    <hyperlink ref="AM21" r:id="rId86" xr:uid="{00000000-0004-0000-0000-000055000000}"/>
    <hyperlink ref="K22" r:id="rId87" xr:uid="{00000000-0004-0000-0000-000056000000}"/>
    <hyperlink ref="X22" r:id="rId88" xr:uid="{00000000-0004-0000-0000-000057000000}"/>
    <hyperlink ref="AH22" r:id="rId89" xr:uid="{00000000-0004-0000-0000-000058000000}"/>
    <hyperlink ref="K23" r:id="rId90" xr:uid="{00000000-0004-0000-0000-000059000000}"/>
    <hyperlink ref="S23" r:id="rId91" xr:uid="{00000000-0004-0000-0000-00005A000000}"/>
    <hyperlink ref="X23" r:id="rId92" xr:uid="{00000000-0004-0000-0000-00005B000000}"/>
    <hyperlink ref="AH23" r:id="rId93" xr:uid="{00000000-0004-0000-0000-00005C000000}"/>
    <hyperlink ref="AM23" r:id="rId94" xr:uid="{00000000-0004-0000-0000-00005D000000}"/>
    <hyperlink ref="K24" r:id="rId95" xr:uid="{00000000-0004-0000-0000-00005E000000}"/>
    <hyperlink ref="X24" r:id="rId96" xr:uid="{00000000-0004-0000-0000-00005F000000}"/>
    <hyperlink ref="AC24" r:id="rId97" xr:uid="{00000000-0004-0000-0000-000060000000}"/>
    <hyperlink ref="AH24" r:id="rId98" xr:uid="{00000000-0004-0000-0000-000061000000}"/>
    <hyperlink ref="AM24" r:id="rId99" xr:uid="{00000000-0004-0000-0000-000062000000}"/>
    <hyperlink ref="AR24" r:id="rId100" xr:uid="{00000000-0004-0000-0000-000063000000}"/>
    <hyperlink ref="S25" r:id="rId101" xr:uid="{00000000-0004-0000-0000-000064000000}"/>
    <hyperlink ref="X25" r:id="rId102" xr:uid="{00000000-0004-0000-0000-000065000000}"/>
    <hyperlink ref="AH25" r:id="rId103" xr:uid="{00000000-0004-0000-0000-000066000000}"/>
    <hyperlink ref="AM25" r:id="rId104" xr:uid="{00000000-0004-0000-0000-000067000000}"/>
    <hyperlink ref="K26" r:id="rId105" xr:uid="{00000000-0004-0000-0000-000068000000}"/>
    <hyperlink ref="S26" r:id="rId106" xr:uid="{00000000-0004-0000-0000-000069000000}"/>
    <hyperlink ref="X26" r:id="rId107" xr:uid="{00000000-0004-0000-0000-00006A000000}"/>
    <hyperlink ref="AC26" r:id="rId108" xr:uid="{00000000-0004-0000-0000-00006B000000}"/>
    <hyperlink ref="AH26" r:id="rId109" xr:uid="{00000000-0004-0000-0000-00006C000000}"/>
    <hyperlink ref="AM26" r:id="rId110" xr:uid="{00000000-0004-0000-0000-00006D000000}"/>
    <hyperlink ref="K27" r:id="rId111" xr:uid="{00000000-0004-0000-0000-00006E000000}"/>
    <hyperlink ref="S27" r:id="rId112" xr:uid="{00000000-0004-0000-0000-00006F000000}"/>
    <hyperlink ref="X27" r:id="rId113" xr:uid="{00000000-0004-0000-0000-000070000000}"/>
    <hyperlink ref="AH27" r:id="rId114" xr:uid="{00000000-0004-0000-0000-000071000000}"/>
    <hyperlink ref="AM27" r:id="rId115" xr:uid="{00000000-0004-0000-0000-000072000000}"/>
    <hyperlink ref="K28" r:id="rId116" xr:uid="{00000000-0004-0000-0000-000073000000}"/>
    <hyperlink ref="X28" r:id="rId117" xr:uid="{00000000-0004-0000-0000-000074000000}"/>
    <hyperlink ref="AH28" r:id="rId118" xr:uid="{00000000-0004-0000-0000-000075000000}"/>
    <hyperlink ref="AM28" r:id="rId119" xr:uid="{00000000-0004-0000-0000-000076000000}"/>
    <hyperlink ref="AW28" r:id="rId120" xr:uid="{00000000-0004-0000-0000-000077000000}"/>
    <hyperlink ref="K29" r:id="rId121" xr:uid="{00000000-0004-0000-0000-000078000000}"/>
    <hyperlink ref="S29" r:id="rId122" xr:uid="{00000000-0004-0000-0000-000079000000}"/>
    <hyperlink ref="X29" r:id="rId123" xr:uid="{00000000-0004-0000-0000-00007A000000}"/>
    <hyperlink ref="AH29" r:id="rId124" xr:uid="{00000000-0004-0000-0000-00007B000000}"/>
    <hyperlink ref="AM29" r:id="rId125" xr:uid="{00000000-0004-0000-0000-00007C000000}"/>
    <hyperlink ref="AW29" r:id="rId126" xr:uid="{00000000-0004-0000-0000-00007D000000}"/>
    <hyperlink ref="K30" r:id="rId127" xr:uid="{00000000-0004-0000-0000-00007E000000}"/>
    <hyperlink ref="S30" r:id="rId128" xr:uid="{00000000-0004-0000-0000-00007F000000}"/>
    <hyperlink ref="X30" r:id="rId129" xr:uid="{00000000-0004-0000-0000-000080000000}"/>
    <hyperlink ref="AH30" r:id="rId130" xr:uid="{00000000-0004-0000-0000-000081000000}"/>
    <hyperlink ref="AM30" r:id="rId131" xr:uid="{00000000-0004-0000-0000-000082000000}"/>
    <hyperlink ref="K31" r:id="rId132" xr:uid="{00000000-0004-0000-0000-000083000000}"/>
    <hyperlink ref="S31" r:id="rId133" xr:uid="{00000000-0004-0000-0000-000084000000}"/>
    <hyperlink ref="X31" r:id="rId134" xr:uid="{00000000-0004-0000-0000-000085000000}"/>
    <hyperlink ref="AH31" r:id="rId135" xr:uid="{00000000-0004-0000-0000-000086000000}"/>
    <hyperlink ref="AM31" r:id="rId136" xr:uid="{00000000-0004-0000-0000-000087000000}"/>
    <hyperlink ref="K32" r:id="rId137" xr:uid="{00000000-0004-0000-0000-000088000000}"/>
    <hyperlink ref="S32" r:id="rId138" xr:uid="{00000000-0004-0000-0000-000089000000}"/>
    <hyperlink ref="X32" r:id="rId139" xr:uid="{00000000-0004-0000-0000-00008A000000}"/>
    <hyperlink ref="AH32" r:id="rId140" xr:uid="{00000000-0004-0000-0000-00008B000000}"/>
    <hyperlink ref="AM32" r:id="rId141" xr:uid="{00000000-0004-0000-0000-00008C000000}"/>
  </hyperlinks>
  <pageMargins left="0.7" right="0.7" top="0.75" bottom="0.75" header="0.3" footer="0.3"/>
  <legacyDrawing r:id="rId1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10</vt:i4>
      </vt:variant>
    </vt:vector>
  </HeadingPairs>
  <TitlesOfParts>
    <vt:vector size="11" baseType="lpstr">
      <vt:lpstr>^_ana.neg5_micro1_micro2_reg1_r</vt:lpstr>
      <vt:lpstr>arrow_part_data</vt:lpstr>
      <vt:lpstr>BoardQty</vt:lpstr>
      <vt:lpstr>digikey_part_data</vt:lpstr>
      <vt:lpstr>farnell_part_data</vt:lpstr>
      <vt:lpstr>global_part_data</vt:lpstr>
      <vt:lpstr>mouser_part_data</vt:lpstr>
      <vt:lpstr>newark_part_data</vt:lpstr>
      <vt:lpstr>rs_part_data</vt:lpstr>
      <vt:lpstr>tme_part_data</vt:lpstr>
      <vt:lpstr>TotalCost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mdeweerd</cp:lastModifiedBy>
  <dcterms:created xsi:type="dcterms:W3CDTF">2019-04-21T21:56:56Z</dcterms:created>
  <dcterms:modified xsi:type="dcterms:W3CDTF">2021-04-06T22:59:08Z</dcterms:modified>
</cp:coreProperties>
</file>