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dilo/Desktop/Work/Portfolio/Arsenal_Project/Excel Section/"/>
    </mc:Choice>
  </mc:AlternateContent>
  <xr:revisionPtr revIDLastSave="0" documentId="13_ncr:1_{71F5826C-AC69-AC42-B7E9-E649AB6A9DED}" xr6:coauthVersionLast="47" xr6:coauthVersionMax="47" xr10:uidLastSave="{00000000-0000-0000-0000-000000000000}"/>
  <bookViews>
    <workbookView xWindow="0" yWindow="0" windowWidth="28800" windowHeight="18000" xr2:uid="{44740E01-5570-0749-B869-C8F8AC6FC8B3}"/>
  </bookViews>
  <sheets>
    <sheet name="Combined_Table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3" i="1" l="1"/>
  <c r="K113" i="1"/>
  <c r="J114" i="1"/>
  <c r="K114" i="1"/>
  <c r="K3" i="1"/>
  <c r="K4" i="1"/>
  <c r="K5" i="1"/>
  <c r="K6" i="1"/>
  <c r="K7" i="1"/>
  <c r="K8" i="1"/>
  <c r="K9" i="1"/>
  <c r="K10" i="1"/>
  <c r="K11" i="1"/>
  <c r="K12" i="1"/>
  <c r="K13" i="1"/>
  <c r="K14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A144" i="1"/>
  <c r="M144" i="1" s="1"/>
  <c r="J143" i="1"/>
  <c r="A143" i="1"/>
  <c r="M143" i="1" s="1"/>
  <c r="L142" i="1"/>
  <c r="J142" i="1"/>
  <c r="A142" i="1"/>
  <c r="M142" i="1" s="1"/>
  <c r="A141" i="1"/>
  <c r="J141" i="1" s="1"/>
  <c r="A140" i="1"/>
  <c r="A139" i="1"/>
  <c r="L139" i="1" s="1"/>
  <c r="L138" i="1"/>
  <c r="J138" i="1"/>
  <c r="A138" i="1"/>
  <c r="M138" i="1" s="1"/>
  <c r="A137" i="1"/>
  <c r="J137" i="1" s="1"/>
  <c r="A136" i="1"/>
  <c r="A135" i="1"/>
  <c r="L135" i="1" s="1"/>
  <c r="L134" i="1"/>
  <c r="J134" i="1"/>
  <c r="A134" i="1"/>
  <c r="M134" i="1" s="1"/>
  <c r="A133" i="1"/>
  <c r="J133" i="1" s="1"/>
  <c r="A132" i="1"/>
  <c r="A131" i="1"/>
  <c r="L131" i="1" s="1"/>
  <c r="L130" i="1"/>
  <c r="J130" i="1"/>
  <c r="A130" i="1"/>
  <c r="M130" i="1" s="1"/>
  <c r="A129" i="1"/>
  <c r="J129" i="1" s="1"/>
  <c r="A128" i="1"/>
  <c r="A127" i="1"/>
  <c r="L127" i="1" s="1"/>
  <c r="L126" i="1"/>
  <c r="J126" i="1"/>
  <c r="A126" i="1"/>
  <c r="M126" i="1" s="1"/>
  <c r="A125" i="1"/>
  <c r="J125" i="1" s="1"/>
  <c r="A124" i="1"/>
  <c r="A123" i="1"/>
  <c r="L123" i="1" s="1"/>
  <c r="L122" i="1"/>
  <c r="J122" i="1"/>
  <c r="A122" i="1"/>
  <c r="M122" i="1" s="1"/>
  <c r="A121" i="1"/>
  <c r="J121" i="1" s="1"/>
  <c r="A120" i="1"/>
  <c r="A119" i="1"/>
  <c r="L119" i="1" s="1"/>
  <c r="L118" i="1"/>
  <c r="J118" i="1"/>
  <c r="A118" i="1"/>
  <c r="M118" i="1" s="1"/>
  <c r="A117" i="1"/>
  <c r="J117" i="1" s="1"/>
  <c r="A116" i="1"/>
  <c r="A115" i="1"/>
  <c r="L115" i="1" s="1"/>
  <c r="L114" i="1"/>
  <c r="A114" i="1"/>
  <c r="M114" i="1" s="1"/>
  <c r="A113" i="1"/>
  <c r="A112" i="1"/>
  <c r="A111" i="1"/>
  <c r="L111" i="1" s="1"/>
  <c r="L110" i="1"/>
  <c r="J110" i="1"/>
  <c r="A110" i="1"/>
  <c r="M110" i="1" s="1"/>
  <c r="A109" i="1"/>
  <c r="J109" i="1" s="1"/>
  <c r="A108" i="1"/>
  <c r="A107" i="1"/>
  <c r="L107" i="1" s="1"/>
  <c r="L106" i="1"/>
  <c r="J106" i="1"/>
  <c r="A106" i="1"/>
  <c r="M106" i="1" s="1"/>
  <c r="A105" i="1"/>
  <c r="J105" i="1" s="1"/>
  <c r="A104" i="1"/>
  <c r="A103" i="1"/>
  <c r="L103" i="1" s="1"/>
  <c r="L102" i="1"/>
  <c r="J102" i="1"/>
  <c r="A102" i="1"/>
  <c r="M102" i="1" s="1"/>
  <c r="A101" i="1"/>
  <c r="J101" i="1" s="1"/>
  <c r="A100" i="1"/>
  <c r="A99" i="1"/>
  <c r="L99" i="1" s="1"/>
  <c r="L98" i="1"/>
  <c r="J98" i="1"/>
  <c r="A98" i="1"/>
  <c r="M98" i="1" s="1"/>
  <c r="A97" i="1"/>
  <c r="J97" i="1" s="1"/>
  <c r="A96" i="1"/>
  <c r="A95" i="1"/>
  <c r="L95" i="1" s="1"/>
  <c r="L94" i="1"/>
  <c r="J94" i="1"/>
  <c r="A94" i="1"/>
  <c r="M94" i="1" s="1"/>
  <c r="A93" i="1"/>
  <c r="J93" i="1" s="1"/>
  <c r="A92" i="1"/>
  <c r="A91" i="1"/>
  <c r="L91" i="1" s="1"/>
  <c r="L90" i="1"/>
  <c r="J90" i="1"/>
  <c r="A90" i="1"/>
  <c r="M90" i="1" s="1"/>
  <c r="M89" i="1"/>
  <c r="A89" i="1"/>
  <c r="J89" i="1" s="1"/>
  <c r="M88" i="1"/>
  <c r="A88" i="1"/>
  <c r="M87" i="1"/>
  <c r="A87" i="1"/>
  <c r="L87" i="1" s="1"/>
  <c r="L86" i="1"/>
  <c r="J86" i="1"/>
  <c r="A86" i="1"/>
  <c r="M86" i="1" s="1"/>
  <c r="M85" i="1"/>
  <c r="L85" i="1"/>
  <c r="A85" i="1"/>
  <c r="J85" i="1" s="1"/>
  <c r="M84" i="1"/>
  <c r="L84" i="1"/>
  <c r="A84" i="1"/>
  <c r="M83" i="1"/>
  <c r="A83" i="1"/>
  <c r="L83" i="1" s="1"/>
  <c r="L82" i="1"/>
  <c r="J82" i="1"/>
  <c r="A82" i="1"/>
  <c r="M82" i="1" s="1"/>
  <c r="M81" i="1"/>
  <c r="L81" i="1"/>
  <c r="A81" i="1"/>
  <c r="J81" i="1" s="1"/>
  <c r="M80" i="1"/>
  <c r="L80" i="1"/>
  <c r="A80" i="1"/>
  <c r="M79" i="1"/>
  <c r="A79" i="1"/>
  <c r="L79" i="1" s="1"/>
  <c r="L78" i="1"/>
  <c r="J78" i="1"/>
  <c r="A78" i="1"/>
  <c r="M78" i="1" s="1"/>
  <c r="M77" i="1"/>
  <c r="L77" i="1"/>
  <c r="A77" i="1"/>
  <c r="J77" i="1" s="1"/>
  <c r="M76" i="1"/>
  <c r="L76" i="1"/>
  <c r="A76" i="1"/>
  <c r="M75" i="1"/>
  <c r="A75" i="1"/>
  <c r="L75" i="1" s="1"/>
  <c r="L74" i="1"/>
  <c r="J74" i="1"/>
  <c r="A74" i="1"/>
  <c r="M74" i="1" s="1"/>
  <c r="M73" i="1"/>
  <c r="L73" i="1"/>
  <c r="A73" i="1"/>
  <c r="J73" i="1" s="1"/>
  <c r="M72" i="1"/>
  <c r="L72" i="1"/>
  <c r="A72" i="1"/>
  <c r="M71" i="1"/>
  <c r="A71" i="1"/>
  <c r="L71" i="1" s="1"/>
  <c r="L70" i="1"/>
  <c r="J70" i="1"/>
  <c r="A70" i="1"/>
  <c r="M70" i="1" s="1"/>
  <c r="M69" i="1"/>
  <c r="L69" i="1"/>
  <c r="A69" i="1"/>
  <c r="J69" i="1" s="1"/>
  <c r="M68" i="1"/>
  <c r="L68" i="1"/>
  <c r="A68" i="1"/>
  <c r="M67" i="1"/>
  <c r="A67" i="1"/>
  <c r="L67" i="1" s="1"/>
  <c r="L66" i="1"/>
  <c r="J66" i="1"/>
  <c r="A66" i="1"/>
  <c r="M66" i="1" s="1"/>
  <c r="M65" i="1"/>
  <c r="L65" i="1"/>
  <c r="A65" i="1"/>
  <c r="J65" i="1" s="1"/>
  <c r="M64" i="1"/>
  <c r="L64" i="1"/>
  <c r="A64" i="1"/>
  <c r="M63" i="1"/>
  <c r="A63" i="1"/>
  <c r="L63" i="1" s="1"/>
  <c r="L62" i="1"/>
  <c r="J62" i="1"/>
  <c r="A62" i="1"/>
  <c r="M62" i="1" s="1"/>
  <c r="M61" i="1"/>
  <c r="L61" i="1"/>
  <c r="A61" i="1"/>
  <c r="J61" i="1" s="1"/>
  <c r="M60" i="1"/>
  <c r="L60" i="1"/>
  <c r="A60" i="1"/>
  <c r="L59" i="1"/>
  <c r="A59" i="1"/>
  <c r="M59" i="1" s="1"/>
  <c r="A58" i="1"/>
  <c r="J58" i="1" s="1"/>
  <c r="L57" i="1"/>
  <c r="J57" i="1"/>
  <c r="A57" i="1"/>
  <c r="M57" i="1" s="1"/>
  <c r="L56" i="1"/>
  <c r="A56" i="1"/>
  <c r="J56" i="1" s="1"/>
  <c r="L55" i="1"/>
  <c r="A55" i="1"/>
  <c r="M55" i="1" s="1"/>
  <c r="A54" i="1"/>
  <c r="J54" i="1" s="1"/>
  <c r="L53" i="1"/>
  <c r="J53" i="1"/>
  <c r="A53" i="1"/>
  <c r="M53" i="1" s="1"/>
  <c r="L52" i="1"/>
  <c r="A52" i="1"/>
  <c r="J52" i="1" s="1"/>
  <c r="L51" i="1"/>
  <c r="A51" i="1"/>
  <c r="A50" i="1"/>
  <c r="J50" i="1" s="1"/>
  <c r="L49" i="1"/>
  <c r="J49" i="1"/>
  <c r="A49" i="1"/>
  <c r="M49" i="1" s="1"/>
  <c r="L48" i="1"/>
  <c r="A48" i="1"/>
  <c r="J48" i="1" s="1"/>
  <c r="L47" i="1"/>
  <c r="A47" i="1"/>
  <c r="A46" i="1"/>
  <c r="L46" i="1" s="1"/>
  <c r="L45" i="1"/>
  <c r="A45" i="1"/>
  <c r="M45" i="1" s="1"/>
  <c r="L44" i="1"/>
  <c r="A44" i="1"/>
  <c r="J44" i="1" s="1"/>
  <c r="L43" i="1"/>
  <c r="A43" i="1"/>
  <c r="M43" i="1" s="1"/>
  <c r="A42" i="1"/>
  <c r="J42" i="1" s="1"/>
  <c r="L41" i="1"/>
  <c r="J41" i="1"/>
  <c r="A41" i="1"/>
  <c r="M41" i="1" s="1"/>
  <c r="L40" i="1"/>
  <c r="A40" i="1"/>
  <c r="J40" i="1" s="1"/>
  <c r="L39" i="1"/>
  <c r="A39" i="1"/>
  <c r="A38" i="1"/>
  <c r="L38" i="1" s="1"/>
  <c r="L37" i="1"/>
  <c r="J37" i="1"/>
  <c r="A37" i="1"/>
  <c r="M37" i="1" s="1"/>
  <c r="L36" i="1"/>
  <c r="A36" i="1"/>
  <c r="J36" i="1" s="1"/>
  <c r="L35" i="1"/>
  <c r="A35" i="1"/>
  <c r="A34" i="1"/>
  <c r="M34" i="1" s="1"/>
  <c r="L33" i="1"/>
  <c r="J33" i="1"/>
  <c r="A33" i="1"/>
  <c r="M33" i="1" s="1"/>
  <c r="L32" i="1"/>
  <c r="A32" i="1"/>
  <c r="J32" i="1" s="1"/>
  <c r="L31" i="1"/>
  <c r="A31" i="1"/>
  <c r="A30" i="1"/>
  <c r="M30" i="1" s="1"/>
  <c r="L29" i="1"/>
  <c r="J29" i="1"/>
  <c r="A29" i="1"/>
  <c r="M29" i="1" s="1"/>
  <c r="L28" i="1"/>
  <c r="A28" i="1"/>
  <c r="J28" i="1" s="1"/>
  <c r="L27" i="1"/>
  <c r="A27" i="1"/>
  <c r="M27" i="1" s="1"/>
  <c r="A26" i="1"/>
  <c r="L26" i="1" s="1"/>
  <c r="L25" i="1"/>
  <c r="J25" i="1"/>
  <c r="A25" i="1"/>
  <c r="M25" i="1" s="1"/>
  <c r="L24" i="1"/>
  <c r="A24" i="1"/>
  <c r="J24" i="1" s="1"/>
  <c r="L23" i="1"/>
  <c r="A23" i="1"/>
  <c r="A22" i="1"/>
  <c r="L22" i="1" s="1"/>
  <c r="L21" i="1"/>
  <c r="J21" i="1"/>
  <c r="A21" i="1"/>
  <c r="M21" i="1" s="1"/>
  <c r="L20" i="1"/>
  <c r="A20" i="1"/>
  <c r="J20" i="1" s="1"/>
  <c r="L19" i="1"/>
  <c r="A19" i="1"/>
  <c r="M19" i="1" s="1"/>
  <c r="A18" i="1"/>
  <c r="J18" i="1" s="1"/>
  <c r="L17" i="1"/>
  <c r="J17" i="1"/>
  <c r="A17" i="1"/>
  <c r="M17" i="1" s="1"/>
  <c r="L16" i="1"/>
  <c r="A16" i="1"/>
  <c r="J16" i="1" s="1"/>
  <c r="L15" i="1"/>
  <c r="A15" i="1"/>
  <c r="A14" i="1"/>
  <c r="L13" i="1"/>
  <c r="J13" i="1"/>
  <c r="A13" i="1"/>
  <c r="M13" i="1" s="1"/>
  <c r="L12" i="1"/>
  <c r="A12" i="1"/>
  <c r="J12" i="1" s="1"/>
  <c r="L11" i="1"/>
  <c r="A11" i="1"/>
  <c r="M11" i="1" s="1"/>
  <c r="A10" i="1"/>
  <c r="L9" i="1"/>
  <c r="J9" i="1"/>
  <c r="A9" i="1"/>
  <c r="M9" i="1" s="1"/>
  <c r="L8" i="1"/>
  <c r="A8" i="1"/>
  <c r="J8" i="1" s="1"/>
  <c r="L7" i="1"/>
  <c r="A7" i="1"/>
  <c r="M6" i="1"/>
  <c r="A6" i="1"/>
  <c r="L5" i="1"/>
  <c r="J5" i="1"/>
  <c r="A5" i="1"/>
  <c r="M5" i="1" s="1"/>
  <c r="L4" i="1"/>
  <c r="A4" i="1"/>
  <c r="J4" i="1" s="1"/>
  <c r="L3" i="1"/>
  <c r="A3" i="1"/>
  <c r="A2" i="1"/>
  <c r="J45" i="1" l="1"/>
  <c r="K45" i="1"/>
  <c r="L2" i="1"/>
  <c r="M2" i="1"/>
  <c r="L14" i="1"/>
  <c r="J14" i="1"/>
  <c r="J10" i="1"/>
  <c r="L10" i="1"/>
  <c r="M14" i="1"/>
  <c r="L6" i="1"/>
  <c r="J6" i="1"/>
  <c r="M10" i="1"/>
  <c r="M46" i="1"/>
  <c r="M58" i="1"/>
  <c r="M7" i="1"/>
  <c r="M15" i="1"/>
  <c r="M35" i="1"/>
  <c r="J46" i="1"/>
  <c r="M4" i="1"/>
  <c r="J11" i="1"/>
  <c r="M12" i="1"/>
  <c r="J23" i="1"/>
  <c r="M24" i="1"/>
  <c r="J35" i="1"/>
  <c r="M36" i="1"/>
  <c r="J47" i="1"/>
  <c r="M48" i="1"/>
  <c r="M56" i="1"/>
  <c r="M18" i="1"/>
  <c r="M22" i="1"/>
  <c r="M26" i="1"/>
  <c r="M38" i="1"/>
  <c r="M50" i="1"/>
  <c r="M54" i="1"/>
  <c r="M3" i="1"/>
  <c r="J22" i="1"/>
  <c r="M23" i="1"/>
  <c r="J26" i="1"/>
  <c r="J30" i="1"/>
  <c r="M31" i="1"/>
  <c r="J34" i="1"/>
  <c r="J38" i="1"/>
  <c r="M39" i="1"/>
  <c r="M47" i="1"/>
  <c r="M51" i="1"/>
  <c r="J3" i="1"/>
  <c r="J7" i="1"/>
  <c r="M8" i="1"/>
  <c r="M16" i="1"/>
  <c r="J19" i="1"/>
  <c r="M20" i="1"/>
  <c r="J27" i="1"/>
  <c r="M28" i="1"/>
  <c r="J31" i="1"/>
  <c r="M32" i="1"/>
  <c r="J39" i="1"/>
  <c r="M40" i="1"/>
  <c r="J43" i="1"/>
  <c r="M44" i="1"/>
  <c r="J51" i="1"/>
  <c r="M52" i="1"/>
  <c r="J55" i="1"/>
  <c r="J59" i="1"/>
  <c r="L18" i="1"/>
  <c r="L30" i="1"/>
  <c r="L34" i="1"/>
  <c r="L42" i="1"/>
  <c r="L50" i="1"/>
  <c r="L54" i="1"/>
  <c r="L58" i="1"/>
  <c r="J60" i="1"/>
  <c r="J63" i="1"/>
  <c r="J64" i="1"/>
  <c r="J67" i="1"/>
  <c r="J68" i="1"/>
  <c r="J71" i="1"/>
  <c r="J72" i="1"/>
  <c r="J75" i="1"/>
  <c r="J76" i="1"/>
  <c r="J79" i="1"/>
  <c r="J80" i="1"/>
  <c r="J83" i="1"/>
  <c r="J84" i="1"/>
  <c r="J87" i="1"/>
  <c r="J88" i="1"/>
  <c r="J91" i="1"/>
  <c r="J92" i="1"/>
  <c r="J95" i="1"/>
  <c r="J96" i="1"/>
  <c r="J99" i="1"/>
  <c r="J100" i="1"/>
  <c r="J103" i="1"/>
  <c r="J104" i="1"/>
  <c r="J107" i="1"/>
  <c r="J108" i="1"/>
  <c r="J111" i="1"/>
  <c r="J112" i="1"/>
  <c r="J115" i="1"/>
  <c r="J116" i="1"/>
  <c r="J119" i="1"/>
  <c r="J120" i="1"/>
  <c r="J123" i="1"/>
  <c r="J124" i="1"/>
  <c r="J127" i="1"/>
  <c r="J128" i="1"/>
  <c r="J131" i="1"/>
  <c r="J132" i="1"/>
  <c r="J135" i="1"/>
  <c r="J136" i="1"/>
  <c r="J139" i="1"/>
  <c r="J140" i="1"/>
  <c r="L88" i="1"/>
  <c r="L89" i="1"/>
  <c r="L92" i="1"/>
  <c r="L93" i="1"/>
  <c r="L96" i="1"/>
  <c r="L97" i="1"/>
  <c r="L100" i="1"/>
  <c r="L101" i="1"/>
  <c r="L104" i="1"/>
  <c r="L105" i="1"/>
  <c r="L108" i="1"/>
  <c r="L109" i="1"/>
  <c r="L112" i="1"/>
  <c r="L113" i="1"/>
  <c r="L116" i="1"/>
  <c r="L117" i="1"/>
  <c r="L120" i="1"/>
  <c r="L121" i="1"/>
  <c r="L124" i="1"/>
  <c r="L125" i="1"/>
  <c r="L128" i="1"/>
  <c r="L129" i="1"/>
  <c r="L132" i="1"/>
  <c r="L133" i="1"/>
  <c r="L136" i="1"/>
  <c r="L137" i="1"/>
  <c r="L140" i="1"/>
  <c r="L141" i="1"/>
  <c r="M42" i="1"/>
  <c r="M91" i="1"/>
  <c r="M92" i="1"/>
  <c r="M93" i="1"/>
  <c r="M95" i="1"/>
  <c r="M96" i="1"/>
  <c r="M97" i="1"/>
  <c r="M99" i="1"/>
  <c r="M100" i="1"/>
  <c r="M101" i="1"/>
  <c r="M103" i="1"/>
  <c r="M104" i="1"/>
  <c r="M105" i="1"/>
  <c r="M107" i="1"/>
  <c r="M108" i="1"/>
  <c r="M109" i="1"/>
  <c r="M111" i="1"/>
  <c r="M112" i="1"/>
  <c r="M113" i="1"/>
  <c r="M115" i="1"/>
  <c r="M116" i="1"/>
  <c r="M117" i="1"/>
  <c r="M119" i="1"/>
  <c r="M120" i="1"/>
  <c r="M121" i="1"/>
  <c r="M123" i="1"/>
  <c r="M124" i="1"/>
  <c r="M125" i="1"/>
  <c r="M127" i="1"/>
  <c r="M128" i="1"/>
  <c r="M129" i="1"/>
  <c r="M131" i="1"/>
  <c r="M132" i="1"/>
  <c r="M133" i="1"/>
  <c r="M135" i="1"/>
  <c r="M136" i="1"/>
  <c r="M137" i="1"/>
  <c r="M139" i="1"/>
  <c r="M140" i="1"/>
  <c r="M141" i="1"/>
  <c r="J144" i="1"/>
  <c r="L143" i="1"/>
  <c r="L144" i="1"/>
</calcChain>
</file>

<file path=xl/sharedStrings.xml><?xml version="1.0" encoding="utf-8"?>
<sst xmlns="http://schemas.openxmlformats.org/spreadsheetml/2006/main" count="585" uniqueCount="110">
  <si>
    <t>Key</t>
  </si>
  <si>
    <t>Season</t>
  </si>
  <si>
    <t>Player Name</t>
  </si>
  <si>
    <t>Gross P/W (GBP)</t>
  </si>
  <si>
    <t>Gross P/Y (GBP)</t>
  </si>
  <si>
    <t>Adj. Gross (2025 GBP)</t>
  </si>
  <si>
    <t>Position</t>
  </si>
  <si>
    <t>Age</t>
  </si>
  <si>
    <t>Country</t>
  </si>
  <si>
    <t>Min</t>
  </si>
  <si>
    <t>Min%</t>
  </si>
  <si>
    <t>PPM</t>
  </si>
  <si>
    <t>On-Off_xG</t>
  </si>
  <si>
    <t>2020-2021</t>
  </si>
  <si>
    <t>Mesut Özil</t>
  </si>
  <si>
    <t>F</t>
  </si>
  <si>
    <t>Germany</t>
  </si>
  <si>
    <t>Pierre-Emerick Aubameyang</t>
  </si>
  <si>
    <t>Gabon</t>
  </si>
  <si>
    <t>Thomas Partey</t>
  </si>
  <si>
    <t>M</t>
  </si>
  <si>
    <t>Ghana</t>
  </si>
  <si>
    <t>Alexandre Lacazette</t>
  </si>
  <si>
    <t>France</t>
  </si>
  <si>
    <t>Willian</t>
  </si>
  <si>
    <t>Brazil</t>
  </si>
  <si>
    <t>Dani Ceballos</t>
  </si>
  <si>
    <t>Spain</t>
  </si>
  <si>
    <t>Kieran Tierney</t>
  </si>
  <si>
    <t>D</t>
  </si>
  <si>
    <t>Scotland</t>
  </si>
  <si>
    <t>Héctor Bellerín</t>
  </si>
  <si>
    <t>David Luiz</t>
  </si>
  <si>
    <t>Sead Kolašinac</t>
  </si>
  <si>
    <t>Bosnia-Herzegovina</t>
  </si>
  <si>
    <t>Nicolas Pépé</t>
  </si>
  <si>
    <t>Cote d'Ivoire</t>
  </si>
  <si>
    <t>Granit Xhaka</t>
  </si>
  <si>
    <t>Switzerland</t>
  </si>
  <si>
    <t>Bernd Leno</t>
  </si>
  <si>
    <t>K</t>
  </si>
  <si>
    <t>Sokratis</t>
  </si>
  <si>
    <t>Greece</t>
  </si>
  <si>
    <t>Shkodran Mustafi</t>
  </si>
  <si>
    <t>Pablo Marí</t>
  </si>
  <si>
    <t>Martin Ødegaard</t>
  </si>
  <si>
    <t>Norway</t>
  </si>
  <si>
    <t>Cédric Soares</t>
  </si>
  <si>
    <t>Portugal</t>
  </si>
  <si>
    <t>Gabriel Martinelli</t>
  </si>
  <si>
    <t>Bukayo Saka</t>
  </si>
  <si>
    <t>England</t>
  </si>
  <si>
    <t>Mohamed Elneny</t>
  </si>
  <si>
    <t>Egypt</t>
  </si>
  <si>
    <t>Gabriel Magalhães</t>
  </si>
  <si>
    <t>Calum Chambers</t>
  </si>
  <si>
    <t>Eddie Nketiah</t>
  </si>
  <si>
    <t>Rob Holding</t>
  </si>
  <si>
    <t>William Saliba</t>
  </si>
  <si>
    <t>Ainsley Maitland-Niles</t>
  </si>
  <si>
    <t>Mathew Ryan</t>
  </si>
  <si>
    <t>Australia</t>
  </si>
  <si>
    <t>Joe Willock</t>
  </si>
  <si>
    <t>Rúnar Alex Rúnarsson</t>
  </si>
  <si>
    <t>Iceland</t>
  </si>
  <si>
    <t>Reiss Nelson</t>
  </si>
  <si>
    <t>Emile Smith Rowe</t>
  </si>
  <si>
    <t>Matt Macey</t>
  </si>
  <si>
    <t>Dejan Iliev</t>
  </si>
  <si>
    <t>North Macedonia</t>
  </si>
  <si>
    <t>2021-2022</t>
  </si>
  <si>
    <t>Ben White</t>
  </si>
  <si>
    <t>Aaron Ramsdale</t>
  </si>
  <si>
    <t>Takehiro Tomiyasu</t>
  </si>
  <si>
    <t>Japan</t>
  </si>
  <si>
    <t>Albert Sambi Lokonga</t>
  </si>
  <si>
    <t>Belgium</t>
  </si>
  <si>
    <t>Folarin Balogun</t>
  </si>
  <si>
    <t>Nuno Tavares</t>
  </si>
  <si>
    <t>Arthur Okonkwo</t>
  </si>
  <si>
    <t>2022-2023</t>
  </si>
  <si>
    <t>Gabriel Jesus</t>
  </si>
  <si>
    <t>Oleksandr Zinchenko</t>
  </si>
  <si>
    <t>Ukraine</t>
  </si>
  <si>
    <t>Jorginho</t>
  </si>
  <si>
    <t>Italy</t>
  </si>
  <si>
    <t>Leandro Trossard</t>
  </si>
  <si>
    <t>Jakub Kiwior</t>
  </si>
  <si>
    <t>Poland</t>
  </si>
  <si>
    <t>Fábio Vieira</t>
  </si>
  <si>
    <t>Matt Turner</t>
  </si>
  <si>
    <t>United States</t>
  </si>
  <si>
    <t>Marquinhos</t>
  </si>
  <si>
    <t>2023-2024</t>
  </si>
  <si>
    <t>Kai Havertz</t>
  </si>
  <si>
    <t>Declan Rice</t>
  </si>
  <si>
    <t>Jurriën Timber</t>
  </si>
  <si>
    <t>Netherlands</t>
  </si>
  <si>
    <t>David Raya</t>
  </si>
  <si>
    <t>Karl Hein</t>
  </si>
  <si>
    <t>Estonia</t>
  </si>
  <si>
    <t>2024-2025</t>
  </si>
  <si>
    <t>Mikel Merino</t>
  </si>
  <si>
    <t>Riccardo Calafiori</t>
  </si>
  <si>
    <t>Raheem Sterling</t>
  </si>
  <si>
    <t>Neto</t>
  </si>
  <si>
    <t>Ethan Nwaneri</t>
  </si>
  <si>
    <t>Myles Lewis-Skelly</t>
  </si>
  <si>
    <t>Maldini Kacurri</t>
  </si>
  <si>
    <t>Albania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</si>
</sst>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3" x14ac:knownFonts="1">
    <font>
      <sz val="12"/>
      <color theme="1"/>
      <name val="Calibri"/>
      <family val="2"/>
      <scheme val="minor"/>
    </font>
    <font>
      <sz val="10"/>
      <color indexed="8"/>
      <name val="Helvetica Neue"/>
      <family val="2"/>
    </font>
    <font>
      <b/>
      <sz val="10"/>
      <color indexed="8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auto="1"/>
      </patternFill>
    </fill>
  </fills>
  <borders count="19"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rgb="FF00FF00"/>
      </bottom>
      <diagonal/>
    </border>
    <border>
      <left/>
      <right style="thin">
        <color indexed="10"/>
      </right>
      <top/>
      <bottom style="thin">
        <color indexed="11"/>
      </bottom>
      <diagonal/>
    </border>
    <border>
      <left style="thin">
        <color indexed="10"/>
      </left>
      <right style="thin">
        <color indexed="10"/>
      </right>
      <top/>
      <bottom style="thin">
        <color indexed="11"/>
      </bottom>
      <diagonal/>
    </border>
    <border>
      <left style="thin">
        <color indexed="10"/>
      </left>
      <right/>
      <top/>
      <bottom style="thin">
        <color indexed="11"/>
      </bottom>
      <diagonal/>
    </border>
    <border>
      <left/>
      <right style="thin">
        <color indexed="11"/>
      </right>
      <top/>
      <bottom style="thin">
        <color indexed="10"/>
      </bottom>
      <diagonal/>
    </border>
    <border>
      <left/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/>
      <top style="thin">
        <color indexed="11"/>
      </top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1"/>
      </right>
      <top style="thin">
        <color indexed="10"/>
      </top>
      <bottom/>
      <diagonal/>
    </border>
    <border>
      <left style="thin">
        <color indexed="11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</borders>
  <cellStyleXfs count="2">
    <xf numFmtId="0" fontId="0" fillId="0" borderId="0"/>
    <xf numFmtId="0" fontId="1" fillId="0" borderId="0" applyNumberFormat="0" applyFill="0" applyBorder="0" applyProtection="0">
      <alignment vertical="top" wrapText="1"/>
    </xf>
  </cellStyleXfs>
  <cellXfs count="39">
    <xf numFmtId="0" fontId="0" fillId="0" borderId="0" xfId="0"/>
    <xf numFmtId="49" fontId="1" fillId="2" borderId="1" xfId="1" applyNumberFormat="1" applyFill="1" applyBorder="1" applyAlignment="1">
      <alignment vertical="top"/>
    </xf>
    <xf numFmtId="49" fontId="1" fillId="3" borderId="2" xfId="1" applyNumberFormat="1" applyFill="1" applyBorder="1" applyAlignment="1">
      <alignment vertical="top"/>
    </xf>
    <xf numFmtId="49" fontId="2" fillId="4" borderId="3" xfId="1" applyNumberFormat="1" applyFont="1" applyFill="1" applyBorder="1" applyAlignment="1">
      <alignment vertical="top"/>
    </xf>
    <xf numFmtId="164" fontId="2" fillId="4" borderId="3" xfId="1" applyNumberFormat="1" applyFont="1" applyFill="1" applyBorder="1" applyAlignment="1">
      <alignment vertical="top"/>
    </xf>
    <xf numFmtId="49" fontId="2" fillId="4" borderId="4" xfId="1" applyNumberFormat="1" applyFont="1" applyFill="1" applyBorder="1" applyAlignment="1">
      <alignment vertical="top"/>
    </xf>
    <xf numFmtId="2" fontId="2" fillId="2" borderId="1" xfId="1" applyNumberFormat="1" applyFont="1" applyFill="1" applyBorder="1" applyAlignment="1">
      <alignment vertical="top"/>
    </xf>
    <xf numFmtId="49" fontId="2" fillId="2" borderId="1" xfId="1" applyNumberFormat="1" applyFont="1" applyFill="1" applyBorder="1" applyAlignment="1">
      <alignment vertical="top"/>
    </xf>
    <xf numFmtId="0" fontId="1" fillId="0" borderId="0" xfId="1" applyNumberFormat="1" applyAlignment="1">
      <alignment vertical="top"/>
    </xf>
    <xf numFmtId="0" fontId="1" fillId="0" borderId="5" xfId="1" applyNumberFormat="1" applyFill="1" applyBorder="1" applyAlignment="1">
      <alignment vertical="top"/>
    </xf>
    <xf numFmtId="49" fontId="1" fillId="0" borderId="6" xfId="1" applyNumberFormat="1" applyFill="1" applyBorder="1" applyAlignment="1">
      <alignment vertical="top"/>
    </xf>
    <xf numFmtId="49" fontId="1" fillId="0" borderId="7" xfId="1" applyNumberFormat="1" applyBorder="1" applyAlignment="1">
      <alignment vertical="top"/>
    </xf>
    <xf numFmtId="164" fontId="1" fillId="0" borderId="8" xfId="1" applyNumberFormat="1" applyBorder="1" applyAlignment="1">
      <alignment vertical="top"/>
    </xf>
    <xf numFmtId="49" fontId="1" fillId="0" borderId="8" xfId="1" applyNumberFormat="1" applyBorder="1" applyAlignment="1">
      <alignment vertical="top"/>
    </xf>
    <xf numFmtId="0" fontId="1" fillId="0" borderId="8" xfId="1" applyNumberFormat="1" applyBorder="1" applyAlignment="1">
      <alignment vertical="top"/>
    </xf>
    <xf numFmtId="49" fontId="1" fillId="0" borderId="9" xfId="1" applyNumberFormat="1" applyBorder="1" applyAlignment="1">
      <alignment vertical="top"/>
    </xf>
    <xf numFmtId="0" fontId="1" fillId="0" borderId="10" xfId="1" applyNumberFormat="1" applyBorder="1" applyAlignment="1">
      <alignment vertical="top"/>
    </xf>
    <xf numFmtId="2" fontId="1" fillId="0" borderId="10" xfId="1" applyNumberFormat="1" applyBorder="1" applyAlignment="1">
      <alignment vertical="top"/>
    </xf>
    <xf numFmtId="0" fontId="1" fillId="0" borderId="11" xfId="1" applyNumberFormat="1" applyFill="1" applyBorder="1" applyAlignment="1">
      <alignment vertical="top"/>
    </xf>
    <xf numFmtId="49" fontId="1" fillId="0" borderId="11" xfId="1" applyNumberFormat="1" applyFill="1" applyBorder="1" applyAlignment="1">
      <alignment vertical="top"/>
    </xf>
    <xf numFmtId="49" fontId="1" fillId="0" borderId="12" xfId="1" applyNumberFormat="1" applyBorder="1" applyAlignment="1">
      <alignment vertical="top"/>
    </xf>
    <xf numFmtId="164" fontId="1" fillId="0" borderId="13" xfId="1" applyNumberFormat="1" applyBorder="1" applyAlignment="1">
      <alignment vertical="top"/>
    </xf>
    <xf numFmtId="49" fontId="1" fillId="0" borderId="13" xfId="1" applyNumberFormat="1" applyBorder="1" applyAlignment="1">
      <alignment vertical="top"/>
    </xf>
    <xf numFmtId="0" fontId="1" fillId="0" borderId="13" xfId="1" applyNumberFormat="1" applyBorder="1" applyAlignment="1">
      <alignment vertical="top"/>
    </xf>
    <xf numFmtId="49" fontId="1" fillId="0" borderId="14" xfId="1" applyNumberFormat="1" applyBorder="1" applyAlignment="1">
      <alignment vertical="top"/>
    </xf>
    <xf numFmtId="0" fontId="1" fillId="0" borderId="14" xfId="1" applyNumberFormat="1" applyBorder="1" applyAlignment="1">
      <alignment vertical="top"/>
    </xf>
    <xf numFmtId="2" fontId="1" fillId="0" borderId="14" xfId="1" applyNumberFormat="1" applyBorder="1" applyAlignment="1">
      <alignment vertical="top"/>
    </xf>
    <xf numFmtId="0" fontId="1" fillId="0" borderId="15" xfId="1" applyNumberFormat="1" applyFill="1" applyBorder="1" applyAlignment="1">
      <alignment vertical="top"/>
    </xf>
    <xf numFmtId="49" fontId="1" fillId="0" borderId="15" xfId="1" applyNumberFormat="1" applyFill="1" applyBorder="1" applyAlignment="1">
      <alignment vertical="top"/>
    </xf>
    <xf numFmtId="49" fontId="1" fillId="0" borderId="16" xfId="1" applyNumberFormat="1" applyBorder="1" applyAlignment="1">
      <alignment vertical="top"/>
    </xf>
    <xf numFmtId="164" fontId="1" fillId="0" borderId="17" xfId="1" applyNumberFormat="1" applyBorder="1" applyAlignment="1">
      <alignment vertical="top"/>
    </xf>
    <xf numFmtId="49" fontId="1" fillId="0" borderId="17" xfId="1" applyNumberFormat="1" applyBorder="1" applyAlignment="1">
      <alignment vertical="top"/>
    </xf>
    <xf numFmtId="0" fontId="1" fillId="0" borderId="17" xfId="1" applyNumberFormat="1" applyBorder="1" applyAlignment="1">
      <alignment vertical="top"/>
    </xf>
    <xf numFmtId="49" fontId="1" fillId="0" borderId="18" xfId="1" applyNumberFormat="1" applyBorder="1" applyAlignment="1">
      <alignment vertical="top"/>
    </xf>
    <xf numFmtId="0" fontId="1" fillId="0" borderId="18" xfId="1" applyNumberFormat="1" applyBorder="1" applyAlignment="1">
      <alignment vertical="top"/>
    </xf>
    <xf numFmtId="2" fontId="1" fillId="0" borderId="18" xfId="1" applyNumberFormat="1" applyBorder="1" applyAlignment="1">
      <alignment vertical="top"/>
    </xf>
    <xf numFmtId="0" fontId="1" fillId="0" borderId="0" xfId="1" applyNumberFormat="1" applyFill="1" applyAlignment="1">
      <alignment vertical="top"/>
    </xf>
    <xf numFmtId="164" fontId="1" fillId="0" borderId="0" xfId="1" applyNumberFormat="1" applyAlignment="1">
      <alignment vertical="top"/>
    </xf>
    <xf numFmtId="2" fontId="1" fillId="0" borderId="0" xfId="1" applyNumberFormat="1" applyAlignment="1">
      <alignment vertical="top"/>
    </xf>
  </cellXfs>
  <cellStyles count="2">
    <cellStyle name="Normal" xfId="0" builtinId="0"/>
    <cellStyle name="Normal 2" xfId="1" xr:uid="{1BD02086-0634-5F41-94B0-6A204D6F7452}"/>
  </cellStyles>
  <dxfs count="16">
    <dxf>
      <numFmt numFmtId="2" formatCode="0.00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/>
        <top style="thin">
          <color indexed="10"/>
        </top>
        <bottom style="thin">
          <color indexed="10"/>
        </bottom>
      </border>
    </dxf>
    <dxf>
      <numFmt numFmtId="2" formatCode="0.00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/>
        <top style="thin">
          <color indexed="10"/>
        </top>
        <bottom style="thin">
          <color indexed="10"/>
        </bottom>
      </border>
    </dxf>
    <dxf>
      <numFmt numFmtId="2" formatCode="0.00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/>
        <top style="thin">
          <color indexed="10"/>
        </top>
        <bottom style="thin">
          <color indexed="10"/>
        </bottom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/>
        <top style="thin">
          <color indexed="10"/>
        </top>
        <bottom style="thin">
          <color indexed="10"/>
        </bottom>
        <vertical/>
        <horizontal/>
      </border>
    </dxf>
    <dxf>
      <numFmt numFmtId="30" formatCode="@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/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30" formatCode="@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164" formatCode="&quot;£&quot;#,##0.00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numFmt numFmtId="164" formatCode="&quot;£&quot;#,##0.00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numFmt numFmtId="164" formatCode="&quot;£&quot;#,##0.00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numFmt numFmtId="30" formatCode="@"/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11"/>
        </right>
        <top style="thin">
          <color indexed="10"/>
        </top>
        <bottom style="thin">
          <color indexed="1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10"/>
        </top>
        <bottom style="thin">
          <color indexed="10"/>
        </bottom>
      </border>
    </dxf>
    <dxf>
      <border outline="0">
        <bottom style="thin">
          <color rgb="FF00FF00"/>
        </bottom>
      </border>
    </dxf>
    <dxf>
      <border outline="0"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none"/>
      </font>
      <numFmt numFmtId="30" formatCode="@"/>
      <fill>
        <patternFill patternType="solid">
          <fgColor indexed="64"/>
          <bgColor indexed="9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dilo/Desktop/Work/Portfolio/Arsenal_Project/Excel%20Section/arsenal_data_combined.xlsx" TargetMode="External"/><Relationship Id="rId1" Type="http://schemas.openxmlformats.org/officeDocument/2006/relationships/externalLinkPath" Target="arsenal_data_combin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laries_Raw"/>
      <sheetName val="Stats_Raw"/>
      <sheetName val="Combined_Table"/>
    </sheetNames>
    <sheetDataSet>
      <sheetData sheetId="0"/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D206D8-0709-3441-B01C-DC57C5893954}" name="CombinedTable" displayName="CombinedTable" ref="A1:M144" totalsRowShown="0" headerRowDxfId="15" headerRowBorderDxfId="13" tableBorderDxfId="14" headerRowCellStyle="Normal 2">
  <autoFilter ref="A1:M144" xr:uid="{D7C77526-DF4F-7A40-A61C-A23CC75E92DF}"/>
  <tableColumns count="13">
    <tableColumn id="11" xr3:uid="{AFD74645-ED9F-C74D-8DF5-6824A9BAC15C}" name="Key" dataDxfId="12" dataCellStyle="Normal 2">
      <calculatedColumnFormula xml:space="preserve"> C2 &amp; "-" &amp; B2</calculatedColumnFormula>
    </tableColumn>
    <tableColumn id="1" xr3:uid="{CF99A94B-76F7-7A4D-8E62-CCDFFE13FF49}" name="Season" dataDxfId="11" dataCellStyle="Normal 2"/>
    <tableColumn id="2" xr3:uid="{700750CD-938A-2344-AF68-3364D0084602}" name="Player Name" dataDxfId="10" dataCellStyle="Normal 2"/>
    <tableColumn id="3" xr3:uid="{145D2BA1-6B5C-4E47-9B17-C5661B53CB2E}" name="Gross P/W (GBP)" dataDxfId="9" dataCellStyle="Normal 2"/>
    <tableColumn id="4" xr3:uid="{A26EB9FE-60B3-F54A-97F7-F3868AF6C162}" name="Gross P/Y (GBP)" dataDxfId="8" dataCellStyle="Normal 2"/>
    <tableColumn id="5" xr3:uid="{FFC342BE-BB3F-FF42-B2C9-3284F5DF1176}" name="Adj. Gross (2025 GBP)" dataDxfId="7" dataCellStyle="Normal 2"/>
    <tableColumn id="6" xr3:uid="{35859192-A596-4E4C-BD4A-3446D4EDC124}" name="Position" dataDxfId="6" dataCellStyle="Normal 2"/>
    <tableColumn id="7" xr3:uid="{B48D9A48-B1B8-9F44-A7E4-49606FFA3B7C}" name="Age" dataDxfId="5" dataCellStyle="Normal 2"/>
    <tableColumn id="8" xr3:uid="{71F61E72-6AC1-E945-998D-960D465826CB}" name="Country" dataDxfId="4" dataCellStyle="Normal 2"/>
    <tableColumn id="12" xr3:uid="{B00161AF-39D8-494D-A17B-0E6E0BB72613}" name="Min" dataDxfId="3" dataCellStyle="Normal 2">
      <calculatedColumnFormula>VLOOKUP(CombinedTable[[#This Row],[Key]], [1]!StatsTable[#Data], 8,FALSE)</calculatedColumnFormula>
    </tableColumn>
    <tableColumn id="13" xr3:uid="{D28255C7-1883-5546-94C3-33623A528200}" name="Min%" dataDxfId="0" dataCellStyle="Normal 2">
      <calculatedColumnFormula>VLOOKUP(CombinedTable[[#This Row],[Key]], [1]!StatsTable[#Data], 10, FALSE)</calculatedColumnFormula>
    </tableColumn>
    <tableColumn id="14" xr3:uid="{8EF2FBC7-5333-684D-9440-3779F551ABBB}" name="PPM" dataDxfId="2" dataCellStyle="Normal 2">
      <calculatedColumnFormula>VLOOKUP(CombinedTable[[#This Row],[Key]], [1]!StatsTable[#Data], 18, FALSE)</calculatedColumnFormula>
    </tableColumn>
    <tableColumn id="15" xr3:uid="{A8EC1DCA-3774-6448-8A42-56C7DA55131A}" name="On-Off_xG" dataDxfId="1" dataCellStyle="Normal 2">
      <calculatedColumnFormula>VLOOKUP(CombinedTable[[#This Row],[Key]], [1]!StatsTable[#Data], 28, 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A44C3-01B6-6646-B677-BCF96152C25A}">
  <sheetPr>
    <pageSetUpPr fitToPage="1"/>
  </sheetPr>
  <dimension ref="A1:M144"/>
  <sheetViews>
    <sheetView showGridLines="0" tabSelected="1" zoomScale="116" workbookViewId="0">
      <selection activeCell="O43" sqref="O43"/>
    </sheetView>
  </sheetViews>
  <sheetFormatPr baseColWidth="10" defaultColWidth="8.33203125" defaultRowHeight="20" customHeight="1" x14ac:dyDescent="0.2"/>
  <cols>
    <col min="1" max="1" width="33.6640625" style="36" customWidth="1"/>
    <col min="2" max="2" width="22.83203125" style="8" customWidth="1"/>
    <col min="3" max="3" width="15.6640625" style="8" customWidth="1"/>
    <col min="4" max="4" width="15.1640625" style="37" customWidth="1"/>
    <col min="5" max="5" width="19.33203125" style="37" customWidth="1"/>
    <col min="6" max="6" width="17.6640625" style="37" customWidth="1"/>
    <col min="7" max="7" width="3" style="8" customWidth="1"/>
    <col min="8" max="8" width="16.5" style="8" customWidth="1"/>
    <col min="9" max="9" width="8.33203125" style="8"/>
    <col min="10" max="10" width="7.6640625" style="8" customWidth="1"/>
    <col min="11" max="11" width="8.33203125" style="38"/>
    <col min="12" max="16384" width="8.33203125" style="8"/>
  </cols>
  <sheetData>
    <row r="1" spans="1:13" ht="20.25" customHeight="1" x14ac:dyDescent="0.2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5" t="s">
        <v>8</v>
      </c>
      <c r="J1" s="6" t="s">
        <v>9</v>
      </c>
      <c r="K1" s="6" t="s">
        <v>10</v>
      </c>
      <c r="L1" s="7" t="s">
        <v>11</v>
      </c>
      <c r="M1" s="7" t="s">
        <v>12</v>
      </c>
    </row>
    <row r="2" spans="1:13" ht="20.25" customHeight="1" x14ac:dyDescent="0.2">
      <c r="A2" s="9" t="str">
        <f t="shared" ref="A2:A65" si="0" xml:space="preserve"> C2 &amp; "-" &amp; B2</f>
        <v>Mesut Özil-2020-2021</v>
      </c>
      <c r="B2" s="10" t="s">
        <v>13</v>
      </c>
      <c r="C2" s="11" t="s">
        <v>14</v>
      </c>
      <c r="D2" s="12">
        <v>350000</v>
      </c>
      <c r="E2" s="12">
        <v>18200000</v>
      </c>
      <c r="F2" s="12">
        <v>20976271</v>
      </c>
      <c r="G2" s="13" t="s">
        <v>15</v>
      </c>
      <c r="H2" s="14">
        <v>32</v>
      </c>
      <c r="I2" s="15" t="s">
        <v>16</v>
      </c>
      <c r="J2" s="16">
        <v>0</v>
      </c>
      <c r="K2" s="17">
        <v>0</v>
      </c>
      <c r="L2" s="17" t="e">
        <f>VLOOKUP(CombinedTable[[#This Row],[Key]], [1]!StatsTable[#Data], 18, FALSE)</f>
        <v>#N/A</v>
      </c>
      <c r="M2" s="17" t="e">
        <f>VLOOKUP(CombinedTable[[#This Row],[Key]], [1]!StatsTable[#Data], 28, FALSE)</f>
        <v>#N/A</v>
      </c>
    </row>
    <row r="3" spans="1:13" ht="20" customHeight="1" x14ac:dyDescent="0.2">
      <c r="A3" s="18" t="str">
        <f t="shared" si="0"/>
        <v>Pierre-Emerick Aubameyang-2020-2021</v>
      </c>
      <c r="B3" s="19" t="s">
        <v>13</v>
      </c>
      <c r="C3" s="20" t="s">
        <v>17</v>
      </c>
      <c r="D3" s="21">
        <v>250000</v>
      </c>
      <c r="E3" s="21">
        <v>13000000</v>
      </c>
      <c r="F3" s="21">
        <v>14983051</v>
      </c>
      <c r="G3" s="22" t="s">
        <v>15</v>
      </c>
      <c r="H3" s="23">
        <v>31</v>
      </c>
      <c r="I3" s="24" t="s">
        <v>18</v>
      </c>
      <c r="J3" s="25">
        <f>VLOOKUP(CombinedTable[[#This Row],[Key]], [1]!StatsTable[#Data], 8,FALSE)</f>
        <v>3043</v>
      </c>
      <c r="K3" s="26">
        <f>VLOOKUP(CombinedTable[[#This Row],[Key]], [1]!StatsTable[#Data], 10, FALSE)</f>
        <v>60.7</v>
      </c>
      <c r="L3" s="26">
        <f>VLOOKUP(CombinedTable[[#This Row],[Key]], [1]!StatsTable[#Data], 18, FALSE)</f>
        <v>1.59</v>
      </c>
      <c r="M3" s="26">
        <f>VLOOKUP(CombinedTable[[#This Row],[Key]], [1]!StatsTable[#Data], 28, FALSE)</f>
        <v>-0.46</v>
      </c>
    </row>
    <row r="4" spans="1:13" ht="20" customHeight="1" x14ac:dyDescent="0.2">
      <c r="A4" s="18" t="str">
        <f t="shared" si="0"/>
        <v>Thomas Partey-2020-2021</v>
      </c>
      <c r="B4" s="19" t="s">
        <v>13</v>
      </c>
      <c r="C4" s="20" t="s">
        <v>19</v>
      </c>
      <c r="D4" s="21">
        <v>200000</v>
      </c>
      <c r="E4" s="21">
        <v>10400000</v>
      </c>
      <c r="F4" s="21">
        <v>11986441</v>
      </c>
      <c r="G4" s="22" t="s">
        <v>20</v>
      </c>
      <c r="H4" s="23">
        <v>27</v>
      </c>
      <c r="I4" s="24" t="s">
        <v>21</v>
      </c>
      <c r="J4" s="25">
        <f>VLOOKUP(CombinedTable[[#This Row],[Key]], [1]!StatsTable[#Data], 8,FALSE)</f>
        <v>2107</v>
      </c>
      <c r="K4" s="26">
        <f>VLOOKUP(CombinedTable[[#This Row],[Key]], [1]!StatsTable[#Data], 10, FALSE)</f>
        <v>43.1</v>
      </c>
      <c r="L4" s="26">
        <f>VLOOKUP(CombinedTable[[#This Row],[Key]], [1]!StatsTable[#Data], 18, FALSE)</f>
        <v>1.57</v>
      </c>
      <c r="M4" s="26">
        <f>VLOOKUP(CombinedTable[[#This Row],[Key]], [1]!StatsTable[#Data], 28, FALSE)</f>
        <v>-0.14000000000000001</v>
      </c>
    </row>
    <row r="5" spans="1:13" ht="20" customHeight="1" x14ac:dyDescent="0.2">
      <c r="A5" s="18" t="str">
        <f t="shared" si="0"/>
        <v>Alexandre Lacazette-2020-2021</v>
      </c>
      <c r="B5" s="19" t="s">
        <v>13</v>
      </c>
      <c r="C5" s="20" t="s">
        <v>22</v>
      </c>
      <c r="D5" s="21">
        <v>182115</v>
      </c>
      <c r="E5" s="21">
        <v>9470000</v>
      </c>
      <c r="F5" s="21">
        <v>10914576</v>
      </c>
      <c r="G5" s="22" t="s">
        <v>15</v>
      </c>
      <c r="H5" s="23">
        <v>29</v>
      </c>
      <c r="I5" s="24" t="s">
        <v>23</v>
      </c>
      <c r="J5" s="25">
        <f>VLOOKUP(CombinedTable[[#This Row],[Key]], [1]!StatsTable[#Data], 8,FALSE)</f>
        <v>2444</v>
      </c>
      <c r="K5" s="26">
        <f>VLOOKUP(CombinedTable[[#This Row],[Key]], [1]!StatsTable[#Data], 10, FALSE)</f>
        <v>47.4</v>
      </c>
      <c r="L5" s="26">
        <f>VLOOKUP(CombinedTable[[#This Row],[Key]], [1]!StatsTable[#Data], 18, FALSE)</f>
        <v>1.65</v>
      </c>
      <c r="M5" s="26">
        <f>VLOOKUP(CombinedTable[[#This Row],[Key]], [1]!StatsTable[#Data], 28, FALSE)</f>
        <v>0</v>
      </c>
    </row>
    <row r="6" spans="1:13" ht="20" customHeight="1" x14ac:dyDescent="0.2">
      <c r="A6" s="18" t="str">
        <f t="shared" si="0"/>
        <v>Willian-2020-2021</v>
      </c>
      <c r="B6" s="19" t="s">
        <v>13</v>
      </c>
      <c r="C6" s="20" t="s">
        <v>24</v>
      </c>
      <c r="D6" s="21">
        <v>138462</v>
      </c>
      <c r="E6" s="21">
        <v>7200000</v>
      </c>
      <c r="F6" s="21">
        <v>8298305</v>
      </c>
      <c r="G6" s="22" t="s">
        <v>15</v>
      </c>
      <c r="H6" s="23">
        <v>32</v>
      </c>
      <c r="I6" s="24" t="s">
        <v>25</v>
      </c>
      <c r="J6" s="25">
        <f>VLOOKUP(CombinedTable[[#This Row],[Key]], [1]!StatsTable[#Data], 8,FALSE)</f>
        <v>1892</v>
      </c>
      <c r="K6" s="26">
        <f>VLOOKUP(CombinedTable[[#This Row],[Key]], [1]!StatsTable[#Data], 10, FALSE)</f>
        <v>36.700000000000003</v>
      </c>
      <c r="L6" s="26">
        <f>VLOOKUP(CombinedTable[[#This Row],[Key]], [1]!StatsTable[#Data], 18, FALSE)</f>
        <v>1.78</v>
      </c>
      <c r="M6" s="26">
        <f>VLOOKUP(CombinedTable[[#This Row],[Key]], [1]!StatsTable[#Data], 28, FALSE)</f>
        <v>0</v>
      </c>
    </row>
    <row r="7" spans="1:13" ht="20" customHeight="1" x14ac:dyDescent="0.2">
      <c r="A7" s="18" t="str">
        <f t="shared" si="0"/>
        <v>Dani Ceballos-2020-2021</v>
      </c>
      <c r="B7" s="19" t="s">
        <v>13</v>
      </c>
      <c r="C7" s="20" t="s">
        <v>26</v>
      </c>
      <c r="D7" s="21">
        <v>120000</v>
      </c>
      <c r="E7" s="21">
        <v>6240000</v>
      </c>
      <c r="F7" s="21">
        <v>7191864</v>
      </c>
      <c r="G7" s="22" t="s">
        <v>20</v>
      </c>
      <c r="H7" s="23">
        <v>24</v>
      </c>
      <c r="I7" s="24" t="s">
        <v>27</v>
      </c>
      <c r="J7" s="25">
        <f>VLOOKUP(CombinedTable[[#This Row],[Key]], [1]!StatsTable[#Data], 8,FALSE)</f>
        <v>2371</v>
      </c>
      <c r="K7" s="26">
        <f>VLOOKUP(CombinedTable[[#This Row],[Key]], [1]!StatsTable[#Data], 10, FALSE)</f>
        <v>47.9</v>
      </c>
      <c r="L7" s="26">
        <f>VLOOKUP(CombinedTable[[#This Row],[Key]], [1]!StatsTable[#Data], 18, FALSE)</f>
        <v>1.55</v>
      </c>
      <c r="M7" s="26">
        <f>VLOOKUP(CombinedTable[[#This Row],[Key]], [1]!StatsTable[#Data], 28, FALSE)</f>
        <v>-0.12</v>
      </c>
    </row>
    <row r="8" spans="1:13" ht="20" customHeight="1" x14ac:dyDescent="0.2">
      <c r="A8" s="18" t="str">
        <f t="shared" si="0"/>
        <v>Kieran Tierney-2020-2021</v>
      </c>
      <c r="B8" s="19" t="s">
        <v>13</v>
      </c>
      <c r="C8" s="20" t="s">
        <v>28</v>
      </c>
      <c r="D8" s="21">
        <v>110000</v>
      </c>
      <c r="E8" s="21">
        <v>5720000</v>
      </c>
      <c r="F8" s="21">
        <v>6592542</v>
      </c>
      <c r="G8" s="22" t="s">
        <v>29</v>
      </c>
      <c r="H8" s="23">
        <v>23</v>
      </c>
      <c r="I8" s="24" t="s">
        <v>30</v>
      </c>
      <c r="J8" s="25">
        <f>VLOOKUP(CombinedTable[[#This Row],[Key]], [1]!StatsTable[#Data], 8,FALSE)</f>
        <v>2929</v>
      </c>
      <c r="K8" s="26">
        <f>VLOOKUP(CombinedTable[[#This Row],[Key]], [1]!StatsTable[#Data], 10, FALSE)</f>
        <v>55.5</v>
      </c>
      <c r="L8" s="26">
        <f>VLOOKUP(CombinedTable[[#This Row],[Key]], [1]!StatsTable[#Data], 18, FALSE)</f>
        <v>1.81</v>
      </c>
      <c r="M8" s="26">
        <f>VLOOKUP(CombinedTable[[#This Row],[Key]], [1]!StatsTable[#Data], 28, FALSE)</f>
        <v>-0.32</v>
      </c>
    </row>
    <row r="9" spans="1:13" ht="20" customHeight="1" x14ac:dyDescent="0.2">
      <c r="A9" s="18" t="str">
        <f t="shared" si="0"/>
        <v>Héctor Bellerín-2020-2021</v>
      </c>
      <c r="B9" s="19" t="s">
        <v>13</v>
      </c>
      <c r="C9" s="20" t="s">
        <v>31</v>
      </c>
      <c r="D9" s="21">
        <v>110000</v>
      </c>
      <c r="E9" s="21">
        <v>5720000</v>
      </c>
      <c r="F9" s="21">
        <v>6592542</v>
      </c>
      <c r="G9" s="22" t="s">
        <v>29</v>
      </c>
      <c r="H9" s="23">
        <v>25</v>
      </c>
      <c r="I9" s="24" t="s">
        <v>27</v>
      </c>
      <c r="J9" s="25">
        <f>VLOOKUP(CombinedTable[[#This Row],[Key]], [1]!StatsTable[#Data], 8,FALSE)</f>
        <v>2767</v>
      </c>
      <c r="K9" s="26">
        <f>VLOOKUP(CombinedTable[[#This Row],[Key]], [1]!StatsTable[#Data], 10, FALSE)</f>
        <v>52.4</v>
      </c>
      <c r="L9" s="26">
        <f>VLOOKUP(CombinedTable[[#This Row],[Key]], [1]!StatsTable[#Data], 18, FALSE)</f>
        <v>1.57</v>
      </c>
      <c r="M9" s="26">
        <f>VLOOKUP(CombinedTable[[#This Row],[Key]], [1]!StatsTable[#Data], 28, FALSE)</f>
        <v>-0.66</v>
      </c>
    </row>
    <row r="10" spans="1:13" ht="20" customHeight="1" x14ac:dyDescent="0.2">
      <c r="A10" s="18" t="str">
        <f t="shared" si="0"/>
        <v>David Luiz-2020-2021</v>
      </c>
      <c r="B10" s="19" t="s">
        <v>13</v>
      </c>
      <c r="C10" s="20" t="s">
        <v>32</v>
      </c>
      <c r="D10" s="21">
        <v>100962</v>
      </c>
      <c r="E10" s="21">
        <v>5250000</v>
      </c>
      <c r="F10" s="21">
        <v>6050847</v>
      </c>
      <c r="G10" s="22" t="s">
        <v>29</v>
      </c>
      <c r="H10" s="23">
        <v>33</v>
      </c>
      <c r="I10" s="24" t="s">
        <v>25</v>
      </c>
      <c r="J10" s="25">
        <f>VLOOKUP(CombinedTable[[#This Row],[Key]], [1]!StatsTable[#Data], 8,FALSE)</f>
        <v>2311</v>
      </c>
      <c r="K10" s="26">
        <f>VLOOKUP(CombinedTable[[#This Row],[Key]], [1]!StatsTable[#Data], 10, FALSE)</f>
        <v>43.8</v>
      </c>
      <c r="L10" s="26">
        <f>VLOOKUP(CombinedTable[[#This Row],[Key]], [1]!StatsTable[#Data], 18, FALSE)</f>
        <v>1.8</v>
      </c>
      <c r="M10" s="26">
        <f>VLOOKUP(CombinedTable[[#This Row],[Key]], [1]!StatsTable[#Data], 28, FALSE)</f>
        <v>0.08</v>
      </c>
    </row>
    <row r="11" spans="1:13" ht="20" customHeight="1" x14ac:dyDescent="0.2">
      <c r="A11" s="18" t="str">
        <f t="shared" si="0"/>
        <v>Sead Kolašinac-2020-2021</v>
      </c>
      <c r="B11" s="19" t="s">
        <v>13</v>
      </c>
      <c r="C11" s="20" t="s">
        <v>33</v>
      </c>
      <c r="D11" s="21">
        <v>100000</v>
      </c>
      <c r="E11" s="21">
        <v>5200000</v>
      </c>
      <c r="F11" s="21">
        <v>5993220</v>
      </c>
      <c r="G11" s="22" t="s">
        <v>29</v>
      </c>
      <c r="H11" s="23">
        <v>27</v>
      </c>
      <c r="I11" s="24" t="s">
        <v>34</v>
      </c>
      <c r="J11" s="25">
        <f>VLOOKUP(CombinedTable[[#This Row],[Key]], [1]!StatsTable[#Data], 8,FALSE)</f>
        <v>758</v>
      </c>
      <c r="K11" s="26">
        <f>VLOOKUP(CombinedTable[[#This Row],[Key]], [1]!StatsTable[#Data], 10, FALSE)</f>
        <v>15</v>
      </c>
      <c r="L11" s="26">
        <f>VLOOKUP(CombinedTable[[#This Row],[Key]], [1]!StatsTable[#Data], 18, FALSE)</f>
        <v>2.44</v>
      </c>
      <c r="M11" s="26">
        <f>VLOOKUP(CombinedTable[[#This Row],[Key]], [1]!StatsTable[#Data], 28, FALSE)</f>
        <v>0.77</v>
      </c>
    </row>
    <row r="12" spans="1:13" ht="20" customHeight="1" x14ac:dyDescent="0.2">
      <c r="A12" s="18" t="str">
        <f t="shared" si="0"/>
        <v>Nicolas Pépé-2020-2021</v>
      </c>
      <c r="B12" s="19" t="s">
        <v>13</v>
      </c>
      <c r="C12" s="20" t="s">
        <v>35</v>
      </c>
      <c r="D12" s="21">
        <v>100000</v>
      </c>
      <c r="E12" s="21">
        <v>5200000</v>
      </c>
      <c r="F12" s="21">
        <v>5993220</v>
      </c>
      <c r="G12" s="22" t="s">
        <v>15</v>
      </c>
      <c r="H12" s="23">
        <v>25</v>
      </c>
      <c r="I12" s="24" t="s">
        <v>36</v>
      </c>
      <c r="J12" s="25">
        <f>VLOOKUP(CombinedTable[[#This Row],[Key]], [1]!StatsTable[#Data], 8,FALSE)</f>
        <v>2934</v>
      </c>
      <c r="K12" s="26">
        <f>VLOOKUP(CombinedTable[[#This Row],[Key]], [1]!StatsTable[#Data], 10, FALSE)</f>
        <v>56.9</v>
      </c>
      <c r="L12" s="26">
        <f>VLOOKUP(CombinedTable[[#This Row],[Key]], [1]!StatsTable[#Data], 18, FALSE)</f>
        <v>1.64</v>
      </c>
      <c r="M12" s="26">
        <f>VLOOKUP(CombinedTable[[#This Row],[Key]], [1]!StatsTable[#Data], 28, FALSE)</f>
        <v>-0.16</v>
      </c>
    </row>
    <row r="13" spans="1:13" ht="20" customHeight="1" x14ac:dyDescent="0.2">
      <c r="A13" s="18" t="str">
        <f t="shared" si="0"/>
        <v>Granit Xhaka-2020-2021</v>
      </c>
      <c r="B13" s="19" t="s">
        <v>13</v>
      </c>
      <c r="C13" s="20" t="s">
        <v>37</v>
      </c>
      <c r="D13" s="21">
        <v>100000</v>
      </c>
      <c r="E13" s="21">
        <v>5200000</v>
      </c>
      <c r="F13" s="21">
        <v>5993220</v>
      </c>
      <c r="G13" s="22" t="s">
        <v>20</v>
      </c>
      <c r="H13" s="23">
        <v>28</v>
      </c>
      <c r="I13" s="24" t="s">
        <v>38</v>
      </c>
      <c r="J13" s="25">
        <f>VLOOKUP(CombinedTable[[#This Row],[Key]], [1]!StatsTable[#Data], 8,FALSE)</f>
        <v>3720</v>
      </c>
      <c r="K13" s="26">
        <f>VLOOKUP(CombinedTable[[#This Row],[Key]], [1]!StatsTable[#Data], 10, FALSE)</f>
        <v>70.5</v>
      </c>
      <c r="L13" s="26">
        <f>VLOOKUP(CombinedTable[[#This Row],[Key]], [1]!StatsTable[#Data], 18, FALSE)</f>
        <v>1.74</v>
      </c>
      <c r="M13" s="26">
        <f>VLOOKUP(CombinedTable[[#This Row],[Key]], [1]!StatsTable[#Data], 28, FALSE)</f>
        <v>0.6</v>
      </c>
    </row>
    <row r="14" spans="1:13" ht="20" customHeight="1" x14ac:dyDescent="0.2">
      <c r="A14" s="18" t="str">
        <f t="shared" si="0"/>
        <v>Bernd Leno-2020-2021</v>
      </c>
      <c r="B14" s="19" t="s">
        <v>13</v>
      </c>
      <c r="C14" s="20" t="s">
        <v>39</v>
      </c>
      <c r="D14" s="21">
        <v>100000</v>
      </c>
      <c r="E14" s="21">
        <v>5200000</v>
      </c>
      <c r="F14" s="21">
        <v>5993220</v>
      </c>
      <c r="G14" s="22" t="s">
        <v>40</v>
      </c>
      <c r="H14" s="23">
        <v>28</v>
      </c>
      <c r="I14" s="24" t="s">
        <v>16</v>
      </c>
      <c r="J14" s="25">
        <f>VLOOKUP(CombinedTable[[#This Row],[Key]], [1]!StatsTable[#Data], 8,FALSE)</f>
        <v>4421</v>
      </c>
      <c r="K14" s="26">
        <f>VLOOKUP(CombinedTable[[#This Row],[Key]], [1]!StatsTable[#Data], 10, FALSE)</f>
        <v>83.7</v>
      </c>
      <c r="L14" s="26">
        <f>VLOOKUP(CombinedTable[[#This Row],[Key]], [1]!StatsTable[#Data], 18, FALSE)</f>
        <v>1.67</v>
      </c>
      <c r="M14" s="26">
        <f>VLOOKUP(CombinedTable[[#This Row],[Key]], [1]!StatsTable[#Data], 28, FALSE)</f>
        <v>-0.99</v>
      </c>
    </row>
    <row r="15" spans="1:13" ht="20" customHeight="1" x14ac:dyDescent="0.2">
      <c r="A15" s="18" t="str">
        <f t="shared" si="0"/>
        <v>Sokratis-2020-2021</v>
      </c>
      <c r="B15" s="19" t="s">
        <v>13</v>
      </c>
      <c r="C15" s="20" t="s">
        <v>41</v>
      </c>
      <c r="D15" s="21">
        <v>91923</v>
      </c>
      <c r="E15" s="21">
        <v>4780000</v>
      </c>
      <c r="F15" s="21">
        <v>5509153</v>
      </c>
      <c r="G15" s="22" t="s">
        <v>29</v>
      </c>
      <c r="H15" s="23">
        <v>32</v>
      </c>
      <c r="I15" s="24" t="s">
        <v>42</v>
      </c>
      <c r="J15" s="25">
        <v>0</v>
      </c>
      <c r="K15" s="26">
        <v>0</v>
      </c>
      <c r="L15" s="26" t="e">
        <f>VLOOKUP(CombinedTable[[#This Row],[Key]], [1]!StatsTable[#Data], 18, FALSE)</f>
        <v>#N/A</v>
      </c>
      <c r="M15" s="26" t="e">
        <f>VLOOKUP(CombinedTable[[#This Row],[Key]], [1]!StatsTable[#Data], 28, FALSE)</f>
        <v>#N/A</v>
      </c>
    </row>
    <row r="16" spans="1:13" ht="20" customHeight="1" x14ac:dyDescent="0.2">
      <c r="A16" s="18" t="str">
        <f t="shared" si="0"/>
        <v>Shkodran Mustafi-2020-2021</v>
      </c>
      <c r="B16" s="19" t="s">
        <v>13</v>
      </c>
      <c r="C16" s="20" t="s">
        <v>43</v>
      </c>
      <c r="D16" s="21">
        <v>90000</v>
      </c>
      <c r="E16" s="21">
        <v>4680000</v>
      </c>
      <c r="F16" s="21">
        <v>5393898</v>
      </c>
      <c r="G16" s="22" t="s">
        <v>29</v>
      </c>
      <c r="H16" s="23">
        <v>28</v>
      </c>
      <c r="I16" s="24" t="s">
        <v>16</v>
      </c>
      <c r="J16" s="25">
        <f>VLOOKUP(CombinedTable[[#This Row],[Key]], [1]!StatsTable[#Data], 8,FALSE)</f>
        <v>537</v>
      </c>
      <c r="K16" s="26">
        <f>VLOOKUP(CombinedTable[[#This Row],[Key]], [1]!StatsTable[#Data], 10, FALSE)</f>
        <v>10.8</v>
      </c>
      <c r="L16" s="26">
        <f>VLOOKUP(CombinedTable[[#This Row],[Key]], [1]!StatsTable[#Data], 18, FALSE)</f>
        <v>2.33</v>
      </c>
      <c r="M16" s="26">
        <f>VLOOKUP(CombinedTable[[#This Row],[Key]], [1]!StatsTable[#Data], 28, FALSE)</f>
        <v>1.28</v>
      </c>
    </row>
    <row r="17" spans="1:13" ht="20" customHeight="1" x14ac:dyDescent="0.2">
      <c r="A17" s="18" t="str">
        <f t="shared" si="0"/>
        <v>Pablo Marí-2020-2021</v>
      </c>
      <c r="B17" s="19" t="s">
        <v>13</v>
      </c>
      <c r="C17" s="20" t="s">
        <v>44</v>
      </c>
      <c r="D17" s="21">
        <v>85000</v>
      </c>
      <c r="E17" s="21">
        <v>4420000</v>
      </c>
      <c r="F17" s="21">
        <v>5094237</v>
      </c>
      <c r="G17" s="22" t="s">
        <v>29</v>
      </c>
      <c r="H17" s="23">
        <v>27</v>
      </c>
      <c r="I17" s="24" t="s">
        <v>27</v>
      </c>
      <c r="J17" s="25">
        <f>VLOOKUP(CombinedTable[[#This Row],[Key]], [1]!StatsTable[#Data], 8,FALSE)</f>
        <v>1470</v>
      </c>
      <c r="K17" s="26">
        <f>VLOOKUP(CombinedTable[[#This Row],[Key]], [1]!StatsTable[#Data], 10, FALSE)</f>
        <v>28.5</v>
      </c>
      <c r="L17" s="26">
        <f>VLOOKUP(CombinedTable[[#This Row],[Key]], [1]!StatsTable[#Data], 18, FALSE)</f>
        <v>2.06</v>
      </c>
      <c r="M17" s="26">
        <f>VLOOKUP(CombinedTable[[#This Row],[Key]], [1]!StatsTable[#Data], 28, FALSE)</f>
        <v>0.15</v>
      </c>
    </row>
    <row r="18" spans="1:13" ht="20" customHeight="1" x14ac:dyDescent="0.2">
      <c r="A18" s="18" t="str">
        <f t="shared" si="0"/>
        <v>Martin Ødegaard-2020-2021</v>
      </c>
      <c r="B18" s="19" t="s">
        <v>13</v>
      </c>
      <c r="C18" s="20" t="s">
        <v>45</v>
      </c>
      <c r="D18" s="21">
        <v>80000</v>
      </c>
      <c r="E18" s="21">
        <v>4160000</v>
      </c>
      <c r="F18" s="21">
        <v>4794576</v>
      </c>
      <c r="G18" s="22" t="s">
        <v>15</v>
      </c>
      <c r="H18" s="23">
        <v>22</v>
      </c>
      <c r="I18" s="24" t="s">
        <v>46</v>
      </c>
      <c r="J18" s="25">
        <f>VLOOKUP(CombinedTable[[#This Row],[Key]], [1]!StatsTable[#Data], 8,FALSE)</f>
        <v>1286</v>
      </c>
      <c r="K18" s="26">
        <f>VLOOKUP(CombinedTable[[#This Row],[Key]], [1]!StatsTable[#Data], 10, FALSE)</f>
        <v>27.5</v>
      </c>
      <c r="L18" s="26">
        <f>VLOOKUP(CombinedTable[[#This Row],[Key]], [1]!StatsTable[#Data], 18, FALSE)</f>
        <v>1.6</v>
      </c>
      <c r="M18" s="26">
        <f>VLOOKUP(CombinedTable[[#This Row],[Key]], [1]!StatsTable[#Data], 28, FALSE)</f>
        <v>-0.12</v>
      </c>
    </row>
    <row r="19" spans="1:13" ht="20" customHeight="1" x14ac:dyDescent="0.2">
      <c r="A19" s="18" t="str">
        <f t="shared" si="0"/>
        <v>Cédric Soares-2020-2021</v>
      </c>
      <c r="B19" s="19" t="s">
        <v>13</v>
      </c>
      <c r="C19" s="20" t="s">
        <v>47</v>
      </c>
      <c r="D19" s="21">
        <v>75000</v>
      </c>
      <c r="E19" s="21">
        <v>3900000</v>
      </c>
      <c r="F19" s="21">
        <v>4494915</v>
      </c>
      <c r="G19" s="22" t="s">
        <v>29</v>
      </c>
      <c r="H19" s="23">
        <v>29</v>
      </c>
      <c r="I19" s="24" t="s">
        <v>48</v>
      </c>
      <c r="J19" s="25">
        <f>VLOOKUP(CombinedTable[[#This Row],[Key]], [1]!StatsTable[#Data], 8,FALSE)</f>
        <v>1811</v>
      </c>
      <c r="K19" s="26">
        <f>VLOOKUP(CombinedTable[[#This Row],[Key]], [1]!StatsTable[#Data], 10, FALSE)</f>
        <v>34.299999999999997</v>
      </c>
      <c r="L19" s="26">
        <f>VLOOKUP(CombinedTable[[#This Row],[Key]], [1]!StatsTable[#Data], 18, FALSE)</f>
        <v>1.96</v>
      </c>
      <c r="M19" s="26">
        <f>VLOOKUP(CombinedTable[[#This Row],[Key]], [1]!StatsTable[#Data], 28, FALSE)</f>
        <v>0.57999999999999996</v>
      </c>
    </row>
    <row r="20" spans="1:13" ht="20" customHeight="1" x14ac:dyDescent="0.2">
      <c r="A20" s="18" t="str">
        <f t="shared" si="0"/>
        <v>Gabriel Martinelli-2020-2021</v>
      </c>
      <c r="B20" s="19" t="s">
        <v>13</v>
      </c>
      <c r="C20" s="20" t="s">
        <v>49</v>
      </c>
      <c r="D20" s="21">
        <v>70000</v>
      </c>
      <c r="E20" s="21">
        <v>3640000</v>
      </c>
      <c r="F20" s="21">
        <v>4195254</v>
      </c>
      <c r="G20" s="22" t="s">
        <v>15</v>
      </c>
      <c r="H20" s="23">
        <v>19</v>
      </c>
      <c r="I20" s="24" t="s">
        <v>25</v>
      </c>
      <c r="J20" s="25">
        <f>VLOOKUP(CombinedTable[[#This Row],[Key]], [1]!StatsTable[#Data], 8,FALSE)</f>
        <v>802</v>
      </c>
      <c r="K20" s="26">
        <f>VLOOKUP(CombinedTable[[#This Row],[Key]], [1]!StatsTable[#Data], 10, FALSE)</f>
        <v>15.5</v>
      </c>
      <c r="L20" s="26">
        <f>VLOOKUP(CombinedTable[[#This Row],[Key]], [1]!StatsTable[#Data], 18, FALSE)</f>
        <v>1.5</v>
      </c>
      <c r="M20" s="26">
        <f>VLOOKUP(CombinedTable[[#This Row],[Key]], [1]!StatsTable[#Data], 28, FALSE)</f>
        <v>0.86</v>
      </c>
    </row>
    <row r="21" spans="1:13" ht="20" customHeight="1" x14ac:dyDescent="0.2">
      <c r="A21" s="18" t="str">
        <f t="shared" si="0"/>
        <v>Bukayo Saka-2020-2021</v>
      </c>
      <c r="B21" s="19" t="s">
        <v>13</v>
      </c>
      <c r="C21" s="20" t="s">
        <v>50</v>
      </c>
      <c r="D21" s="21">
        <v>70000</v>
      </c>
      <c r="E21" s="21">
        <v>3640000</v>
      </c>
      <c r="F21" s="21">
        <v>4195254</v>
      </c>
      <c r="G21" s="22" t="s">
        <v>20</v>
      </c>
      <c r="H21" s="23">
        <v>19</v>
      </c>
      <c r="I21" s="24" t="s">
        <v>51</v>
      </c>
      <c r="J21" s="25">
        <f>VLOOKUP(CombinedTable[[#This Row],[Key]], [1]!StatsTable[#Data], 8,FALSE)</f>
        <v>3592</v>
      </c>
      <c r="K21" s="26">
        <f>VLOOKUP(CombinedTable[[#This Row],[Key]], [1]!StatsTable[#Data], 10, FALSE)</f>
        <v>68</v>
      </c>
      <c r="L21" s="26">
        <f>VLOOKUP(CombinedTable[[#This Row],[Key]], [1]!StatsTable[#Data], 18, FALSE)</f>
        <v>1.71</v>
      </c>
      <c r="M21" s="26">
        <f>VLOOKUP(CombinedTable[[#This Row],[Key]], [1]!StatsTable[#Data], 28, FALSE)</f>
        <v>-0.47</v>
      </c>
    </row>
    <row r="22" spans="1:13" ht="20" customHeight="1" x14ac:dyDescent="0.2">
      <c r="A22" s="18" t="str">
        <f t="shared" si="0"/>
        <v>Mohamed Elneny-2020-2021</v>
      </c>
      <c r="B22" s="19" t="s">
        <v>13</v>
      </c>
      <c r="C22" s="20" t="s">
        <v>52</v>
      </c>
      <c r="D22" s="21">
        <v>50000</v>
      </c>
      <c r="E22" s="21">
        <v>2600000</v>
      </c>
      <c r="F22" s="21">
        <v>2996610</v>
      </c>
      <c r="G22" s="22" t="s">
        <v>20</v>
      </c>
      <c r="H22" s="23">
        <v>28</v>
      </c>
      <c r="I22" s="24" t="s">
        <v>53</v>
      </c>
      <c r="J22" s="25">
        <f>VLOOKUP(CombinedTable[[#This Row],[Key]], [1]!StatsTable[#Data], 8,FALSE)</f>
        <v>2439</v>
      </c>
      <c r="K22" s="26">
        <f>VLOOKUP(CombinedTable[[#This Row],[Key]], [1]!StatsTable[#Data], 10, FALSE)</f>
        <v>46.2</v>
      </c>
      <c r="L22" s="26">
        <f>VLOOKUP(CombinedTable[[#This Row],[Key]], [1]!StatsTable[#Data], 18, FALSE)</f>
        <v>2.02</v>
      </c>
      <c r="M22" s="26">
        <f>VLOOKUP(CombinedTable[[#This Row],[Key]], [1]!StatsTable[#Data], 28, FALSE)</f>
        <v>-0.21</v>
      </c>
    </row>
    <row r="23" spans="1:13" ht="20" customHeight="1" x14ac:dyDescent="0.2">
      <c r="A23" s="18" t="str">
        <f t="shared" si="0"/>
        <v>Gabriel Magalhães-2020-2021</v>
      </c>
      <c r="B23" s="19" t="s">
        <v>13</v>
      </c>
      <c r="C23" s="20" t="s">
        <v>54</v>
      </c>
      <c r="D23" s="21">
        <v>50000</v>
      </c>
      <c r="E23" s="21">
        <v>2600000</v>
      </c>
      <c r="F23" s="21">
        <v>2996610</v>
      </c>
      <c r="G23" s="22" t="s">
        <v>29</v>
      </c>
      <c r="H23" s="23">
        <v>22</v>
      </c>
      <c r="I23" s="24" t="s">
        <v>25</v>
      </c>
      <c r="J23" s="25">
        <f>VLOOKUP(CombinedTable[[#This Row],[Key]], [1]!StatsTable[#Data], 8,FALSE)</f>
        <v>2806</v>
      </c>
      <c r="K23" s="26">
        <f>VLOOKUP(CombinedTable[[#This Row],[Key]], [1]!StatsTable[#Data], 10, FALSE)</f>
        <v>54.4</v>
      </c>
      <c r="L23" s="26">
        <f>VLOOKUP(CombinedTable[[#This Row],[Key]], [1]!StatsTable[#Data], 18, FALSE)</f>
        <v>1.5</v>
      </c>
      <c r="M23" s="26">
        <f>VLOOKUP(CombinedTable[[#This Row],[Key]], [1]!StatsTable[#Data], 28, FALSE)</f>
        <v>-0.44</v>
      </c>
    </row>
    <row r="24" spans="1:13" ht="20" customHeight="1" x14ac:dyDescent="0.2">
      <c r="A24" s="18" t="str">
        <f t="shared" si="0"/>
        <v>Calum Chambers-2020-2021</v>
      </c>
      <c r="B24" s="19" t="s">
        <v>13</v>
      </c>
      <c r="C24" s="20" t="s">
        <v>55</v>
      </c>
      <c r="D24" s="21">
        <v>50000</v>
      </c>
      <c r="E24" s="21">
        <v>2600000</v>
      </c>
      <c r="F24" s="21">
        <v>2996610</v>
      </c>
      <c r="G24" s="22" t="s">
        <v>29</v>
      </c>
      <c r="H24" s="23">
        <v>25</v>
      </c>
      <c r="I24" s="24" t="s">
        <v>51</v>
      </c>
      <c r="J24" s="25">
        <f>VLOOKUP(CombinedTable[[#This Row],[Key]], [1]!StatsTable[#Data], 8,FALSE)</f>
        <v>1054</v>
      </c>
      <c r="K24" s="26">
        <f>VLOOKUP(CombinedTable[[#This Row],[Key]], [1]!StatsTable[#Data], 10, FALSE)</f>
        <v>21.6</v>
      </c>
      <c r="L24" s="26">
        <f>VLOOKUP(CombinedTable[[#This Row],[Key]], [1]!StatsTable[#Data], 18, FALSE)</f>
        <v>2</v>
      </c>
      <c r="M24" s="26">
        <f>VLOOKUP(CombinedTable[[#This Row],[Key]], [1]!StatsTable[#Data], 28, FALSE)</f>
        <v>-0.17</v>
      </c>
    </row>
    <row r="25" spans="1:13" ht="20" customHeight="1" x14ac:dyDescent="0.2">
      <c r="A25" s="18" t="str">
        <f t="shared" si="0"/>
        <v>Eddie Nketiah-2020-2021</v>
      </c>
      <c r="B25" s="19" t="s">
        <v>13</v>
      </c>
      <c r="C25" s="20" t="s">
        <v>56</v>
      </c>
      <c r="D25" s="21">
        <v>45000</v>
      </c>
      <c r="E25" s="21">
        <v>2340000</v>
      </c>
      <c r="F25" s="21">
        <v>2696949</v>
      </c>
      <c r="G25" s="22" t="s">
        <v>15</v>
      </c>
      <c r="H25" s="23">
        <v>21</v>
      </c>
      <c r="I25" s="24" t="s">
        <v>51</v>
      </c>
      <c r="J25" s="25">
        <f>VLOOKUP(CombinedTable[[#This Row],[Key]], [1]!StatsTable[#Data], 8,FALSE)</f>
        <v>1224</v>
      </c>
      <c r="K25" s="26">
        <f>VLOOKUP(CombinedTable[[#This Row],[Key]], [1]!StatsTable[#Data], 10, FALSE)</f>
        <v>23.2</v>
      </c>
      <c r="L25" s="26">
        <f>VLOOKUP(CombinedTable[[#This Row],[Key]], [1]!StatsTable[#Data], 18, FALSE)</f>
        <v>1.66</v>
      </c>
      <c r="M25" s="26">
        <f>VLOOKUP(CombinedTable[[#This Row],[Key]], [1]!StatsTable[#Data], 28, FALSE)</f>
        <v>0.45</v>
      </c>
    </row>
    <row r="26" spans="1:13" ht="20" customHeight="1" x14ac:dyDescent="0.2">
      <c r="A26" s="18" t="str">
        <f t="shared" si="0"/>
        <v>Rob Holding-2020-2021</v>
      </c>
      <c r="B26" s="19" t="s">
        <v>13</v>
      </c>
      <c r="C26" s="20" t="s">
        <v>57</v>
      </c>
      <c r="D26" s="21">
        <v>40000</v>
      </c>
      <c r="E26" s="21">
        <v>2080000</v>
      </c>
      <c r="F26" s="21">
        <v>2397288</v>
      </c>
      <c r="G26" s="22" t="s">
        <v>29</v>
      </c>
      <c r="H26" s="23">
        <v>25</v>
      </c>
      <c r="I26" s="24" t="s">
        <v>51</v>
      </c>
      <c r="J26" s="25">
        <f>VLOOKUP(CombinedTable[[#This Row],[Key]], [1]!StatsTable[#Data], 8,FALSE)</f>
        <v>3353</v>
      </c>
      <c r="K26" s="26">
        <f>VLOOKUP(CombinedTable[[#This Row],[Key]], [1]!StatsTable[#Data], 10, FALSE)</f>
        <v>63.5</v>
      </c>
      <c r="L26" s="26">
        <f>VLOOKUP(CombinedTable[[#This Row],[Key]], [1]!StatsTable[#Data], 18, FALSE)</f>
        <v>1.59</v>
      </c>
      <c r="M26" s="26">
        <f>VLOOKUP(CombinedTable[[#This Row],[Key]], [1]!StatsTable[#Data], 28, FALSE)</f>
        <v>-0.56000000000000005</v>
      </c>
    </row>
    <row r="27" spans="1:13" ht="20" customHeight="1" x14ac:dyDescent="0.2">
      <c r="A27" s="18" t="str">
        <f t="shared" si="0"/>
        <v>William Saliba-2020-2021</v>
      </c>
      <c r="B27" s="19" t="s">
        <v>13</v>
      </c>
      <c r="C27" s="20" t="s">
        <v>58</v>
      </c>
      <c r="D27" s="21">
        <v>40000</v>
      </c>
      <c r="E27" s="21">
        <v>2080000</v>
      </c>
      <c r="F27" s="21">
        <v>2397288</v>
      </c>
      <c r="G27" s="22" t="s">
        <v>29</v>
      </c>
      <c r="H27" s="23">
        <v>19</v>
      </c>
      <c r="I27" s="24" t="s">
        <v>23</v>
      </c>
      <c r="J27" s="25">
        <f>VLOOKUP(CombinedTable[[#This Row],[Key]], [1]!StatsTable[#Data], 8,FALSE)</f>
        <v>0</v>
      </c>
      <c r="K27" s="26">
        <f>VLOOKUP(CombinedTable[[#This Row],[Key]], [1]!StatsTable[#Data], 10, FALSE)</f>
        <v>0</v>
      </c>
      <c r="L27" s="26">
        <f>VLOOKUP(CombinedTable[[#This Row],[Key]], [1]!StatsTable[#Data], 18, FALSE)</f>
        <v>0</v>
      </c>
      <c r="M27" s="26">
        <f>VLOOKUP(CombinedTable[[#This Row],[Key]], [1]!StatsTable[#Data], 28, FALSE)</f>
        <v>0</v>
      </c>
    </row>
    <row r="28" spans="1:13" ht="20" customHeight="1" x14ac:dyDescent="0.2">
      <c r="A28" s="18" t="str">
        <f t="shared" si="0"/>
        <v>Ainsley Maitland-Niles-2020-2021</v>
      </c>
      <c r="B28" s="19" t="s">
        <v>13</v>
      </c>
      <c r="C28" s="20" t="s">
        <v>59</v>
      </c>
      <c r="D28" s="21">
        <v>35000</v>
      </c>
      <c r="E28" s="21">
        <v>1820000</v>
      </c>
      <c r="F28" s="21">
        <v>2097627</v>
      </c>
      <c r="G28" s="22" t="s">
        <v>20</v>
      </c>
      <c r="H28" s="23">
        <v>23</v>
      </c>
      <c r="I28" s="24" t="s">
        <v>51</v>
      </c>
      <c r="J28" s="25">
        <f>VLOOKUP(CombinedTable[[#This Row],[Key]], [1]!StatsTable[#Data], 8,FALSE)</f>
        <v>1218</v>
      </c>
      <c r="K28" s="26">
        <f>VLOOKUP(CombinedTable[[#This Row],[Key]], [1]!StatsTable[#Data], 10, FALSE)</f>
        <v>23.1</v>
      </c>
      <c r="L28" s="26">
        <f>VLOOKUP(CombinedTable[[#This Row],[Key]], [1]!StatsTable[#Data], 18, FALSE)</f>
        <v>2.0499999999999998</v>
      </c>
      <c r="M28" s="26">
        <f>VLOOKUP(CombinedTable[[#This Row],[Key]], [1]!StatsTable[#Data], 28, FALSE)</f>
        <v>0.55000000000000004</v>
      </c>
    </row>
    <row r="29" spans="1:13" ht="20" customHeight="1" x14ac:dyDescent="0.2">
      <c r="A29" s="18" t="str">
        <f t="shared" si="0"/>
        <v>Mathew Ryan-2020-2021</v>
      </c>
      <c r="B29" s="19" t="s">
        <v>13</v>
      </c>
      <c r="C29" s="20" t="s">
        <v>60</v>
      </c>
      <c r="D29" s="21">
        <v>35000</v>
      </c>
      <c r="E29" s="21">
        <v>1820000</v>
      </c>
      <c r="F29" s="21">
        <v>2097627</v>
      </c>
      <c r="G29" s="22" t="s">
        <v>40</v>
      </c>
      <c r="H29" s="23">
        <v>28</v>
      </c>
      <c r="I29" s="24" t="s">
        <v>61</v>
      </c>
      <c r="J29" s="25">
        <f>VLOOKUP(CombinedTable[[#This Row],[Key]], [1]!StatsTable[#Data], 8,FALSE)</f>
        <v>270</v>
      </c>
      <c r="K29" s="26">
        <f>VLOOKUP(CombinedTable[[#This Row],[Key]], [1]!StatsTable[#Data], 10, FALSE)</f>
        <v>5.5</v>
      </c>
      <c r="L29" s="26">
        <f>VLOOKUP(CombinedTable[[#This Row],[Key]], [1]!StatsTable[#Data], 18, FALSE)</f>
        <v>1.33</v>
      </c>
      <c r="M29" s="26">
        <f>VLOOKUP(CombinedTable[[#This Row],[Key]], [1]!StatsTable[#Data], 28, FALSE)</f>
        <v>0.88</v>
      </c>
    </row>
    <row r="30" spans="1:13" ht="20" customHeight="1" x14ac:dyDescent="0.2">
      <c r="A30" s="18" t="str">
        <f t="shared" si="0"/>
        <v>Joe Willock-2020-2021</v>
      </c>
      <c r="B30" s="19" t="s">
        <v>13</v>
      </c>
      <c r="C30" s="20" t="s">
        <v>62</v>
      </c>
      <c r="D30" s="21">
        <v>20000</v>
      </c>
      <c r="E30" s="21">
        <v>1040000</v>
      </c>
      <c r="F30" s="21">
        <v>1198644</v>
      </c>
      <c r="G30" s="22" t="s">
        <v>20</v>
      </c>
      <c r="H30" s="23">
        <v>21</v>
      </c>
      <c r="I30" s="24" t="s">
        <v>51</v>
      </c>
      <c r="J30" s="25">
        <f>VLOOKUP(CombinedTable[[#This Row],[Key]], [1]!StatsTable[#Data], 8,FALSE)</f>
        <v>942</v>
      </c>
      <c r="K30" s="26">
        <f>VLOOKUP(CombinedTable[[#This Row],[Key]], [1]!StatsTable[#Data], 10, FALSE)</f>
        <v>17.8</v>
      </c>
      <c r="L30" s="26">
        <f>VLOOKUP(CombinedTable[[#This Row],[Key]], [1]!StatsTable[#Data], 18, FALSE)</f>
        <v>2.12</v>
      </c>
      <c r="M30" s="26">
        <f>VLOOKUP(CombinedTable[[#This Row],[Key]], [1]!StatsTable[#Data], 28, FALSE)</f>
        <v>0.21</v>
      </c>
    </row>
    <row r="31" spans="1:13" ht="20" customHeight="1" x14ac:dyDescent="0.2">
      <c r="A31" s="18" t="str">
        <f t="shared" si="0"/>
        <v>Rúnar Alex Rúnarsson-2020-2021</v>
      </c>
      <c r="B31" s="19" t="s">
        <v>13</v>
      </c>
      <c r="C31" s="20" t="s">
        <v>63</v>
      </c>
      <c r="D31" s="21">
        <v>15000</v>
      </c>
      <c r="E31" s="21">
        <v>780000</v>
      </c>
      <c r="F31" s="21">
        <v>898983</v>
      </c>
      <c r="G31" s="22" t="s">
        <v>40</v>
      </c>
      <c r="H31" s="23">
        <v>25</v>
      </c>
      <c r="I31" s="24" t="s">
        <v>64</v>
      </c>
      <c r="J31" s="25">
        <f>VLOOKUP(CombinedTable[[#This Row],[Key]], [1]!StatsTable[#Data], 8,FALSE)</f>
        <v>466</v>
      </c>
      <c r="K31" s="26">
        <f>VLOOKUP(CombinedTable[[#This Row],[Key]], [1]!StatsTable[#Data], 10, FALSE)</f>
        <v>9</v>
      </c>
      <c r="L31" s="26">
        <f>VLOOKUP(CombinedTable[[#This Row],[Key]], [1]!StatsTable[#Data], 18, FALSE)</f>
        <v>2</v>
      </c>
      <c r="M31" s="26">
        <f>VLOOKUP(CombinedTable[[#This Row],[Key]], [1]!StatsTable[#Data], 28, FALSE)</f>
        <v>1.1599999999999999</v>
      </c>
    </row>
    <row r="32" spans="1:13" ht="20" customHeight="1" x14ac:dyDescent="0.2">
      <c r="A32" s="18" t="str">
        <f t="shared" si="0"/>
        <v>Reiss Nelson-2020-2021</v>
      </c>
      <c r="B32" s="19" t="s">
        <v>13</v>
      </c>
      <c r="C32" s="20" t="s">
        <v>65</v>
      </c>
      <c r="D32" s="21">
        <v>15000</v>
      </c>
      <c r="E32" s="21">
        <v>780000</v>
      </c>
      <c r="F32" s="21">
        <v>898983</v>
      </c>
      <c r="G32" s="22" t="s">
        <v>15</v>
      </c>
      <c r="H32" s="23">
        <v>20</v>
      </c>
      <c r="I32" s="24" t="s">
        <v>51</v>
      </c>
      <c r="J32" s="25">
        <f>VLOOKUP(CombinedTable[[#This Row],[Key]], [1]!StatsTable[#Data], 8,FALSE)</f>
        <v>479</v>
      </c>
      <c r="K32" s="26">
        <f>VLOOKUP(CombinedTable[[#This Row],[Key]], [1]!StatsTable[#Data], 10, FALSE)</f>
        <v>9.1</v>
      </c>
      <c r="L32" s="26">
        <f>VLOOKUP(CombinedTable[[#This Row],[Key]], [1]!StatsTable[#Data], 18, FALSE)</f>
        <v>2.44</v>
      </c>
      <c r="M32" s="26">
        <f>VLOOKUP(CombinedTable[[#This Row],[Key]], [1]!StatsTable[#Data], 28, FALSE)</f>
        <v>1.18</v>
      </c>
    </row>
    <row r="33" spans="1:13" ht="20" customHeight="1" x14ac:dyDescent="0.2">
      <c r="A33" s="18" t="str">
        <f t="shared" si="0"/>
        <v>Emile Smith Rowe-2020-2021</v>
      </c>
      <c r="B33" s="19" t="s">
        <v>13</v>
      </c>
      <c r="C33" s="20" t="s">
        <v>66</v>
      </c>
      <c r="D33" s="21">
        <v>15000</v>
      </c>
      <c r="E33" s="21">
        <v>780000</v>
      </c>
      <c r="F33" s="21">
        <v>898983</v>
      </c>
      <c r="G33" s="22" t="s">
        <v>15</v>
      </c>
      <c r="H33" s="23">
        <v>20</v>
      </c>
      <c r="I33" s="24" t="s">
        <v>51</v>
      </c>
      <c r="J33" s="25">
        <f>VLOOKUP(CombinedTable[[#This Row],[Key]], [1]!StatsTable[#Data], 8,FALSE)</f>
        <v>2209</v>
      </c>
      <c r="K33" s="26">
        <f>VLOOKUP(CombinedTable[[#This Row],[Key]], [1]!StatsTable[#Data], 10, FALSE)</f>
        <v>41.8</v>
      </c>
      <c r="L33" s="26">
        <f>VLOOKUP(CombinedTable[[#This Row],[Key]], [1]!StatsTable[#Data], 18, FALSE)</f>
        <v>1.94</v>
      </c>
      <c r="M33" s="26">
        <f>VLOOKUP(CombinedTable[[#This Row],[Key]], [1]!StatsTable[#Data], 28, FALSE)</f>
        <v>0.45</v>
      </c>
    </row>
    <row r="34" spans="1:13" ht="20" customHeight="1" x14ac:dyDescent="0.2">
      <c r="A34" s="18" t="str">
        <f t="shared" si="0"/>
        <v>Matt Macey-2020-2021</v>
      </c>
      <c r="B34" s="19" t="s">
        <v>13</v>
      </c>
      <c r="C34" s="20" t="s">
        <v>67</v>
      </c>
      <c r="D34" s="21">
        <v>10000</v>
      </c>
      <c r="E34" s="21">
        <v>520000</v>
      </c>
      <c r="F34" s="21">
        <v>599322</v>
      </c>
      <c r="G34" s="22" t="s">
        <v>40</v>
      </c>
      <c r="H34" s="23">
        <v>26</v>
      </c>
      <c r="I34" s="24" t="s">
        <v>51</v>
      </c>
      <c r="J34" s="25">
        <f>VLOOKUP(CombinedTable[[#This Row],[Key]], [1]!StatsTable[#Data], 8,FALSE)</f>
        <v>0</v>
      </c>
      <c r="K34" s="26">
        <f>VLOOKUP(CombinedTable[[#This Row],[Key]], [1]!StatsTable[#Data], 10, FALSE)</f>
        <v>0</v>
      </c>
      <c r="L34" s="26">
        <f>VLOOKUP(CombinedTable[[#This Row],[Key]], [1]!StatsTable[#Data], 18, FALSE)</f>
        <v>0</v>
      </c>
      <c r="M34" s="26">
        <f>VLOOKUP(CombinedTable[[#This Row],[Key]], [1]!StatsTable[#Data], 28, FALSE)</f>
        <v>0</v>
      </c>
    </row>
    <row r="35" spans="1:13" ht="20" customHeight="1" x14ac:dyDescent="0.2">
      <c r="A35" s="18" t="str">
        <f t="shared" si="0"/>
        <v>Dejan Iliev-2020-2021</v>
      </c>
      <c r="B35" s="19" t="s">
        <v>13</v>
      </c>
      <c r="C35" s="20" t="s">
        <v>68</v>
      </c>
      <c r="D35" s="21">
        <v>5769</v>
      </c>
      <c r="E35" s="21">
        <v>300000</v>
      </c>
      <c r="F35" s="21">
        <v>345763</v>
      </c>
      <c r="G35" s="22" t="s">
        <v>40</v>
      </c>
      <c r="H35" s="23">
        <v>25</v>
      </c>
      <c r="I35" s="24" t="s">
        <v>69</v>
      </c>
      <c r="J35" s="25" t="e">
        <f>VLOOKUP(CombinedTable[[#This Row],[Key]], [1]!StatsTable[#Data], 8,FALSE)</f>
        <v>#N/A</v>
      </c>
      <c r="K35" s="26" t="e">
        <f>VLOOKUP(CombinedTable[[#This Row],[Key]], [1]!StatsTable[#Data], 10, FALSE)</f>
        <v>#N/A</v>
      </c>
      <c r="L35" s="26" t="e">
        <f>VLOOKUP(CombinedTable[[#This Row],[Key]], [1]!StatsTable[#Data], 18, FALSE)</f>
        <v>#N/A</v>
      </c>
      <c r="M35" s="26" t="e">
        <f>VLOOKUP(CombinedTable[[#This Row],[Key]], [1]!StatsTable[#Data], 28, FALSE)</f>
        <v>#N/A</v>
      </c>
    </row>
    <row r="36" spans="1:13" ht="20" customHeight="1" x14ac:dyDescent="0.2">
      <c r="A36" s="18" t="str">
        <f t="shared" si="0"/>
        <v>Pierre-Emerick Aubameyang-2021-2022</v>
      </c>
      <c r="B36" s="19" t="s">
        <v>70</v>
      </c>
      <c r="C36" s="20" t="s">
        <v>17</v>
      </c>
      <c r="D36" s="21">
        <v>250000</v>
      </c>
      <c r="E36" s="21">
        <v>13000000</v>
      </c>
      <c r="F36" s="21">
        <v>13883216</v>
      </c>
      <c r="G36" s="22" t="s">
        <v>15</v>
      </c>
      <c r="H36" s="23">
        <v>32</v>
      </c>
      <c r="I36" s="24" t="s">
        <v>18</v>
      </c>
      <c r="J36" s="25">
        <f>VLOOKUP(CombinedTable[[#This Row],[Key]], [1]!StatsTable[#Data], 8,FALSE)</f>
        <v>1112</v>
      </c>
      <c r="K36" s="26">
        <f>VLOOKUP(CombinedTable[[#This Row],[Key]], [1]!StatsTable[#Data], 10, FALSE)</f>
        <v>28.1</v>
      </c>
      <c r="L36" s="26">
        <f>VLOOKUP(CombinedTable[[#This Row],[Key]], [1]!StatsTable[#Data], 18, FALSE)</f>
        <v>1.73</v>
      </c>
      <c r="M36" s="26">
        <f>VLOOKUP(CombinedTable[[#This Row],[Key]], [1]!StatsTable[#Data], 28, FALSE)</f>
        <v>-0.53</v>
      </c>
    </row>
    <row r="37" spans="1:13" ht="20" customHeight="1" x14ac:dyDescent="0.2">
      <c r="A37" s="18" t="str">
        <f t="shared" si="0"/>
        <v>Thomas Partey-2021-2022</v>
      </c>
      <c r="B37" s="19" t="s">
        <v>70</v>
      </c>
      <c r="C37" s="20" t="s">
        <v>19</v>
      </c>
      <c r="D37" s="21">
        <v>200000</v>
      </c>
      <c r="E37" s="21">
        <v>10400000</v>
      </c>
      <c r="F37" s="21">
        <v>11106573</v>
      </c>
      <c r="G37" s="22" t="s">
        <v>20</v>
      </c>
      <c r="H37" s="23">
        <v>28</v>
      </c>
      <c r="I37" s="24" t="s">
        <v>21</v>
      </c>
      <c r="J37" s="25">
        <f>VLOOKUP(CombinedTable[[#This Row],[Key]], [1]!StatsTable[#Data], 8,FALSE)</f>
        <v>2103</v>
      </c>
      <c r="K37" s="26">
        <f>VLOOKUP(CombinedTable[[#This Row],[Key]], [1]!StatsTable[#Data], 10, FALSE)</f>
        <v>53.1</v>
      </c>
      <c r="L37" s="26">
        <f>VLOOKUP(CombinedTable[[#This Row],[Key]], [1]!StatsTable[#Data], 18, FALSE)</f>
        <v>2.04</v>
      </c>
      <c r="M37" s="26">
        <f>VLOOKUP(CombinedTable[[#This Row],[Key]], [1]!StatsTable[#Data], 28, FALSE)</f>
        <v>0.36</v>
      </c>
    </row>
    <row r="38" spans="1:13" ht="20" customHeight="1" x14ac:dyDescent="0.2">
      <c r="A38" s="18" t="str">
        <f t="shared" si="0"/>
        <v>Alexandre Lacazette-2021-2022</v>
      </c>
      <c r="B38" s="19" t="s">
        <v>70</v>
      </c>
      <c r="C38" s="20" t="s">
        <v>22</v>
      </c>
      <c r="D38" s="21">
        <v>182115</v>
      </c>
      <c r="E38" s="21">
        <v>9470000</v>
      </c>
      <c r="F38" s="21">
        <v>10113389</v>
      </c>
      <c r="G38" s="22" t="s">
        <v>15</v>
      </c>
      <c r="H38" s="23">
        <v>30</v>
      </c>
      <c r="I38" s="24" t="s">
        <v>23</v>
      </c>
      <c r="J38" s="25">
        <f>VLOOKUP(CombinedTable[[#This Row],[Key]], [1]!StatsTable[#Data], 8,FALSE)</f>
        <v>2100</v>
      </c>
      <c r="K38" s="26">
        <f>VLOOKUP(CombinedTable[[#This Row],[Key]], [1]!StatsTable[#Data], 10, FALSE)</f>
        <v>51.9</v>
      </c>
      <c r="L38" s="26">
        <f>VLOOKUP(CombinedTable[[#This Row],[Key]], [1]!StatsTable[#Data], 18, FALSE)</f>
        <v>1.78</v>
      </c>
      <c r="M38" s="26">
        <f>VLOOKUP(CombinedTable[[#This Row],[Key]], [1]!StatsTable[#Data], 28, FALSE)</f>
        <v>0.74</v>
      </c>
    </row>
    <row r="39" spans="1:13" ht="20" customHeight="1" x14ac:dyDescent="0.2">
      <c r="A39" s="18" t="str">
        <f t="shared" si="0"/>
        <v>Nicolas Pépé-2021-2022</v>
      </c>
      <c r="B39" s="19" t="s">
        <v>70</v>
      </c>
      <c r="C39" s="20" t="s">
        <v>35</v>
      </c>
      <c r="D39" s="21">
        <v>140000</v>
      </c>
      <c r="E39" s="21">
        <v>7280000</v>
      </c>
      <c r="F39" s="21">
        <v>7774601</v>
      </c>
      <c r="G39" s="22" t="s">
        <v>15</v>
      </c>
      <c r="H39" s="23">
        <v>26</v>
      </c>
      <c r="I39" s="24" t="s">
        <v>36</v>
      </c>
      <c r="J39" s="25">
        <f>VLOOKUP(CombinedTable[[#This Row],[Key]], [1]!StatsTable[#Data], 8,FALSE)</f>
        <v>966</v>
      </c>
      <c r="K39" s="26">
        <f>VLOOKUP(CombinedTable[[#This Row],[Key]], [1]!StatsTable[#Data], 10, FALSE)</f>
        <v>24.4</v>
      </c>
      <c r="L39" s="26">
        <f>VLOOKUP(CombinedTable[[#This Row],[Key]], [1]!StatsTable[#Data], 18, FALSE)</f>
        <v>2.04</v>
      </c>
      <c r="M39" s="26">
        <f>VLOOKUP(CombinedTable[[#This Row],[Key]], [1]!StatsTable[#Data], 28, FALSE)</f>
        <v>0.06</v>
      </c>
    </row>
    <row r="40" spans="1:13" ht="20" customHeight="1" x14ac:dyDescent="0.2">
      <c r="A40" s="18" t="str">
        <f t="shared" si="0"/>
        <v>Granit Xhaka-2021-2022</v>
      </c>
      <c r="B40" s="19" t="s">
        <v>70</v>
      </c>
      <c r="C40" s="20" t="s">
        <v>37</v>
      </c>
      <c r="D40" s="21">
        <v>120000</v>
      </c>
      <c r="E40" s="21">
        <v>6240000</v>
      </c>
      <c r="F40" s="21">
        <v>6663944</v>
      </c>
      <c r="G40" s="22" t="s">
        <v>20</v>
      </c>
      <c r="H40" s="23">
        <v>29</v>
      </c>
      <c r="I40" s="24" t="s">
        <v>38</v>
      </c>
      <c r="J40" s="25">
        <f>VLOOKUP(CombinedTable[[#This Row],[Key]], [1]!StatsTable[#Data], 8,FALSE)</f>
        <v>2451</v>
      </c>
      <c r="K40" s="26">
        <f>VLOOKUP(CombinedTable[[#This Row],[Key]], [1]!StatsTable[#Data], 10, FALSE)</f>
        <v>61.9</v>
      </c>
      <c r="L40" s="26">
        <f>VLOOKUP(CombinedTable[[#This Row],[Key]], [1]!StatsTable[#Data], 18, FALSE)</f>
        <v>1.84</v>
      </c>
      <c r="M40" s="26">
        <f>VLOOKUP(CombinedTable[[#This Row],[Key]], [1]!StatsTable[#Data], 28, FALSE)</f>
        <v>0.59</v>
      </c>
    </row>
    <row r="41" spans="1:13" ht="20" customHeight="1" x14ac:dyDescent="0.2">
      <c r="A41" s="18" t="str">
        <f t="shared" si="0"/>
        <v>Ben White-2021-2022</v>
      </c>
      <c r="B41" s="19" t="s">
        <v>70</v>
      </c>
      <c r="C41" s="20" t="s">
        <v>71</v>
      </c>
      <c r="D41" s="21">
        <v>120000</v>
      </c>
      <c r="E41" s="21">
        <v>6240000</v>
      </c>
      <c r="F41" s="21">
        <v>6663944</v>
      </c>
      <c r="G41" s="22" t="s">
        <v>29</v>
      </c>
      <c r="H41" s="23">
        <v>24</v>
      </c>
      <c r="I41" s="24" t="s">
        <v>51</v>
      </c>
      <c r="J41" s="25">
        <f>VLOOKUP(CombinedTable[[#This Row],[Key]], [1]!StatsTable[#Data], 8,FALSE)</f>
        <v>3276</v>
      </c>
      <c r="K41" s="26">
        <f>VLOOKUP(CombinedTable[[#This Row],[Key]], [1]!StatsTable[#Data], 10, FALSE)</f>
        <v>80.900000000000006</v>
      </c>
      <c r="L41" s="26">
        <f>VLOOKUP(CombinedTable[[#This Row],[Key]], [1]!StatsTable[#Data], 18, FALSE)</f>
        <v>1.82</v>
      </c>
      <c r="M41" s="26">
        <f>VLOOKUP(CombinedTable[[#This Row],[Key]], [1]!StatsTable[#Data], 28, FALSE)</f>
        <v>1.27</v>
      </c>
    </row>
    <row r="42" spans="1:13" ht="20" customHeight="1" x14ac:dyDescent="0.2">
      <c r="A42" s="18" t="str">
        <f t="shared" si="0"/>
        <v>Martin Ødegaard-2021-2022</v>
      </c>
      <c r="B42" s="19" t="s">
        <v>70</v>
      </c>
      <c r="C42" s="20" t="s">
        <v>45</v>
      </c>
      <c r="D42" s="21">
        <v>115000</v>
      </c>
      <c r="E42" s="21">
        <v>5980000</v>
      </c>
      <c r="F42" s="21">
        <v>6386279</v>
      </c>
      <c r="G42" s="22" t="s">
        <v>15</v>
      </c>
      <c r="H42" s="23">
        <v>23</v>
      </c>
      <c r="I42" s="24" t="s">
        <v>46</v>
      </c>
      <c r="J42" s="25">
        <f>VLOOKUP(CombinedTable[[#This Row],[Key]], [1]!StatsTable[#Data], 8,FALSE)</f>
        <v>3097</v>
      </c>
      <c r="K42" s="26">
        <f>VLOOKUP(CombinedTable[[#This Row],[Key]], [1]!StatsTable[#Data], 10, FALSE)</f>
        <v>76.5</v>
      </c>
      <c r="L42" s="26">
        <f>VLOOKUP(CombinedTable[[#This Row],[Key]], [1]!StatsTable[#Data], 18, FALSE)</f>
        <v>1.88</v>
      </c>
      <c r="M42" s="26">
        <f>VLOOKUP(CombinedTable[[#This Row],[Key]], [1]!StatsTable[#Data], 28, FALSE)</f>
        <v>0.92</v>
      </c>
    </row>
    <row r="43" spans="1:13" ht="20" customHeight="1" x14ac:dyDescent="0.2">
      <c r="A43" s="18" t="str">
        <f t="shared" si="0"/>
        <v>Kieran Tierney-2021-2022</v>
      </c>
      <c r="B43" s="19" t="s">
        <v>70</v>
      </c>
      <c r="C43" s="20" t="s">
        <v>28</v>
      </c>
      <c r="D43" s="21">
        <v>110000</v>
      </c>
      <c r="E43" s="21">
        <v>5720000</v>
      </c>
      <c r="F43" s="21">
        <v>6108615</v>
      </c>
      <c r="G43" s="22" t="s">
        <v>29</v>
      </c>
      <c r="H43" s="23">
        <v>24</v>
      </c>
      <c r="I43" s="24" t="s">
        <v>30</v>
      </c>
      <c r="J43" s="25">
        <f>VLOOKUP(CombinedTable[[#This Row],[Key]], [1]!StatsTable[#Data], 8,FALSE)</f>
        <v>2151</v>
      </c>
      <c r="K43" s="26">
        <f>VLOOKUP(CombinedTable[[#This Row],[Key]], [1]!StatsTable[#Data], 10, FALSE)</f>
        <v>53.1</v>
      </c>
      <c r="L43" s="26">
        <f>VLOOKUP(CombinedTable[[#This Row],[Key]], [1]!StatsTable[#Data], 18, FALSE)</f>
        <v>1.72</v>
      </c>
      <c r="M43" s="26">
        <f>VLOOKUP(CombinedTable[[#This Row],[Key]], [1]!StatsTable[#Data], 28, FALSE)</f>
        <v>0.24</v>
      </c>
    </row>
    <row r="44" spans="1:13" ht="20" customHeight="1" x14ac:dyDescent="0.2">
      <c r="A44" s="18" t="str">
        <f t="shared" si="0"/>
        <v>Bernd Leno-2021-2022</v>
      </c>
      <c r="B44" s="19" t="s">
        <v>70</v>
      </c>
      <c r="C44" s="20" t="s">
        <v>39</v>
      </c>
      <c r="D44" s="21">
        <v>100000</v>
      </c>
      <c r="E44" s="21">
        <v>5200000</v>
      </c>
      <c r="F44" s="21">
        <v>5553286</v>
      </c>
      <c r="G44" s="22" t="s">
        <v>40</v>
      </c>
      <c r="H44" s="23">
        <v>29</v>
      </c>
      <c r="I44" s="24" t="s">
        <v>16</v>
      </c>
      <c r="J44" s="25">
        <f>VLOOKUP(CombinedTable[[#This Row],[Key]], [1]!StatsTable[#Data], 8,FALSE)</f>
        <v>720</v>
      </c>
      <c r="K44" s="26">
        <f>VLOOKUP(CombinedTable[[#This Row],[Key]], [1]!StatsTable[#Data], 10, FALSE)</f>
        <v>17.8</v>
      </c>
      <c r="L44" s="26">
        <f>VLOOKUP(CombinedTable[[#This Row],[Key]], [1]!StatsTable[#Data], 18, FALSE)</f>
        <v>1.5</v>
      </c>
      <c r="M44" s="26">
        <f>VLOOKUP(CombinedTable[[#This Row],[Key]], [1]!StatsTable[#Data], 28, FALSE)</f>
        <v>-2.13</v>
      </c>
    </row>
    <row r="45" spans="1:13" ht="20" customHeight="1" x14ac:dyDescent="0.2">
      <c r="A45" s="18" t="str">
        <f t="shared" si="0"/>
        <v>Sead Kolašinac-2021-2022</v>
      </c>
      <c r="B45" s="19" t="s">
        <v>70</v>
      </c>
      <c r="C45" s="20" t="s">
        <v>33</v>
      </c>
      <c r="D45" s="21">
        <v>100000</v>
      </c>
      <c r="E45" s="21">
        <v>5200000</v>
      </c>
      <c r="F45" s="21">
        <v>5553286</v>
      </c>
      <c r="G45" s="22" t="s">
        <v>29</v>
      </c>
      <c r="H45" s="23">
        <v>28</v>
      </c>
      <c r="I45" s="24" t="s">
        <v>34</v>
      </c>
      <c r="J45" s="25">
        <f>VLOOKUP(CombinedTable[[#This Row],[Key]], [1]!StatsTable[#Data], 8,FALSE)</f>
        <v>272</v>
      </c>
      <c r="K45" s="26">
        <f>VLOOKUP(CombinedTable[[#This Row],[Key]], [1]!StatsTable[#Data], 10, FALSE)</f>
        <v>6.7</v>
      </c>
      <c r="L45" s="26">
        <f>VLOOKUP(CombinedTable[[#This Row],[Key]], [1]!StatsTable[#Data], 18, FALSE)</f>
        <v>1.8</v>
      </c>
      <c r="M45" s="26">
        <f>VLOOKUP(CombinedTable[[#This Row],[Key]], [1]!StatsTable[#Data], 28, FALSE)</f>
        <v>-4.66</v>
      </c>
    </row>
    <row r="46" spans="1:13" ht="20" customHeight="1" x14ac:dyDescent="0.2">
      <c r="A46" s="18" t="str">
        <f t="shared" si="0"/>
        <v>Pablo Marí-2021-2022</v>
      </c>
      <c r="B46" s="19" t="s">
        <v>70</v>
      </c>
      <c r="C46" s="20" t="s">
        <v>44</v>
      </c>
      <c r="D46" s="21">
        <v>85000</v>
      </c>
      <c r="E46" s="21">
        <v>4420000</v>
      </c>
      <c r="F46" s="21">
        <v>4720293</v>
      </c>
      <c r="G46" s="22" t="s">
        <v>29</v>
      </c>
      <c r="H46" s="23">
        <v>28</v>
      </c>
      <c r="I46" s="24" t="s">
        <v>27</v>
      </c>
      <c r="J46" s="25">
        <f>VLOOKUP(CombinedTable[[#This Row],[Key]], [1]!StatsTable[#Data], 8,FALSE)</f>
        <v>270</v>
      </c>
      <c r="K46" s="26">
        <f>VLOOKUP(CombinedTable[[#This Row],[Key]], [1]!StatsTable[#Data], 10, FALSE)</f>
        <v>6.7</v>
      </c>
      <c r="L46" s="26">
        <f>VLOOKUP(CombinedTable[[#This Row],[Key]], [1]!StatsTable[#Data], 18, FALSE)</f>
        <v>1</v>
      </c>
      <c r="M46" s="26">
        <f>VLOOKUP(CombinedTable[[#This Row],[Key]], [1]!StatsTable[#Data], 28, FALSE)</f>
        <v>-1.87</v>
      </c>
    </row>
    <row r="47" spans="1:13" ht="20" customHeight="1" x14ac:dyDescent="0.2">
      <c r="A47" s="18" t="str">
        <f t="shared" si="0"/>
        <v>Cédric Soares-2021-2022</v>
      </c>
      <c r="B47" s="19" t="s">
        <v>70</v>
      </c>
      <c r="C47" s="20" t="s">
        <v>47</v>
      </c>
      <c r="D47" s="21">
        <v>75000</v>
      </c>
      <c r="E47" s="21">
        <v>3900000</v>
      </c>
      <c r="F47" s="21">
        <v>4164965</v>
      </c>
      <c r="G47" s="22" t="s">
        <v>29</v>
      </c>
      <c r="H47" s="23">
        <v>30</v>
      </c>
      <c r="I47" s="24" t="s">
        <v>48</v>
      </c>
      <c r="J47" s="25">
        <f>VLOOKUP(CombinedTable[[#This Row],[Key]], [1]!StatsTable[#Data], 8,FALSE)</f>
        <v>1855</v>
      </c>
      <c r="K47" s="26">
        <f>VLOOKUP(CombinedTable[[#This Row],[Key]], [1]!StatsTable[#Data], 10, FALSE)</f>
        <v>45.8</v>
      </c>
      <c r="L47" s="26">
        <f>VLOOKUP(CombinedTable[[#This Row],[Key]], [1]!StatsTable[#Data], 18, FALSE)</f>
        <v>1.89</v>
      </c>
      <c r="M47" s="26">
        <f>VLOOKUP(CombinedTable[[#This Row],[Key]], [1]!StatsTable[#Data], 28, FALSE)</f>
        <v>-0.34</v>
      </c>
    </row>
    <row r="48" spans="1:13" ht="20" customHeight="1" x14ac:dyDescent="0.2">
      <c r="A48" s="18" t="str">
        <f t="shared" si="0"/>
        <v>Bukayo Saka-2021-2022</v>
      </c>
      <c r="B48" s="19" t="s">
        <v>70</v>
      </c>
      <c r="C48" s="20" t="s">
        <v>50</v>
      </c>
      <c r="D48" s="21">
        <v>70000</v>
      </c>
      <c r="E48" s="21">
        <v>3640000</v>
      </c>
      <c r="F48" s="21">
        <v>3887300</v>
      </c>
      <c r="G48" s="22" t="s">
        <v>20</v>
      </c>
      <c r="H48" s="23">
        <v>20</v>
      </c>
      <c r="I48" s="24" t="s">
        <v>51</v>
      </c>
      <c r="J48" s="25">
        <f>VLOOKUP(CombinedTable[[#This Row],[Key]], [1]!StatsTable[#Data], 8,FALSE)</f>
        <v>3343</v>
      </c>
      <c r="K48" s="26">
        <f>VLOOKUP(CombinedTable[[#This Row],[Key]], [1]!StatsTable[#Data], 10, FALSE)</f>
        <v>82.5</v>
      </c>
      <c r="L48" s="26">
        <f>VLOOKUP(CombinedTable[[#This Row],[Key]], [1]!StatsTable[#Data], 18, FALSE)</f>
        <v>1.77</v>
      </c>
      <c r="M48" s="26">
        <f>VLOOKUP(CombinedTable[[#This Row],[Key]], [1]!StatsTable[#Data], 28, FALSE)</f>
        <v>0.75</v>
      </c>
    </row>
    <row r="49" spans="1:13" ht="20" customHeight="1" x14ac:dyDescent="0.2">
      <c r="A49" s="18" t="str">
        <f t="shared" si="0"/>
        <v>Gabriel Martinelli-2021-2022</v>
      </c>
      <c r="B49" s="19" t="s">
        <v>70</v>
      </c>
      <c r="C49" s="20" t="s">
        <v>49</v>
      </c>
      <c r="D49" s="21">
        <v>70000</v>
      </c>
      <c r="E49" s="21">
        <v>3640000</v>
      </c>
      <c r="F49" s="21">
        <v>3887300</v>
      </c>
      <c r="G49" s="22" t="s">
        <v>15</v>
      </c>
      <c r="H49" s="23">
        <v>20</v>
      </c>
      <c r="I49" s="24" t="s">
        <v>25</v>
      </c>
      <c r="J49" s="25">
        <f>VLOOKUP(CombinedTable[[#This Row],[Key]], [1]!StatsTable[#Data], 8,FALSE)</f>
        <v>2328</v>
      </c>
      <c r="K49" s="26">
        <f>VLOOKUP(CombinedTable[[#This Row],[Key]], [1]!StatsTable[#Data], 10, FALSE)</f>
        <v>57.5</v>
      </c>
      <c r="L49" s="26">
        <f>VLOOKUP(CombinedTable[[#This Row],[Key]], [1]!StatsTable[#Data], 18, FALSE)</f>
        <v>1.75</v>
      </c>
      <c r="M49" s="26">
        <f>VLOOKUP(CombinedTable[[#This Row],[Key]], [1]!StatsTable[#Data], 28, FALSE)</f>
        <v>0.41</v>
      </c>
    </row>
    <row r="50" spans="1:13" ht="20" customHeight="1" x14ac:dyDescent="0.2">
      <c r="A50" s="18" t="str">
        <f t="shared" si="0"/>
        <v>Aaron Ramsdale-2021-2022</v>
      </c>
      <c r="B50" s="19" t="s">
        <v>70</v>
      </c>
      <c r="C50" s="20" t="s">
        <v>72</v>
      </c>
      <c r="D50" s="21">
        <v>60000</v>
      </c>
      <c r="E50" s="21">
        <v>3120000</v>
      </c>
      <c r="F50" s="21">
        <v>3331972</v>
      </c>
      <c r="G50" s="22" t="s">
        <v>40</v>
      </c>
      <c r="H50" s="23">
        <v>23</v>
      </c>
      <c r="I50" s="24" t="s">
        <v>51</v>
      </c>
      <c r="J50" s="25">
        <f>VLOOKUP(CombinedTable[[#This Row],[Key]], [1]!StatsTable[#Data], 8,FALSE)</f>
        <v>3330</v>
      </c>
      <c r="K50" s="26">
        <f>VLOOKUP(CombinedTable[[#This Row],[Key]], [1]!StatsTable[#Data], 10, FALSE)</f>
        <v>82.2</v>
      </c>
      <c r="L50" s="26">
        <f>VLOOKUP(CombinedTable[[#This Row],[Key]], [1]!StatsTable[#Data], 18, FALSE)</f>
        <v>1.89</v>
      </c>
      <c r="M50" s="26">
        <f>VLOOKUP(CombinedTable[[#This Row],[Key]], [1]!StatsTable[#Data], 28, FALSE)</f>
        <v>2.13</v>
      </c>
    </row>
    <row r="51" spans="1:13" ht="20" customHeight="1" x14ac:dyDescent="0.2">
      <c r="A51" s="18" t="str">
        <f t="shared" si="0"/>
        <v>Takehiro Tomiyasu-2021-2022</v>
      </c>
      <c r="B51" s="19" t="s">
        <v>70</v>
      </c>
      <c r="C51" s="20" t="s">
        <v>73</v>
      </c>
      <c r="D51" s="21">
        <v>55000</v>
      </c>
      <c r="E51" s="21">
        <v>2860000</v>
      </c>
      <c r="F51" s="21">
        <v>3054307</v>
      </c>
      <c r="G51" s="22" t="s">
        <v>29</v>
      </c>
      <c r="H51" s="23">
        <v>23</v>
      </c>
      <c r="I51" s="24" t="s">
        <v>74</v>
      </c>
      <c r="J51" s="25">
        <f>VLOOKUP(CombinedTable[[#This Row],[Key]], [1]!StatsTable[#Data], 8,FALSE)</f>
        <v>1769</v>
      </c>
      <c r="K51" s="26">
        <f>VLOOKUP(CombinedTable[[#This Row],[Key]], [1]!StatsTable[#Data], 10, FALSE)</f>
        <v>44.7</v>
      </c>
      <c r="L51" s="26">
        <f>VLOOKUP(CombinedTable[[#This Row],[Key]], [1]!StatsTable[#Data], 18, FALSE)</f>
        <v>1.86</v>
      </c>
      <c r="M51" s="26">
        <f>VLOOKUP(CombinedTable[[#This Row],[Key]], [1]!StatsTable[#Data], 28, FALSE)</f>
        <v>-0.21</v>
      </c>
    </row>
    <row r="52" spans="1:13" ht="20" customHeight="1" x14ac:dyDescent="0.2">
      <c r="A52" s="18" t="str">
        <f t="shared" si="0"/>
        <v>Gabriel Magalhães-2021-2022</v>
      </c>
      <c r="B52" s="19" t="s">
        <v>70</v>
      </c>
      <c r="C52" s="20" t="s">
        <v>54</v>
      </c>
      <c r="D52" s="21">
        <v>50000</v>
      </c>
      <c r="E52" s="21">
        <v>2600000</v>
      </c>
      <c r="F52" s="21">
        <v>2776643</v>
      </c>
      <c r="G52" s="22" t="s">
        <v>29</v>
      </c>
      <c r="H52" s="23">
        <v>24</v>
      </c>
      <c r="I52" s="24" t="s">
        <v>25</v>
      </c>
      <c r="J52" s="25">
        <f>VLOOKUP(CombinedTable[[#This Row],[Key]], [1]!StatsTable[#Data], 8,FALSE)</f>
        <v>3261</v>
      </c>
      <c r="K52" s="26">
        <f>VLOOKUP(CombinedTable[[#This Row],[Key]], [1]!StatsTable[#Data], 10, FALSE)</f>
        <v>82.3</v>
      </c>
      <c r="L52" s="26">
        <f>VLOOKUP(CombinedTable[[#This Row],[Key]], [1]!StatsTable[#Data], 18, FALSE)</f>
        <v>1.92</v>
      </c>
      <c r="M52" s="26">
        <f>VLOOKUP(CombinedTable[[#This Row],[Key]], [1]!StatsTable[#Data], 28, FALSE)</f>
        <v>2.81</v>
      </c>
    </row>
    <row r="53" spans="1:13" ht="20" customHeight="1" x14ac:dyDescent="0.2">
      <c r="A53" s="18" t="str">
        <f t="shared" si="0"/>
        <v>Mohamed Elneny-2021-2022</v>
      </c>
      <c r="B53" s="19" t="s">
        <v>70</v>
      </c>
      <c r="C53" s="20" t="s">
        <v>52</v>
      </c>
      <c r="D53" s="21">
        <v>50000</v>
      </c>
      <c r="E53" s="21">
        <v>2600000</v>
      </c>
      <c r="F53" s="21">
        <v>2776643</v>
      </c>
      <c r="G53" s="22" t="s">
        <v>20</v>
      </c>
      <c r="H53" s="23">
        <v>29</v>
      </c>
      <c r="I53" s="24" t="s">
        <v>53</v>
      </c>
      <c r="J53" s="25">
        <f>VLOOKUP(CombinedTable[[#This Row],[Key]], [1]!StatsTable[#Data], 8,FALSE)</f>
        <v>1057</v>
      </c>
      <c r="K53" s="26">
        <f>VLOOKUP(CombinedTable[[#This Row],[Key]], [1]!StatsTable[#Data], 10, FALSE)</f>
        <v>26.7</v>
      </c>
      <c r="L53" s="26">
        <f>VLOOKUP(CombinedTable[[#This Row],[Key]], [1]!StatsTable[#Data], 18, FALSE)</f>
        <v>1.94</v>
      </c>
      <c r="M53" s="26">
        <f>VLOOKUP(CombinedTable[[#This Row],[Key]], [1]!StatsTable[#Data], 28, FALSE)</f>
        <v>-0.23</v>
      </c>
    </row>
    <row r="54" spans="1:13" ht="20" customHeight="1" x14ac:dyDescent="0.2">
      <c r="A54" s="18" t="str">
        <f t="shared" si="0"/>
        <v>Calum Chambers-2021-2022</v>
      </c>
      <c r="B54" s="19" t="s">
        <v>70</v>
      </c>
      <c r="C54" s="20" t="s">
        <v>55</v>
      </c>
      <c r="D54" s="21">
        <v>50000</v>
      </c>
      <c r="E54" s="21">
        <v>2600000</v>
      </c>
      <c r="F54" s="21">
        <v>2776643</v>
      </c>
      <c r="G54" s="22" t="s">
        <v>29</v>
      </c>
      <c r="H54" s="23">
        <v>26</v>
      </c>
      <c r="I54" s="24" t="s">
        <v>51</v>
      </c>
      <c r="J54" s="25">
        <f>VLOOKUP(CombinedTable[[#This Row],[Key]], [1]!StatsTable[#Data], 8,FALSE)</f>
        <v>376</v>
      </c>
      <c r="K54" s="26">
        <f>VLOOKUP(CombinedTable[[#This Row],[Key]], [1]!StatsTable[#Data], 10, FALSE)</f>
        <v>9.3000000000000007</v>
      </c>
      <c r="L54" s="26">
        <f>VLOOKUP(CombinedTable[[#This Row],[Key]], [1]!StatsTable[#Data], 18, FALSE)</f>
        <v>1.4</v>
      </c>
      <c r="M54" s="26">
        <f>VLOOKUP(CombinedTable[[#This Row],[Key]], [1]!StatsTable[#Data], 28, FALSE)</f>
        <v>-2.92</v>
      </c>
    </row>
    <row r="55" spans="1:13" ht="20" customHeight="1" x14ac:dyDescent="0.2">
      <c r="A55" s="18" t="str">
        <f t="shared" si="0"/>
        <v>Albert Sambi Lokonga-2021-2022</v>
      </c>
      <c r="B55" s="19" t="s">
        <v>70</v>
      </c>
      <c r="C55" s="20" t="s">
        <v>75</v>
      </c>
      <c r="D55" s="21">
        <v>50000</v>
      </c>
      <c r="E55" s="21">
        <v>2600000</v>
      </c>
      <c r="F55" s="21">
        <v>2776643</v>
      </c>
      <c r="G55" s="22" t="s">
        <v>20</v>
      </c>
      <c r="H55" s="23">
        <v>22</v>
      </c>
      <c r="I55" s="24" t="s">
        <v>76</v>
      </c>
      <c r="J55" s="25">
        <f>VLOOKUP(CombinedTable[[#This Row],[Key]], [1]!StatsTable[#Data], 8,FALSE)</f>
        <v>1513</v>
      </c>
      <c r="K55" s="26">
        <f>VLOOKUP(CombinedTable[[#This Row],[Key]], [1]!StatsTable[#Data], 10, FALSE)</f>
        <v>37.4</v>
      </c>
      <c r="L55" s="26">
        <f>VLOOKUP(CombinedTable[[#This Row],[Key]], [1]!StatsTable[#Data], 18, FALSE)</f>
        <v>1.67</v>
      </c>
      <c r="M55" s="26">
        <f>VLOOKUP(CombinedTable[[#This Row],[Key]], [1]!StatsTable[#Data], 28, FALSE)</f>
        <v>-0.19</v>
      </c>
    </row>
    <row r="56" spans="1:13" ht="20" customHeight="1" x14ac:dyDescent="0.2">
      <c r="A56" s="18" t="str">
        <f t="shared" si="0"/>
        <v>Eddie Nketiah-2021-2022</v>
      </c>
      <c r="B56" s="19" t="s">
        <v>70</v>
      </c>
      <c r="C56" s="20" t="s">
        <v>56</v>
      </c>
      <c r="D56" s="21">
        <v>45000</v>
      </c>
      <c r="E56" s="21">
        <v>2340000</v>
      </c>
      <c r="F56" s="21">
        <v>2498979</v>
      </c>
      <c r="G56" s="22" t="s">
        <v>15</v>
      </c>
      <c r="H56" s="23">
        <v>22</v>
      </c>
      <c r="I56" s="24" t="s">
        <v>51</v>
      </c>
      <c r="J56" s="25">
        <f>VLOOKUP(CombinedTable[[#This Row],[Key]], [1]!StatsTable[#Data], 8,FALSE)</f>
        <v>1231</v>
      </c>
      <c r="K56" s="26">
        <f>VLOOKUP(CombinedTable[[#This Row],[Key]], [1]!StatsTable[#Data], 10, FALSE)</f>
        <v>30.4</v>
      </c>
      <c r="L56" s="26">
        <f>VLOOKUP(CombinedTable[[#This Row],[Key]], [1]!StatsTable[#Data], 18, FALSE)</f>
        <v>1.74</v>
      </c>
      <c r="M56" s="26">
        <f>VLOOKUP(CombinedTable[[#This Row],[Key]], [1]!StatsTable[#Data], 28, FALSE)</f>
        <v>-0.03</v>
      </c>
    </row>
    <row r="57" spans="1:13" ht="20" customHeight="1" x14ac:dyDescent="0.2">
      <c r="A57" s="18" t="str">
        <f t="shared" si="0"/>
        <v>Rob Holding-2021-2022</v>
      </c>
      <c r="B57" s="19" t="s">
        <v>70</v>
      </c>
      <c r="C57" s="20" t="s">
        <v>57</v>
      </c>
      <c r="D57" s="21">
        <v>40000</v>
      </c>
      <c r="E57" s="21">
        <v>2080000</v>
      </c>
      <c r="F57" s="21">
        <v>2221315</v>
      </c>
      <c r="G57" s="22" t="s">
        <v>29</v>
      </c>
      <c r="H57" s="23">
        <v>26</v>
      </c>
      <c r="I57" s="24" t="s">
        <v>51</v>
      </c>
      <c r="J57" s="25">
        <f>VLOOKUP(CombinedTable[[#This Row],[Key]], [1]!StatsTable[#Data], 8,FALSE)</f>
        <v>1343</v>
      </c>
      <c r="K57" s="26">
        <f>VLOOKUP(CombinedTable[[#This Row],[Key]], [1]!StatsTable[#Data], 10, FALSE)</f>
        <v>33.200000000000003</v>
      </c>
      <c r="L57" s="26">
        <f>VLOOKUP(CombinedTable[[#This Row],[Key]], [1]!StatsTable[#Data], 18, FALSE)</f>
        <v>2.1</v>
      </c>
      <c r="M57" s="26">
        <f>VLOOKUP(CombinedTable[[#This Row],[Key]], [1]!StatsTable[#Data], 28, FALSE)</f>
        <v>-0.37</v>
      </c>
    </row>
    <row r="58" spans="1:13" ht="20" customHeight="1" x14ac:dyDescent="0.2">
      <c r="A58" s="18" t="str">
        <f t="shared" si="0"/>
        <v>Emile Smith Rowe-2021-2022</v>
      </c>
      <c r="B58" s="19" t="s">
        <v>70</v>
      </c>
      <c r="C58" s="20" t="s">
        <v>66</v>
      </c>
      <c r="D58" s="21">
        <v>40000</v>
      </c>
      <c r="E58" s="21">
        <v>2080000</v>
      </c>
      <c r="F58" s="21">
        <v>2221315</v>
      </c>
      <c r="G58" s="22" t="s">
        <v>15</v>
      </c>
      <c r="H58" s="23">
        <v>21</v>
      </c>
      <c r="I58" s="24" t="s">
        <v>51</v>
      </c>
      <c r="J58" s="25">
        <f>VLOOKUP(CombinedTable[[#This Row],[Key]], [1]!StatsTable[#Data], 8,FALSE)</f>
        <v>2175</v>
      </c>
      <c r="K58" s="26">
        <f>VLOOKUP(CombinedTable[[#This Row],[Key]], [1]!StatsTable[#Data], 10, FALSE)</f>
        <v>54.9</v>
      </c>
      <c r="L58" s="26">
        <f>VLOOKUP(CombinedTable[[#This Row],[Key]], [1]!StatsTable[#Data], 18, FALSE)</f>
        <v>1.79</v>
      </c>
      <c r="M58" s="26">
        <f>VLOOKUP(CombinedTable[[#This Row],[Key]], [1]!StatsTable[#Data], 28, FALSE)</f>
        <v>-0.73</v>
      </c>
    </row>
    <row r="59" spans="1:13" ht="20" customHeight="1" x14ac:dyDescent="0.2">
      <c r="A59" s="18" t="str">
        <f t="shared" si="0"/>
        <v>Ainsley Maitland-Niles-2021-2022</v>
      </c>
      <c r="B59" s="19" t="s">
        <v>70</v>
      </c>
      <c r="C59" s="20" t="s">
        <v>59</v>
      </c>
      <c r="D59" s="21">
        <v>35000</v>
      </c>
      <c r="E59" s="21">
        <v>1820000</v>
      </c>
      <c r="F59" s="21">
        <v>1943650</v>
      </c>
      <c r="G59" s="22" t="s">
        <v>20</v>
      </c>
      <c r="H59" s="23">
        <v>24</v>
      </c>
      <c r="I59" s="24" t="s">
        <v>51</v>
      </c>
      <c r="J59" s="25">
        <f>VLOOKUP(CombinedTable[[#This Row],[Key]], [1]!StatsTable[#Data], 8,FALSE)</f>
        <v>478</v>
      </c>
      <c r="K59" s="26">
        <f>VLOOKUP(CombinedTable[[#This Row],[Key]], [1]!StatsTable[#Data], 10, FALSE)</f>
        <v>12.1</v>
      </c>
      <c r="L59" s="26">
        <f>VLOOKUP(CombinedTable[[#This Row],[Key]], [1]!StatsTable[#Data], 18, FALSE)</f>
        <v>2.27</v>
      </c>
      <c r="M59" s="26">
        <f>VLOOKUP(CombinedTable[[#This Row],[Key]], [1]!StatsTable[#Data], 28, FALSE)</f>
        <v>-1.26</v>
      </c>
    </row>
    <row r="60" spans="1:13" ht="20" customHeight="1" x14ac:dyDescent="0.2">
      <c r="A60" s="18" t="str">
        <f t="shared" si="0"/>
        <v>Folarin Balogun-2021-2022</v>
      </c>
      <c r="B60" s="19" t="s">
        <v>70</v>
      </c>
      <c r="C60" s="20" t="s">
        <v>77</v>
      </c>
      <c r="D60" s="21">
        <v>30000</v>
      </c>
      <c r="E60" s="21">
        <v>1560000</v>
      </c>
      <c r="F60" s="21">
        <v>1665986</v>
      </c>
      <c r="G60" s="22" t="s">
        <v>15</v>
      </c>
      <c r="H60" s="23">
        <v>20</v>
      </c>
      <c r="I60" s="24" t="s">
        <v>51</v>
      </c>
      <c r="J60" s="25">
        <f>VLOOKUP(CombinedTable[[#This Row],[Key]], [1]!StatsTable[#Data], 8,FALSE)</f>
        <v>133</v>
      </c>
      <c r="K60" s="26">
        <f>VLOOKUP(CombinedTable[[#This Row],[Key]], [1]!StatsTable[#Data], 10, FALSE)</f>
        <v>3.4</v>
      </c>
      <c r="L60" s="26">
        <f>VLOOKUP(CombinedTable[[#This Row],[Key]], [1]!StatsTable[#Data], 18, FALSE)</f>
        <v>1.5</v>
      </c>
      <c r="M60" s="26">
        <f>VLOOKUP(CombinedTable[[#This Row],[Key]], [1]!StatsTable[#Data], 28, FALSE)</f>
        <v>-1.04</v>
      </c>
    </row>
    <row r="61" spans="1:13" ht="20" customHeight="1" x14ac:dyDescent="0.2">
      <c r="A61" s="18" t="str">
        <f t="shared" si="0"/>
        <v>Nuno Tavares-2021-2022</v>
      </c>
      <c r="B61" s="19" t="s">
        <v>70</v>
      </c>
      <c r="C61" s="20" t="s">
        <v>78</v>
      </c>
      <c r="D61" s="21">
        <v>27000</v>
      </c>
      <c r="E61" s="21">
        <v>1404000</v>
      </c>
      <c r="F61" s="21">
        <v>1499387</v>
      </c>
      <c r="G61" s="22" t="s">
        <v>29</v>
      </c>
      <c r="H61" s="23">
        <v>22</v>
      </c>
      <c r="I61" s="24" t="s">
        <v>48</v>
      </c>
      <c r="J61" s="25">
        <f>VLOOKUP(CombinedTable[[#This Row],[Key]], [1]!StatsTable[#Data], 8,FALSE)</f>
        <v>1505</v>
      </c>
      <c r="K61" s="26">
        <f>VLOOKUP(CombinedTable[[#This Row],[Key]], [1]!StatsTable[#Data], 10, FALSE)</f>
        <v>37.200000000000003</v>
      </c>
      <c r="L61" s="26">
        <f>VLOOKUP(CombinedTable[[#This Row],[Key]], [1]!StatsTable[#Data], 18, FALSE)</f>
        <v>1.86</v>
      </c>
      <c r="M61" s="26">
        <f>VLOOKUP(CombinedTable[[#This Row],[Key]], [1]!StatsTable[#Data], 28, FALSE)</f>
        <v>-0.03</v>
      </c>
    </row>
    <row r="62" spans="1:13" ht="20" customHeight="1" x14ac:dyDescent="0.2">
      <c r="A62" s="18" t="str">
        <f t="shared" si="0"/>
        <v>Arthur Okonkwo-2021-2022</v>
      </c>
      <c r="B62" s="19" t="s">
        <v>70</v>
      </c>
      <c r="C62" s="20" t="s">
        <v>79</v>
      </c>
      <c r="D62" s="21">
        <v>1538</v>
      </c>
      <c r="E62" s="21">
        <v>80000</v>
      </c>
      <c r="F62" s="21">
        <v>85435</v>
      </c>
      <c r="G62" s="22" t="s">
        <v>40</v>
      </c>
      <c r="H62" s="23">
        <v>20</v>
      </c>
      <c r="I62" s="24" t="s">
        <v>51</v>
      </c>
      <c r="J62" s="25">
        <f>VLOOKUP(CombinedTable[[#This Row],[Key]], [1]!StatsTable[#Data], 8,FALSE)</f>
        <v>0</v>
      </c>
      <c r="K62" s="26">
        <f>VLOOKUP(CombinedTable[[#This Row],[Key]], [1]!StatsTable[#Data], 10, FALSE)</f>
        <v>0</v>
      </c>
      <c r="L62" s="26">
        <f>VLOOKUP(CombinedTable[[#This Row],[Key]], [1]!StatsTable[#Data], 18, FALSE)</f>
        <v>0</v>
      </c>
      <c r="M62" s="26">
        <f>VLOOKUP(CombinedTable[[#This Row],[Key]], [1]!StatsTable[#Data], 28, FALSE)</f>
        <v>0</v>
      </c>
    </row>
    <row r="63" spans="1:13" ht="20" customHeight="1" x14ac:dyDescent="0.2">
      <c r="A63" s="18" t="str">
        <f t="shared" si="0"/>
        <v>Gabriel Jesus-2022-2023</v>
      </c>
      <c r="B63" s="19" t="s">
        <v>80</v>
      </c>
      <c r="C63" s="20" t="s">
        <v>81</v>
      </c>
      <c r="D63" s="21">
        <v>265000</v>
      </c>
      <c r="E63" s="21">
        <v>13780000</v>
      </c>
      <c r="F63" s="21">
        <v>13780000</v>
      </c>
      <c r="G63" s="22" t="s">
        <v>15</v>
      </c>
      <c r="H63" s="23">
        <v>25</v>
      </c>
      <c r="I63" s="24" t="s">
        <v>25</v>
      </c>
      <c r="J63" s="25">
        <f>VLOOKUP(CombinedTable[[#This Row],[Key]], [1]!StatsTable[#Data], 8,FALSE)</f>
        <v>2337</v>
      </c>
      <c r="K63" s="26">
        <f>VLOOKUP(CombinedTable[[#This Row],[Key]], [1]!StatsTable[#Data], 10, FALSE)</f>
        <v>54.9</v>
      </c>
      <c r="L63" s="26">
        <f>VLOOKUP(CombinedTable[[#This Row],[Key]], [1]!StatsTable[#Data], 18, FALSE)</f>
        <v>2.15</v>
      </c>
      <c r="M63" s="26">
        <f>VLOOKUP(CombinedTable[[#This Row],[Key]], [1]!StatsTable[#Data], 28, FALSE)</f>
        <v>0.28999999999999998</v>
      </c>
    </row>
    <row r="64" spans="1:13" ht="20" customHeight="1" x14ac:dyDescent="0.2">
      <c r="A64" s="18" t="str">
        <f t="shared" si="0"/>
        <v>Thomas Partey-2022-2023</v>
      </c>
      <c r="B64" s="19" t="s">
        <v>80</v>
      </c>
      <c r="C64" s="20" t="s">
        <v>19</v>
      </c>
      <c r="D64" s="21">
        <v>200000</v>
      </c>
      <c r="E64" s="21">
        <v>10400000</v>
      </c>
      <c r="F64" s="21">
        <v>10400000</v>
      </c>
      <c r="G64" s="22" t="s">
        <v>20</v>
      </c>
      <c r="H64" s="23">
        <v>29</v>
      </c>
      <c r="I64" s="24" t="s">
        <v>21</v>
      </c>
      <c r="J64" s="25">
        <f>VLOOKUP(CombinedTable[[#This Row],[Key]], [1]!StatsTable[#Data], 8,FALSE)</f>
        <v>2698</v>
      </c>
      <c r="K64" s="26">
        <f>VLOOKUP(CombinedTable[[#This Row],[Key]], [1]!StatsTable[#Data], 10, FALSE)</f>
        <v>60.8</v>
      </c>
      <c r="L64" s="26">
        <f>VLOOKUP(CombinedTable[[#This Row],[Key]], [1]!StatsTable[#Data], 18, FALSE)</f>
        <v>2.15</v>
      </c>
      <c r="M64" s="26">
        <f>VLOOKUP(CombinedTable[[#This Row],[Key]], [1]!StatsTable[#Data], 28, FALSE)</f>
        <v>0</v>
      </c>
    </row>
    <row r="65" spans="1:13" ht="20" customHeight="1" x14ac:dyDescent="0.2">
      <c r="A65" s="18" t="str">
        <f t="shared" si="0"/>
        <v>Bukayo Saka-2022-2023</v>
      </c>
      <c r="B65" s="19" t="s">
        <v>80</v>
      </c>
      <c r="C65" s="20" t="s">
        <v>50</v>
      </c>
      <c r="D65" s="21">
        <v>195000</v>
      </c>
      <c r="E65" s="21">
        <v>10140000</v>
      </c>
      <c r="F65" s="21">
        <v>10140000</v>
      </c>
      <c r="G65" s="22" t="s">
        <v>20</v>
      </c>
      <c r="H65" s="23">
        <v>21</v>
      </c>
      <c r="I65" s="24" t="s">
        <v>51</v>
      </c>
      <c r="J65" s="25">
        <f>VLOOKUP(CombinedTable[[#This Row],[Key]], [1]!StatsTable[#Data], 8,FALSE)</f>
        <v>3733</v>
      </c>
      <c r="K65" s="26">
        <f>VLOOKUP(CombinedTable[[#This Row],[Key]], [1]!StatsTable[#Data], 10, FALSE)</f>
        <v>85.8</v>
      </c>
      <c r="L65" s="26">
        <f>VLOOKUP(CombinedTable[[#This Row],[Key]], [1]!StatsTable[#Data], 18, FALSE)</f>
        <v>2.17</v>
      </c>
      <c r="M65" s="26">
        <f>VLOOKUP(CombinedTable[[#This Row],[Key]], [1]!StatsTable[#Data], 28, FALSE)</f>
        <v>-0.66</v>
      </c>
    </row>
    <row r="66" spans="1:13" ht="20" customHeight="1" x14ac:dyDescent="0.2">
      <c r="A66" s="18" t="str">
        <f t="shared" ref="A66:A129" si="1" xml:space="preserve"> C66 &amp; "-" &amp; B66</f>
        <v>Gabriel Martinelli-2022-2023</v>
      </c>
      <c r="B66" s="19" t="s">
        <v>80</v>
      </c>
      <c r="C66" s="20" t="s">
        <v>49</v>
      </c>
      <c r="D66" s="21">
        <v>180000</v>
      </c>
      <c r="E66" s="21">
        <v>9360000</v>
      </c>
      <c r="F66" s="21">
        <v>9360000</v>
      </c>
      <c r="G66" s="22" t="s">
        <v>15</v>
      </c>
      <c r="H66" s="23">
        <v>21</v>
      </c>
      <c r="I66" s="24" t="s">
        <v>25</v>
      </c>
      <c r="J66" s="25">
        <f>VLOOKUP(CombinedTable[[#This Row],[Key]], [1]!StatsTable[#Data], 8,FALSE)</f>
        <v>3427</v>
      </c>
      <c r="K66" s="26">
        <f>VLOOKUP(CombinedTable[[#This Row],[Key]], [1]!StatsTable[#Data], 10, FALSE)</f>
        <v>77.2</v>
      </c>
      <c r="L66" s="26">
        <f>VLOOKUP(CombinedTable[[#This Row],[Key]], [1]!StatsTable[#Data], 18, FALSE)</f>
        <v>2.13</v>
      </c>
      <c r="M66" s="26">
        <f>VLOOKUP(CombinedTable[[#This Row],[Key]], [1]!StatsTable[#Data], 28, FALSE)</f>
        <v>-0.17</v>
      </c>
    </row>
    <row r="67" spans="1:13" ht="20" customHeight="1" x14ac:dyDescent="0.2">
      <c r="A67" s="18" t="str">
        <f t="shared" si="1"/>
        <v>Oleksandr Zinchenko-2022-2023</v>
      </c>
      <c r="B67" s="19" t="s">
        <v>80</v>
      </c>
      <c r="C67" s="20" t="s">
        <v>82</v>
      </c>
      <c r="D67" s="21">
        <v>150000</v>
      </c>
      <c r="E67" s="21">
        <v>7800000</v>
      </c>
      <c r="F67" s="21">
        <v>7800000</v>
      </c>
      <c r="G67" s="22" t="s">
        <v>29</v>
      </c>
      <c r="H67" s="23">
        <v>26</v>
      </c>
      <c r="I67" s="24" t="s">
        <v>83</v>
      </c>
      <c r="J67" s="25">
        <f>VLOOKUP(CombinedTable[[#This Row],[Key]], [1]!StatsTable[#Data], 8,FALSE)</f>
        <v>2396</v>
      </c>
      <c r="K67" s="26">
        <f>VLOOKUP(CombinedTable[[#This Row],[Key]], [1]!StatsTable[#Data], 10, FALSE)</f>
        <v>54</v>
      </c>
      <c r="L67" s="26">
        <f>VLOOKUP(CombinedTable[[#This Row],[Key]], [1]!StatsTable[#Data], 18, FALSE)</f>
        <v>2.09</v>
      </c>
      <c r="M67" s="26">
        <f>VLOOKUP(CombinedTable[[#This Row],[Key]], [1]!StatsTable[#Data], 28, FALSE)</f>
        <v>-0.19</v>
      </c>
    </row>
    <row r="68" spans="1:13" ht="20" customHeight="1" x14ac:dyDescent="0.2">
      <c r="A68" s="18" t="str">
        <f t="shared" si="1"/>
        <v>Aaron Ramsdale-2022-2023</v>
      </c>
      <c r="B68" s="19" t="s">
        <v>80</v>
      </c>
      <c r="C68" s="20" t="s">
        <v>72</v>
      </c>
      <c r="D68" s="21">
        <v>120000</v>
      </c>
      <c r="E68" s="21">
        <v>6240000</v>
      </c>
      <c r="F68" s="21">
        <v>6240000</v>
      </c>
      <c r="G68" s="22" t="s">
        <v>40</v>
      </c>
      <c r="H68" s="23">
        <v>25</v>
      </c>
      <c r="I68" s="24" t="s">
        <v>51</v>
      </c>
      <c r="J68" s="25">
        <f>VLOOKUP(CombinedTable[[#This Row],[Key]], [1]!StatsTable[#Data], 8,FALSE)</f>
        <v>3720</v>
      </c>
      <c r="K68" s="26">
        <f>VLOOKUP(CombinedTable[[#This Row],[Key]], [1]!StatsTable[#Data], 10, FALSE)</f>
        <v>85.5</v>
      </c>
      <c r="L68" s="26">
        <f>VLOOKUP(CombinedTable[[#This Row],[Key]], [1]!StatsTable[#Data], 18, FALSE)</f>
        <v>2.15</v>
      </c>
      <c r="M68" s="26">
        <f>VLOOKUP(CombinedTable[[#This Row],[Key]], [1]!StatsTable[#Data], 28, FALSE)</f>
        <v>-0.34</v>
      </c>
    </row>
    <row r="69" spans="1:13" ht="20" customHeight="1" x14ac:dyDescent="0.2">
      <c r="A69" s="18" t="str">
        <f t="shared" si="1"/>
        <v>Granit Xhaka-2022-2023</v>
      </c>
      <c r="B69" s="19" t="s">
        <v>80</v>
      </c>
      <c r="C69" s="20" t="s">
        <v>37</v>
      </c>
      <c r="D69" s="21">
        <v>120000</v>
      </c>
      <c r="E69" s="21">
        <v>6240000</v>
      </c>
      <c r="F69" s="21">
        <v>6240000</v>
      </c>
      <c r="G69" s="22" t="s">
        <v>20</v>
      </c>
      <c r="H69" s="23">
        <v>30</v>
      </c>
      <c r="I69" s="24" t="s">
        <v>38</v>
      </c>
      <c r="J69" s="25">
        <f>VLOOKUP(CombinedTable[[#This Row],[Key]], [1]!StatsTable[#Data], 8,FALSE)</f>
        <v>3692</v>
      </c>
      <c r="K69" s="26">
        <f>VLOOKUP(CombinedTable[[#This Row],[Key]], [1]!StatsTable[#Data], 10, FALSE)</f>
        <v>83.2</v>
      </c>
      <c r="L69" s="26">
        <f>VLOOKUP(CombinedTable[[#This Row],[Key]], [1]!StatsTable[#Data], 18, FALSE)</f>
        <v>2.13</v>
      </c>
      <c r="M69" s="26">
        <f>VLOOKUP(CombinedTable[[#This Row],[Key]], [1]!StatsTable[#Data], 28, FALSE)</f>
        <v>-0.31</v>
      </c>
    </row>
    <row r="70" spans="1:13" ht="20" customHeight="1" x14ac:dyDescent="0.2">
      <c r="A70" s="18" t="str">
        <f t="shared" si="1"/>
        <v>Ben White-2022-2023</v>
      </c>
      <c r="B70" s="19" t="s">
        <v>80</v>
      </c>
      <c r="C70" s="20" t="s">
        <v>71</v>
      </c>
      <c r="D70" s="21">
        <v>120000</v>
      </c>
      <c r="E70" s="21">
        <v>6240000</v>
      </c>
      <c r="F70" s="21">
        <v>6240000</v>
      </c>
      <c r="G70" s="22" t="s">
        <v>29</v>
      </c>
      <c r="H70" s="23">
        <v>25</v>
      </c>
      <c r="I70" s="24" t="s">
        <v>51</v>
      </c>
      <c r="J70" s="25">
        <f>VLOOKUP(CombinedTable[[#This Row],[Key]], [1]!StatsTable[#Data], 8,FALSE)</f>
        <v>3461</v>
      </c>
      <c r="K70" s="26">
        <f>VLOOKUP(CombinedTable[[#This Row],[Key]], [1]!StatsTable[#Data], 10, FALSE)</f>
        <v>78</v>
      </c>
      <c r="L70" s="26">
        <f>VLOOKUP(CombinedTable[[#This Row],[Key]], [1]!StatsTable[#Data], 18, FALSE)</f>
        <v>2.2000000000000002</v>
      </c>
      <c r="M70" s="26">
        <f>VLOOKUP(CombinedTable[[#This Row],[Key]], [1]!StatsTable[#Data], 28, FALSE)</f>
        <v>-0.21</v>
      </c>
    </row>
    <row r="71" spans="1:13" ht="20" customHeight="1" x14ac:dyDescent="0.2">
      <c r="A71" s="18" t="str">
        <f t="shared" si="1"/>
        <v>Martin Ødegaard-2022-2023</v>
      </c>
      <c r="B71" s="19" t="s">
        <v>80</v>
      </c>
      <c r="C71" s="20" t="s">
        <v>45</v>
      </c>
      <c r="D71" s="21">
        <v>115000</v>
      </c>
      <c r="E71" s="21">
        <v>5980000</v>
      </c>
      <c r="F71" s="21">
        <v>5980000</v>
      </c>
      <c r="G71" s="22" t="s">
        <v>15</v>
      </c>
      <c r="H71" s="23">
        <v>24</v>
      </c>
      <c r="I71" s="24" t="s">
        <v>46</v>
      </c>
      <c r="J71" s="25">
        <f>VLOOKUP(CombinedTable[[#This Row],[Key]], [1]!StatsTable[#Data], 8,FALSE)</f>
        <v>3387</v>
      </c>
      <c r="K71" s="26">
        <f>VLOOKUP(CombinedTable[[#This Row],[Key]], [1]!StatsTable[#Data], 10, FALSE)</f>
        <v>76.3</v>
      </c>
      <c r="L71" s="26">
        <f>VLOOKUP(CombinedTable[[#This Row],[Key]], [1]!StatsTable[#Data], 18, FALSE)</f>
        <v>2.16</v>
      </c>
      <c r="M71" s="26">
        <f>VLOOKUP(CombinedTable[[#This Row],[Key]], [1]!StatsTable[#Data], 28, FALSE)</f>
        <v>0.26</v>
      </c>
    </row>
    <row r="72" spans="1:13" ht="20" customHeight="1" x14ac:dyDescent="0.2">
      <c r="A72" s="18" t="str">
        <f t="shared" si="1"/>
        <v>Jorginho-2022-2023</v>
      </c>
      <c r="B72" s="19" t="s">
        <v>80</v>
      </c>
      <c r="C72" s="20" t="s">
        <v>84</v>
      </c>
      <c r="D72" s="21">
        <v>110000</v>
      </c>
      <c r="E72" s="21">
        <v>5720000</v>
      </c>
      <c r="F72" s="21">
        <v>5720000</v>
      </c>
      <c r="G72" s="22" t="s">
        <v>20</v>
      </c>
      <c r="H72" s="23">
        <v>31</v>
      </c>
      <c r="I72" s="24" t="s">
        <v>85</v>
      </c>
      <c r="J72" s="25">
        <f>VLOOKUP(CombinedTable[[#This Row],[Key]], [1]!StatsTable[#Data], 8,FALSE)</f>
        <v>989</v>
      </c>
      <c r="K72" s="26">
        <f>VLOOKUP(CombinedTable[[#This Row],[Key]], [1]!StatsTable[#Data], 10, FALSE)</f>
        <v>23.7</v>
      </c>
      <c r="L72" s="26">
        <f>VLOOKUP(CombinedTable[[#This Row],[Key]], [1]!StatsTable[#Data], 18, FALSE)</f>
        <v>1.69</v>
      </c>
      <c r="M72" s="26">
        <f>VLOOKUP(CombinedTable[[#This Row],[Key]], [1]!StatsTable[#Data], 28, FALSE)</f>
        <v>-0.41</v>
      </c>
    </row>
    <row r="73" spans="1:13" ht="20" customHeight="1" x14ac:dyDescent="0.2">
      <c r="A73" s="18" t="str">
        <f t="shared" si="1"/>
        <v>Kieran Tierney-2022-2023</v>
      </c>
      <c r="B73" s="19" t="s">
        <v>80</v>
      </c>
      <c r="C73" s="20" t="s">
        <v>28</v>
      </c>
      <c r="D73" s="21">
        <v>110000</v>
      </c>
      <c r="E73" s="21">
        <v>5720000</v>
      </c>
      <c r="F73" s="21">
        <v>5720000</v>
      </c>
      <c r="G73" s="22" t="s">
        <v>29</v>
      </c>
      <c r="H73" s="23">
        <v>25</v>
      </c>
      <c r="I73" s="24" t="s">
        <v>30</v>
      </c>
      <c r="J73" s="25">
        <f>VLOOKUP(CombinedTable[[#This Row],[Key]], [1]!StatsTable[#Data], 8,FALSE)</f>
        <v>1471</v>
      </c>
      <c r="K73" s="26">
        <f>VLOOKUP(CombinedTable[[#This Row],[Key]], [1]!StatsTable[#Data], 10, FALSE)</f>
        <v>33.1</v>
      </c>
      <c r="L73" s="26">
        <f>VLOOKUP(CombinedTable[[#This Row],[Key]], [1]!StatsTable[#Data], 18, FALSE)</f>
        <v>2.42</v>
      </c>
      <c r="M73" s="26">
        <f>VLOOKUP(CombinedTable[[#This Row],[Key]], [1]!StatsTable[#Data], 28, FALSE)</f>
        <v>-0.04</v>
      </c>
    </row>
    <row r="74" spans="1:13" ht="20" customHeight="1" x14ac:dyDescent="0.2">
      <c r="A74" s="18" t="str">
        <f t="shared" si="1"/>
        <v>Eddie Nketiah-2022-2023</v>
      </c>
      <c r="B74" s="19" t="s">
        <v>80</v>
      </c>
      <c r="C74" s="20" t="s">
        <v>56</v>
      </c>
      <c r="D74" s="21">
        <v>100000</v>
      </c>
      <c r="E74" s="21">
        <v>5200000</v>
      </c>
      <c r="F74" s="21">
        <v>5200000</v>
      </c>
      <c r="G74" s="22" t="s">
        <v>15</v>
      </c>
      <c r="H74" s="23">
        <v>23</v>
      </c>
      <c r="I74" s="24" t="s">
        <v>51</v>
      </c>
      <c r="J74" s="25">
        <f>VLOOKUP(CombinedTable[[#This Row],[Key]], [1]!StatsTable[#Data], 8,FALSE)</f>
        <v>1877</v>
      </c>
      <c r="K74" s="26">
        <f>VLOOKUP(CombinedTable[[#This Row],[Key]], [1]!StatsTable[#Data], 10, FALSE)</f>
        <v>42.3</v>
      </c>
      <c r="L74" s="26">
        <f>VLOOKUP(CombinedTable[[#This Row],[Key]], [1]!StatsTable[#Data], 18, FALSE)</f>
        <v>2.0499999999999998</v>
      </c>
      <c r="M74" s="26">
        <f>VLOOKUP(CombinedTable[[#This Row],[Key]], [1]!StatsTable[#Data], 28, FALSE)</f>
        <v>0.31</v>
      </c>
    </row>
    <row r="75" spans="1:13" ht="20" customHeight="1" x14ac:dyDescent="0.2">
      <c r="A75" s="18" t="str">
        <f t="shared" si="1"/>
        <v>Gabriel Magalhães-2022-2023</v>
      </c>
      <c r="B75" s="19" t="s">
        <v>80</v>
      </c>
      <c r="C75" s="20" t="s">
        <v>54</v>
      </c>
      <c r="D75" s="21">
        <v>100000</v>
      </c>
      <c r="E75" s="21">
        <v>5200000</v>
      </c>
      <c r="F75" s="21">
        <v>5200000</v>
      </c>
      <c r="G75" s="22" t="s">
        <v>29</v>
      </c>
      <c r="H75" s="23">
        <v>25</v>
      </c>
      <c r="I75" s="24" t="s">
        <v>25</v>
      </c>
      <c r="J75" s="25">
        <f>VLOOKUP(CombinedTable[[#This Row],[Key]], [1]!StatsTable[#Data], 8,FALSE)</f>
        <v>4134</v>
      </c>
      <c r="K75" s="26">
        <f>VLOOKUP(CombinedTable[[#This Row],[Key]], [1]!StatsTable[#Data], 10, FALSE)</f>
        <v>93.1</v>
      </c>
      <c r="L75" s="26">
        <f>VLOOKUP(CombinedTable[[#This Row],[Key]], [1]!StatsTable[#Data], 18, FALSE)</f>
        <v>2.1</v>
      </c>
      <c r="M75" s="26">
        <f>VLOOKUP(CombinedTable[[#This Row],[Key]], [1]!StatsTable[#Data], 28, FALSE)</f>
        <v>1.01</v>
      </c>
    </row>
    <row r="76" spans="1:13" ht="20" customHeight="1" x14ac:dyDescent="0.2">
      <c r="A76" s="18" t="str">
        <f t="shared" si="1"/>
        <v>Leandro Trossard-2022-2023</v>
      </c>
      <c r="B76" s="19" t="s">
        <v>80</v>
      </c>
      <c r="C76" s="20" t="s">
        <v>86</v>
      </c>
      <c r="D76" s="21">
        <v>90000</v>
      </c>
      <c r="E76" s="21">
        <v>4680000</v>
      </c>
      <c r="F76" s="21">
        <v>4680000</v>
      </c>
      <c r="G76" s="22" t="s">
        <v>15</v>
      </c>
      <c r="H76" s="23">
        <v>28</v>
      </c>
      <c r="I76" s="24" t="s">
        <v>76</v>
      </c>
      <c r="J76" s="25">
        <f>VLOOKUP(CombinedTable[[#This Row],[Key]], [1]!StatsTable[#Data], 8,FALSE)</f>
        <v>1071</v>
      </c>
      <c r="K76" s="26">
        <f>VLOOKUP(CombinedTable[[#This Row],[Key]], [1]!StatsTable[#Data], 10, FALSE)</f>
        <v>24.6</v>
      </c>
      <c r="L76" s="26">
        <f>VLOOKUP(CombinedTable[[#This Row],[Key]], [1]!StatsTable[#Data], 18, FALSE)</f>
        <v>1.73</v>
      </c>
      <c r="M76" s="26">
        <f>VLOOKUP(CombinedTable[[#This Row],[Key]], [1]!StatsTable[#Data], 28, FALSE)</f>
        <v>-0.01</v>
      </c>
    </row>
    <row r="77" spans="1:13" ht="20" customHeight="1" x14ac:dyDescent="0.2">
      <c r="A77" s="18" t="str">
        <f t="shared" si="1"/>
        <v>Cédric Soares-2022-2023</v>
      </c>
      <c r="B77" s="19" t="s">
        <v>80</v>
      </c>
      <c r="C77" s="20" t="s">
        <v>47</v>
      </c>
      <c r="D77" s="21">
        <v>75000</v>
      </c>
      <c r="E77" s="21">
        <v>3900000</v>
      </c>
      <c r="F77" s="21">
        <v>3900000</v>
      </c>
      <c r="G77" s="22" t="s">
        <v>29</v>
      </c>
      <c r="H77" s="23">
        <v>31</v>
      </c>
      <c r="I77" s="24" t="s">
        <v>48</v>
      </c>
      <c r="J77" s="25">
        <f>VLOOKUP(CombinedTable[[#This Row],[Key]], [1]!StatsTable[#Data], 8,FALSE)</f>
        <v>122</v>
      </c>
      <c r="K77" s="26">
        <f>VLOOKUP(CombinedTable[[#This Row],[Key]], [1]!StatsTable[#Data], 10, FALSE)</f>
        <v>2.9</v>
      </c>
      <c r="L77" s="26">
        <f>VLOOKUP(CombinedTable[[#This Row],[Key]], [1]!StatsTable[#Data], 18, FALSE)</f>
        <v>2.25</v>
      </c>
      <c r="M77" s="26">
        <f>VLOOKUP(CombinedTable[[#This Row],[Key]], [1]!StatsTable[#Data], 28, FALSE)</f>
        <v>0.87</v>
      </c>
    </row>
    <row r="78" spans="1:13" ht="20" customHeight="1" x14ac:dyDescent="0.2">
      <c r="A78" s="18" t="str">
        <f t="shared" si="1"/>
        <v>Reiss Nelson-2022-2023</v>
      </c>
      <c r="B78" s="19" t="s">
        <v>80</v>
      </c>
      <c r="C78" s="20" t="s">
        <v>65</v>
      </c>
      <c r="D78" s="21">
        <v>60000</v>
      </c>
      <c r="E78" s="21">
        <v>3120000</v>
      </c>
      <c r="F78" s="21">
        <v>3120000</v>
      </c>
      <c r="G78" s="22" t="s">
        <v>15</v>
      </c>
      <c r="H78" s="23">
        <v>23</v>
      </c>
      <c r="I78" s="24" t="s">
        <v>51</v>
      </c>
      <c r="J78" s="25">
        <f>VLOOKUP(CombinedTable[[#This Row],[Key]], [1]!StatsTable[#Data], 8,FALSE)</f>
        <v>600</v>
      </c>
      <c r="K78" s="26">
        <f>VLOOKUP(CombinedTable[[#This Row],[Key]], [1]!StatsTable[#Data], 10, FALSE)</f>
        <v>14.1</v>
      </c>
      <c r="L78" s="26">
        <f>VLOOKUP(CombinedTable[[#This Row],[Key]], [1]!StatsTable[#Data], 18, FALSE)</f>
        <v>2.0499999999999998</v>
      </c>
      <c r="M78" s="26">
        <f>VLOOKUP(CombinedTable[[#This Row],[Key]], [1]!StatsTable[#Data], 28, FALSE)</f>
        <v>0.01</v>
      </c>
    </row>
    <row r="79" spans="1:13" ht="20" customHeight="1" x14ac:dyDescent="0.2">
      <c r="A79" s="18" t="str">
        <f t="shared" si="1"/>
        <v>Jakub Kiwior-2022-2023</v>
      </c>
      <c r="B79" s="19" t="s">
        <v>80</v>
      </c>
      <c r="C79" s="20" t="s">
        <v>87</v>
      </c>
      <c r="D79" s="21">
        <v>58000</v>
      </c>
      <c r="E79" s="21">
        <v>3016000</v>
      </c>
      <c r="F79" s="21">
        <v>3016000</v>
      </c>
      <c r="G79" s="22" t="s">
        <v>29</v>
      </c>
      <c r="H79" s="23">
        <v>22</v>
      </c>
      <c r="I79" s="24" t="s">
        <v>88</v>
      </c>
      <c r="J79" s="25">
        <f>VLOOKUP(CombinedTable[[#This Row],[Key]], [1]!StatsTable[#Data], 8,FALSE)</f>
        <v>497</v>
      </c>
      <c r="K79" s="26">
        <f>VLOOKUP(CombinedTable[[#This Row],[Key]], [1]!StatsTable[#Data], 10, FALSE)</f>
        <v>11.4</v>
      </c>
      <c r="L79" s="26">
        <f>VLOOKUP(CombinedTable[[#This Row],[Key]], [1]!StatsTable[#Data], 18, FALSE)</f>
        <v>1.75</v>
      </c>
      <c r="M79" s="26">
        <f>VLOOKUP(CombinedTable[[#This Row],[Key]], [1]!StatsTable[#Data], 28, FALSE)</f>
        <v>-0.96</v>
      </c>
    </row>
    <row r="80" spans="1:13" ht="20" customHeight="1" x14ac:dyDescent="0.2">
      <c r="A80" s="18" t="str">
        <f t="shared" si="1"/>
        <v>Takehiro Tomiyasu-2022-2023</v>
      </c>
      <c r="B80" s="19" t="s">
        <v>80</v>
      </c>
      <c r="C80" s="20" t="s">
        <v>73</v>
      </c>
      <c r="D80" s="21">
        <v>55000</v>
      </c>
      <c r="E80" s="21">
        <v>2860000</v>
      </c>
      <c r="F80" s="21">
        <v>2860000</v>
      </c>
      <c r="G80" s="22" t="s">
        <v>29</v>
      </c>
      <c r="H80" s="23">
        <v>24</v>
      </c>
      <c r="I80" s="24" t="s">
        <v>74</v>
      </c>
      <c r="J80" s="25">
        <f>VLOOKUP(CombinedTable[[#This Row],[Key]], [1]!StatsTable[#Data], 8,FALSE)</f>
        <v>1233</v>
      </c>
      <c r="K80" s="26">
        <f>VLOOKUP(CombinedTable[[#This Row],[Key]], [1]!StatsTable[#Data], 10, FALSE)</f>
        <v>28.3</v>
      </c>
      <c r="L80" s="26">
        <f>VLOOKUP(CombinedTable[[#This Row],[Key]], [1]!StatsTable[#Data], 18, FALSE)</f>
        <v>2.2599999999999998</v>
      </c>
      <c r="M80" s="26">
        <f>VLOOKUP(CombinedTable[[#This Row],[Key]], [1]!StatsTable[#Data], 28, FALSE)</f>
        <v>0.21</v>
      </c>
    </row>
    <row r="81" spans="1:13" ht="20" customHeight="1" x14ac:dyDescent="0.2">
      <c r="A81" s="18" t="str">
        <f t="shared" si="1"/>
        <v>Mohamed Elneny-2022-2023</v>
      </c>
      <c r="B81" s="19" t="s">
        <v>80</v>
      </c>
      <c r="C81" s="20" t="s">
        <v>52</v>
      </c>
      <c r="D81" s="21">
        <v>55000</v>
      </c>
      <c r="E81" s="21">
        <v>2860000</v>
      </c>
      <c r="F81" s="21">
        <v>2860000</v>
      </c>
      <c r="G81" s="22" t="s">
        <v>20</v>
      </c>
      <c r="H81" s="23">
        <v>30</v>
      </c>
      <c r="I81" s="24" t="s">
        <v>53</v>
      </c>
      <c r="J81" s="25">
        <f>VLOOKUP(CombinedTable[[#This Row],[Key]], [1]!StatsTable[#Data], 8,FALSE)</f>
        <v>354</v>
      </c>
      <c r="K81" s="26">
        <f>VLOOKUP(CombinedTable[[#This Row],[Key]], [1]!StatsTable[#Data], 10, FALSE)</f>
        <v>8</v>
      </c>
      <c r="L81" s="26">
        <f>VLOOKUP(CombinedTable[[#This Row],[Key]], [1]!StatsTable[#Data], 18, FALSE)</f>
        <v>2.63</v>
      </c>
      <c r="M81" s="26">
        <f>VLOOKUP(CombinedTable[[#This Row],[Key]], [1]!StatsTable[#Data], 28, FALSE)</f>
        <v>0.48</v>
      </c>
    </row>
    <row r="82" spans="1:13" ht="20" customHeight="1" x14ac:dyDescent="0.2">
      <c r="A82" s="18" t="str">
        <f t="shared" si="1"/>
        <v>Albert Sambi Lokonga-2022-2023</v>
      </c>
      <c r="B82" s="19" t="s">
        <v>80</v>
      </c>
      <c r="C82" s="20" t="s">
        <v>75</v>
      </c>
      <c r="D82" s="21">
        <v>50000</v>
      </c>
      <c r="E82" s="21">
        <v>2600000</v>
      </c>
      <c r="F82" s="21">
        <v>2600000</v>
      </c>
      <c r="G82" s="22" t="s">
        <v>20</v>
      </c>
      <c r="H82" s="23">
        <v>22</v>
      </c>
      <c r="I82" s="24" t="s">
        <v>76</v>
      </c>
      <c r="J82" s="25">
        <f>VLOOKUP(CombinedTable[[#This Row],[Key]], [1]!StatsTable[#Data], 8,FALSE)</f>
        <v>858</v>
      </c>
      <c r="K82" s="26">
        <f>VLOOKUP(CombinedTable[[#This Row],[Key]], [1]!StatsTable[#Data], 10, FALSE)</f>
        <v>19.3</v>
      </c>
      <c r="L82" s="26">
        <f>VLOOKUP(CombinedTable[[#This Row],[Key]], [1]!StatsTable[#Data], 18, FALSE)</f>
        <v>2.2000000000000002</v>
      </c>
      <c r="M82" s="26">
        <f>VLOOKUP(CombinedTable[[#This Row],[Key]], [1]!StatsTable[#Data], 28, FALSE)</f>
        <v>0.52</v>
      </c>
    </row>
    <row r="83" spans="1:13" ht="20" customHeight="1" x14ac:dyDescent="0.2">
      <c r="A83" s="18" t="str">
        <f t="shared" si="1"/>
        <v>Fábio Vieira-2022-2023</v>
      </c>
      <c r="B83" s="19" t="s">
        <v>80</v>
      </c>
      <c r="C83" s="20" t="s">
        <v>89</v>
      </c>
      <c r="D83" s="21">
        <v>45000</v>
      </c>
      <c r="E83" s="21">
        <v>2340000</v>
      </c>
      <c r="F83" s="21">
        <v>2340000</v>
      </c>
      <c r="G83" s="22" t="s">
        <v>15</v>
      </c>
      <c r="H83" s="23">
        <v>22</v>
      </c>
      <c r="I83" s="24" t="s">
        <v>48</v>
      </c>
      <c r="J83" s="25">
        <f>VLOOKUP(CombinedTable[[#This Row],[Key]], [1]!StatsTable[#Data], 8,FALSE)</f>
        <v>1421</v>
      </c>
      <c r="K83" s="26">
        <f>VLOOKUP(CombinedTable[[#This Row],[Key]], [1]!StatsTable[#Data], 10, FALSE)</f>
        <v>32</v>
      </c>
      <c r="L83" s="26">
        <f>VLOOKUP(CombinedTable[[#This Row],[Key]], [1]!StatsTable[#Data], 18, FALSE)</f>
        <v>2</v>
      </c>
      <c r="M83" s="26">
        <f>VLOOKUP(CombinedTable[[#This Row],[Key]], [1]!StatsTable[#Data], 28, FALSE)</f>
        <v>0.31</v>
      </c>
    </row>
    <row r="84" spans="1:13" ht="20" customHeight="1" x14ac:dyDescent="0.2">
      <c r="A84" s="18" t="str">
        <f t="shared" si="1"/>
        <v>Rob Holding-2022-2023</v>
      </c>
      <c r="B84" s="19" t="s">
        <v>80</v>
      </c>
      <c r="C84" s="20" t="s">
        <v>57</v>
      </c>
      <c r="D84" s="21">
        <v>40000</v>
      </c>
      <c r="E84" s="21">
        <v>2080000</v>
      </c>
      <c r="F84" s="21">
        <v>2080000</v>
      </c>
      <c r="G84" s="22" t="s">
        <v>29</v>
      </c>
      <c r="H84" s="23">
        <v>27</v>
      </c>
      <c r="I84" s="24" t="s">
        <v>51</v>
      </c>
      <c r="J84" s="25">
        <f>VLOOKUP(CombinedTable[[#This Row],[Key]], [1]!StatsTable[#Data], 8,FALSE)</f>
        <v>1404</v>
      </c>
      <c r="K84" s="26">
        <f>VLOOKUP(CombinedTable[[#This Row],[Key]], [1]!StatsTable[#Data], 10, FALSE)</f>
        <v>31.6</v>
      </c>
      <c r="L84" s="26">
        <f>VLOOKUP(CombinedTable[[#This Row],[Key]], [1]!StatsTable[#Data], 18, FALSE)</f>
        <v>2.17</v>
      </c>
      <c r="M84" s="26">
        <f>VLOOKUP(CombinedTable[[#This Row],[Key]], [1]!StatsTable[#Data], 28, FALSE)</f>
        <v>-0.08</v>
      </c>
    </row>
    <row r="85" spans="1:13" ht="20" customHeight="1" x14ac:dyDescent="0.2">
      <c r="A85" s="18" t="str">
        <f t="shared" si="1"/>
        <v>William Saliba-2022-2023</v>
      </c>
      <c r="B85" s="19" t="s">
        <v>80</v>
      </c>
      <c r="C85" s="20" t="s">
        <v>58</v>
      </c>
      <c r="D85" s="21">
        <v>40000</v>
      </c>
      <c r="E85" s="21">
        <v>2080000</v>
      </c>
      <c r="F85" s="21">
        <v>2080000</v>
      </c>
      <c r="G85" s="22" t="s">
        <v>29</v>
      </c>
      <c r="H85" s="23">
        <v>21</v>
      </c>
      <c r="I85" s="24" t="s">
        <v>23</v>
      </c>
      <c r="J85" s="25">
        <f>VLOOKUP(CombinedTable[[#This Row],[Key]], [1]!StatsTable[#Data], 8,FALSE)</f>
        <v>2812</v>
      </c>
      <c r="K85" s="26">
        <f>VLOOKUP(CombinedTable[[#This Row],[Key]], [1]!StatsTable[#Data], 10, FALSE)</f>
        <v>63.3</v>
      </c>
      <c r="L85" s="26">
        <f>VLOOKUP(CombinedTable[[#This Row],[Key]], [1]!StatsTable[#Data], 18, FALSE)</f>
        <v>2.15</v>
      </c>
      <c r="M85" s="26">
        <f>VLOOKUP(CombinedTable[[#This Row],[Key]], [1]!StatsTable[#Data], 28, FALSE)</f>
        <v>0.18</v>
      </c>
    </row>
    <row r="86" spans="1:13" ht="20" customHeight="1" x14ac:dyDescent="0.2">
      <c r="A86" s="18" t="str">
        <f t="shared" si="1"/>
        <v>Emile Smith Rowe-2022-2023</v>
      </c>
      <c r="B86" s="19" t="s">
        <v>80</v>
      </c>
      <c r="C86" s="20" t="s">
        <v>66</v>
      </c>
      <c r="D86" s="21">
        <v>40000</v>
      </c>
      <c r="E86" s="21">
        <v>2080000</v>
      </c>
      <c r="F86" s="21">
        <v>2080000</v>
      </c>
      <c r="G86" s="22" t="s">
        <v>15</v>
      </c>
      <c r="H86" s="23">
        <v>22</v>
      </c>
      <c r="I86" s="24" t="s">
        <v>51</v>
      </c>
      <c r="J86" s="25">
        <f>VLOOKUP(CombinedTable[[#This Row],[Key]], [1]!StatsTable[#Data], 8,FALSE)</f>
        <v>208</v>
      </c>
      <c r="K86" s="26">
        <f>VLOOKUP(CombinedTable[[#This Row],[Key]], [1]!StatsTable[#Data], 10, FALSE)</f>
        <v>4.8</v>
      </c>
      <c r="L86" s="26">
        <f>VLOOKUP(CombinedTable[[#This Row],[Key]], [1]!StatsTable[#Data], 18, FALSE)</f>
        <v>2.21</v>
      </c>
      <c r="M86" s="26">
        <f>VLOOKUP(CombinedTable[[#This Row],[Key]], [1]!StatsTable[#Data], 28, FALSE)</f>
        <v>-0.66</v>
      </c>
    </row>
    <row r="87" spans="1:13" ht="20" customHeight="1" x14ac:dyDescent="0.2">
      <c r="A87" s="18" t="str">
        <f t="shared" si="1"/>
        <v>Matt Turner-2022-2023</v>
      </c>
      <c r="B87" s="19" t="s">
        <v>80</v>
      </c>
      <c r="C87" s="20" t="s">
        <v>90</v>
      </c>
      <c r="D87" s="21">
        <v>35000</v>
      </c>
      <c r="E87" s="21">
        <v>1820000</v>
      </c>
      <c r="F87" s="21">
        <v>1820000</v>
      </c>
      <c r="G87" s="22" t="s">
        <v>40</v>
      </c>
      <c r="H87" s="23">
        <v>28</v>
      </c>
      <c r="I87" s="24" t="s">
        <v>91</v>
      </c>
      <c r="J87" s="25">
        <f>VLOOKUP(CombinedTable[[#This Row],[Key]], [1]!StatsTable[#Data], 8,FALSE)</f>
        <v>630</v>
      </c>
      <c r="K87" s="26">
        <f>VLOOKUP(CombinedTable[[#This Row],[Key]], [1]!StatsTable[#Data], 10, FALSE)</f>
        <v>14.2</v>
      </c>
      <c r="L87" s="26">
        <f>VLOOKUP(CombinedTable[[#This Row],[Key]], [1]!StatsTable[#Data], 18, FALSE)</f>
        <v>2.29</v>
      </c>
      <c r="M87" s="26">
        <f>VLOOKUP(CombinedTable[[#This Row],[Key]], [1]!StatsTable[#Data], 28, FALSE)</f>
        <v>0.53</v>
      </c>
    </row>
    <row r="88" spans="1:13" ht="20" customHeight="1" x14ac:dyDescent="0.2">
      <c r="A88" s="18" t="str">
        <f t="shared" si="1"/>
        <v>Marquinhos-2022-2023</v>
      </c>
      <c r="B88" s="19" t="s">
        <v>80</v>
      </c>
      <c r="C88" s="20" t="s">
        <v>92</v>
      </c>
      <c r="D88" s="21">
        <v>30000</v>
      </c>
      <c r="E88" s="21">
        <v>1560000</v>
      </c>
      <c r="F88" s="21">
        <v>1560000</v>
      </c>
      <c r="G88" s="22" t="s">
        <v>15</v>
      </c>
      <c r="H88" s="23">
        <v>19</v>
      </c>
      <c r="I88" s="24" t="s">
        <v>25</v>
      </c>
      <c r="J88" s="25">
        <f>VLOOKUP(CombinedTable[[#This Row],[Key]], [1]!StatsTable[#Data], 8,FALSE)</f>
        <v>217</v>
      </c>
      <c r="K88" s="26">
        <f>VLOOKUP(CombinedTable[[#This Row],[Key]], [1]!StatsTable[#Data], 10, FALSE)</f>
        <v>4.9000000000000004</v>
      </c>
      <c r="L88" s="26">
        <f>VLOOKUP(CombinedTable[[#This Row],[Key]], [1]!StatsTable[#Data], 18, FALSE)</f>
        <v>2.5</v>
      </c>
      <c r="M88" s="26">
        <f>VLOOKUP(CombinedTable[[#This Row],[Key]], [1]!StatsTable[#Data], 28, FALSE)</f>
        <v>0.94</v>
      </c>
    </row>
    <row r="89" spans="1:13" ht="20" customHeight="1" x14ac:dyDescent="0.2">
      <c r="A89" s="18" t="str">
        <f t="shared" si="1"/>
        <v>Kai Havertz-2023-2024</v>
      </c>
      <c r="B89" s="19" t="s">
        <v>93</v>
      </c>
      <c r="C89" s="20" t="s">
        <v>94</v>
      </c>
      <c r="D89" s="21">
        <v>280000</v>
      </c>
      <c r="E89" s="21">
        <v>14560000</v>
      </c>
      <c r="F89" s="21">
        <v>14560000</v>
      </c>
      <c r="G89" s="22" t="s">
        <v>15</v>
      </c>
      <c r="H89" s="23">
        <v>24</v>
      </c>
      <c r="I89" s="24" t="s">
        <v>16</v>
      </c>
      <c r="J89" s="25">
        <f>VLOOKUP(CombinedTable[[#This Row],[Key]], [1]!StatsTable[#Data], 8,FALSE)</f>
        <v>3817</v>
      </c>
      <c r="K89" s="26">
        <f>VLOOKUP(CombinedTable[[#This Row],[Key]], [1]!StatsTable[#Data], 10, FALSE)</f>
        <v>81</v>
      </c>
      <c r="L89" s="26">
        <f>VLOOKUP(CombinedTable[[#This Row],[Key]], [1]!StatsTable[#Data], 18, FALSE)</f>
        <v>2.16</v>
      </c>
      <c r="M89" s="26">
        <f>VLOOKUP(CombinedTable[[#This Row],[Key]], [1]!StatsTable[#Data], 28, FALSE)</f>
        <v>0.19</v>
      </c>
    </row>
    <row r="90" spans="1:13" ht="20" customHeight="1" x14ac:dyDescent="0.2">
      <c r="A90" s="18" t="str">
        <f t="shared" si="1"/>
        <v>Gabriel Jesus-2023-2024</v>
      </c>
      <c r="B90" s="19" t="s">
        <v>93</v>
      </c>
      <c r="C90" s="20" t="s">
        <v>81</v>
      </c>
      <c r="D90" s="21">
        <v>265000</v>
      </c>
      <c r="E90" s="21">
        <v>13780000</v>
      </c>
      <c r="F90" s="21">
        <v>13780000</v>
      </c>
      <c r="G90" s="22" t="s">
        <v>15</v>
      </c>
      <c r="H90" s="23">
        <v>26</v>
      </c>
      <c r="I90" s="24" t="s">
        <v>25</v>
      </c>
      <c r="J90" s="25">
        <f>VLOOKUP(CombinedTable[[#This Row],[Key]], [1]!StatsTable[#Data], 8,FALSE)</f>
        <v>1907</v>
      </c>
      <c r="K90" s="26">
        <f>VLOOKUP(CombinedTable[[#This Row],[Key]], [1]!StatsTable[#Data], 10, FALSE)</f>
        <v>42.1</v>
      </c>
      <c r="L90" s="26">
        <f>VLOOKUP(CombinedTable[[#This Row],[Key]], [1]!StatsTable[#Data], 18, FALSE)</f>
        <v>2.11</v>
      </c>
      <c r="M90" s="26">
        <f>VLOOKUP(CombinedTable[[#This Row],[Key]], [1]!StatsTable[#Data], 28, FALSE)</f>
        <v>0.18</v>
      </c>
    </row>
    <row r="91" spans="1:13" ht="20" customHeight="1" x14ac:dyDescent="0.2">
      <c r="A91" s="18" t="str">
        <f t="shared" si="1"/>
        <v>Declan Rice-2023-2024</v>
      </c>
      <c r="B91" s="19" t="s">
        <v>93</v>
      </c>
      <c r="C91" s="20" t="s">
        <v>95</v>
      </c>
      <c r="D91" s="21">
        <v>240000</v>
      </c>
      <c r="E91" s="21">
        <v>12480000</v>
      </c>
      <c r="F91" s="21">
        <v>12480000</v>
      </c>
      <c r="G91" s="22" t="s">
        <v>20</v>
      </c>
      <c r="H91" s="23">
        <v>25</v>
      </c>
      <c r="I91" s="24" t="s">
        <v>51</v>
      </c>
      <c r="J91" s="25">
        <f>VLOOKUP(CombinedTable[[#This Row],[Key]], [1]!StatsTable[#Data], 8,FALSE)</f>
        <v>4267</v>
      </c>
      <c r="K91" s="26">
        <f>VLOOKUP(CombinedTable[[#This Row],[Key]], [1]!StatsTable[#Data], 10, FALSE)</f>
        <v>90.6</v>
      </c>
      <c r="L91" s="26">
        <f>VLOOKUP(CombinedTable[[#This Row],[Key]], [1]!StatsTable[#Data], 18, FALSE)</f>
        <v>2.1</v>
      </c>
      <c r="M91" s="26">
        <f>VLOOKUP(CombinedTable[[#This Row],[Key]], [1]!StatsTable[#Data], 28, FALSE)</f>
        <v>0.2</v>
      </c>
    </row>
    <row r="92" spans="1:13" ht="20" customHeight="1" x14ac:dyDescent="0.2">
      <c r="A92" s="18" t="str">
        <f t="shared" si="1"/>
        <v>Martin Ødegaard-2023-2024</v>
      </c>
      <c r="B92" s="19" t="s">
        <v>93</v>
      </c>
      <c r="C92" s="20" t="s">
        <v>45</v>
      </c>
      <c r="D92" s="21">
        <v>240000</v>
      </c>
      <c r="E92" s="21">
        <v>12480000</v>
      </c>
      <c r="F92" s="21">
        <v>12480000</v>
      </c>
      <c r="G92" s="22" t="s">
        <v>15</v>
      </c>
      <c r="H92" s="23">
        <v>25</v>
      </c>
      <c r="I92" s="24" t="s">
        <v>46</v>
      </c>
      <c r="J92" s="25">
        <f>VLOOKUP(CombinedTable[[#This Row],[Key]], [1]!StatsTable[#Data], 8,FALSE)</f>
        <v>4041</v>
      </c>
      <c r="K92" s="26">
        <f>VLOOKUP(CombinedTable[[#This Row],[Key]], [1]!StatsTable[#Data], 10, FALSE)</f>
        <v>85.8</v>
      </c>
      <c r="L92" s="26">
        <f>VLOOKUP(CombinedTable[[#This Row],[Key]], [1]!StatsTable[#Data], 18, FALSE)</f>
        <v>2.1</v>
      </c>
      <c r="M92" s="26">
        <f>VLOOKUP(CombinedTable[[#This Row],[Key]], [1]!StatsTable[#Data], 28, FALSE)</f>
        <v>0.22</v>
      </c>
    </row>
    <row r="93" spans="1:13" ht="20" customHeight="1" x14ac:dyDescent="0.2">
      <c r="A93" s="18" t="str">
        <f t="shared" si="1"/>
        <v>Thomas Partey-2023-2024</v>
      </c>
      <c r="B93" s="19" t="s">
        <v>93</v>
      </c>
      <c r="C93" s="20" t="s">
        <v>19</v>
      </c>
      <c r="D93" s="21">
        <v>200000</v>
      </c>
      <c r="E93" s="21">
        <v>10400000</v>
      </c>
      <c r="F93" s="21">
        <v>10400000</v>
      </c>
      <c r="G93" s="22" t="s">
        <v>20</v>
      </c>
      <c r="H93" s="23">
        <v>30</v>
      </c>
      <c r="I93" s="24" t="s">
        <v>21</v>
      </c>
      <c r="J93" s="25">
        <f>VLOOKUP(CombinedTable[[#This Row],[Key]], [1]!StatsTable[#Data], 8,FALSE)</f>
        <v>883</v>
      </c>
      <c r="K93" s="26">
        <f>VLOOKUP(CombinedTable[[#This Row],[Key]], [1]!StatsTable[#Data], 10, FALSE)</f>
        <v>19.899999999999999</v>
      </c>
      <c r="L93" s="26">
        <f>VLOOKUP(CombinedTable[[#This Row],[Key]], [1]!StatsTable[#Data], 18, FALSE)</f>
        <v>2.5</v>
      </c>
      <c r="M93" s="26">
        <f>VLOOKUP(CombinedTable[[#This Row],[Key]], [1]!StatsTable[#Data], 28, FALSE)</f>
        <v>-0.45</v>
      </c>
    </row>
    <row r="94" spans="1:13" ht="20" customHeight="1" x14ac:dyDescent="0.2">
      <c r="A94" s="18" t="str">
        <f t="shared" si="1"/>
        <v>Bukayo Saka-2023-2024</v>
      </c>
      <c r="B94" s="19" t="s">
        <v>93</v>
      </c>
      <c r="C94" s="20" t="s">
        <v>50</v>
      </c>
      <c r="D94" s="21">
        <v>195000</v>
      </c>
      <c r="E94" s="21">
        <v>10140000</v>
      </c>
      <c r="F94" s="21">
        <v>10140000</v>
      </c>
      <c r="G94" s="22" t="s">
        <v>15</v>
      </c>
      <c r="H94" s="23">
        <v>22</v>
      </c>
      <c r="I94" s="24" t="s">
        <v>51</v>
      </c>
      <c r="J94" s="25">
        <f>VLOOKUP(CombinedTable[[#This Row],[Key]], [1]!StatsTable[#Data], 8,FALSE)</f>
        <v>3844</v>
      </c>
      <c r="K94" s="26">
        <f>VLOOKUP(CombinedTable[[#This Row],[Key]], [1]!StatsTable[#Data], 10, FALSE)</f>
        <v>81.599999999999994</v>
      </c>
      <c r="L94" s="26">
        <f>VLOOKUP(CombinedTable[[#This Row],[Key]], [1]!StatsTable[#Data], 18, FALSE)</f>
        <v>2.0699999999999998</v>
      </c>
      <c r="M94" s="26">
        <f>VLOOKUP(CombinedTable[[#This Row],[Key]], [1]!StatsTable[#Data], 28, FALSE)</f>
        <v>0.08</v>
      </c>
    </row>
    <row r="95" spans="1:13" ht="20" customHeight="1" x14ac:dyDescent="0.2">
      <c r="A95" s="18" t="str">
        <f t="shared" si="1"/>
        <v>William Saliba-2023-2024</v>
      </c>
      <c r="B95" s="19" t="s">
        <v>93</v>
      </c>
      <c r="C95" s="20" t="s">
        <v>58</v>
      </c>
      <c r="D95" s="21">
        <v>190000</v>
      </c>
      <c r="E95" s="21">
        <v>9880000</v>
      </c>
      <c r="F95" s="21">
        <v>9880000</v>
      </c>
      <c r="G95" s="22" t="s">
        <v>29</v>
      </c>
      <c r="H95" s="23">
        <v>22</v>
      </c>
      <c r="I95" s="24" t="s">
        <v>23</v>
      </c>
      <c r="J95" s="25">
        <f>VLOOKUP(CombinedTable[[#This Row],[Key]], [1]!StatsTable[#Data], 8,FALSE)</f>
        <v>4501</v>
      </c>
      <c r="K95" s="26">
        <f>VLOOKUP(CombinedTable[[#This Row],[Key]], [1]!StatsTable[#Data], 10, FALSE)</f>
        <v>95.6</v>
      </c>
      <c r="L95" s="26">
        <f>VLOOKUP(CombinedTable[[#This Row],[Key]], [1]!StatsTable[#Data], 18, FALSE)</f>
        <v>2.14</v>
      </c>
      <c r="M95" s="26">
        <f>VLOOKUP(CombinedTable[[#This Row],[Key]], [1]!StatsTable[#Data], 28, FALSE)</f>
        <v>0.34</v>
      </c>
    </row>
    <row r="96" spans="1:13" ht="20" customHeight="1" x14ac:dyDescent="0.2">
      <c r="A96" s="18" t="str">
        <f t="shared" si="1"/>
        <v>Gabriel Martinelli-2023-2024</v>
      </c>
      <c r="B96" s="19" t="s">
        <v>93</v>
      </c>
      <c r="C96" s="20" t="s">
        <v>49</v>
      </c>
      <c r="D96" s="21">
        <v>180000</v>
      </c>
      <c r="E96" s="21">
        <v>9360000</v>
      </c>
      <c r="F96" s="21">
        <v>9360000</v>
      </c>
      <c r="G96" s="22" t="s">
        <v>15</v>
      </c>
      <c r="H96" s="23">
        <v>22</v>
      </c>
      <c r="I96" s="24" t="s">
        <v>25</v>
      </c>
      <c r="J96" s="25">
        <f>VLOOKUP(CombinedTable[[#This Row],[Key]], [1]!StatsTable[#Data], 8,FALSE)</f>
        <v>2628</v>
      </c>
      <c r="K96" s="26">
        <f>VLOOKUP(CombinedTable[[#This Row],[Key]], [1]!StatsTable[#Data], 10, FALSE)</f>
        <v>55.8</v>
      </c>
      <c r="L96" s="26">
        <f>VLOOKUP(CombinedTable[[#This Row],[Key]], [1]!StatsTable[#Data], 18, FALSE)</f>
        <v>2.11</v>
      </c>
      <c r="M96" s="26">
        <f>VLOOKUP(CombinedTable[[#This Row],[Key]], [1]!StatsTable[#Data], 28, FALSE)</f>
        <v>0.15</v>
      </c>
    </row>
    <row r="97" spans="1:13" ht="20" customHeight="1" x14ac:dyDescent="0.2">
      <c r="A97" s="18" t="str">
        <f t="shared" si="1"/>
        <v>Oleksandr Zinchenko-2023-2024</v>
      </c>
      <c r="B97" s="19" t="s">
        <v>93</v>
      </c>
      <c r="C97" s="20" t="s">
        <v>82</v>
      </c>
      <c r="D97" s="21">
        <v>150000</v>
      </c>
      <c r="E97" s="21">
        <v>7800000</v>
      </c>
      <c r="F97" s="21">
        <v>7800000</v>
      </c>
      <c r="G97" s="22" t="s">
        <v>29</v>
      </c>
      <c r="H97" s="23">
        <v>27</v>
      </c>
      <c r="I97" s="24" t="s">
        <v>83</v>
      </c>
      <c r="J97" s="25">
        <f>VLOOKUP(CombinedTable[[#This Row],[Key]], [1]!StatsTable[#Data], 8,FALSE)</f>
        <v>2078</v>
      </c>
      <c r="K97" s="26">
        <f>VLOOKUP(CombinedTable[[#This Row],[Key]], [1]!StatsTable[#Data], 10, FALSE)</f>
        <v>45.9</v>
      </c>
      <c r="L97" s="26">
        <f>VLOOKUP(CombinedTable[[#This Row],[Key]], [1]!StatsTable[#Data], 18, FALSE)</f>
        <v>2.2000000000000002</v>
      </c>
      <c r="M97" s="26">
        <f>VLOOKUP(CombinedTable[[#This Row],[Key]], [1]!StatsTable[#Data], 28, FALSE)</f>
        <v>0.42</v>
      </c>
    </row>
    <row r="98" spans="1:13" ht="20" customHeight="1" x14ac:dyDescent="0.2">
      <c r="A98" s="18" t="str">
        <f t="shared" si="1"/>
        <v>Ben White-2023-2024</v>
      </c>
      <c r="B98" s="19" t="s">
        <v>93</v>
      </c>
      <c r="C98" s="20" t="s">
        <v>71</v>
      </c>
      <c r="D98" s="21">
        <v>150000</v>
      </c>
      <c r="E98" s="21">
        <v>7800000</v>
      </c>
      <c r="F98" s="21">
        <v>7800000</v>
      </c>
      <c r="G98" s="22" t="s">
        <v>29</v>
      </c>
      <c r="H98" s="23">
        <v>26</v>
      </c>
      <c r="I98" s="24" t="s">
        <v>51</v>
      </c>
      <c r="J98" s="25">
        <f>VLOOKUP(CombinedTable[[#This Row],[Key]], [1]!StatsTable[#Data], 8,FALSE)</f>
        <v>4080</v>
      </c>
      <c r="K98" s="26">
        <f>VLOOKUP(CombinedTable[[#This Row],[Key]], [1]!StatsTable[#Data], 10, FALSE)</f>
        <v>86.6</v>
      </c>
      <c r="L98" s="26">
        <f>VLOOKUP(CombinedTable[[#This Row],[Key]], [1]!StatsTable[#Data], 18, FALSE)</f>
        <v>2.09</v>
      </c>
      <c r="M98" s="26">
        <f>VLOOKUP(CombinedTable[[#This Row],[Key]], [1]!StatsTable[#Data], 28, FALSE)</f>
        <v>0.28000000000000003</v>
      </c>
    </row>
    <row r="99" spans="1:13" ht="20" customHeight="1" x14ac:dyDescent="0.2">
      <c r="A99" s="18" t="str">
        <f t="shared" si="1"/>
        <v>Aaron Ramsdale-2023-2024</v>
      </c>
      <c r="B99" s="19" t="s">
        <v>93</v>
      </c>
      <c r="C99" s="20" t="s">
        <v>72</v>
      </c>
      <c r="D99" s="21">
        <v>120000</v>
      </c>
      <c r="E99" s="21">
        <v>6240000</v>
      </c>
      <c r="F99" s="21">
        <v>6240000</v>
      </c>
      <c r="G99" s="22" t="s">
        <v>40</v>
      </c>
      <c r="H99" s="23">
        <v>25</v>
      </c>
      <c r="I99" s="24" t="s">
        <v>51</v>
      </c>
      <c r="J99" s="25">
        <f>VLOOKUP(CombinedTable[[#This Row],[Key]], [1]!StatsTable[#Data], 8,FALSE)</f>
        <v>990</v>
      </c>
      <c r="K99" s="26">
        <f>VLOOKUP(CombinedTable[[#This Row],[Key]], [1]!StatsTable[#Data], 10, FALSE)</f>
        <v>21</v>
      </c>
      <c r="L99" s="26">
        <f>VLOOKUP(CombinedTable[[#This Row],[Key]], [1]!StatsTable[#Data], 18, FALSE)</f>
        <v>1.91</v>
      </c>
      <c r="M99" s="26">
        <f>VLOOKUP(CombinedTable[[#This Row],[Key]], [1]!StatsTable[#Data], 28, FALSE)</f>
        <v>-0.45</v>
      </c>
    </row>
    <row r="100" spans="1:13" ht="20" customHeight="1" x14ac:dyDescent="0.2">
      <c r="A100" s="18" t="str">
        <f t="shared" si="1"/>
        <v>Jorginho-2023-2024</v>
      </c>
      <c r="B100" s="19" t="s">
        <v>93</v>
      </c>
      <c r="C100" s="20" t="s">
        <v>84</v>
      </c>
      <c r="D100" s="21">
        <v>110000</v>
      </c>
      <c r="E100" s="21">
        <v>5720000</v>
      </c>
      <c r="F100" s="21">
        <v>5720000</v>
      </c>
      <c r="G100" s="22" t="s">
        <v>20</v>
      </c>
      <c r="H100" s="23">
        <v>32</v>
      </c>
      <c r="I100" s="24" t="s">
        <v>85</v>
      </c>
      <c r="J100" s="25">
        <f>VLOOKUP(CombinedTable[[#This Row],[Key]], [1]!StatsTable[#Data], 8,FALSE)</f>
        <v>1679</v>
      </c>
      <c r="K100" s="26">
        <f>VLOOKUP(CombinedTable[[#This Row],[Key]], [1]!StatsTable[#Data], 10, FALSE)</f>
        <v>36.299999999999997</v>
      </c>
      <c r="L100" s="26">
        <f>VLOOKUP(CombinedTable[[#This Row],[Key]], [1]!StatsTable[#Data], 18, FALSE)</f>
        <v>2.17</v>
      </c>
      <c r="M100" s="26">
        <f>VLOOKUP(CombinedTable[[#This Row],[Key]], [1]!StatsTable[#Data], 28, FALSE)</f>
        <v>-0.23</v>
      </c>
    </row>
    <row r="101" spans="1:13" ht="20" customHeight="1" x14ac:dyDescent="0.2">
      <c r="A101" s="18" t="str">
        <f t="shared" si="1"/>
        <v>Takehiro Tomiyasu-2023-2024</v>
      </c>
      <c r="B101" s="19" t="s">
        <v>93</v>
      </c>
      <c r="C101" s="20" t="s">
        <v>73</v>
      </c>
      <c r="D101" s="21">
        <v>100000</v>
      </c>
      <c r="E101" s="21">
        <v>5200000</v>
      </c>
      <c r="F101" s="21">
        <v>5200000</v>
      </c>
      <c r="G101" s="22" t="s">
        <v>29</v>
      </c>
      <c r="H101" s="23">
        <v>25</v>
      </c>
      <c r="I101" s="24" t="s">
        <v>74</v>
      </c>
      <c r="J101" s="25">
        <f>VLOOKUP(CombinedTable[[#This Row],[Key]], [1]!StatsTable[#Data], 8,FALSE)</f>
        <v>1661</v>
      </c>
      <c r="K101" s="26">
        <f>VLOOKUP(CombinedTable[[#This Row],[Key]], [1]!StatsTable[#Data], 10, FALSE)</f>
        <v>36</v>
      </c>
      <c r="L101" s="26">
        <f>VLOOKUP(CombinedTable[[#This Row],[Key]], [1]!StatsTable[#Data], 18, FALSE)</f>
        <v>2.27</v>
      </c>
      <c r="M101" s="26">
        <f>VLOOKUP(CombinedTable[[#This Row],[Key]], [1]!StatsTable[#Data], 28, FALSE)</f>
        <v>-0.27</v>
      </c>
    </row>
    <row r="102" spans="1:13" ht="20" customHeight="1" x14ac:dyDescent="0.2">
      <c r="A102" s="18" t="str">
        <f t="shared" si="1"/>
        <v>Reiss Nelson-2023-2024</v>
      </c>
      <c r="B102" s="19" t="s">
        <v>93</v>
      </c>
      <c r="C102" s="20" t="s">
        <v>65</v>
      </c>
      <c r="D102" s="21">
        <v>100000</v>
      </c>
      <c r="E102" s="21">
        <v>5200000</v>
      </c>
      <c r="F102" s="21">
        <v>5200000</v>
      </c>
      <c r="G102" s="22" t="s">
        <v>15</v>
      </c>
      <c r="H102" s="23">
        <v>24</v>
      </c>
      <c r="I102" s="24" t="s">
        <v>51</v>
      </c>
      <c r="J102" s="25">
        <f>VLOOKUP(CombinedTable[[#This Row],[Key]], [1]!StatsTable[#Data], 8,FALSE)</f>
        <v>652</v>
      </c>
      <c r="K102" s="26">
        <f>VLOOKUP(CombinedTable[[#This Row],[Key]], [1]!StatsTable[#Data], 10, FALSE)</f>
        <v>14.1</v>
      </c>
      <c r="L102" s="26">
        <f>VLOOKUP(CombinedTable[[#This Row],[Key]], [1]!StatsTable[#Data], 18, FALSE)</f>
        <v>2.0499999999999998</v>
      </c>
      <c r="M102" s="26">
        <f>VLOOKUP(CombinedTable[[#This Row],[Key]], [1]!StatsTable[#Data], 28, FALSE)</f>
        <v>0.17</v>
      </c>
    </row>
    <row r="103" spans="1:13" ht="20" customHeight="1" x14ac:dyDescent="0.2">
      <c r="A103" s="18" t="str">
        <f t="shared" si="1"/>
        <v>Gabriel Magalhães-2023-2024</v>
      </c>
      <c r="B103" s="19" t="s">
        <v>93</v>
      </c>
      <c r="C103" s="20" t="s">
        <v>54</v>
      </c>
      <c r="D103" s="21">
        <v>100000</v>
      </c>
      <c r="E103" s="21">
        <v>5200000</v>
      </c>
      <c r="F103" s="21">
        <v>5200000</v>
      </c>
      <c r="G103" s="22" t="s">
        <v>29</v>
      </c>
      <c r="H103" s="23">
        <v>26</v>
      </c>
      <c r="I103" s="24" t="s">
        <v>25</v>
      </c>
      <c r="J103" s="25">
        <f>VLOOKUP(CombinedTable[[#This Row],[Key]], [1]!StatsTable[#Data], 8,FALSE)</f>
        <v>4330</v>
      </c>
      <c r="K103" s="26">
        <f>VLOOKUP(CombinedTable[[#This Row],[Key]], [1]!StatsTable[#Data], 10, FALSE)</f>
        <v>91.9</v>
      </c>
      <c r="L103" s="26">
        <f>VLOOKUP(CombinedTable[[#This Row],[Key]], [1]!StatsTable[#Data], 18, FALSE)</f>
        <v>2.12</v>
      </c>
      <c r="M103" s="26">
        <f>VLOOKUP(CombinedTable[[#This Row],[Key]], [1]!StatsTable[#Data], 28, FALSE)</f>
        <v>-0.98</v>
      </c>
    </row>
    <row r="104" spans="1:13" ht="20" customHeight="1" x14ac:dyDescent="0.2">
      <c r="A104" s="18" t="str">
        <f t="shared" si="1"/>
        <v>Eddie Nketiah-2023-2024</v>
      </c>
      <c r="B104" s="19" t="s">
        <v>93</v>
      </c>
      <c r="C104" s="20" t="s">
        <v>56</v>
      </c>
      <c r="D104" s="21">
        <v>100000</v>
      </c>
      <c r="E104" s="21">
        <v>5200000</v>
      </c>
      <c r="F104" s="21">
        <v>5200000</v>
      </c>
      <c r="G104" s="22" t="s">
        <v>15</v>
      </c>
      <c r="H104" s="23">
        <v>24</v>
      </c>
      <c r="I104" s="24" t="s">
        <v>51</v>
      </c>
      <c r="J104" s="25">
        <f>VLOOKUP(CombinedTable[[#This Row],[Key]], [1]!StatsTable[#Data], 8,FALSE)</f>
        <v>1408</v>
      </c>
      <c r="K104" s="26">
        <f>VLOOKUP(CombinedTable[[#This Row],[Key]], [1]!StatsTable[#Data], 10, FALSE)</f>
        <v>29.9</v>
      </c>
      <c r="L104" s="26">
        <f>VLOOKUP(CombinedTable[[#This Row],[Key]], [1]!StatsTable[#Data], 18, FALSE)</f>
        <v>1.95</v>
      </c>
      <c r="M104" s="26">
        <f>VLOOKUP(CombinedTable[[#This Row],[Key]], [1]!StatsTable[#Data], 28, FALSE)</f>
        <v>-0.21</v>
      </c>
    </row>
    <row r="105" spans="1:13" ht="20" customHeight="1" x14ac:dyDescent="0.2">
      <c r="A105" s="18" t="str">
        <f t="shared" si="1"/>
        <v>Leandro Trossard-2023-2024</v>
      </c>
      <c r="B105" s="19" t="s">
        <v>93</v>
      </c>
      <c r="C105" s="20" t="s">
        <v>86</v>
      </c>
      <c r="D105" s="21">
        <v>90000</v>
      </c>
      <c r="E105" s="21">
        <v>4680000</v>
      </c>
      <c r="F105" s="21">
        <v>4680000</v>
      </c>
      <c r="G105" s="22" t="s">
        <v>15</v>
      </c>
      <c r="H105" s="23">
        <v>29</v>
      </c>
      <c r="I105" s="24" t="s">
        <v>76</v>
      </c>
      <c r="J105" s="25">
        <f>VLOOKUP(CombinedTable[[#This Row],[Key]], [1]!StatsTable[#Data], 8,FALSE)</f>
        <v>2264</v>
      </c>
      <c r="K105" s="26">
        <f>VLOOKUP(CombinedTable[[#This Row],[Key]], [1]!StatsTable[#Data], 10, FALSE)</f>
        <v>48.1</v>
      </c>
      <c r="L105" s="26">
        <f>VLOOKUP(CombinedTable[[#This Row],[Key]], [1]!StatsTable[#Data], 18, FALSE)</f>
        <v>2.04</v>
      </c>
      <c r="M105" s="26">
        <f>VLOOKUP(CombinedTable[[#This Row],[Key]], [1]!StatsTable[#Data], 28, FALSE)</f>
        <v>-0.1</v>
      </c>
    </row>
    <row r="106" spans="1:13" ht="20" customHeight="1" x14ac:dyDescent="0.2">
      <c r="A106" s="18" t="str">
        <f t="shared" si="1"/>
        <v>Jurriën Timber-2023-2024</v>
      </c>
      <c r="B106" s="19" t="s">
        <v>93</v>
      </c>
      <c r="C106" s="20" t="s">
        <v>96</v>
      </c>
      <c r="D106" s="21">
        <v>90000</v>
      </c>
      <c r="E106" s="21">
        <v>4680000</v>
      </c>
      <c r="F106" s="21">
        <v>4680000</v>
      </c>
      <c r="G106" s="22" t="s">
        <v>29</v>
      </c>
      <c r="H106" s="23">
        <v>22</v>
      </c>
      <c r="I106" s="24" t="s">
        <v>97</v>
      </c>
      <c r="J106" s="25">
        <f>VLOOKUP(CombinedTable[[#This Row],[Key]], [1]!StatsTable[#Data], 8,FALSE)</f>
        <v>146</v>
      </c>
      <c r="K106" s="26">
        <f>VLOOKUP(CombinedTable[[#This Row],[Key]], [1]!StatsTable[#Data], 10, FALSE)</f>
        <v>4.2</v>
      </c>
      <c r="L106" s="26">
        <f>VLOOKUP(CombinedTable[[#This Row],[Key]], [1]!StatsTable[#Data], 18, FALSE)</f>
        <v>2.33</v>
      </c>
      <c r="M106" s="26">
        <f>VLOOKUP(CombinedTable[[#This Row],[Key]], [1]!StatsTable[#Data], 28, FALSE)</f>
        <v>0.74</v>
      </c>
    </row>
    <row r="107" spans="1:13" ht="20" customHeight="1" x14ac:dyDescent="0.2">
      <c r="A107" s="18" t="str">
        <f t="shared" si="1"/>
        <v>David Raya-2023-2024</v>
      </c>
      <c r="B107" s="19" t="s">
        <v>93</v>
      </c>
      <c r="C107" s="20" t="s">
        <v>98</v>
      </c>
      <c r="D107" s="21">
        <v>85000</v>
      </c>
      <c r="E107" s="21">
        <v>4420000</v>
      </c>
      <c r="F107" s="21">
        <v>4420000</v>
      </c>
      <c r="G107" s="22" t="s">
        <v>40</v>
      </c>
      <c r="H107" s="23">
        <v>28</v>
      </c>
      <c r="I107" s="24" t="s">
        <v>27</v>
      </c>
      <c r="J107" s="25">
        <f>VLOOKUP(CombinedTable[[#This Row],[Key]], [1]!StatsTable[#Data], 8,FALSE)</f>
        <v>3720</v>
      </c>
      <c r="K107" s="26">
        <f>VLOOKUP(CombinedTable[[#This Row],[Key]], [1]!StatsTable[#Data], 10, FALSE)</f>
        <v>83.8</v>
      </c>
      <c r="L107" s="26">
        <f>VLOOKUP(CombinedTable[[#This Row],[Key]], [1]!StatsTable[#Data], 18, FALSE)</f>
        <v>2.17</v>
      </c>
      <c r="M107" s="26">
        <f>VLOOKUP(CombinedTable[[#This Row],[Key]], [1]!StatsTable[#Data], 28, FALSE)</f>
        <v>0.5</v>
      </c>
    </row>
    <row r="108" spans="1:13" ht="20" customHeight="1" x14ac:dyDescent="0.2">
      <c r="A108" s="18" t="str">
        <f t="shared" si="1"/>
        <v>Cédric Soares-2023-2024</v>
      </c>
      <c r="B108" s="19" t="s">
        <v>93</v>
      </c>
      <c r="C108" s="20" t="s">
        <v>47</v>
      </c>
      <c r="D108" s="21">
        <v>75000</v>
      </c>
      <c r="E108" s="21">
        <v>3900000</v>
      </c>
      <c r="F108" s="21">
        <v>3900000</v>
      </c>
      <c r="G108" s="22" t="s">
        <v>29</v>
      </c>
      <c r="H108" s="23">
        <v>32</v>
      </c>
      <c r="I108" s="24" t="s">
        <v>48</v>
      </c>
      <c r="J108" s="25">
        <f>VLOOKUP(CombinedTable[[#This Row],[Key]], [1]!StatsTable[#Data], 8,FALSE)</f>
        <v>127</v>
      </c>
      <c r="K108" s="26">
        <f>VLOOKUP(CombinedTable[[#This Row],[Key]], [1]!StatsTable[#Data], 10, FALSE)</f>
        <v>2.7</v>
      </c>
      <c r="L108" s="26">
        <f>VLOOKUP(CombinedTable[[#This Row],[Key]], [1]!StatsTable[#Data], 18, FALSE)</f>
        <v>2.6</v>
      </c>
      <c r="M108" s="26">
        <f>VLOOKUP(CombinedTable[[#This Row],[Key]], [1]!StatsTable[#Data], 28, FALSE)</f>
        <v>-1.46</v>
      </c>
    </row>
    <row r="109" spans="1:13" ht="20" customHeight="1" x14ac:dyDescent="0.2">
      <c r="A109" s="18" t="str">
        <f t="shared" si="1"/>
        <v>Jakub Kiwior-2023-2024</v>
      </c>
      <c r="B109" s="19" t="s">
        <v>93</v>
      </c>
      <c r="C109" s="20" t="s">
        <v>87</v>
      </c>
      <c r="D109" s="21">
        <v>58000</v>
      </c>
      <c r="E109" s="21">
        <v>3016000</v>
      </c>
      <c r="F109" s="21">
        <v>3016000</v>
      </c>
      <c r="G109" s="22" t="s">
        <v>29</v>
      </c>
      <c r="H109" s="23">
        <v>23</v>
      </c>
      <c r="I109" s="24" t="s">
        <v>88</v>
      </c>
      <c r="J109" s="25">
        <f>VLOOKUP(CombinedTable[[#This Row],[Key]], [1]!StatsTable[#Data], 8,FALSE)</f>
        <v>1594</v>
      </c>
      <c r="K109" s="26">
        <f>VLOOKUP(CombinedTable[[#This Row],[Key]], [1]!StatsTable[#Data], 10, FALSE)</f>
        <v>33.799999999999997</v>
      </c>
      <c r="L109" s="26">
        <f>VLOOKUP(CombinedTable[[#This Row],[Key]], [1]!StatsTable[#Data], 18, FALSE)</f>
        <v>2.33</v>
      </c>
      <c r="M109" s="26">
        <f>VLOOKUP(CombinedTable[[#This Row],[Key]], [1]!StatsTable[#Data], 28, FALSE)</f>
        <v>0.28999999999999998</v>
      </c>
    </row>
    <row r="110" spans="1:13" ht="20" customHeight="1" x14ac:dyDescent="0.2">
      <c r="A110" s="18" t="str">
        <f t="shared" si="1"/>
        <v>Mohamed Elneny-2023-2024</v>
      </c>
      <c r="B110" s="19" t="s">
        <v>93</v>
      </c>
      <c r="C110" s="20" t="s">
        <v>52</v>
      </c>
      <c r="D110" s="21">
        <v>55000</v>
      </c>
      <c r="E110" s="21">
        <v>2860000</v>
      </c>
      <c r="F110" s="21">
        <v>2860000</v>
      </c>
      <c r="G110" s="22" t="s">
        <v>20</v>
      </c>
      <c r="H110" s="23">
        <v>31</v>
      </c>
      <c r="I110" s="24" t="s">
        <v>53</v>
      </c>
      <c r="J110" s="25">
        <f>VLOOKUP(CombinedTable[[#This Row],[Key]], [1]!StatsTable[#Data], 8,FALSE)</f>
        <v>99</v>
      </c>
      <c r="K110" s="26">
        <f>VLOOKUP(CombinedTable[[#This Row],[Key]], [1]!StatsTable[#Data], 10, FALSE)</f>
        <v>2.2000000000000002</v>
      </c>
      <c r="L110" s="26">
        <f>VLOOKUP(CombinedTable[[#This Row],[Key]], [1]!StatsTable[#Data], 18, FALSE)</f>
        <v>2.67</v>
      </c>
      <c r="M110" s="26">
        <f>VLOOKUP(CombinedTable[[#This Row],[Key]], [1]!StatsTable[#Data], 28, FALSE)</f>
        <v>-1.33</v>
      </c>
    </row>
    <row r="111" spans="1:13" ht="20" customHeight="1" x14ac:dyDescent="0.2">
      <c r="A111" s="18" t="str">
        <f t="shared" si="1"/>
        <v>Fábio Vieira-2023-2024</v>
      </c>
      <c r="B111" s="19" t="s">
        <v>93</v>
      </c>
      <c r="C111" s="20" t="s">
        <v>89</v>
      </c>
      <c r="D111" s="21">
        <v>45000</v>
      </c>
      <c r="E111" s="21">
        <v>2340000</v>
      </c>
      <c r="F111" s="21">
        <v>2340000</v>
      </c>
      <c r="G111" s="22" t="s">
        <v>15</v>
      </c>
      <c r="H111" s="23">
        <v>23</v>
      </c>
      <c r="I111" s="24" t="s">
        <v>48</v>
      </c>
      <c r="J111" s="25">
        <f>VLOOKUP(CombinedTable[[#This Row],[Key]], [1]!StatsTable[#Data], 8,FALSE)</f>
        <v>480</v>
      </c>
      <c r="K111" s="26">
        <f>VLOOKUP(CombinedTable[[#This Row],[Key]], [1]!StatsTable[#Data], 10, FALSE)</f>
        <v>10.4</v>
      </c>
      <c r="L111" s="26">
        <f>VLOOKUP(CombinedTable[[#This Row],[Key]], [1]!StatsTable[#Data], 18, FALSE)</f>
        <v>2.06</v>
      </c>
      <c r="M111" s="26">
        <f>VLOOKUP(CombinedTable[[#This Row],[Key]], [1]!StatsTable[#Data], 28, FALSE)</f>
        <v>0.68</v>
      </c>
    </row>
    <row r="112" spans="1:13" ht="20" customHeight="1" x14ac:dyDescent="0.2">
      <c r="A112" s="18" t="str">
        <f t="shared" si="1"/>
        <v>Emile Smith Rowe-2023-2024</v>
      </c>
      <c r="B112" s="19" t="s">
        <v>93</v>
      </c>
      <c r="C112" s="20" t="s">
        <v>66</v>
      </c>
      <c r="D112" s="21">
        <v>40000</v>
      </c>
      <c r="E112" s="21">
        <v>2080000</v>
      </c>
      <c r="F112" s="21">
        <v>2080000</v>
      </c>
      <c r="G112" s="22" t="s">
        <v>15</v>
      </c>
      <c r="H112" s="23">
        <v>23</v>
      </c>
      <c r="I112" s="24" t="s">
        <v>51</v>
      </c>
      <c r="J112" s="25">
        <f>VLOOKUP(CombinedTable[[#This Row],[Key]], [1]!StatsTable[#Data], 8,FALSE)</f>
        <v>486</v>
      </c>
      <c r="K112" s="26">
        <f>VLOOKUP(CombinedTable[[#This Row],[Key]], [1]!StatsTable[#Data], 10, FALSE)</f>
        <v>10.3</v>
      </c>
      <c r="L112" s="26">
        <f>VLOOKUP(CombinedTable[[#This Row],[Key]], [1]!StatsTable[#Data], 18, FALSE)</f>
        <v>1.95</v>
      </c>
      <c r="M112" s="26">
        <f>VLOOKUP(CombinedTable[[#This Row],[Key]], [1]!StatsTable[#Data], 28, FALSE)</f>
        <v>0.48</v>
      </c>
    </row>
    <row r="113" spans="1:13" ht="20" customHeight="1" x14ac:dyDescent="0.2">
      <c r="A113" s="18" t="str">
        <f t="shared" si="1"/>
        <v>Marquinhos-2023-2024</v>
      </c>
      <c r="B113" s="19" t="s">
        <v>93</v>
      </c>
      <c r="C113" s="20" t="s">
        <v>92</v>
      </c>
      <c r="D113" s="21">
        <v>30000</v>
      </c>
      <c r="E113" s="21">
        <v>1560000</v>
      </c>
      <c r="F113" s="21">
        <v>1560000</v>
      </c>
      <c r="G113" s="22" t="s">
        <v>15</v>
      </c>
      <c r="H113" s="23">
        <v>20</v>
      </c>
      <c r="I113" s="24" t="s">
        <v>25</v>
      </c>
      <c r="J113" s="25" t="e">
        <f>VLOOKUP(CombinedTable[[#This Row],[Key]], [1]!StatsTable[#Data], 8,FALSE)</f>
        <v>#N/A</v>
      </c>
      <c r="K113" s="26" t="e">
        <f>VLOOKUP(CombinedTable[[#This Row],[Key]], [1]!StatsTable[#Data], 10, FALSE)</f>
        <v>#N/A</v>
      </c>
      <c r="L113" s="26" t="e">
        <f>VLOOKUP(CombinedTable[[#This Row],[Key]], [1]!StatsTable[#Data], 18, FALSE)</f>
        <v>#N/A</v>
      </c>
      <c r="M113" s="26" t="e">
        <f>VLOOKUP(CombinedTable[[#This Row],[Key]], [1]!StatsTable[#Data], 28, FALSE)</f>
        <v>#N/A</v>
      </c>
    </row>
    <row r="114" spans="1:13" ht="20" customHeight="1" x14ac:dyDescent="0.2">
      <c r="A114" s="18" t="str">
        <f t="shared" si="1"/>
        <v>Karl Hein-2023-2024</v>
      </c>
      <c r="B114" s="19" t="s">
        <v>93</v>
      </c>
      <c r="C114" s="20" t="s">
        <v>99</v>
      </c>
      <c r="D114" s="21">
        <v>10000</v>
      </c>
      <c r="E114" s="21">
        <v>520000</v>
      </c>
      <c r="F114" s="21">
        <v>520000</v>
      </c>
      <c r="G114" s="22" t="s">
        <v>40</v>
      </c>
      <c r="H114" s="23">
        <v>22</v>
      </c>
      <c r="I114" s="24" t="s">
        <v>100</v>
      </c>
      <c r="J114" s="25" t="e">
        <f>VLOOKUP(CombinedTable[[#This Row],[Key]], [1]!StatsTable[#Data], 8,FALSE)</f>
        <v>#N/A</v>
      </c>
      <c r="K114" s="26" t="e">
        <f>VLOOKUP(CombinedTable[[#This Row],[Key]], [1]!StatsTable[#Data], 10, FALSE)</f>
        <v>#N/A</v>
      </c>
      <c r="L114" s="26" t="e">
        <f>VLOOKUP(CombinedTable[[#This Row],[Key]], [1]!StatsTable[#Data], 18, FALSE)</f>
        <v>#N/A</v>
      </c>
      <c r="M114" s="26" t="e">
        <f>VLOOKUP(CombinedTable[[#This Row],[Key]], [1]!StatsTable[#Data], 28, FALSE)</f>
        <v>#N/A</v>
      </c>
    </row>
    <row r="115" spans="1:13" ht="20" customHeight="1" x14ac:dyDescent="0.2">
      <c r="A115" s="18" t="str">
        <f t="shared" si="1"/>
        <v>Kieran Tierney-2023-2024</v>
      </c>
      <c r="B115" s="19" t="s">
        <v>93</v>
      </c>
      <c r="C115" s="20" t="s">
        <v>28</v>
      </c>
      <c r="D115" s="21"/>
      <c r="E115" s="21"/>
      <c r="F115" s="21"/>
      <c r="G115" s="22" t="s">
        <v>29</v>
      </c>
      <c r="H115" s="23">
        <v>26</v>
      </c>
      <c r="I115" s="24" t="s">
        <v>30</v>
      </c>
      <c r="J115" s="25">
        <f>VLOOKUP(CombinedTable[[#This Row],[Key]], [1]!StatsTable[#Data], 8,FALSE)</f>
        <v>15</v>
      </c>
      <c r="K115" s="26">
        <f>VLOOKUP(CombinedTable[[#This Row],[Key]], [1]!StatsTable[#Data], 10, FALSE)</f>
        <v>16.7</v>
      </c>
      <c r="L115" s="26">
        <f>VLOOKUP(CombinedTable[[#This Row],[Key]], [1]!StatsTable[#Data], 18, FALSE)</f>
        <v>1</v>
      </c>
      <c r="M115" s="26">
        <f>VLOOKUP(CombinedTable[[#This Row],[Key]], [1]!StatsTable[#Data], 28, FALSE)</f>
        <v>0</v>
      </c>
    </row>
    <row r="116" spans="1:13" ht="20" customHeight="1" x14ac:dyDescent="0.2">
      <c r="A116" s="18" t="str">
        <f t="shared" si="1"/>
        <v>Kai Havertz-2024-2025</v>
      </c>
      <c r="B116" s="19" t="s">
        <v>101</v>
      </c>
      <c r="C116" s="20" t="s">
        <v>94</v>
      </c>
      <c r="D116" s="21">
        <v>280000</v>
      </c>
      <c r="E116" s="21">
        <v>14560000</v>
      </c>
      <c r="F116" s="21">
        <v>14560000</v>
      </c>
      <c r="G116" s="22" t="s">
        <v>15</v>
      </c>
      <c r="H116" s="23">
        <v>25</v>
      </c>
      <c r="I116" s="24" t="s">
        <v>16</v>
      </c>
      <c r="J116" s="25">
        <f>VLOOKUP(CombinedTable[[#This Row],[Key]], [1]!StatsTable[#Data], 8,FALSE)</f>
        <v>2810</v>
      </c>
      <c r="K116" s="26">
        <f>VLOOKUP(CombinedTable[[#This Row],[Key]], [1]!StatsTable[#Data], 10, FALSE)</f>
        <v>53.5</v>
      </c>
      <c r="L116" s="26">
        <f>VLOOKUP(CombinedTable[[#This Row],[Key]], [1]!StatsTable[#Data], 18, FALSE)</f>
        <v>2.08</v>
      </c>
      <c r="M116" s="26">
        <f>VLOOKUP(CombinedTable[[#This Row],[Key]], [1]!StatsTable[#Data], 28, FALSE)</f>
        <v>0.15</v>
      </c>
    </row>
    <row r="117" spans="1:13" ht="20" customHeight="1" x14ac:dyDescent="0.2">
      <c r="A117" s="18" t="str">
        <f t="shared" si="1"/>
        <v>Gabriel Jesus-2024-2025</v>
      </c>
      <c r="B117" s="19" t="s">
        <v>101</v>
      </c>
      <c r="C117" s="20" t="s">
        <v>81</v>
      </c>
      <c r="D117" s="21">
        <v>265000</v>
      </c>
      <c r="E117" s="21">
        <v>13780000</v>
      </c>
      <c r="F117" s="21">
        <v>13780000</v>
      </c>
      <c r="G117" s="22" t="s">
        <v>15</v>
      </c>
      <c r="H117" s="23">
        <v>27</v>
      </c>
      <c r="I117" s="24" t="s">
        <v>25</v>
      </c>
      <c r="J117" s="25">
        <f>VLOOKUP(CombinedTable[[#This Row],[Key]], [1]!StatsTable[#Data], 8,FALSE)</f>
        <v>1207</v>
      </c>
      <c r="K117" s="26">
        <f>VLOOKUP(CombinedTable[[#This Row],[Key]], [1]!StatsTable[#Data], 10, FALSE)</f>
        <v>23</v>
      </c>
      <c r="L117" s="26">
        <f>VLOOKUP(CombinedTable[[#This Row],[Key]], [1]!StatsTable[#Data], 18, FALSE)</f>
        <v>1.96</v>
      </c>
      <c r="M117" s="26">
        <f>VLOOKUP(CombinedTable[[#This Row],[Key]], [1]!StatsTable[#Data], 28, FALSE)</f>
        <v>0.09</v>
      </c>
    </row>
    <row r="118" spans="1:13" ht="20" customHeight="1" x14ac:dyDescent="0.2">
      <c r="A118" s="18" t="str">
        <f t="shared" si="1"/>
        <v>Martin Ødegaard-2024-2025</v>
      </c>
      <c r="B118" s="19" t="s">
        <v>101</v>
      </c>
      <c r="C118" s="20" t="s">
        <v>45</v>
      </c>
      <c r="D118" s="21">
        <v>240000</v>
      </c>
      <c r="E118" s="21">
        <v>12480000</v>
      </c>
      <c r="F118" s="21">
        <v>12480000</v>
      </c>
      <c r="G118" s="22" t="s">
        <v>15</v>
      </c>
      <c r="H118" s="23">
        <v>26</v>
      </c>
      <c r="I118" s="24" t="s">
        <v>46</v>
      </c>
      <c r="J118" s="25">
        <f>VLOOKUP(CombinedTable[[#This Row],[Key]], [1]!StatsTable[#Data], 8,FALSE)</f>
        <v>3437</v>
      </c>
      <c r="K118" s="26">
        <f>VLOOKUP(CombinedTable[[#This Row],[Key]], [1]!StatsTable[#Data], 10, FALSE)</f>
        <v>65.5</v>
      </c>
      <c r="L118" s="26">
        <f>VLOOKUP(CombinedTable[[#This Row],[Key]], [1]!StatsTable[#Data], 18, FALSE)</f>
        <v>1.91</v>
      </c>
      <c r="M118" s="26">
        <f>VLOOKUP(CombinedTable[[#This Row],[Key]], [1]!StatsTable[#Data], 28, FALSE)</f>
        <v>0.41</v>
      </c>
    </row>
    <row r="119" spans="1:13" ht="20" customHeight="1" x14ac:dyDescent="0.2">
      <c r="A119" s="18" t="str">
        <f t="shared" si="1"/>
        <v>Declan Rice-2024-2025</v>
      </c>
      <c r="B119" s="19" t="s">
        <v>101</v>
      </c>
      <c r="C119" s="20" t="s">
        <v>95</v>
      </c>
      <c r="D119" s="21">
        <v>240000</v>
      </c>
      <c r="E119" s="21">
        <v>12480000</v>
      </c>
      <c r="F119" s="21">
        <v>12480000</v>
      </c>
      <c r="G119" s="22" t="s">
        <v>20</v>
      </c>
      <c r="H119" s="23">
        <v>26</v>
      </c>
      <c r="I119" s="24" t="s">
        <v>51</v>
      </c>
      <c r="J119" s="25">
        <f>VLOOKUP(CombinedTable[[#This Row],[Key]], [1]!StatsTable[#Data], 8,FALSE)</f>
        <v>4116</v>
      </c>
      <c r="K119" s="26">
        <f>VLOOKUP(CombinedTable[[#This Row],[Key]], [1]!StatsTable[#Data], 10, FALSE)</f>
        <v>78.400000000000006</v>
      </c>
      <c r="L119" s="26">
        <f>VLOOKUP(CombinedTable[[#This Row],[Key]], [1]!StatsTable[#Data], 18, FALSE)</f>
        <v>1.92</v>
      </c>
      <c r="M119" s="26">
        <f>VLOOKUP(CombinedTable[[#This Row],[Key]], [1]!StatsTable[#Data], 28, FALSE)</f>
        <v>0.24</v>
      </c>
    </row>
    <row r="120" spans="1:13" ht="20" customHeight="1" x14ac:dyDescent="0.2">
      <c r="A120" s="18" t="str">
        <f t="shared" si="1"/>
        <v>Thomas Partey-2024-2025</v>
      </c>
      <c r="B120" s="19" t="s">
        <v>101</v>
      </c>
      <c r="C120" s="20" t="s">
        <v>19</v>
      </c>
      <c r="D120" s="21">
        <v>200000</v>
      </c>
      <c r="E120" s="21">
        <v>10400000</v>
      </c>
      <c r="F120" s="21">
        <v>10400000</v>
      </c>
      <c r="G120" s="22" t="s">
        <v>20</v>
      </c>
      <c r="H120" s="23">
        <v>31</v>
      </c>
      <c r="I120" s="24" t="s">
        <v>21</v>
      </c>
      <c r="J120" s="25">
        <f>VLOOKUP(CombinedTable[[#This Row],[Key]], [1]!StatsTable[#Data], 8,FALSE)</f>
        <v>3940</v>
      </c>
      <c r="K120" s="26">
        <f>VLOOKUP(CombinedTable[[#This Row],[Key]], [1]!StatsTable[#Data], 10, FALSE)</f>
        <v>75</v>
      </c>
      <c r="L120" s="26">
        <f>VLOOKUP(CombinedTable[[#This Row],[Key]], [1]!StatsTable[#Data], 18, FALSE)</f>
        <v>1.96</v>
      </c>
      <c r="M120" s="26">
        <f>VLOOKUP(CombinedTable[[#This Row],[Key]], [1]!StatsTable[#Data], 28, FALSE)</f>
        <v>-0.79</v>
      </c>
    </row>
    <row r="121" spans="1:13" ht="20" customHeight="1" x14ac:dyDescent="0.2">
      <c r="A121" s="18" t="str">
        <f t="shared" si="1"/>
        <v>Bukayo Saka-2024-2025</v>
      </c>
      <c r="B121" s="19" t="s">
        <v>101</v>
      </c>
      <c r="C121" s="20" t="s">
        <v>50</v>
      </c>
      <c r="D121" s="21">
        <v>195000</v>
      </c>
      <c r="E121" s="21">
        <v>10140000</v>
      </c>
      <c r="F121" s="21">
        <v>10140000</v>
      </c>
      <c r="G121" s="22" t="s">
        <v>15</v>
      </c>
      <c r="H121" s="23">
        <v>23</v>
      </c>
      <c r="I121" s="24" t="s">
        <v>51</v>
      </c>
      <c r="J121" s="25">
        <f>VLOOKUP(CombinedTable[[#This Row],[Key]], [1]!StatsTable[#Data], 8,FALSE)</f>
        <v>2609</v>
      </c>
      <c r="K121" s="26">
        <f>VLOOKUP(CombinedTable[[#This Row],[Key]], [1]!StatsTable[#Data], 10, FALSE)</f>
        <v>50.9</v>
      </c>
      <c r="L121" s="26">
        <f>VLOOKUP(CombinedTable[[#This Row],[Key]], [1]!StatsTable[#Data], 18, FALSE)</f>
        <v>2</v>
      </c>
      <c r="M121" s="26">
        <f>VLOOKUP(CombinedTable[[#This Row],[Key]], [1]!StatsTable[#Data], 28, FALSE)</f>
        <v>0.33</v>
      </c>
    </row>
    <row r="122" spans="1:13" ht="20" customHeight="1" x14ac:dyDescent="0.2">
      <c r="A122" s="18" t="str">
        <f t="shared" si="1"/>
        <v>William Saliba-2024-2025</v>
      </c>
      <c r="B122" s="19" t="s">
        <v>101</v>
      </c>
      <c r="C122" s="20" t="s">
        <v>58</v>
      </c>
      <c r="D122" s="21">
        <v>190000</v>
      </c>
      <c r="E122" s="21">
        <v>9880000</v>
      </c>
      <c r="F122" s="21">
        <v>9880000</v>
      </c>
      <c r="G122" s="22" t="s">
        <v>29</v>
      </c>
      <c r="H122" s="23">
        <v>23</v>
      </c>
      <c r="I122" s="24" t="s">
        <v>23</v>
      </c>
      <c r="J122" s="25">
        <f>VLOOKUP(CombinedTable[[#This Row],[Key]], [1]!StatsTable[#Data], 8,FALSE)</f>
        <v>4464</v>
      </c>
      <c r="K122" s="26">
        <f>VLOOKUP(CombinedTable[[#This Row],[Key]], [1]!StatsTable[#Data], 10, FALSE)</f>
        <v>85</v>
      </c>
      <c r="L122" s="26">
        <f>VLOOKUP(CombinedTable[[#This Row],[Key]], [1]!StatsTable[#Data], 18, FALSE)</f>
        <v>1.92</v>
      </c>
      <c r="M122" s="26">
        <f>VLOOKUP(CombinedTable[[#This Row],[Key]], [1]!StatsTable[#Data], 28, FALSE)</f>
        <v>0.17</v>
      </c>
    </row>
    <row r="123" spans="1:13" ht="20" customHeight="1" x14ac:dyDescent="0.2">
      <c r="A123" s="18" t="str">
        <f t="shared" si="1"/>
        <v>Gabriel Martinelli-2024-2025</v>
      </c>
      <c r="B123" s="19" t="s">
        <v>101</v>
      </c>
      <c r="C123" s="20" t="s">
        <v>49</v>
      </c>
      <c r="D123" s="21">
        <v>180000</v>
      </c>
      <c r="E123" s="21">
        <v>9360000</v>
      </c>
      <c r="F123" s="21">
        <v>9360000</v>
      </c>
      <c r="G123" s="22" t="s">
        <v>15</v>
      </c>
      <c r="H123" s="23">
        <v>23</v>
      </c>
      <c r="I123" s="24" t="s">
        <v>25</v>
      </c>
      <c r="J123" s="25">
        <f>VLOOKUP(CombinedTable[[#This Row],[Key]], [1]!StatsTable[#Data], 8,FALSE)</f>
        <v>3551</v>
      </c>
      <c r="K123" s="26">
        <f>VLOOKUP(CombinedTable[[#This Row],[Key]], [1]!StatsTable[#Data], 10, FALSE)</f>
        <v>67.599999999999994</v>
      </c>
      <c r="L123" s="26">
        <f>VLOOKUP(CombinedTable[[#This Row],[Key]], [1]!StatsTable[#Data], 18, FALSE)</f>
        <v>1.9</v>
      </c>
      <c r="M123" s="26">
        <f>VLOOKUP(CombinedTable[[#This Row],[Key]], [1]!StatsTable[#Data], 28, FALSE)</f>
        <v>-0.26</v>
      </c>
    </row>
    <row r="124" spans="1:13" ht="20" customHeight="1" x14ac:dyDescent="0.2">
      <c r="A124" s="18" t="str">
        <f t="shared" si="1"/>
        <v>Ben White-2024-2025</v>
      </c>
      <c r="B124" s="19" t="s">
        <v>101</v>
      </c>
      <c r="C124" s="20" t="s">
        <v>71</v>
      </c>
      <c r="D124" s="21">
        <v>150000</v>
      </c>
      <c r="E124" s="21">
        <v>7800000</v>
      </c>
      <c r="F124" s="21">
        <v>7800000</v>
      </c>
      <c r="G124" s="22" t="s">
        <v>29</v>
      </c>
      <c r="H124" s="23">
        <v>27</v>
      </c>
      <c r="I124" s="24" t="s">
        <v>51</v>
      </c>
      <c r="J124" s="25">
        <f>VLOOKUP(CombinedTable[[#This Row],[Key]], [1]!StatsTable[#Data], 8,FALSE)</f>
        <v>1533</v>
      </c>
      <c r="K124" s="26">
        <f>VLOOKUP(CombinedTable[[#This Row],[Key]], [1]!StatsTable[#Data], 10, FALSE)</f>
        <v>32.799999999999997</v>
      </c>
      <c r="L124" s="26">
        <f>VLOOKUP(CombinedTable[[#This Row],[Key]], [1]!StatsTable[#Data], 18, FALSE)</f>
        <v>1.5</v>
      </c>
      <c r="M124" s="26">
        <f>VLOOKUP(CombinedTable[[#This Row],[Key]], [1]!StatsTable[#Data], 28, FALSE)</f>
        <v>-0.83</v>
      </c>
    </row>
    <row r="125" spans="1:13" ht="20" customHeight="1" x14ac:dyDescent="0.2">
      <c r="A125" s="18" t="str">
        <f t="shared" si="1"/>
        <v>Oleksandr Zinchenko-2024-2025</v>
      </c>
      <c r="B125" s="19" t="s">
        <v>101</v>
      </c>
      <c r="C125" s="20" t="s">
        <v>82</v>
      </c>
      <c r="D125" s="21">
        <v>150000</v>
      </c>
      <c r="E125" s="21">
        <v>7800000</v>
      </c>
      <c r="F125" s="21">
        <v>7800000</v>
      </c>
      <c r="G125" s="22" t="s">
        <v>29</v>
      </c>
      <c r="H125" s="23">
        <v>28</v>
      </c>
      <c r="I125" s="24" t="s">
        <v>83</v>
      </c>
      <c r="J125" s="25">
        <f>VLOOKUP(CombinedTable[[#This Row],[Key]], [1]!StatsTable[#Data], 8,FALSE)</f>
        <v>795</v>
      </c>
      <c r="K125" s="26">
        <f>VLOOKUP(CombinedTable[[#This Row],[Key]], [1]!StatsTable[#Data], 10, FALSE)</f>
        <v>15.1</v>
      </c>
      <c r="L125" s="26">
        <f>VLOOKUP(CombinedTable[[#This Row],[Key]], [1]!StatsTable[#Data], 18, FALSE)</f>
        <v>1.92</v>
      </c>
      <c r="M125" s="26">
        <f>VLOOKUP(CombinedTable[[#This Row],[Key]], [1]!StatsTable[#Data], 28, FALSE)</f>
        <v>0.27</v>
      </c>
    </row>
    <row r="126" spans="1:13" ht="20" customHeight="1" x14ac:dyDescent="0.2">
      <c r="A126" s="18" t="str">
        <f t="shared" si="1"/>
        <v>Mikel Merino-2024-2025</v>
      </c>
      <c r="B126" s="19" t="s">
        <v>101</v>
      </c>
      <c r="C126" s="20" t="s">
        <v>102</v>
      </c>
      <c r="D126" s="21">
        <v>130000</v>
      </c>
      <c r="E126" s="21">
        <v>6760000</v>
      </c>
      <c r="F126" s="21">
        <v>6760000</v>
      </c>
      <c r="G126" s="22" t="s">
        <v>20</v>
      </c>
      <c r="H126" s="23">
        <v>28</v>
      </c>
      <c r="I126" s="24" t="s">
        <v>27</v>
      </c>
      <c r="J126" s="25">
        <f>VLOOKUP(CombinedTable[[#This Row],[Key]], [1]!StatsTable[#Data], 8,FALSE)</f>
        <v>2640</v>
      </c>
      <c r="K126" s="26">
        <f>VLOOKUP(CombinedTable[[#This Row],[Key]], [1]!StatsTable[#Data], 10, FALSE)</f>
        <v>50.3</v>
      </c>
      <c r="L126" s="26">
        <f>VLOOKUP(CombinedTable[[#This Row],[Key]], [1]!StatsTable[#Data], 18, FALSE)</f>
        <v>1.87</v>
      </c>
      <c r="M126" s="26">
        <f>VLOOKUP(CombinedTable[[#This Row],[Key]], [1]!StatsTable[#Data], 28, FALSE)</f>
        <v>0</v>
      </c>
    </row>
    <row r="127" spans="1:13" ht="20" customHeight="1" x14ac:dyDescent="0.2">
      <c r="A127" s="18" t="str">
        <f t="shared" si="1"/>
        <v>Riccardo Calafiori-2024-2025</v>
      </c>
      <c r="B127" s="19" t="s">
        <v>101</v>
      </c>
      <c r="C127" s="20" t="s">
        <v>103</v>
      </c>
      <c r="D127" s="21">
        <v>120000</v>
      </c>
      <c r="E127" s="21">
        <v>6240000</v>
      </c>
      <c r="F127" s="21">
        <v>6240000</v>
      </c>
      <c r="G127" s="22" t="s">
        <v>29</v>
      </c>
      <c r="H127" s="23">
        <v>22</v>
      </c>
      <c r="I127" s="24" t="s">
        <v>85</v>
      </c>
      <c r="J127" s="25">
        <f>VLOOKUP(CombinedTable[[#This Row],[Key]], [1]!StatsTable[#Data], 8,FALSE)</f>
        <v>1496</v>
      </c>
      <c r="K127" s="26">
        <f>VLOOKUP(CombinedTable[[#This Row],[Key]], [1]!StatsTable[#Data], 10, FALSE)</f>
        <v>29.2</v>
      </c>
      <c r="L127" s="26">
        <f>VLOOKUP(CombinedTable[[#This Row],[Key]], [1]!StatsTable[#Data], 18, FALSE)</f>
        <v>2.0299999999999998</v>
      </c>
      <c r="M127" s="26">
        <f>VLOOKUP(CombinedTable[[#This Row],[Key]], [1]!StatsTable[#Data], 28, FALSE)</f>
        <v>0.32</v>
      </c>
    </row>
    <row r="128" spans="1:13" ht="20" customHeight="1" x14ac:dyDescent="0.2">
      <c r="A128" s="18" t="str">
        <f t="shared" si="1"/>
        <v>Raheem Sterling-2024-2025</v>
      </c>
      <c r="B128" s="19" t="s">
        <v>101</v>
      </c>
      <c r="C128" s="20" t="s">
        <v>104</v>
      </c>
      <c r="D128" s="21">
        <v>110000</v>
      </c>
      <c r="E128" s="21">
        <v>5720000</v>
      </c>
      <c r="F128" s="21">
        <v>5720000</v>
      </c>
      <c r="G128" s="22" t="s">
        <v>15</v>
      </c>
      <c r="H128" s="23">
        <v>30</v>
      </c>
      <c r="I128" s="24" t="s">
        <v>51</v>
      </c>
      <c r="J128" s="25">
        <f>VLOOKUP(CombinedTable[[#This Row],[Key]], [1]!StatsTable[#Data], 8,FALSE)</f>
        <v>1147</v>
      </c>
      <c r="K128" s="26">
        <f>VLOOKUP(CombinedTable[[#This Row],[Key]], [1]!StatsTable[#Data], 10, FALSE)</f>
        <v>21.8</v>
      </c>
      <c r="L128" s="26">
        <f>VLOOKUP(CombinedTable[[#This Row],[Key]], [1]!StatsTable[#Data], 18, FALSE)</f>
        <v>2.0699999999999998</v>
      </c>
      <c r="M128" s="26">
        <f>VLOOKUP(CombinedTable[[#This Row],[Key]], [1]!StatsTable[#Data], 28, FALSE)</f>
        <v>0.24</v>
      </c>
    </row>
    <row r="129" spans="1:13" ht="20" customHeight="1" x14ac:dyDescent="0.2">
      <c r="A129" s="18" t="str">
        <f t="shared" si="1"/>
        <v>Jorginho-2024-2025</v>
      </c>
      <c r="B129" s="19" t="s">
        <v>101</v>
      </c>
      <c r="C129" s="20" t="s">
        <v>84</v>
      </c>
      <c r="D129" s="21">
        <v>110000</v>
      </c>
      <c r="E129" s="21">
        <v>5720000</v>
      </c>
      <c r="F129" s="21">
        <v>5720000</v>
      </c>
      <c r="G129" s="22" t="s">
        <v>20</v>
      </c>
      <c r="H129" s="23">
        <v>33</v>
      </c>
      <c r="I129" s="24" t="s">
        <v>85</v>
      </c>
      <c r="J129" s="25">
        <f>VLOOKUP(CombinedTable[[#This Row],[Key]], [1]!StatsTable[#Data], 8,FALSE)</f>
        <v>1455</v>
      </c>
      <c r="K129" s="26">
        <f>VLOOKUP(CombinedTable[[#This Row],[Key]], [1]!StatsTable[#Data], 10, FALSE)</f>
        <v>27.7</v>
      </c>
      <c r="L129" s="26">
        <f>VLOOKUP(CombinedTable[[#This Row],[Key]], [1]!StatsTable[#Data], 18, FALSE)</f>
        <v>2</v>
      </c>
      <c r="M129" s="26">
        <f>VLOOKUP(CombinedTable[[#This Row],[Key]], [1]!StatsTable[#Data], 28, FALSE)</f>
        <v>0.23</v>
      </c>
    </row>
    <row r="130" spans="1:13" ht="20" customHeight="1" x14ac:dyDescent="0.2">
      <c r="A130" s="18" t="str">
        <f t="shared" ref="A130:A144" si="2" xml:space="preserve"> C130 &amp; "-" &amp; B130</f>
        <v>Kieran Tierney-2024-2025</v>
      </c>
      <c r="B130" s="19" t="s">
        <v>101</v>
      </c>
      <c r="C130" s="20" t="s">
        <v>28</v>
      </c>
      <c r="D130" s="21">
        <v>110000</v>
      </c>
      <c r="E130" s="21">
        <v>5720000</v>
      </c>
      <c r="F130" s="21">
        <v>5720000</v>
      </c>
      <c r="G130" s="22" t="s">
        <v>29</v>
      </c>
      <c r="H130" s="23">
        <v>27</v>
      </c>
      <c r="I130" s="24" t="s">
        <v>30</v>
      </c>
      <c r="J130" s="25">
        <f>VLOOKUP(CombinedTable[[#This Row],[Key]], [1]!StatsTable[#Data], 8,FALSE)</f>
        <v>456</v>
      </c>
      <c r="K130" s="26">
        <f>VLOOKUP(CombinedTable[[#This Row],[Key]], [1]!StatsTable[#Data], 10, FALSE)</f>
        <v>8.6999999999999993</v>
      </c>
      <c r="L130" s="26">
        <f>VLOOKUP(CombinedTable[[#This Row],[Key]], [1]!StatsTable[#Data], 18, FALSE)</f>
        <v>2.2000000000000002</v>
      </c>
      <c r="M130" s="26">
        <f>VLOOKUP(CombinedTable[[#This Row],[Key]], [1]!StatsTable[#Data], 28, FALSE)</f>
        <v>0</v>
      </c>
    </row>
    <row r="131" spans="1:13" ht="20" customHeight="1" x14ac:dyDescent="0.2">
      <c r="A131" s="18" t="str">
        <f t="shared" si="2"/>
        <v>Takehiro Tomiyasu-2024-2025</v>
      </c>
      <c r="B131" s="19" t="s">
        <v>101</v>
      </c>
      <c r="C131" s="20" t="s">
        <v>73</v>
      </c>
      <c r="D131" s="21">
        <v>100000</v>
      </c>
      <c r="E131" s="21">
        <v>5200000</v>
      </c>
      <c r="F131" s="21">
        <v>5200000</v>
      </c>
      <c r="G131" s="22" t="s">
        <v>29</v>
      </c>
      <c r="H131" s="23">
        <v>26</v>
      </c>
      <c r="I131" s="24" t="s">
        <v>74</v>
      </c>
      <c r="J131" s="25">
        <f>VLOOKUP(CombinedTable[[#This Row],[Key]], [1]!StatsTable[#Data], 8,FALSE)</f>
        <v>7</v>
      </c>
      <c r="K131" s="26">
        <f>VLOOKUP(CombinedTable[[#This Row],[Key]], [1]!StatsTable[#Data], 10, FALSE)</f>
        <v>0.2</v>
      </c>
      <c r="L131" s="26">
        <f>VLOOKUP(CombinedTable[[#This Row],[Key]], [1]!StatsTable[#Data], 18, FALSE)</f>
        <v>3</v>
      </c>
      <c r="M131" s="26">
        <f>VLOOKUP(CombinedTable[[#This Row],[Key]], [1]!StatsTable[#Data], 28, FALSE)</f>
        <v>6.2</v>
      </c>
    </row>
    <row r="132" spans="1:13" ht="20" customHeight="1" x14ac:dyDescent="0.2">
      <c r="A132" s="18" t="str">
        <f t="shared" si="2"/>
        <v>David Raya-2024-2025</v>
      </c>
      <c r="B132" s="19" t="s">
        <v>101</v>
      </c>
      <c r="C132" s="20" t="s">
        <v>98</v>
      </c>
      <c r="D132" s="21">
        <v>100000</v>
      </c>
      <c r="E132" s="21">
        <v>5200000</v>
      </c>
      <c r="F132" s="21">
        <v>5200000</v>
      </c>
      <c r="G132" s="22" t="s">
        <v>40</v>
      </c>
      <c r="H132" s="23">
        <v>29</v>
      </c>
      <c r="I132" s="24" t="s">
        <v>27</v>
      </c>
      <c r="J132" s="25">
        <f>VLOOKUP(CombinedTable[[#This Row],[Key]], [1]!StatsTable[#Data], 8,FALSE)</f>
        <v>4980</v>
      </c>
      <c r="K132" s="26">
        <f>VLOOKUP(CombinedTable[[#This Row],[Key]], [1]!StatsTable[#Data], 10, FALSE)</f>
        <v>94.9</v>
      </c>
      <c r="L132" s="26">
        <f>VLOOKUP(CombinedTable[[#This Row],[Key]], [1]!StatsTable[#Data], 18, FALSE)</f>
        <v>1.89</v>
      </c>
      <c r="M132" s="26">
        <f>VLOOKUP(CombinedTable[[#This Row],[Key]], [1]!StatsTable[#Data], 28, FALSE)</f>
        <v>-0.62</v>
      </c>
    </row>
    <row r="133" spans="1:13" ht="20" customHeight="1" x14ac:dyDescent="0.2">
      <c r="A133" s="18" t="str">
        <f t="shared" si="2"/>
        <v>Gabriel Magalhães-2024-2025</v>
      </c>
      <c r="B133" s="19" t="s">
        <v>101</v>
      </c>
      <c r="C133" s="20" t="s">
        <v>54</v>
      </c>
      <c r="D133" s="21">
        <v>100000</v>
      </c>
      <c r="E133" s="21">
        <v>5200000</v>
      </c>
      <c r="F133" s="21">
        <v>5200000</v>
      </c>
      <c r="G133" s="22" t="s">
        <v>29</v>
      </c>
      <c r="H133" s="23">
        <v>27</v>
      </c>
      <c r="I133" s="24" t="s">
        <v>25</v>
      </c>
      <c r="J133" s="25">
        <f>VLOOKUP(CombinedTable[[#This Row],[Key]], [1]!StatsTable[#Data], 8,FALSE)</f>
        <v>3499</v>
      </c>
      <c r="K133" s="26">
        <f>VLOOKUP(CombinedTable[[#This Row],[Key]], [1]!StatsTable[#Data], 10, FALSE)</f>
        <v>66.599999999999994</v>
      </c>
      <c r="L133" s="26">
        <f>VLOOKUP(CombinedTable[[#This Row],[Key]], [1]!StatsTable[#Data], 18, FALSE)</f>
        <v>2</v>
      </c>
      <c r="M133" s="26">
        <f>VLOOKUP(CombinedTable[[#This Row],[Key]], [1]!StatsTable[#Data], 28, FALSE)</f>
        <v>-0.04</v>
      </c>
    </row>
    <row r="134" spans="1:13" ht="20" customHeight="1" x14ac:dyDescent="0.2">
      <c r="A134" s="18" t="str">
        <f t="shared" si="2"/>
        <v>Jurriën Timber-2024-2025</v>
      </c>
      <c r="B134" s="19" t="s">
        <v>101</v>
      </c>
      <c r="C134" s="20" t="s">
        <v>96</v>
      </c>
      <c r="D134" s="21">
        <v>90000</v>
      </c>
      <c r="E134" s="21">
        <v>4680000</v>
      </c>
      <c r="F134" s="21">
        <v>4680000</v>
      </c>
      <c r="G134" s="22" t="s">
        <v>29</v>
      </c>
      <c r="H134" s="23">
        <v>23</v>
      </c>
      <c r="I134" s="24" t="s">
        <v>97</v>
      </c>
      <c r="J134" s="25">
        <f>VLOOKUP(CombinedTable[[#This Row],[Key]], [1]!StatsTable[#Data], 8,FALSE)</f>
        <v>3666</v>
      </c>
      <c r="K134" s="26">
        <f>VLOOKUP(CombinedTable[[#This Row],[Key]], [1]!StatsTable[#Data], 10, FALSE)</f>
        <v>69.8</v>
      </c>
      <c r="L134" s="26">
        <f>VLOOKUP(CombinedTable[[#This Row],[Key]], [1]!StatsTable[#Data], 18, FALSE)</f>
        <v>1.94</v>
      </c>
      <c r="M134" s="26">
        <f>VLOOKUP(CombinedTable[[#This Row],[Key]], [1]!StatsTable[#Data], 28, FALSE)</f>
        <v>0.24</v>
      </c>
    </row>
    <row r="135" spans="1:13" ht="20" customHeight="1" x14ac:dyDescent="0.2">
      <c r="A135" s="18" t="str">
        <f t="shared" si="2"/>
        <v>Leandro Trossard-2024-2025</v>
      </c>
      <c r="B135" s="19" t="s">
        <v>101</v>
      </c>
      <c r="C135" s="20" t="s">
        <v>86</v>
      </c>
      <c r="D135" s="21">
        <v>90000</v>
      </c>
      <c r="E135" s="21">
        <v>4680000</v>
      </c>
      <c r="F135" s="21">
        <v>4680000</v>
      </c>
      <c r="G135" s="22" t="s">
        <v>15</v>
      </c>
      <c r="H135" s="23">
        <v>30</v>
      </c>
      <c r="I135" s="24" t="s">
        <v>76</v>
      </c>
      <c r="J135" s="25">
        <f>VLOOKUP(CombinedTable[[#This Row],[Key]], [1]!StatsTable[#Data], 8,FALSE)</f>
        <v>3452</v>
      </c>
      <c r="K135" s="26">
        <f>VLOOKUP(CombinedTable[[#This Row],[Key]], [1]!StatsTable[#Data], 10, FALSE)</f>
        <v>65.8</v>
      </c>
      <c r="L135" s="26">
        <f>VLOOKUP(CombinedTable[[#This Row],[Key]], [1]!StatsTable[#Data], 18, FALSE)</f>
        <v>1.91</v>
      </c>
      <c r="M135" s="26">
        <f>VLOOKUP(CombinedTable[[#This Row],[Key]], [1]!StatsTable[#Data], 28, FALSE)</f>
        <v>0</v>
      </c>
    </row>
    <row r="136" spans="1:13" ht="20" customHeight="1" x14ac:dyDescent="0.2">
      <c r="A136" s="18" t="str">
        <f t="shared" si="2"/>
        <v>Jakub Kiwior-2024-2025</v>
      </c>
      <c r="B136" s="19" t="s">
        <v>101</v>
      </c>
      <c r="C136" s="20" t="s">
        <v>87</v>
      </c>
      <c r="D136" s="21">
        <v>58000</v>
      </c>
      <c r="E136" s="21">
        <v>3016000</v>
      </c>
      <c r="F136" s="21">
        <v>3016000</v>
      </c>
      <c r="G136" s="22" t="s">
        <v>29</v>
      </c>
      <c r="H136" s="23">
        <v>24</v>
      </c>
      <c r="I136" s="24" t="s">
        <v>88</v>
      </c>
      <c r="J136" s="25">
        <f>VLOOKUP(CombinedTable[[#This Row],[Key]], [1]!StatsTable[#Data], 8,FALSE)</f>
        <v>2160</v>
      </c>
      <c r="K136" s="26">
        <f>VLOOKUP(CombinedTable[[#This Row],[Key]], [1]!StatsTable[#Data], 10, FALSE)</f>
        <v>41.1</v>
      </c>
      <c r="L136" s="26">
        <f>VLOOKUP(CombinedTable[[#This Row],[Key]], [1]!StatsTable[#Data], 18, FALSE)</f>
        <v>2.06</v>
      </c>
      <c r="M136" s="26">
        <f>VLOOKUP(CombinedTable[[#This Row],[Key]], [1]!StatsTable[#Data], 28, FALSE)</f>
        <v>-0.05</v>
      </c>
    </row>
    <row r="137" spans="1:13" ht="20" customHeight="1" x14ac:dyDescent="0.2">
      <c r="A137" s="18" t="str">
        <f t="shared" si="2"/>
        <v>Neto-2024-2025</v>
      </c>
      <c r="B137" s="19" t="s">
        <v>101</v>
      </c>
      <c r="C137" s="20" t="s">
        <v>105</v>
      </c>
      <c r="D137" s="21">
        <v>50000</v>
      </c>
      <c r="E137" s="21">
        <v>2600000</v>
      </c>
      <c r="F137" s="21">
        <v>2600000</v>
      </c>
      <c r="G137" s="22" t="s">
        <v>40</v>
      </c>
      <c r="H137" s="23">
        <v>35</v>
      </c>
      <c r="I137" s="24" t="s">
        <v>25</v>
      </c>
      <c r="J137" s="25">
        <f>VLOOKUP(CombinedTable[[#This Row],[Key]], [1]!StatsTable[#Data], 8,FALSE)</f>
        <v>90</v>
      </c>
      <c r="K137" s="26">
        <f>VLOOKUP(CombinedTable[[#This Row],[Key]], [1]!StatsTable[#Data], 10, FALSE)</f>
        <v>1.9</v>
      </c>
      <c r="L137" s="26">
        <f>VLOOKUP(CombinedTable[[#This Row],[Key]], [1]!StatsTable[#Data], 18, FALSE)</f>
        <v>3</v>
      </c>
      <c r="M137" s="26">
        <f>VLOOKUP(CombinedTable[[#This Row],[Key]], [1]!StatsTable[#Data], 28, FALSE)</f>
        <v>0.42</v>
      </c>
    </row>
    <row r="138" spans="1:13" ht="20" customHeight="1" x14ac:dyDescent="0.2">
      <c r="A138" s="18" t="str">
        <f t="shared" si="2"/>
        <v>Ethan Nwaneri-2024-2025</v>
      </c>
      <c r="B138" s="19" t="s">
        <v>101</v>
      </c>
      <c r="C138" s="20" t="s">
        <v>106</v>
      </c>
      <c r="D138" s="21">
        <v>6000</v>
      </c>
      <c r="E138" s="21">
        <v>312000</v>
      </c>
      <c r="F138" s="21">
        <v>312000</v>
      </c>
      <c r="G138" s="22" t="s">
        <v>15</v>
      </c>
      <c r="H138" s="23">
        <v>17</v>
      </c>
      <c r="I138" s="24" t="s">
        <v>51</v>
      </c>
      <c r="J138" s="25">
        <f>VLOOKUP(CombinedTable[[#This Row],[Key]], [1]!StatsTable[#Data], 8,FALSE)</f>
        <v>1387</v>
      </c>
      <c r="K138" s="26">
        <f>VLOOKUP(CombinedTable[[#This Row],[Key]], [1]!StatsTable[#Data], 10, FALSE)</f>
        <v>27</v>
      </c>
      <c r="L138" s="26">
        <f>VLOOKUP(CombinedTable[[#This Row],[Key]], [1]!StatsTable[#Data], 18, FALSE)</f>
        <v>1.95</v>
      </c>
      <c r="M138" s="26">
        <f>VLOOKUP(CombinedTable[[#This Row],[Key]], [1]!StatsTable[#Data], 28, FALSE)</f>
        <v>0.31</v>
      </c>
    </row>
    <row r="139" spans="1:13" ht="20" customHeight="1" x14ac:dyDescent="0.2">
      <c r="A139" s="18" t="str">
        <f t="shared" si="2"/>
        <v>Myles Lewis-Skelly-2024-2025</v>
      </c>
      <c r="B139" s="19" t="s">
        <v>101</v>
      </c>
      <c r="C139" s="20" t="s">
        <v>107</v>
      </c>
      <c r="D139" s="21">
        <v>4000</v>
      </c>
      <c r="E139" s="21">
        <v>208000</v>
      </c>
      <c r="F139" s="21">
        <v>208000</v>
      </c>
      <c r="G139" s="22" t="s">
        <v>29</v>
      </c>
      <c r="H139" s="23">
        <v>18</v>
      </c>
      <c r="I139" s="24" t="s">
        <v>51</v>
      </c>
      <c r="J139" s="25">
        <f>VLOOKUP(CombinedTable[[#This Row],[Key]], [1]!StatsTable[#Data], 8,FALSE)</f>
        <v>2303</v>
      </c>
      <c r="K139" s="26">
        <f>VLOOKUP(CombinedTable[[#This Row],[Key]], [1]!StatsTable[#Data], 10, FALSE)</f>
        <v>43.9</v>
      </c>
      <c r="L139" s="26">
        <f>VLOOKUP(CombinedTable[[#This Row],[Key]], [1]!StatsTable[#Data], 18, FALSE)</f>
        <v>1.98</v>
      </c>
      <c r="M139" s="26">
        <f>VLOOKUP(CombinedTable[[#This Row],[Key]], [1]!StatsTable[#Data], 28, FALSE)</f>
        <v>-0.4</v>
      </c>
    </row>
    <row r="140" spans="1:13" ht="20" customHeight="1" x14ac:dyDescent="0.2">
      <c r="A140" s="18" t="str">
        <f t="shared" si="2"/>
        <v>Karl Hein-2024-2025</v>
      </c>
      <c r="B140" s="19" t="s">
        <v>101</v>
      </c>
      <c r="C140" s="20" t="s">
        <v>99</v>
      </c>
      <c r="D140" s="21"/>
      <c r="E140" s="21"/>
      <c r="F140" s="21"/>
      <c r="G140" s="22" t="s">
        <v>40</v>
      </c>
      <c r="H140" s="23">
        <v>22</v>
      </c>
      <c r="I140" s="24" t="s">
        <v>100</v>
      </c>
      <c r="J140" s="25" t="e">
        <f>VLOOKUP(CombinedTable[[#This Row],[Key]], [1]!StatsTable[#Data], 8,FALSE)</f>
        <v>#N/A</v>
      </c>
      <c r="K140" s="26" t="e">
        <f>VLOOKUP(CombinedTable[[#This Row],[Key]], [1]!StatsTable[#Data], 10, FALSE)</f>
        <v>#N/A</v>
      </c>
      <c r="L140" s="26" t="e">
        <f>VLOOKUP(CombinedTable[[#This Row],[Key]], [1]!StatsTable[#Data], 18, FALSE)</f>
        <v>#N/A</v>
      </c>
      <c r="M140" s="26" t="e">
        <f>VLOOKUP(CombinedTable[[#This Row],[Key]], [1]!StatsTable[#Data], 28, FALSE)</f>
        <v>#N/A</v>
      </c>
    </row>
    <row r="141" spans="1:13" ht="20" customHeight="1" x14ac:dyDescent="0.2">
      <c r="A141" s="18" t="str">
        <f t="shared" si="2"/>
        <v>Fábio Vieira-2024-2025</v>
      </c>
      <c r="B141" s="19" t="s">
        <v>101</v>
      </c>
      <c r="C141" s="20" t="s">
        <v>89</v>
      </c>
      <c r="D141" s="21"/>
      <c r="E141" s="21"/>
      <c r="F141" s="21"/>
      <c r="G141" s="22" t="s">
        <v>15</v>
      </c>
      <c r="H141" s="23">
        <v>24</v>
      </c>
      <c r="I141" s="24" t="s">
        <v>48</v>
      </c>
      <c r="J141" s="25" t="e">
        <f>VLOOKUP(CombinedTable[[#This Row],[Key]], [1]!StatsTable[#Data], 8,FALSE)</f>
        <v>#N/A</v>
      </c>
      <c r="K141" s="26" t="e">
        <f>VLOOKUP(CombinedTable[[#This Row],[Key]], [1]!StatsTable[#Data], 10, FALSE)</f>
        <v>#N/A</v>
      </c>
      <c r="L141" s="26" t="e">
        <f>VLOOKUP(CombinedTable[[#This Row],[Key]], [1]!StatsTable[#Data], 18, FALSE)</f>
        <v>#N/A</v>
      </c>
      <c r="M141" s="26" t="e">
        <f>VLOOKUP(CombinedTable[[#This Row],[Key]], [1]!StatsTable[#Data], 28, FALSE)</f>
        <v>#N/A</v>
      </c>
    </row>
    <row r="142" spans="1:13" ht="20" customHeight="1" x14ac:dyDescent="0.2">
      <c r="A142" s="18" t="str">
        <f t="shared" si="2"/>
        <v>Albert Sambi Lokonga-2024-2025</v>
      </c>
      <c r="B142" s="19" t="s">
        <v>101</v>
      </c>
      <c r="C142" s="20" t="s">
        <v>75</v>
      </c>
      <c r="D142" s="21"/>
      <c r="E142" s="21"/>
      <c r="F142" s="21"/>
      <c r="G142" s="22" t="s">
        <v>20</v>
      </c>
      <c r="H142" s="23">
        <v>24</v>
      </c>
      <c r="I142" s="24" t="s">
        <v>76</v>
      </c>
      <c r="J142" s="25" t="e">
        <f>VLOOKUP(CombinedTable[[#This Row],[Key]], [1]!StatsTable[#Data], 8,FALSE)</f>
        <v>#N/A</v>
      </c>
      <c r="K142" s="26" t="e">
        <f>VLOOKUP(CombinedTable[[#This Row],[Key]], [1]!StatsTable[#Data], 10, FALSE)</f>
        <v>#N/A</v>
      </c>
      <c r="L142" s="26" t="e">
        <f>VLOOKUP(CombinedTable[[#This Row],[Key]], [1]!StatsTable[#Data], 18, FALSE)</f>
        <v>#N/A</v>
      </c>
      <c r="M142" s="26" t="e">
        <f>VLOOKUP(CombinedTable[[#This Row],[Key]], [1]!StatsTable[#Data], 28, FALSE)</f>
        <v>#N/A</v>
      </c>
    </row>
    <row r="143" spans="1:13" ht="20" customHeight="1" x14ac:dyDescent="0.2">
      <c r="A143" s="18" t="str">
        <f t="shared" si="2"/>
        <v>Maldini Kacurri-2024-2025</v>
      </c>
      <c r="B143" s="19" t="s">
        <v>101</v>
      </c>
      <c r="C143" s="20" t="s">
        <v>108</v>
      </c>
      <c r="D143" s="21"/>
      <c r="E143" s="21"/>
      <c r="F143" s="21"/>
      <c r="G143" s="22" t="s">
        <v>29</v>
      </c>
      <c r="H143" s="23">
        <v>19</v>
      </c>
      <c r="I143" s="24" t="s">
        <v>109</v>
      </c>
      <c r="J143" s="25">
        <f>VLOOKUP(CombinedTable[[#This Row],[Key]], [1]!StatsTable[#Data], 8,FALSE)</f>
        <v>21</v>
      </c>
      <c r="K143" s="26">
        <f>VLOOKUP(CombinedTable[[#This Row],[Key]], [1]!StatsTable[#Data], 10, FALSE)</f>
        <v>0.4</v>
      </c>
      <c r="L143" s="26">
        <f>VLOOKUP(CombinedTable[[#This Row],[Key]], [1]!StatsTable[#Data], 18, FALSE)</f>
        <v>3</v>
      </c>
      <c r="M143" s="26">
        <f>VLOOKUP(CombinedTable[[#This Row],[Key]], [1]!StatsTable[#Data], 28, FALSE)</f>
        <v>0</v>
      </c>
    </row>
    <row r="144" spans="1:13" ht="20" customHeight="1" x14ac:dyDescent="0.2">
      <c r="A144" s="27" t="str">
        <f t="shared" si="2"/>
        <v>Nuno Tavares-2024-2025</v>
      </c>
      <c r="B144" s="28" t="s">
        <v>101</v>
      </c>
      <c r="C144" s="29" t="s">
        <v>78</v>
      </c>
      <c r="D144" s="30"/>
      <c r="E144" s="30"/>
      <c r="F144" s="30"/>
      <c r="G144" s="31" t="s">
        <v>29</v>
      </c>
      <c r="H144" s="32">
        <v>24</v>
      </c>
      <c r="I144" s="33" t="s">
        <v>48</v>
      </c>
      <c r="J144" s="34" t="e">
        <f>VLOOKUP(CombinedTable[[#This Row],[Key]], [1]!StatsTable[#Data], 8,FALSE)</f>
        <v>#N/A</v>
      </c>
      <c r="K144" s="35" t="e">
        <f>VLOOKUP(CombinedTable[[#This Row],[Key]], [1]!StatsTable[#Data], 10, FALSE)</f>
        <v>#N/A</v>
      </c>
      <c r="L144" s="35" t="e">
        <f>VLOOKUP(CombinedTable[[#This Row],[Key]], [1]!StatsTable[#Data], 18, FALSE)</f>
        <v>#N/A</v>
      </c>
      <c r="M144" s="35" t="e">
        <f>VLOOKUP(CombinedTable[[#This Row],[Key]], [1]!StatsTable[#Data], 28, FALSE)</f>
        <v>#N/A</v>
      </c>
    </row>
  </sheetData>
  <pageMargins left="1" right="1" top="1" bottom="1" header="0.25" footer="0.25"/>
  <pageSetup orientation="portrait"/>
  <headerFooter>
    <oddFooter>&amp;C&amp;"Helvetica Neue,Regular"&amp;12&amp;K000000&amp;P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Matthew-David Ilomuanya</dc:creator>
  <cp:lastModifiedBy>Matthew-David Ilomuanya</cp:lastModifiedBy>
  <dcterms:created xsi:type="dcterms:W3CDTF">2025-08-20T19:00:11Z</dcterms:created>
  <dcterms:modified xsi:type="dcterms:W3CDTF">2025-08-20T21:53:43Z</dcterms:modified>
</cp:coreProperties>
</file>