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77" windowWidth="11794" windowHeight="9874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Sheet1!$G$16:$I$27</definedName>
  </definedNames>
  <calcPr calcId="125725"/>
</workbook>
</file>

<file path=xl/calcChain.xml><?xml version="1.0" encoding="utf-8"?>
<calcChain xmlns="http://schemas.openxmlformats.org/spreadsheetml/2006/main">
  <c r="H21" i="1"/>
  <c r="K18"/>
  <c r="K42"/>
  <c r="H33"/>
  <c r="G33"/>
  <c r="P7"/>
  <c r="L7"/>
  <c r="M7"/>
  <c r="N7"/>
  <c r="H18"/>
  <c r="K19"/>
  <c r="K7"/>
  <c r="E13"/>
  <c r="L17"/>
  <c r="B37"/>
  <c r="B38" s="1"/>
  <c r="D32"/>
  <c r="D33" s="1"/>
  <c r="D34" s="1"/>
  <c r="D35" s="1"/>
  <c r="D20"/>
  <c r="P17" l="1"/>
  <c r="P19" s="1"/>
  <c r="B9"/>
  <c r="B13" s="1"/>
  <c r="B19" s="1"/>
  <c r="Q19"/>
  <c r="L23"/>
  <c r="H19"/>
  <c r="H17"/>
  <c r="H22"/>
  <c r="P18" l="1"/>
  <c r="K17"/>
  <c r="B22"/>
  <c r="B20"/>
  <c r="H25"/>
  <c r="H30" s="1"/>
  <c r="L24"/>
  <c r="H27" l="1"/>
  <c r="H29" s="1"/>
  <c r="K34"/>
  <c r="G34"/>
  <c r="H23"/>
  <c r="H24"/>
  <c r="K35" l="1"/>
  <c r="L34"/>
  <c r="H34"/>
  <c r="G35"/>
  <c r="H20"/>
  <c r="K20"/>
  <c r="Q20" s="1"/>
  <c r="Q21" s="1"/>
  <c r="K36" l="1"/>
  <c r="L35"/>
  <c r="P20"/>
  <c r="P21" s="1"/>
  <c r="K21"/>
  <c r="K22" s="1"/>
  <c r="G36"/>
  <c r="H35"/>
  <c r="K37" l="1"/>
  <c r="L36"/>
  <c r="H36"/>
  <c r="G37"/>
  <c r="K38" l="1"/>
  <c r="L37"/>
  <c r="G38"/>
  <c r="H37"/>
  <c r="L38" l="1"/>
  <c r="K39"/>
  <c r="L39" s="1"/>
  <c r="H38"/>
  <c r="G39"/>
  <c r="H39" s="1"/>
  <c r="L40" l="1"/>
  <c r="K40"/>
</calcChain>
</file>

<file path=xl/sharedStrings.xml><?xml version="1.0" encoding="utf-8"?>
<sst xmlns="http://schemas.openxmlformats.org/spreadsheetml/2006/main" count="114" uniqueCount="100">
  <si>
    <t>Total Disk Size</t>
  </si>
  <si>
    <t>AL bits</t>
  </si>
  <si>
    <t>Directory Entries</t>
  </si>
  <si>
    <t>Removable</t>
  </si>
  <si>
    <t>Must be &lt;=</t>
  </si>
  <si>
    <t>Logical Tracks</t>
  </si>
  <si>
    <t>512 byte blocks (SD Card)</t>
  </si>
  <si>
    <t>Z80 CPM-80 limited to 8MB disks</t>
  </si>
  <si>
    <t>Heads</t>
  </si>
  <si>
    <t>IBM 3740</t>
  </si>
  <si>
    <t>Usable Space</t>
  </si>
  <si>
    <t>PC1440</t>
  </si>
  <si>
    <t>Sector Size (logical)</t>
  </si>
  <si>
    <t>Dir Entires</t>
  </si>
  <si>
    <t>Total Bytes</t>
  </si>
  <si>
    <t>8MB Partition</t>
  </si>
  <si>
    <t>Tracks</t>
  </si>
  <si>
    <t>Sectors Per Track (logical)</t>
  </si>
  <si>
    <t>Size of bios directory check vector (bytes)</t>
  </si>
  <si>
    <t>Size of bios allocation vector scratchpad (bytes)</t>
  </si>
  <si>
    <t>OFF (System Tracks)</t>
  </si>
  <si>
    <t>SD Blocks</t>
  </si>
  <si>
    <t>DD Seek Offset</t>
  </si>
  <si>
    <t>DD Count Blocks</t>
  </si>
  <si>
    <t>Total Usable Space (bytes)</t>
  </si>
  <si>
    <t>Approx MB</t>
  </si>
  <si>
    <t>Total Logical Sectors</t>
  </si>
  <si>
    <t>Block Allocation Size (BLS)</t>
  </si>
  <si>
    <t>Allocation granularity influences ALV mem block size</t>
  </si>
  <si>
    <t>Influences size of CKS mem block size</t>
  </si>
  <si>
    <t>0= Non-Removable, 1=Removable</t>
  </si>
  <si>
    <t>and wasted or overallocated disk space</t>
  </si>
  <si>
    <t>Examples</t>
  </si>
  <si>
    <t>Disk Layout</t>
  </si>
  <si>
    <t>Disk Parameter Block Values</t>
  </si>
  <si>
    <t>System Bytes (Boot Tracks)</t>
  </si>
  <si>
    <t>Block Size (BLS)</t>
  </si>
  <si>
    <t>Disk Space Usable For Files</t>
  </si>
  <si>
    <t>SD Card
Multi-Disk System Planning</t>
  </si>
  <si>
    <t>AL0 (MSB), AL1 (LSB)</t>
  </si>
  <si>
    <t>-----------------------&gt;</t>
  </si>
  <si>
    <t>Quality of Allocation</t>
  </si>
  <si>
    <t>FILL IN THESE PARAMETERS</t>
  </si>
  <si>
    <t>Percent Wastage in terms of Disk Space Usable For Files</t>
  </si>
  <si>
    <t>Overhead (Directory Entries)</t>
  </si>
  <si>
    <t>CP/M 2.2 (CP/M-80) Disk Parameter Block Calculator</t>
  </si>
  <si>
    <t>Boot Tracks (Hard Disk=0)</t>
  </si>
  <si>
    <t>MZ-80A</t>
  </si>
  <si>
    <t>https://original.sharpmz.org/succpminfo09.htm</t>
  </si>
  <si>
    <t>Epson CP/M 2.2 format QX-10, TF-20 (HX-20, PX-4, PX-8)</t>
  </si>
  <si>
    <t>CPM8266</t>
  </si>
  <si>
    <t>256K</t>
  </si>
  <si>
    <t>SPT - (16 bit)</t>
  </si>
  <si>
    <t>BSH - (8 bit)</t>
  </si>
  <si>
    <t>BLM - (8 bit)</t>
  </si>
  <si>
    <t>EXM - (8 bit)</t>
  </si>
  <si>
    <t>DSM - (16 bit)</t>
  </si>
  <si>
    <t>DRM - (16 bit)</t>
  </si>
  <si>
    <t>AL0 - (8 bit)</t>
  </si>
  <si>
    <t>AL1 - (8 bit)</t>
  </si>
  <si>
    <t>OFF - (16 bit)</t>
  </si>
  <si>
    <t>Bytes per track</t>
  </si>
  <si>
    <t>Tracks Used</t>
  </si>
  <si>
    <t>(+) -&gt; Unusable Space,  (-) -&gt; Overallocated space</t>
  </si>
  <si>
    <t>Total Tracks</t>
  </si>
  <si>
    <t>BLS Blocks reserved for DIR. Set nth high order AL bits (must be less than 16)</t>
  </si>
  <si>
    <t>CKS - (16 bit) Allocation of memory</t>
  </si>
  <si>
    <t>ALV - (16 bit) Allocation of memory</t>
  </si>
  <si>
    <t>&lt;-------|---------------</t>
  </si>
  <si>
    <t>&lt;-------V</t>
  </si>
  <si>
    <t>Blocks Used</t>
  </si>
  <si>
    <t>Max Blocks accounted for in ALV</t>
  </si>
  <si>
    <t>Max DIR entrys account for in CKS</t>
  </si>
  <si>
    <t>1 bit per block.  Must not exceed DSM+1</t>
  </si>
  <si>
    <t>2 bits per DIR entry.  Must not exceed DRM+1</t>
  </si>
  <si>
    <t>8" SSDD 128 B/S</t>
  </si>
  <si>
    <t>5" SSDD 256 b/s</t>
  </si>
  <si>
    <t>5" DSDD 256 b/s</t>
  </si>
  <si>
    <t xml:space="preserve">AMSTRAD AMP4 </t>
  </si>
  <si>
    <t>5" DSDD</t>
  </si>
  <si>
    <t>System tracks not counted on side 1</t>
  </si>
  <si>
    <t>0= NO, 1=YES</t>
  </si>
  <si>
    <t>Count Multiple Heads for Boot</t>
  </si>
  <si>
    <t>Micromate</t>
  </si>
  <si>
    <t>PMC-101</t>
  </si>
  <si>
    <t>System tracks ARE counted side 1 and side 2</t>
  </si>
  <si>
    <t>8MB partition #2</t>
  </si>
  <si>
    <t>Revised 1-MAR-2020</t>
  </si>
  <si>
    <t>Disk 0 Base</t>
  </si>
  <si>
    <t>Disk 1 Base</t>
  </si>
  <si>
    <t>Disk 2 Base</t>
  </si>
  <si>
    <t>Disk 4 Base</t>
  </si>
  <si>
    <t>Disk 3 Base</t>
  </si>
  <si>
    <t>Disk 5 Base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</si>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</sst>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color theme="1"/>
      <name val="Terminal"/>
      <family val="3"/>
      <charset val="255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0" fillId="0" borderId="0" xfId="0" applyBorder="1" applyAlignment="1">
      <alignment horizontal="left"/>
    </xf>
    <xf numFmtId="0" fontId="1" fillId="0" borderId="13" xfId="0" applyFont="1" applyBorder="1"/>
    <xf numFmtId="0" fontId="0" fillId="2" borderId="6" xfId="0" applyFill="1" applyBorder="1"/>
    <xf numFmtId="0" fontId="0" fillId="2" borderId="5" xfId="0" applyFill="1" applyBorder="1"/>
    <xf numFmtId="3" fontId="0" fillId="0" borderId="5" xfId="0" applyNumberFormat="1" applyBorder="1"/>
    <xf numFmtId="0" fontId="1" fillId="0" borderId="1" xfId="0" applyFont="1" applyBorder="1" applyAlignment="1">
      <alignment wrapText="1"/>
    </xf>
    <xf numFmtId="0" fontId="0" fillId="3" borderId="6" xfId="0" applyFill="1" applyBorder="1" applyAlignment="1">
      <alignment horizontal="right"/>
    </xf>
    <xf numFmtId="0" fontId="3" fillId="0" borderId="0" xfId="0" quotePrefix="1" applyFont="1"/>
    <xf numFmtId="3" fontId="0" fillId="0" borderId="2" xfId="0" applyNumberFormat="1" applyBorder="1"/>
    <xf numFmtId="0" fontId="0" fillId="3" borderId="0" xfId="0" applyNumberFormat="1" applyFill="1" applyBorder="1"/>
    <xf numFmtId="10" fontId="0" fillId="0" borderId="7" xfId="0" applyNumberFormat="1" applyBorder="1"/>
    <xf numFmtId="0" fontId="0" fillId="0" borderId="8" xfId="0" applyFill="1" applyBorder="1"/>
    <xf numFmtId="3" fontId="0" fillId="0" borderId="0" xfId="0" applyNumberFormat="1"/>
    <xf numFmtId="0" fontId="0" fillId="4" borderId="5" xfId="0" applyFill="1" applyBorder="1"/>
    <xf numFmtId="0" fontId="0" fillId="4" borderId="6" xfId="0" applyFill="1" applyBorder="1"/>
    <xf numFmtId="0" fontId="4" fillId="0" borderId="0" xfId="0" applyFont="1"/>
    <xf numFmtId="0" fontId="0" fillId="0" borderId="0" xfId="0" applyFill="1" applyBorder="1"/>
    <xf numFmtId="0" fontId="0" fillId="0" borderId="5" xfId="0" applyFill="1" applyBorder="1"/>
    <xf numFmtId="0" fontId="0" fillId="0" borderId="0" xfId="0" applyFont="1" applyFill="1" applyBorder="1"/>
    <xf numFmtId="0" fontId="0" fillId="0" borderId="10" xfId="0" applyFill="1" applyBorder="1"/>
    <xf numFmtId="0" fontId="1" fillId="0" borderId="6" xfId="0" applyFont="1" applyBorder="1"/>
    <xf numFmtId="2" fontId="0" fillId="0" borderId="0" xfId="0" applyNumberFormat="1"/>
    <xf numFmtId="0" fontId="0" fillId="2" borderId="7" xfId="0" applyFill="1" applyBorder="1" applyAlignment="1"/>
    <xf numFmtId="0" fontId="0" fillId="0" borderId="8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riginal.sharpmz.org/succpminfo0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U42"/>
  <sheetViews>
    <sheetView tabSelected="1" zoomScale="85" zoomScaleNormal="85" workbookViewId="0">
      <selection activeCell="E26" sqref="E26"/>
    </sheetView>
  </sheetViews>
  <sheetFormatPr defaultRowHeight="14.6"/>
  <cols>
    <col min="1" max="1" width="32.53515625" customWidth="1"/>
    <col min="2" max="2" width="14.15234375" customWidth="1"/>
    <col min="3" max="3" width="11" customWidth="1"/>
    <col min="4" max="4" width="21.3046875" customWidth="1"/>
    <col min="5" max="5" width="26.15234375" customWidth="1"/>
    <col min="6" max="6" width="15.3828125" customWidth="1"/>
    <col min="7" max="7" width="35.3828125" customWidth="1"/>
    <col min="8" max="8" width="14.15234375" customWidth="1"/>
    <col min="9" max="9" width="12.3046875" customWidth="1"/>
    <col min="10" max="10" width="13.3828125" customWidth="1"/>
    <col min="11" max="11" width="11.84375" customWidth="1"/>
    <col min="12" max="12" width="14.53515625" customWidth="1"/>
    <col min="14" max="14" width="28.84375" customWidth="1"/>
    <col min="15" max="15" width="15.53515625" customWidth="1"/>
    <col min="17" max="17" width="16.53515625" customWidth="1"/>
  </cols>
  <sheetData>
    <row r="1" spans="1:21" ht="18.45">
      <c r="A1" s="18" t="s">
        <v>45</v>
      </c>
    </row>
    <row r="2" spans="1:21" ht="15" thickBot="1">
      <c r="A2" t="s">
        <v>87</v>
      </c>
    </row>
    <row r="3" spans="1:21" ht="15.45" thickBot="1">
      <c r="A3" s="23" t="s">
        <v>33</v>
      </c>
      <c r="B3" s="44" t="s">
        <v>42</v>
      </c>
      <c r="C3" s="45"/>
      <c r="D3" s="45"/>
      <c r="E3" s="45"/>
      <c r="G3" s="14" t="s">
        <v>32</v>
      </c>
      <c r="K3" s="37"/>
      <c r="O3" t="s">
        <v>78</v>
      </c>
      <c r="P3" t="s">
        <v>83</v>
      </c>
      <c r="R3" t="s">
        <v>47</v>
      </c>
      <c r="S3" t="s">
        <v>50</v>
      </c>
    </row>
    <row r="4" spans="1:21" ht="15.45" thickBot="1">
      <c r="A4" s="23"/>
      <c r="B4" s="5"/>
      <c r="C4" s="6"/>
      <c r="D4" s="6"/>
      <c r="E4" s="7"/>
      <c r="G4" s="5"/>
      <c r="H4" s="15" t="s">
        <v>9</v>
      </c>
      <c r="I4" s="16" t="s">
        <v>11</v>
      </c>
      <c r="J4" s="17" t="s">
        <v>15</v>
      </c>
      <c r="K4" s="37" t="s">
        <v>49</v>
      </c>
      <c r="L4" t="s">
        <v>75</v>
      </c>
      <c r="M4" t="s">
        <v>76</v>
      </c>
      <c r="N4" t="s">
        <v>77</v>
      </c>
      <c r="O4" t="s">
        <v>79</v>
      </c>
      <c r="P4" t="s">
        <v>84</v>
      </c>
      <c r="Q4" t="s">
        <v>15</v>
      </c>
      <c r="R4" t="s">
        <v>48</v>
      </c>
      <c r="S4" t="s">
        <v>51</v>
      </c>
      <c r="U4" t="s">
        <v>86</v>
      </c>
    </row>
    <row r="5" spans="1:21">
      <c r="A5" s="8" t="s">
        <v>12</v>
      </c>
      <c r="B5" s="25">
        <v>128</v>
      </c>
      <c r="C5" s="9"/>
      <c r="D5" s="9"/>
      <c r="E5" s="10"/>
      <c r="G5" s="8" t="s">
        <v>12</v>
      </c>
      <c r="H5" s="8">
        <v>128</v>
      </c>
      <c r="I5" s="9">
        <v>128</v>
      </c>
      <c r="J5" s="10">
        <v>128</v>
      </c>
      <c r="K5" s="38">
        <v>128</v>
      </c>
      <c r="L5">
        <v>128</v>
      </c>
      <c r="M5">
        <v>128</v>
      </c>
      <c r="N5">
        <v>128</v>
      </c>
      <c r="O5">
        <v>128</v>
      </c>
      <c r="P5">
        <v>128</v>
      </c>
      <c r="Q5">
        <v>128</v>
      </c>
      <c r="R5">
        <v>128</v>
      </c>
      <c r="S5">
        <v>128</v>
      </c>
      <c r="U5">
        <v>128</v>
      </c>
    </row>
    <row r="6" spans="1:21">
      <c r="A6" s="8" t="s">
        <v>16</v>
      </c>
      <c r="B6" s="25">
        <v>8192</v>
      </c>
      <c r="C6" s="9"/>
      <c r="D6" s="9"/>
      <c r="E6" s="10"/>
      <c r="G6" s="8" t="s">
        <v>16</v>
      </c>
      <c r="H6" s="8">
        <v>77</v>
      </c>
      <c r="I6" s="9">
        <v>80</v>
      </c>
      <c r="J6" s="10">
        <v>1024</v>
      </c>
      <c r="K6" s="38">
        <v>39</v>
      </c>
      <c r="L6">
        <v>77</v>
      </c>
      <c r="M6">
        <v>40</v>
      </c>
      <c r="N6">
        <v>35</v>
      </c>
      <c r="O6">
        <v>80</v>
      </c>
      <c r="P6">
        <v>40</v>
      </c>
      <c r="Q6">
        <v>256</v>
      </c>
      <c r="R6">
        <v>35</v>
      </c>
      <c r="S6">
        <v>77</v>
      </c>
      <c r="U6">
        <v>128</v>
      </c>
    </row>
    <row r="7" spans="1:21">
      <c r="A7" s="8" t="s">
        <v>17</v>
      </c>
      <c r="B7" s="25">
        <v>8</v>
      </c>
      <c r="C7" s="9"/>
      <c r="D7" s="9"/>
      <c r="E7" s="10"/>
      <c r="G7" s="8" t="s">
        <v>17</v>
      </c>
      <c r="H7" s="8">
        <v>26</v>
      </c>
      <c r="I7" s="9">
        <v>72</v>
      </c>
      <c r="J7" s="10">
        <v>64</v>
      </c>
      <c r="K7">
        <f>16*(256/128)*2</f>
        <v>64</v>
      </c>
      <c r="L7">
        <f>2*26</f>
        <v>52</v>
      </c>
      <c r="M7">
        <f>2*18</f>
        <v>36</v>
      </c>
      <c r="N7">
        <f>2*18</f>
        <v>36</v>
      </c>
      <c r="O7">
        <v>40</v>
      </c>
      <c r="P7">
        <f>5*1024/B5</f>
        <v>40</v>
      </c>
      <c r="Q7">
        <v>256</v>
      </c>
      <c r="R7">
        <v>80</v>
      </c>
      <c r="S7">
        <v>26</v>
      </c>
      <c r="U7">
        <v>64</v>
      </c>
    </row>
    <row r="8" spans="1:21">
      <c r="A8" s="8" t="s">
        <v>8</v>
      </c>
      <c r="B8" s="25">
        <v>1</v>
      </c>
      <c r="C8" s="9"/>
      <c r="D8" s="9"/>
      <c r="E8" s="10"/>
      <c r="G8" s="8" t="s">
        <v>8</v>
      </c>
      <c r="H8" s="8">
        <v>1</v>
      </c>
      <c r="I8" s="9">
        <v>2</v>
      </c>
      <c r="J8" s="10">
        <v>1</v>
      </c>
      <c r="K8" s="38">
        <v>1</v>
      </c>
      <c r="L8">
        <v>1</v>
      </c>
      <c r="M8">
        <v>1</v>
      </c>
      <c r="N8">
        <v>2</v>
      </c>
      <c r="O8">
        <v>2</v>
      </c>
      <c r="P8">
        <v>2</v>
      </c>
      <c r="Q8">
        <v>1</v>
      </c>
      <c r="R8">
        <v>1</v>
      </c>
      <c r="S8">
        <v>1</v>
      </c>
      <c r="U8">
        <v>1</v>
      </c>
    </row>
    <row r="9" spans="1:21">
      <c r="A9" s="8" t="s">
        <v>14</v>
      </c>
      <c r="B9" s="26">
        <f>PRODUCT(B5:B8)</f>
        <v>8388608</v>
      </c>
      <c r="C9" s="9"/>
      <c r="D9" s="9"/>
      <c r="E9" s="10"/>
      <c r="G9" s="8" t="s">
        <v>36</v>
      </c>
      <c r="H9" s="8">
        <v>1024</v>
      </c>
      <c r="I9" s="9">
        <v>2048</v>
      </c>
      <c r="J9" s="10">
        <v>8192</v>
      </c>
      <c r="K9" s="38">
        <v>2048</v>
      </c>
      <c r="L9">
        <v>2048</v>
      </c>
      <c r="M9">
        <v>2048</v>
      </c>
      <c r="N9">
        <v>2048</v>
      </c>
      <c r="O9">
        <v>2048</v>
      </c>
      <c r="P9">
        <v>2048</v>
      </c>
      <c r="Q9">
        <v>16384</v>
      </c>
      <c r="R9">
        <v>2048</v>
      </c>
      <c r="S9">
        <v>1024</v>
      </c>
      <c r="U9">
        <v>8192</v>
      </c>
    </row>
    <row r="10" spans="1:21">
      <c r="A10" s="8"/>
      <c r="B10" s="8"/>
      <c r="C10" s="9"/>
      <c r="D10" s="9"/>
      <c r="E10" s="10"/>
      <c r="G10" s="8" t="s">
        <v>13</v>
      </c>
      <c r="H10" s="8">
        <v>64</v>
      </c>
      <c r="I10" s="9">
        <v>256</v>
      </c>
      <c r="J10" s="10">
        <v>2048</v>
      </c>
      <c r="K10" s="38">
        <v>64</v>
      </c>
      <c r="L10">
        <v>128</v>
      </c>
      <c r="M10">
        <v>128</v>
      </c>
      <c r="N10">
        <v>128</v>
      </c>
      <c r="O10">
        <v>256</v>
      </c>
      <c r="P10">
        <v>128</v>
      </c>
      <c r="Q10">
        <v>512</v>
      </c>
      <c r="R10">
        <v>128</v>
      </c>
      <c r="S10">
        <v>64</v>
      </c>
      <c r="U10">
        <v>512</v>
      </c>
    </row>
    <row r="11" spans="1:21" ht="15" thickBot="1">
      <c r="A11" s="8" t="s">
        <v>82</v>
      </c>
      <c r="B11" s="25">
        <v>1</v>
      </c>
      <c r="C11" s="9" t="s">
        <v>81</v>
      </c>
      <c r="D11" s="9"/>
      <c r="E11" s="10"/>
      <c r="G11" s="11" t="s">
        <v>20</v>
      </c>
      <c r="H11" s="11">
        <v>2</v>
      </c>
      <c r="I11" s="12">
        <v>2</v>
      </c>
      <c r="J11" s="13">
        <v>0</v>
      </c>
      <c r="K11" s="38">
        <v>4</v>
      </c>
      <c r="L11">
        <v>2</v>
      </c>
      <c r="M11">
        <v>3</v>
      </c>
      <c r="N11">
        <v>3</v>
      </c>
      <c r="O11">
        <v>2</v>
      </c>
      <c r="P11">
        <v>1</v>
      </c>
      <c r="Q11">
        <v>1</v>
      </c>
      <c r="R11">
        <v>1</v>
      </c>
      <c r="S11">
        <v>2</v>
      </c>
      <c r="U11">
        <v>1</v>
      </c>
    </row>
    <row r="12" spans="1:21">
      <c r="A12" s="8"/>
      <c r="B12" s="8"/>
      <c r="C12" s="9"/>
      <c r="D12" s="9"/>
      <c r="E12" s="10"/>
      <c r="O12" t="s">
        <v>80</v>
      </c>
      <c r="P12" t="s">
        <v>85</v>
      </c>
    </row>
    <row r="13" spans="1:21">
      <c r="A13" s="8" t="s">
        <v>0</v>
      </c>
      <c r="B13" s="26">
        <f>B9</f>
        <v>8388608</v>
      </c>
      <c r="C13" s="9" t="s">
        <v>7</v>
      </c>
      <c r="D13" s="9"/>
      <c r="E13" s="10">
        <f>8*1024*1024</f>
        <v>8388608</v>
      </c>
    </row>
    <row r="14" spans="1:21">
      <c r="A14" s="8" t="s">
        <v>3</v>
      </c>
      <c r="B14" s="25">
        <v>0</v>
      </c>
      <c r="C14" s="9" t="s">
        <v>30</v>
      </c>
      <c r="D14" s="9"/>
      <c r="E14" s="10"/>
    </row>
    <row r="15" spans="1:21" ht="15" thickBot="1">
      <c r="A15" s="8" t="s">
        <v>27</v>
      </c>
      <c r="B15" s="25">
        <v>4096</v>
      </c>
      <c r="C15" s="9" t="s">
        <v>28</v>
      </c>
      <c r="D15" s="9"/>
      <c r="E15" s="10"/>
    </row>
    <row r="16" spans="1:21" ht="15" thickBot="1">
      <c r="A16" s="8" t="s">
        <v>2</v>
      </c>
      <c r="B16" s="25">
        <v>1024</v>
      </c>
      <c r="C16" s="9" t="s">
        <v>29</v>
      </c>
      <c r="D16" s="9"/>
      <c r="E16" s="10"/>
      <c r="G16" s="14" t="s">
        <v>34</v>
      </c>
      <c r="K16" s="23" t="s">
        <v>41</v>
      </c>
      <c r="L16" s="7"/>
    </row>
    <row r="17" spans="1:17">
      <c r="A17" s="8"/>
      <c r="B17" s="8"/>
      <c r="C17" s="9" t="s">
        <v>31</v>
      </c>
      <c r="D17" s="9"/>
      <c r="E17" s="10"/>
      <c r="G17" s="5" t="s">
        <v>52</v>
      </c>
      <c r="H17" s="7">
        <f>B7</f>
        <v>8</v>
      </c>
      <c r="K17" s="30">
        <f>B13</f>
        <v>8388608</v>
      </c>
      <c r="L17" s="6" t="str">
        <f>A13</f>
        <v>Total Disk Size</v>
      </c>
      <c r="M17" s="6"/>
      <c r="N17" s="6"/>
      <c r="O17" s="5" t="s">
        <v>61</v>
      </c>
      <c r="P17" s="7">
        <f>B7*B5</f>
        <v>1024</v>
      </c>
      <c r="Q17" s="7"/>
    </row>
    <row r="18" spans="1:17">
      <c r="A18" s="8"/>
      <c r="B18" s="8"/>
      <c r="C18" s="9"/>
      <c r="D18" s="9"/>
      <c r="E18" s="10"/>
      <c r="G18" s="8" t="s">
        <v>53</v>
      </c>
      <c r="H18" s="10">
        <f>LOG(B15/128,2)</f>
        <v>5</v>
      </c>
      <c r="K18" s="8">
        <f>H26*B7*B5*(B8^B11)</f>
        <v>13312</v>
      </c>
      <c r="L18" s="9" t="s">
        <v>35</v>
      </c>
      <c r="M18" s="9"/>
      <c r="N18" s="9"/>
      <c r="O18" s="8" t="s">
        <v>62</v>
      </c>
      <c r="P18" s="10">
        <f>K18/P17</f>
        <v>13</v>
      </c>
      <c r="Q18" s="42" t="s">
        <v>70</v>
      </c>
    </row>
    <row r="19" spans="1:17">
      <c r="A19" s="8" t="s">
        <v>5</v>
      </c>
      <c r="B19" s="8">
        <f>B13/(B7*128)</f>
        <v>8192</v>
      </c>
      <c r="C19" s="9"/>
      <c r="D19" s="9"/>
      <c r="E19" s="10"/>
      <c r="G19" s="8" t="s">
        <v>54</v>
      </c>
      <c r="H19" s="10">
        <f>(B15/128)-1</f>
        <v>31</v>
      </c>
      <c r="K19" s="8">
        <f>(B16*32)</f>
        <v>32768</v>
      </c>
      <c r="L19" s="9" t="s">
        <v>44</v>
      </c>
      <c r="M19" s="9"/>
      <c r="N19" s="9"/>
      <c r="O19" s="8" t="s">
        <v>62</v>
      </c>
      <c r="P19" s="10">
        <f>K19/P17</f>
        <v>32</v>
      </c>
      <c r="Q19" s="10">
        <f>K19/B15</f>
        <v>8</v>
      </c>
    </row>
    <row r="20" spans="1:17" ht="15" thickBot="1">
      <c r="A20" s="8" t="s">
        <v>26</v>
      </c>
      <c r="B20" s="8">
        <f>B13/128</f>
        <v>65536</v>
      </c>
      <c r="C20" s="9" t="s">
        <v>4</v>
      </c>
      <c r="D20" s="22">
        <f>2^16</f>
        <v>65536</v>
      </c>
      <c r="E20" s="10"/>
      <c r="G20" s="8" t="s">
        <v>55</v>
      </c>
      <c r="H20" s="10">
        <f>IF(H21&lt;=255, 2^LOG(B15/1024,2)-1, 2^LOG(B15/2048,2)-1 )</f>
        <v>1</v>
      </c>
      <c r="K20" s="26">
        <f>(H21+1)*B15-K19</f>
        <v>8339456</v>
      </c>
      <c r="L20" s="9" t="s">
        <v>37</v>
      </c>
      <c r="M20" s="9"/>
      <c r="N20" s="9"/>
      <c r="O20" s="39" t="s">
        <v>62</v>
      </c>
      <c r="P20" s="10">
        <f>K20/P17</f>
        <v>8144</v>
      </c>
      <c r="Q20" s="10">
        <f>K20/B15</f>
        <v>2036</v>
      </c>
    </row>
    <row r="21" spans="1:17" ht="15" thickBot="1">
      <c r="A21" s="8"/>
      <c r="B21" s="8"/>
      <c r="C21" s="9"/>
      <c r="D21" s="9"/>
      <c r="E21" s="10"/>
      <c r="G21" s="35" t="s">
        <v>56</v>
      </c>
      <c r="H21" s="36">
        <f>FLOOR(((K17-K18)/B15)-1,1)</f>
        <v>2043</v>
      </c>
      <c r="K21" s="26">
        <f>K17-K18-K19-K20</f>
        <v>3072</v>
      </c>
      <c r="L21" s="9" t="s">
        <v>63</v>
      </c>
      <c r="M21" s="9"/>
      <c r="N21" s="9"/>
      <c r="O21" s="41" t="s">
        <v>64</v>
      </c>
      <c r="P21" s="17">
        <f>SUM(P18:P20)</f>
        <v>8189</v>
      </c>
      <c r="Q21" s="17">
        <f>SUM(Q18:Q20)</f>
        <v>2044</v>
      </c>
    </row>
    <row r="22" spans="1:17" ht="15" thickBot="1">
      <c r="A22" s="8" t="s">
        <v>6</v>
      </c>
      <c r="B22" s="8">
        <f>B13/512</f>
        <v>16384</v>
      </c>
      <c r="C22" s="9"/>
      <c r="D22" s="9"/>
      <c r="E22" s="10"/>
      <c r="G22" s="8" t="s">
        <v>57</v>
      </c>
      <c r="H22" s="10">
        <f>B16-1</f>
        <v>1023</v>
      </c>
      <c r="K22" s="32">
        <f>K21/K20</f>
        <v>3.6836935166994106E-4</v>
      </c>
      <c r="L22" s="33" t="s">
        <v>43</v>
      </c>
      <c r="M22" s="12"/>
      <c r="N22" s="12"/>
      <c r="O22" s="12"/>
      <c r="P22" s="12"/>
      <c r="Q22" s="13"/>
    </row>
    <row r="23" spans="1:17" ht="15" thickBot="1">
      <c r="A23" s="11"/>
      <c r="B23" s="11"/>
      <c r="C23" s="12"/>
      <c r="D23" s="12"/>
      <c r="E23" s="13"/>
      <c r="G23" s="8" t="s">
        <v>58</v>
      </c>
      <c r="H23" s="28" t="str">
        <f>DEC2HEX(INT(HEX2DEC(L24)/2^8))</f>
        <v>FF</v>
      </c>
      <c r="I23" s="29" t="s">
        <v>69</v>
      </c>
      <c r="K23" s="8" t="s">
        <v>1</v>
      </c>
      <c r="L23" s="9">
        <f>CEILING(32*B16/B15,1)</f>
        <v>8</v>
      </c>
      <c r="M23" s="9" t="s">
        <v>65</v>
      </c>
      <c r="N23" s="9"/>
      <c r="O23" s="9"/>
      <c r="P23" s="9"/>
      <c r="Q23" s="10"/>
    </row>
    <row r="24" spans="1:17">
      <c r="G24" s="8" t="s">
        <v>59</v>
      </c>
      <c r="H24" s="28" t="str">
        <f>DEC2HEX(MOD(HEX2DEC(L24),2^8))</f>
        <v>0</v>
      </c>
      <c r="I24" s="29" t="s">
        <v>68</v>
      </c>
      <c r="K24" s="8"/>
      <c r="L24" s="31" t="str">
        <f>DEC2HEX((2^L23-1)*(2^(16-L23)),4)</f>
        <v>FF00</v>
      </c>
      <c r="M24" s="9" t="s">
        <v>39</v>
      </c>
      <c r="N24" s="9"/>
      <c r="O24" s="9"/>
      <c r="P24" s="9"/>
      <c r="Q24" s="10"/>
    </row>
    <row r="25" spans="1:17">
      <c r="G25" s="8" t="s">
        <v>66</v>
      </c>
      <c r="H25" s="10">
        <f>CEILING(IF(B14,(H22+1)/4,0),1)</f>
        <v>0</v>
      </c>
      <c r="I25" s="29" t="s">
        <v>40</v>
      </c>
      <c r="K25" s="8" t="s">
        <v>18</v>
      </c>
      <c r="L25" s="9"/>
      <c r="M25" s="9"/>
      <c r="N25" s="9"/>
      <c r="O25" s="9"/>
      <c r="P25" s="9"/>
      <c r="Q25" s="10"/>
    </row>
    <row r="26" spans="1:17">
      <c r="G26" s="8" t="s">
        <v>60</v>
      </c>
      <c r="H26" s="24">
        <v>13</v>
      </c>
      <c r="I26" s="29" t="s">
        <v>40</v>
      </c>
      <c r="K26" s="8" t="s">
        <v>46</v>
      </c>
      <c r="L26" s="9"/>
      <c r="M26" s="9"/>
      <c r="N26" s="9"/>
      <c r="O26" s="9"/>
      <c r="P26" s="9"/>
      <c r="Q26" s="10"/>
    </row>
    <row r="27" spans="1:17" ht="15" thickBot="1">
      <c r="G27" s="11" t="s">
        <v>67</v>
      </c>
      <c r="H27" s="13">
        <f>INT(H21/8+1)</f>
        <v>256</v>
      </c>
      <c r="I27" s="29" t="s">
        <v>40</v>
      </c>
      <c r="K27" s="11" t="s">
        <v>19</v>
      </c>
      <c r="L27" s="12"/>
      <c r="M27" s="12"/>
      <c r="N27" s="12"/>
      <c r="O27" s="12"/>
      <c r="P27" s="12"/>
      <c r="Q27" s="13"/>
    </row>
    <row r="28" spans="1:17" ht="15" thickBot="1"/>
    <row r="29" spans="1:17" ht="29.6" thickBot="1">
      <c r="A29" s="27" t="s">
        <v>38</v>
      </c>
      <c r="G29" t="s">
        <v>71</v>
      </c>
      <c r="H29">
        <f>H27*8</f>
        <v>2048</v>
      </c>
      <c r="I29" t="s">
        <v>73</v>
      </c>
    </row>
    <row r="30" spans="1:17">
      <c r="A30" s="5"/>
      <c r="B30" s="19" t="s">
        <v>10</v>
      </c>
      <c r="C30" s="19" t="s">
        <v>21</v>
      </c>
      <c r="D30" s="19" t="s">
        <v>22</v>
      </c>
      <c r="E30" s="20" t="s">
        <v>23</v>
      </c>
      <c r="F30" s="21"/>
      <c r="G30" s="40" t="s">
        <v>72</v>
      </c>
      <c r="H30">
        <f>H25*8/2</f>
        <v>0</v>
      </c>
      <c r="I30" t="s">
        <v>74</v>
      </c>
    </row>
    <row r="31" spans="1:17">
      <c r="A31" s="8" t="s">
        <v>9</v>
      </c>
      <c r="B31" s="9">
        <v>248832</v>
      </c>
      <c r="C31" s="9">
        <v>512</v>
      </c>
      <c r="D31" s="9">
        <v>0</v>
      </c>
      <c r="E31" s="10">
        <v>501</v>
      </c>
      <c r="F31" s="9"/>
      <c r="I31" s="34"/>
    </row>
    <row r="32" spans="1:17">
      <c r="A32" s="8" t="s">
        <v>9</v>
      </c>
      <c r="B32" s="9">
        <v>248832</v>
      </c>
      <c r="C32" s="9">
        <v>512</v>
      </c>
      <c r="D32" s="9">
        <f>D31+C31</f>
        <v>512</v>
      </c>
      <c r="E32" s="10">
        <v>501</v>
      </c>
      <c r="F32" s="9"/>
      <c r="I32" s="34"/>
      <c r="K32" s="34"/>
    </row>
    <row r="33" spans="1:12">
      <c r="A33" s="8" t="s">
        <v>11</v>
      </c>
      <c r="B33" s="9">
        <v>1456128</v>
      </c>
      <c r="C33" s="9">
        <v>4096</v>
      </c>
      <c r="D33" s="9">
        <f t="shared" ref="D33:D35" si="0">D32+C32</f>
        <v>1024</v>
      </c>
      <c r="E33" s="10">
        <v>2880</v>
      </c>
      <c r="F33" s="9"/>
      <c r="G33">
        <f>4*1024*1024</f>
        <v>4194304</v>
      </c>
      <c r="H33" t="str">
        <f>DEC2HEX(G33,6)</f>
        <v>400000</v>
      </c>
      <c r="K33" s="34"/>
    </row>
    <row r="34" spans="1:12">
      <c r="A34" s="8" t="s">
        <v>11</v>
      </c>
      <c r="B34" s="9">
        <v>1456128</v>
      </c>
      <c r="C34" s="9">
        <v>4096</v>
      </c>
      <c r="D34" s="9">
        <f t="shared" si="0"/>
        <v>5120</v>
      </c>
      <c r="E34" s="10">
        <v>2880</v>
      </c>
      <c r="F34" s="9"/>
      <c r="G34" s="34">
        <f>G33-$K$17</f>
        <v>-4194304</v>
      </c>
      <c r="H34" t="str">
        <f t="shared" ref="H34:H39" si="1">DEC2HEX(G34,6)</f>
        <v>FFFFC00000</v>
      </c>
      <c r="I34" t="s">
        <v>88</v>
      </c>
      <c r="J34" t="s">
        <v>94</v>
      </c>
      <c r="K34" s="43">
        <f>K17</f>
        <v>8388608</v>
      </c>
      <c r="L34" s="43">
        <f>K34/1024/1024</f>
        <v>8</v>
      </c>
    </row>
    <row r="35" spans="1:12">
      <c r="A35" s="8" t="s">
        <v>15</v>
      </c>
      <c r="B35" s="9">
        <v>8388608</v>
      </c>
      <c r="C35" s="9">
        <v>16384</v>
      </c>
      <c r="D35" s="9">
        <f t="shared" si="0"/>
        <v>9216</v>
      </c>
      <c r="E35" s="10">
        <v>16384</v>
      </c>
      <c r="F35" s="9"/>
      <c r="G35" s="34">
        <f t="shared" ref="G35:G38" si="2">G34-$K$17</f>
        <v>-12582912</v>
      </c>
      <c r="H35" t="str">
        <f t="shared" si="1"/>
        <v>FFFF400000</v>
      </c>
      <c r="I35" t="s">
        <v>89</v>
      </c>
      <c r="J35" t="s">
        <v>95</v>
      </c>
      <c r="K35" s="43">
        <f>K34</f>
        <v>8388608</v>
      </c>
      <c r="L35" s="43">
        <f t="shared" ref="L35:L39" si="3">K35/1024/1024</f>
        <v>8</v>
      </c>
    </row>
    <row r="36" spans="1:12" ht="15" thickBot="1">
      <c r="A36" s="11"/>
      <c r="B36" s="12"/>
      <c r="C36" s="12"/>
      <c r="D36" s="12"/>
      <c r="E36" s="13"/>
      <c r="F36" s="9"/>
      <c r="G36" s="34">
        <f t="shared" si="2"/>
        <v>-20971520</v>
      </c>
      <c r="H36" t="str">
        <f t="shared" si="1"/>
        <v>FFFEC00000</v>
      </c>
      <c r="I36" t="s">
        <v>90</v>
      </c>
      <c r="J36" t="s">
        <v>96</v>
      </c>
      <c r="K36" s="43">
        <f t="shared" ref="K36:K38" si="4">K35</f>
        <v>8388608</v>
      </c>
      <c r="L36" s="43">
        <f t="shared" si="3"/>
        <v>8</v>
      </c>
    </row>
    <row r="37" spans="1:12">
      <c r="A37" s="1" t="s">
        <v>24</v>
      </c>
      <c r="B37" s="2">
        <f>SUM(B31:B35)</f>
        <v>11798528</v>
      </c>
      <c r="G37" s="34">
        <f t="shared" si="2"/>
        <v>-29360128</v>
      </c>
      <c r="H37" t="str">
        <f t="shared" si="1"/>
        <v>FFFE400000</v>
      </c>
      <c r="I37" t="s">
        <v>92</v>
      </c>
      <c r="J37" t="s">
        <v>97</v>
      </c>
      <c r="K37" s="43">
        <f t="shared" si="4"/>
        <v>8388608</v>
      </c>
      <c r="L37" s="43">
        <f t="shared" si="3"/>
        <v>8</v>
      </c>
    </row>
    <row r="38" spans="1:12">
      <c r="A38" s="3" t="s">
        <v>25</v>
      </c>
      <c r="B38" s="4">
        <f>B37/1024/1024</f>
        <v>11.251953125</v>
      </c>
      <c r="G38" s="34">
        <f t="shared" si="2"/>
        <v>-37748736</v>
      </c>
      <c r="H38" t="str">
        <f t="shared" si="1"/>
        <v>FFFDC00000</v>
      </c>
      <c r="I38" t="s">
        <v>91</v>
      </c>
      <c r="J38" t="s">
        <v>98</v>
      </c>
      <c r="K38" s="43">
        <f t="shared" si="4"/>
        <v>8388608</v>
      </c>
      <c r="L38" s="43">
        <f t="shared" si="3"/>
        <v>8</v>
      </c>
    </row>
    <row r="39" spans="1:12">
      <c r="G39" s="34">
        <f t="shared" ref="G39" si="5">G38-$K$17</f>
        <v>-46137344</v>
      </c>
      <c r="H39" t="str">
        <f t="shared" si="1"/>
        <v>FFFD400000</v>
      </c>
      <c r="I39" t="s">
        <v>93</v>
      </c>
      <c r="J39" t="s">
        <v>99</v>
      </c>
      <c r="K39" s="43">
        <f t="shared" ref="K39" si="6">K38</f>
        <v>8388608</v>
      </c>
      <c r="L39" s="43">
        <f t="shared" si="3"/>
        <v>8</v>
      </c>
    </row>
    <row r="40" spans="1:12">
      <c r="G40" s="34"/>
      <c r="K40" s="43">
        <f>SUM(K34:K39)/1024/1024</f>
        <v>48</v>
      </c>
      <c r="L40" s="43">
        <f>SUM(L34:L39)</f>
        <v>48</v>
      </c>
    </row>
    <row r="41" spans="1:12">
      <c r="K41" s="43"/>
      <c r="L41" s="43"/>
    </row>
    <row r="42" spans="1:12">
      <c r="K42" s="43">
        <f>4</f>
        <v>4</v>
      </c>
      <c r="L42" s="43"/>
    </row>
  </sheetData>
  <mergeCells count="1">
    <mergeCell ref="B3:E3"/>
  </mergeCells>
  <hyperlinks>
    <hyperlink ref="R4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4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4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mdlougheed</dc:creator>
  <cp:lastModifiedBy>Mark Lougheed</cp:lastModifiedBy>
  <dcterms:created xsi:type="dcterms:W3CDTF">2014-05-22T21:34:33Z</dcterms:created>
  <dcterms:modified xsi:type="dcterms:W3CDTF">2020-11-27T05:38:09Z</dcterms:modified>
</cp:coreProperties>
</file>