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nas\Desktop\ANN excel Sheet\"/>
    </mc:Choice>
  </mc:AlternateContent>
  <xr:revisionPtr revIDLastSave="0" documentId="13_ncr:1_{84EC5EB9-948B-4D35-850E-7426DC86AE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" sheetId="19" r:id="rId1"/>
    <sheet name="Report" sheetId="21" r:id="rId2"/>
  </sheets>
  <definedNames>
    <definedName name="_xlnm.Print_Area" localSheetId="1">Report!$A$1:$I$52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19" l="1" a="1"/>
  <c r="Q34" i="19" s="1"/>
  <c r="Q33" i="19" a="1"/>
  <c r="Q33" i="19" s="1"/>
  <c r="Q32" i="19" a="1"/>
  <c r="Q32" i="19" s="1"/>
  <c r="Q31" i="19" a="1"/>
  <c r="Q31" i="19" s="1"/>
  <c r="V27" i="19" a="1"/>
  <c r="V27" i="19" s="1"/>
  <c r="V26" i="19" a="1"/>
  <c r="V26" i="19" s="1"/>
  <c r="V25" i="19"/>
  <c r="V24" i="19" a="1"/>
  <c r="V24" i="19" s="1"/>
  <c r="V23" i="19" a="1"/>
  <c r="V23" i="19" s="1"/>
  <c r="C15" i="21"/>
  <c r="C22" i="21" l="1"/>
  <c r="C23" i="21"/>
  <c r="C24" i="21"/>
  <c r="C25" i="21"/>
  <c r="C26" i="21"/>
  <c r="C27" i="21"/>
  <c r="C28" i="21"/>
  <c r="C21" i="21"/>
  <c r="C13" i="21" l="1"/>
  <c r="K22" i="19"/>
  <c r="K23" i="19"/>
  <c r="K24" i="19"/>
  <c r="K25" i="19"/>
  <c r="K26" i="19"/>
  <c r="K27" i="19"/>
  <c r="K28" i="19"/>
  <c r="K21" i="19"/>
  <c r="P27" i="19" s="1"/>
  <c r="C29" i="19"/>
  <c r="D21" i="19" s="1"/>
  <c r="D21" i="21" s="1"/>
  <c r="F50" i="21"/>
  <c r="F51" i="21"/>
  <c r="F52" i="21"/>
  <c r="F49" i="21"/>
  <c r="A50" i="21"/>
  <c r="A51" i="21"/>
  <c r="A52" i="21"/>
  <c r="A49" i="21"/>
  <c r="F15" i="21"/>
  <c r="F14" i="21"/>
  <c r="F13" i="21"/>
  <c r="F12" i="21"/>
  <c r="C12" i="21"/>
  <c r="C11" i="21"/>
  <c r="C10" i="21"/>
  <c r="G10" i="21"/>
  <c r="C9" i="21"/>
  <c r="G8" i="21"/>
  <c r="C8" i="21"/>
  <c r="Q26" i="19" l="1"/>
  <c r="U26" i="19" s="1"/>
  <c r="W25" i="19" s="1"/>
  <c r="X25" i="19" s="1"/>
  <c r="R27" i="19"/>
  <c r="P26" i="19"/>
  <c r="Q24" i="19"/>
  <c r="P24" i="19"/>
  <c r="Q23" i="19"/>
  <c r="P23" i="19"/>
  <c r="Q27" i="19"/>
  <c r="D28" i="19"/>
  <c r="D28" i="21" s="1"/>
  <c r="D27" i="19"/>
  <c r="D27" i="21" s="1"/>
  <c r="D24" i="19"/>
  <c r="D24" i="21" s="1"/>
  <c r="C29" i="21"/>
  <c r="D23" i="19"/>
  <c r="D23" i="21" s="1"/>
  <c r="D26" i="19"/>
  <c r="D26" i="21" s="1"/>
  <c r="D22" i="19"/>
  <c r="D22" i="21" s="1"/>
  <c r="D25" i="19"/>
  <c r="D25" i="21" s="1"/>
  <c r="E21" i="19"/>
  <c r="E21" i="21" s="1"/>
  <c r="S26" i="19" l="1"/>
  <c r="S23" i="19"/>
  <c r="R24" i="19"/>
  <c r="U27" i="19"/>
  <c r="X27" i="19" s="1"/>
  <c r="S27" i="19"/>
  <c r="S24" i="19"/>
  <c r="R23" i="19"/>
  <c r="R26" i="19"/>
  <c r="E22" i="19"/>
  <c r="E22" i="21" s="1"/>
  <c r="F21" i="19"/>
  <c r="F21" i="21" s="1"/>
  <c r="L21" i="19" l="1"/>
  <c r="W26" i="19"/>
  <c r="X26" i="19" s="1"/>
  <c r="F22" i="19"/>
  <c r="F22" i="21" s="1"/>
  <c r="E23" i="19"/>
  <c r="E23" i="21" s="1"/>
  <c r="V22" i="19" l="1"/>
  <c r="L22" i="19"/>
  <c r="T23" i="19" s="1"/>
  <c r="F23" i="19"/>
  <c r="F23" i="21" s="1"/>
  <c r="E24" i="19"/>
  <c r="E24" i="21" s="1"/>
  <c r="L23" i="19" l="1"/>
  <c r="F24" i="19"/>
  <c r="F24" i="21" s="1"/>
  <c r="E25" i="19"/>
  <c r="E25" i="21" s="1"/>
  <c r="U23" i="19" l="1"/>
  <c r="W22" i="19" s="1"/>
  <c r="X22" i="19" s="1"/>
  <c r="L24" i="19"/>
  <c r="E26" i="19"/>
  <c r="E26" i="21" s="1"/>
  <c r="F25" i="19"/>
  <c r="F25" i="21" s="1"/>
  <c r="G22" i="19" l="1"/>
  <c r="G22" i="21" s="1"/>
  <c r="G21" i="19"/>
  <c r="G21" i="21" s="1"/>
  <c r="T24" i="19"/>
  <c r="L25" i="19"/>
  <c r="E27" i="19"/>
  <c r="E27" i="21" s="1"/>
  <c r="F26" i="19"/>
  <c r="F26" i="21" s="1"/>
  <c r="U24" i="19" l="1"/>
  <c r="W23" i="19" s="1"/>
  <c r="X23" i="19" s="1"/>
  <c r="L26" i="19"/>
  <c r="F27" i="19"/>
  <c r="F27" i="21" s="1"/>
  <c r="L27" i="19" l="1"/>
  <c r="N32" i="19" s="1"/>
  <c r="P32" i="19" s="1"/>
  <c r="M34" i="19" l="1"/>
  <c r="O34" i="19"/>
  <c r="N34" i="19"/>
  <c r="P34" i="19" s="1"/>
  <c r="N31" i="19"/>
  <c r="P31" i="19" s="1"/>
  <c r="G23" i="19"/>
  <c r="G23" i="21" s="1"/>
  <c r="O31" i="19"/>
  <c r="O33" i="19"/>
  <c r="N33" i="19"/>
  <c r="P33" i="19" s="1"/>
  <c r="M31" i="19"/>
  <c r="M33" i="19"/>
  <c r="M32" i="19"/>
  <c r="O32" i="19"/>
  <c r="W24" i="19"/>
  <c r="T27" i="19"/>
  <c r="T26" i="19"/>
  <c r="C31" i="19" l="1"/>
  <c r="E44" i="21" s="1"/>
  <c r="E30" i="19"/>
  <c r="G44" i="21" s="1"/>
  <c r="E31" i="19"/>
  <c r="C30" i="19"/>
  <c r="C44" i="21" s="1"/>
  <c r="X24" i="19"/>
  <c r="G24" i="19" s="1"/>
  <c r="G24" i="21" s="1"/>
  <c r="R32" i="19" l="1"/>
  <c r="G26" i="19" s="1"/>
  <c r="G26" i="21" s="1"/>
  <c r="S32" i="19"/>
  <c r="G27" i="19" s="1"/>
  <c r="G27" i="21" s="1"/>
  <c r="G25" i="19"/>
  <c r="G25" i="2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<sst xmlns="http://schemas.openxmlformats.org/spreadsheetml/2006/main" count="145" uniqueCount="82">
  <si>
    <t>GRAIN SIZE ANALYSIS</t>
  </si>
  <si>
    <t>:</t>
  </si>
  <si>
    <t>Project</t>
  </si>
  <si>
    <t>Contractor</t>
  </si>
  <si>
    <t>Standard</t>
  </si>
  <si>
    <t>Test Date</t>
  </si>
  <si>
    <t>TEST REPORT</t>
  </si>
  <si>
    <t>Sieve</t>
  </si>
  <si>
    <t>Material</t>
  </si>
  <si>
    <t>Percent of</t>
  </si>
  <si>
    <t>Cumulative</t>
  </si>
  <si>
    <t>Percent</t>
  </si>
  <si>
    <t>Size</t>
  </si>
  <si>
    <t>Retained</t>
  </si>
  <si>
    <t>Material Retained</t>
  </si>
  <si>
    <t>% Retained</t>
  </si>
  <si>
    <t>Finer</t>
  </si>
  <si>
    <t>mm</t>
  </si>
  <si>
    <t>gm</t>
  </si>
  <si>
    <t>%</t>
  </si>
  <si>
    <t>Sieve no</t>
  </si>
  <si>
    <t>Pan</t>
  </si>
  <si>
    <t>pan</t>
  </si>
  <si>
    <t>Total</t>
  </si>
  <si>
    <r>
      <t xml:space="preserve">Countersigned </t>
    </r>
    <r>
      <rPr>
        <i/>
        <sz val="11"/>
        <rFont val="Arial Narrow"/>
        <family val="2"/>
      </rPr>
      <t>by</t>
    </r>
    <r>
      <rPr>
        <sz val="11"/>
        <rFont val="Arial Narrow"/>
        <family val="2"/>
      </rPr>
      <t>:</t>
    </r>
  </si>
  <si>
    <r>
      <t xml:space="preserve">Test Performed </t>
    </r>
    <r>
      <rPr>
        <i/>
        <sz val="11"/>
        <rFont val="Arial Narrow"/>
        <family val="2"/>
      </rPr>
      <t>by</t>
    </r>
    <r>
      <rPr>
        <sz val="11"/>
        <rFont val="Arial Narrow"/>
        <family val="2"/>
      </rPr>
      <t>:</t>
    </r>
  </si>
  <si>
    <t>Date:</t>
  </si>
  <si>
    <t>Sample No. :</t>
  </si>
  <si>
    <t>Sample Depth :</t>
  </si>
  <si>
    <t>Bore Hole No. :</t>
  </si>
  <si>
    <t>Department of Civil Engineering</t>
  </si>
  <si>
    <t>BUET, Dhaka-1000, Bangladesh</t>
  </si>
  <si>
    <t>Professor</t>
  </si>
  <si>
    <t xml:space="preserve">BRTC No.   </t>
  </si>
  <si>
    <t>Sent by</t>
  </si>
  <si>
    <t xml:space="preserve">Ref. No.       </t>
  </si>
  <si>
    <t>Remarks</t>
  </si>
  <si>
    <t>Coarse Sand</t>
  </si>
  <si>
    <t>Medium Sand</t>
  </si>
  <si>
    <t>Fine Sand</t>
  </si>
  <si>
    <t>Silt</t>
  </si>
  <si>
    <t>Clay</t>
  </si>
  <si>
    <t>Colloids</t>
  </si>
  <si>
    <t>Sieve (mm)</t>
  </si>
  <si>
    <t>% F</t>
  </si>
  <si>
    <t>Upper Sieve (mm)</t>
  </si>
  <si>
    <t>Lower Sieve (mm)</t>
  </si>
  <si>
    <t>Upper Sieve % F</t>
  </si>
  <si>
    <t>Lower Sieve % F</t>
  </si>
  <si>
    <t>% Materials</t>
  </si>
  <si>
    <t>Soil Type</t>
  </si>
  <si>
    <t>Upper Sieve Size Boundary [Index of Column K]</t>
  </si>
  <si>
    <t>Upper Sieve Size Boundary [mm]</t>
  </si>
  <si>
    <t>Upper Sieve Size Boundary [% F]</t>
  </si>
  <si>
    <t>Cu</t>
  </si>
  <si>
    <t>Cc</t>
  </si>
  <si>
    <t>%F</t>
  </si>
  <si>
    <t>Boundary of % F of Column L [Higher-Lower]</t>
  </si>
  <si>
    <t>Boundary of Size in mm [Higher-Lower]</t>
  </si>
  <si>
    <t>Size (mm)</t>
  </si>
  <si>
    <t>Visual Description of Soil :</t>
  </si>
  <si>
    <t>Assistant Professor</t>
  </si>
  <si>
    <t>---</t>
  </si>
  <si>
    <t>Dr. Md. Ferdous Alam</t>
  </si>
  <si>
    <t>ASTM D422 ??? New ????</t>
  </si>
  <si>
    <t>GRAIN SIZE ANALYSIS OF SOILS</t>
  </si>
  <si>
    <r>
      <t>D</t>
    </r>
    <r>
      <rPr>
        <vertAlign val="subscript"/>
        <sz val="10"/>
        <color theme="1"/>
        <rFont val="Arial Narrow"/>
        <family val="2"/>
      </rPr>
      <t>10</t>
    </r>
    <r>
      <rPr>
        <sz val="10"/>
        <color theme="1"/>
        <rFont val="Arial Narrow"/>
        <family val="2"/>
      </rPr>
      <t xml:space="preserve"> =</t>
    </r>
  </si>
  <si>
    <r>
      <t>D</t>
    </r>
    <r>
      <rPr>
        <vertAlign val="subscript"/>
        <sz val="10"/>
        <color theme="1"/>
        <rFont val="Arial Narrow"/>
        <family val="2"/>
      </rPr>
      <t>30</t>
    </r>
    <r>
      <rPr>
        <sz val="10"/>
        <color theme="1"/>
        <rFont val="Arial Narrow"/>
        <family val="2"/>
      </rPr>
      <t xml:space="preserve"> =</t>
    </r>
  </si>
  <si>
    <r>
      <t>D</t>
    </r>
    <r>
      <rPr>
        <vertAlign val="subscript"/>
        <sz val="10"/>
        <color theme="1"/>
        <rFont val="Arial Narrow"/>
        <family val="2"/>
      </rPr>
      <t>50</t>
    </r>
    <r>
      <rPr>
        <sz val="10"/>
        <color theme="1"/>
        <rFont val="Arial Narrow"/>
        <family val="2"/>
      </rPr>
      <t xml:space="preserve"> =</t>
    </r>
  </si>
  <si>
    <r>
      <t>D</t>
    </r>
    <r>
      <rPr>
        <vertAlign val="subscript"/>
        <sz val="10"/>
        <color theme="1"/>
        <rFont val="Arial Narrow"/>
        <family val="2"/>
      </rPr>
      <t>60</t>
    </r>
    <r>
      <rPr>
        <sz val="10"/>
        <color theme="1"/>
        <rFont val="Arial Narrow"/>
        <family val="2"/>
      </rPr>
      <t xml:space="preserve"> =</t>
    </r>
  </si>
  <si>
    <t>Dr. A. B. M. Badruzzaman</t>
  </si>
  <si>
    <t>1102-30385/CE/20-21</t>
  </si>
  <si>
    <t>27/02/2021</t>
  </si>
  <si>
    <t>Letter</t>
  </si>
  <si>
    <t>23/02/2021</t>
  </si>
  <si>
    <t>11/03/2021</t>
  </si>
  <si>
    <t>Gray Silty Fine Sand</t>
  </si>
  <si>
    <t>Engr. Md. Shariful Islam Sarkar, DGM, Engineering, Windy Group. Contact No. : 01719250739</t>
  </si>
  <si>
    <t xml:space="preserve">Construction of Nine Storied Factory Building at Union Sportswear Ltd.; Project Address: 116, Morkun Link Road, Pagar Society Math, Tongi, Gazipur. </t>
  </si>
  <si>
    <t xml:space="preserve"> 3" - 23" from FGL</t>
  </si>
  <si>
    <t>ASTM D422, D1140, D6913</t>
  </si>
  <si>
    <t>Mixture of Hole Sample Nos. 03, 08, 09 &amp; 13 (FD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</si>
</sst>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0_)"/>
    <numFmt numFmtId="166" formatCode="0.00_)"/>
    <numFmt numFmtId="167" formatCode="0.0"/>
    <numFmt numFmtId="168" formatCode="0.000"/>
    <numFmt numFmtId="169" formatCode="[$-409]d\-mmm\-yy;@"/>
  </numFmts>
  <fonts count="24" x14ac:knownFonts="1">
    <font>
      <sz val="10"/>
      <name val="MS Sans Serif"/>
      <family val="2"/>
    </font>
    <font>
      <b/>
      <sz val="16"/>
      <name val="Times New Roman"/>
      <family val="1"/>
    </font>
    <font>
      <b/>
      <sz val="12"/>
      <name val="Times New Roman"/>
      <family val="1"/>
    </font>
    <font>
      <sz val="9"/>
      <name val="MS Sans Serif"/>
      <family val="2"/>
    </font>
    <font>
      <b/>
      <sz val="18"/>
      <name val="Century Gothic"/>
      <family val="2"/>
    </font>
    <font>
      <sz val="14"/>
      <name val="Impact"/>
      <family val="2"/>
    </font>
    <font>
      <sz val="11"/>
      <name val="Times New Roman"/>
      <family val="1"/>
    </font>
    <font>
      <sz val="11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8"/>
      <name val="Arial"/>
      <family val="2"/>
    </font>
    <font>
      <i/>
      <sz val="11"/>
      <name val="Arial Narrow"/>
      <family val="2"/>
    </font>
    <font>
      <sz val="13"/>
      <name val="Times New Roman"/>
      <family val="1"/>
    </font>
    <font>
      <sz val="14"/>
      <name val="Calibri"/>
      <family val="2"/>
      <scheme val="minor"/>
    </font>
    <font>
      <b/>
      <sz val="12"/>
      <name val="Arial Narrow"/>
      <family val="2"/>
    </font>
    <font>
      <sz val="12"/>
      <name val="Times New Roman"/>
      <family val="1"/>
    </font>
    <font>
      <b/>
      <sz val="10"/>
      <name val="Arial Narrow"/>
      <family val="2"/>
    </font>
    <font>
      <sz val="11"/>
      <name val="MS Sans Serif"/>
      <family val="2"/>
    </font>
    <font>
      <b/>
      <sz val="10"/>
      <color rgb="FFFF0000"/>
      <name val="MS Sans Serif"/>
    </font>
    <font>
      <b/>
      <sz val="10"/>
      <color rgb="FFC00000"/>
      <name val="MS Sans Serif"/>
    </font>
    <font>
      <sz val="9"/>
      <name val="Arial Narrow"/>
      <family val="2"/>
    </font>
    <font>
      <sz val="10"/>
      <color theme="1"/>
      <name val="Arial Narrow"/>
      <family val="2"/>
    </font>
    <font>
      <vertAlign val="subscript"/>
      <sz val="10"/>
      <color theme="1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164" fontId="2" fillId="0" borderId="0" xfId="0" applyNumberFormat="1" applyFont="1" applyAlignment="1" applyProtection="1">
      <alignment vertical="center"/>
    </xf>
    <xf numFmtId="0" fontId="3" fillId="0" borderId="0" xfId="0" applyFont="1" applyAlignment="1"/>
    <xf numFmtId="164" fontId="4" fillId="0" borderId="0" xfId="0" applyNumberFormat="1" applyFont="1" applyAlignment="1" applyProtection="1"/>
    <xf numFmtId="0" fontId="6" fillId="0" borderId="0" xfId="0" applyFont="1" applyBorder="1"/>
    <xf numFmtId="164" fontId="5" fillId="0" borderId="0" xfId="0" applyNumberFormat="1" applyFont="1" applyBorder="1" applyAlignment="1" applyProtection="1">
      <alignment horizontal="left"/>
    </xf>
    <xf numFmtId="0" fontId="0" fillId="0" borderId="0" xfId="0" applyBorder="1"/>
    <xf numFmtId="164" fontId="5" fillId="0" borderId="0" xfId="0" applyNumberFormat="1" applyFont="1" applyBorder="1" applyAlignment="1" applyProtection="1"/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 vertical="center" wrapText="1"/>
    </xf>
    <xf numFmtId="0" fontId="8" fillId="0" borderId="0" xfId="0" applyFont="1" applyFill="1" applyBorder="1" applyAlignment="1"/>
    <xf numFmtId="0" fontId="7" fillId="0" borderId="0" xfId="0" applyFont="1" applyBorder="1" applyAlignment="1" applyProtection="1">
      <alignment horizontal="right"/>
    </xf>
    <xf numFmtId="164" fontId="9" fillId="0" borderId="0" xfId="0" applyNumberFormat="1" applyFont="1" applyBorder="1" applyAlignment="1" applyProtection="1"/>
    <xf numFmtId="0" fontId="7" fillId="0" borderId="5" xfId="0" applyFont="1" applyBorder="1"/>
    <xf numFmtId="0" fontId="7" fillId="0" borderId="1" xfId="0" applyFont="1" applyBorder="1"/>
    <xf numFmtId="0" fontId="7" fillId="0" borderId="6" xfId="0" applyFont="1" applyBorder="1"/>
    <xf numFmtId="0" fontId="7" fillId="0" borderId="0" xfId="0" applyFont="1" applyBorder="1"/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65" fontId="8" fillId="0" borderId="23" xfId="0" applyNumberFormat="1" applyFont="1" applyBorder="1" applyAlignment="1" applyProtection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7" fontId="8" fillId="0" borderId="26" xfId="0" applyNumberFormat="1" applyFont="1" applyBorder="1" applyAlignment="1" applyProtection="1">
      <alignment horizontal="center" vertical="center"/>
    </xf>
    <xf numFmtId="165" fontId="8" fillId="0" borderId="26" xfId="0" applyNumberFormat="1" applyFont="1" applyBorder="1" applyAlignment="1" applyProtection="1">
      <alignment horizontal="center" vertical="center"/>
    </xf>
    <xf numFmtId="0" fontId="10" fillId="0" borderId="0" xfId="0" applyFont="1" applyFill="1" applyBorder="1" applyAlignment="1">
      <alignment vertical="center"/>
    </xf>
    <xf numFmtId="168" fontId="10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67" fontId="10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 applyProtection="1">
      <alignment horizontal="left"/>
    </xf>
    <xf numFmtId="0" fontId="7" fillId="0" borderId="0" xfId="0" applyFont="1"/>
    <xf numFmtId="0" fontId="9" fillId="0" borderId="0" xfId="0" applyFont="1"/>
    <xf numFmtId="0" fontId="12" fillId="0" borderId="0" xfId="0" applyFont="1" applyBorder="1" applyAlignment="1">
      <alignment horizontal="right"/>
    </xf>
    <xf numFmtId="0" fontId="7" fillId="0" borderId="1" xfId="0" applyFont="1" applyBorder="1" applyAlignment="1" applyProtection="1">
      <alignment horizontal="right"/>
    </xf>
    <xf numFmtId="0" fontId="7" fillId="2" borderId="0" xfId="0" applyFont="1" applyFill="1" applyBorder="1" applyAlignment="1" applyProtection="1">
      <alignment horizontal="left"/>
    </xf>
    <xf numFmtId="2" fontId="8" fillId="2" borderId="21" xfId="0" applyNumberFormat="1" applyFont="1" applyFill="1" applyBorder="1" applyAlignment="1" applyProtection="1">
      <alignment horizontal="center" vertical="center"/>
    </xf>
    <xf numFmtId="2" fontId="8" fillId="2" borderId="23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left"/>
    </xf>
    <xf numFmtId="0" fontId="14" fillId="0" borderId="0" xfId="0" applyFont="1" applyFill="1" applyBorder="1" applyAlignment="1" applyProtection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17" fillId="0" borderId="0" xfId="0" applyFont="1" applyFill="1" applyBorder="1"/>
    <xf numFmtId="169" fontId="14" fillId="0" borderId="0" xfId="0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top"/>
    </xf>
    <xf numFmtId="0" fontId="7" fillId="0" borderId="0" xfId="0" applyFont="1" applyFill="1" applyBorder="1" applyAlignment="1" applyProtection="1">
      <alignment horizontal="left" vertical="top" wrapText="1"/>
    </xf>
    <xf numFmtId="0" fontId="7" fillId="0" borderId="0" xfId="0" applyFont="1" applyFill="1" applyBorder="1" applyAlignment="1" applyProtection="1">
      <alignment horizontal="left" vertical="center" wrapText="1"/>
    </xf>
    <xf numFmtId="47" fontId="7" fillId="0" borderId="0" xfId="0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right"/>
    </xf>
    <xf numFmtId="0" fontId="16" fillId="0" borderId="0" xfId="0" applyFont="1" applyFill="1" applyBorder="1" applyAlignment="1" applyProtection="1">
      <alignment horizontal="left"/>
    </xf>
    <xf numFmtId="15" fontId="7" fillId="0" borderId="0" xfId="0" applyNumberFormat="1" applyFont="1" applyFill="1" applyBorder="1" applyAlignment="1" applyProtection="1">
      <alignment horizontal="left"/>
    </xf>
    <xf numFmtId="0" fontId="0" fillId="2" borderId="0" xfId="0" applyFill="1" applyBorder="1"/>
    <xf numFmtId="0" fontId="7" fillId="0" borderId="0" xfId="0" applyFont="1" applyBorder="1" applyAlignment="1" applyProtection="1">
      <alignment horizontal="left" vertical="center"/>
    </xf>
    <xf numFmtId="0" fontId="8" fillId="2" borderId="0" xfId="0" applyFont="1" applyFill="1" applyBorder="1" applyAlignment="1"/>
    <xf numFmtId="47" fontId="9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Alignment="1" applyProtection="1">
      <alignment vertical="center"/>
    </xf>
    <xf numFmtId="0" fontId="0" fillId="0" borderId="0" xfId="0" applyFill="1"/>
    <xf numFmtId="0" fontId="3" fillId="0" borderId="0" xfId="0" applyFont="1" applyFill="1" applyAlignment="1"/>
    <xf numFmtId="164" fontId="4" fillId="0" borderId="0" xfId="0" applyNumberFormat="1" applyFont="1" applyFill="1" applyAlignment="1" applyProtection="1"/>
    <xf numFmtId="164" fontId="5" fillId="0" borderId="0" xfId="0" applyNumberFormat="1" applyFont="1" applyFill="1" applyBorder="1" applyAlignment="1" applyProtection="1">
      <alignment horizontal="left"/>
    </xf>
    <xf numFmtId="164" fontId="5" fillId="0" borderId="0" xfId="0" applyNumberFormat="1" applyFont="1" applyFill="1" applyBorder="1" applyAlignment="1" applyProtection="1"/>
    <xf numFmtId="0" fontId="7" fillId="0" borderId="0" xfId="0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/>
    </xf>
    <xf numFmtId="164" fontId="9" fillId="0" borderId="0" xfId="0" applyNumberFormat="1" applyFont="1" applyFill="1" applyBorder="1" applyAlignment="1" applyProtection="1"/>
    <xf numFmtId="0" fontId="7" fillId="0" borderId="5" xfId="0" applyFont="1" applyFill="1" applyBorder="1"/>
    <xf numFmtId="0" fontId="7" fillId="0" borderId="1" xfId="0" applyFont="1" applyFill="1" applyBorder="1"/>
    <xf numFmtId="0" fontId="7" fillId="0" borderId="6" xfId="0" applyFont="1" applyFill="1" applyBorder="1"/>
    <xf numFmtId="0" fontId="7" fillId="0" borderId="0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167" fontId="8" fillId="0" borderId="26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Alignment="1" applyProtection="1">
      <alignment horizontal="left"/>
    </xf>
    <xf numFmtId="0" fontId="6" fillId="0" borderId="0" xfId="0" applyFont="1" applyFill="1"/>
    <xf numFmtId="0" fontId="9" fillId="0" borderId="0" xfId="0" applyFont="1" applyFill="1" applyAlignment="1" applyProtection="1">
      <alignment horizontal="left"/>
    </xf>
    <xf numFmtId="0" fontId="7" fillId="0" borderId="0" xfId="0" applyFont="1" applyFill="1"/>
    <xf numFmtId="0" fontId="9" fillId="0" borderId="0" xfId="0" applyFont="1" applyFill="1"/>
    <xf numFmtId="2" fontId="8" fillId="0" borderId="21" xfId="0" applyNumberFormat="1" applyFont="1" applyBorder="1" applyAlignment="1" applyProtection="1">
      <alignment horizontal="center" vertical="center"/>
    </xf>
    <xf numFmtId="2" fontId="8" fillId="0" borderId="23" xfId="0" applyNumberFormat="1" applyFont="1" applyBorder="1" applyAlignment="1" applyProtection="1">
      <alignment horizontal="center" vertical="center"/>
    </xf>
    <xf numFmtId="0" fontId="8" fillId="0" borderId="26" xfId="0" applyNumberFormat="1" applyFont="1" applyBorder="1" applyAlignment="1" applyProtection="1">
      <alignment horizontal="center" vertical="center"/>
    </xf>
    <xf numFmtId="0" fontId="8" fillId="0" borderId="26" xfId="0" applyNumberFormat="1" applyFont="1" applyFill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left"/>
    </xf>
    <xf numFmtId="0" fontId="7" fillId="2" borderId="0" xfId="0" applyFont="1" applyFill="1"/>
    <xf numFmtId="0" fontId="7" fillId="2" borderId="0" xfId="0" applyFont="1" applyFill="1" applyAlignment="1" applyProtection="1">
      <alignment horizontal="left"/>
    </xf>
    <xf numFmtId="0" fontId="6" fillId="2" borderId="0" xfId="0" applyFont="1" applyFill="1"/>
    <xf numFmtId="0" fontId="0" fillId="2" borderId="0" xfId="0" applyFill="1"/>
    <xf numFmtId="0" fontId="0" fillId="3" borderId="23" xfId="0" applyFill="1" applyBorder="1"/>
    <xf numFmtId="2" fontId="0" fillId="3" borderId="23" xfId="0" applyNumberFormat="1" applyFill="1" applyBorder="1"/>
    <xf numFmtId="168" fontId="0" fillId="3" borderId="23" xfId="0" applyNumberFormat="1" applyFill="1" applyBorder="1"/>
    <xf numFmtId="2" fontId="0" fillId="3" borderId="23" xfId="0" applyNumberFormat="1" applyFill="1" applyBorder="1" applyAlignment="1">
      <alignment horizontal="right"/>
    </xf>
    <xf numFmtId="0" fontId="19" fillId="3" borderId="23" xfId="0" applyFont="1" applyFill="1" applyBorder="1"/>
    <xf numFmtId="2" fontId="19" fillId="3" borderId="23" xfId="0" applyNumberFormat="1" applyFont="1" applyFill="1" applyBorder="1"/>
    <xf numFmtId="166" fontId="19" fillId="3" borderId="23" xfId="0" applyNumberFormat="1" applyFont="1" applyFill="1" applyBorder="1"/>
    <xf numFmtId="0" fontId="0" fillId="3" borderId="13" xfId="0" applyFill="1" applyBorder="1"/>
    <xf numFmtId="0" fontId="19" fillId="3" borderId="13" xfId="0" applyFont="1" applyFill="1" applyBorder="1"/>
    <xf numFmtId="0" fontId="0" fillId="3" borderId="20" xfId="0" applyFill="1" applyBorder="1"/>
    <xf numFmtId="0" fontId="0" fillId="3" borderId="22" xfId="0" applyFill="1" applyBorder="1"/>
    <xf numFmtId="0" fontId="0" fillId="3" borderId="25" xfId="0" applyFill="1" applyBorder="1"/>
    <xf numFmtId="0" fontId="0" fillId="3" borderId="26" xfId="0" applyFill="1" applyBorder="1"/>
    <xf numFmtId="0" fontId="18" fillId="3" borderId="34" xfId="0" applyFont="1" applyFill="1" applyBorder="1" applyAlignment="1">
      <alignment horizontal="center" vertical="center"/>
    </xf>
    <xf numFmtId="0" fontId="18" fillId="3" borderId="35" xfId="0" applyFont="1" applyFill="1" applyBorder="1" applyAlignment="1">
      <alignment horizontal="center" vertical="center"/>
    </xf>
    <xf numFmtId="2" fontId="18" fillId="3" borderId="35" xfId="0" applyNumberFormat="1" applyFont="1" applyFill="1" applyBorder="1" applyAlignment="1">
      <alignment horizontal="center" vertical="center"/>
    </xf>
    <xf numFmtId="0" fontId="0" fillId="3" borderId="30" xfId="0" applyFill="1" applyBorder="1" applyAlignment="1">
      <alignment vertical="center"/>
    </xf>
    <xf numFmtId="0" fontId="0" fillId="3" borderId="30" xfId="0" applyFill="1" applyBorder="1" applyAlignment="1">
      <alignment horizontal="right" vertical="center"/>
    </xf>
    <xf numFmtId="166" fontId="20" fillId="0" borderId="4" xfId="0" applyNumberFormat="1" applyFont="1" applyBorder="1" applyAlignment="1" applyProtection="1">
      <alignment horizontal="left" vertical="center"/>
    </xf>
    <xf numFmtId="166" fontId="20" fillId="0" borderId="24" xfId="0" applyNumberFormat="1" applyFont="1" applyFill="1" applyBorder="1" applyAlignment="1" applyProtection="1">
      <alignment horizontal="left" vertical="center"/>
    </xf>
    <xf numFmtId="166" fontId="20" fillId="0" borderId="15" xfId="0" applyNumberFormat="1" applyFont="1" applyFill="1" applyBorder="1" applyAlignment="1" applyProtection="1">
      <alignment horizontal="left" vertical="center"/>
    </xf>
    <xf numFmtId="166" fontId="20" fillId="0" borderId="24" xfId="0" applyNumberFormat="1" applyFont="1" applyBorder="1" applyAlignment="1" applyProtection="1">
      <alignment horizontal="left" vertical="center"/>
    </xf>
    <xf numFmtId="166" fontId="20" fillId="0" borderId="6" xfId="0" applyNumberFormat="1" applyFont="1" applyBorder="1" applyAlignment="1" applyProtection="1">
      <alignment horizontal="left" vertical="center"/>
    </xf>
    <xf numFmtId="0" fontId="20" fillId="0" borderId="24" xfId="0" applyFont="1" applyFill="1" applyBorder="1" applyAlignment="1" applyProtection="1">
      <alignment horizontal="left" vertical="center"/>
    </xf>
    <xf numFmtId="166" fontId="20" fillId="0" borderId="6" xfId="0" applyNumberFormat="1" applyFont="1" applyFill="1" applyBorder="1" applyAlignment="1" applyProtection="1">
      <alignment horizontal="left" vertical="center"/>
    </xf>
    <xf numFmtId="0" fontId="7" fillId="2" borderId="0" xfId="0" quotePrefix="1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>
      <alignment horizontal="right"/>
    </xf>
    <xf numFmtId="2" fontId="8" fillId="0" borderId="23" xfId="0" applyNumberFormat="1" applyFont="1" applyFill="1" applyBorder="1" applyAlignment="1" applyProtection="1">
      <alignment horizontal="center" vertical="center"/>
    </xf>
    <xf numFmtId="0" fontId="8" fillId="0" borderId="23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2" fontId="18" fillId="3" borderId="23" xfId="0" applyNumberFormat="1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0" fillId="3" borderId="36" xfId="0" applyFill="1" applyBorder="1"/>
    <xf numFmtId="0" fontId="21" fillId="0" borderId="0" xfId="0" applyFont="1" applyFill="1" applyBorder="1" applyAlignment="1">
      <alignment horizontal="left" vertical="center"/>
    </xf>
    <xf numFmtId="168" fontId="21" fillId="0" borderId="0" xfId="0" applyNumberFormat="1" applyFont="1" applyFill="1" applyBorder="1" applyAlignment="1">
      <alignment horizontal="right" vertical="center"/>
    </xf>
    <xf numFmtId="168" fontId="21" fillId="0" borderId="0" xfId="0" applyNumberFormat="1" applyFont="1" applyFill="1" applyBorder="1" applyAlignment="1">
      <alignment horizontal="left" vertical="center"/>
    </xf>
    <xf numFmtId="2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167" fontId="21" fillId="0" borderId="0" xfId="0" applyNumberFormat="1" applyFont="1" applyFill="1" applyBorder="1" applyAlignment="1">
      <alignment horizontal="right" vertical="center"/>
    </xf>
    <xf numFmtId="167" fontId="21" fillId="0" borderId="0" xfId="0" applyNumberFormat="1" applyFont="1" applyFill="1" applyBorder="1" applyAlignment="1">
      <alignment horizontal="left" vertical="center"/>
    </xf>
    <xf numFmtId="167" fontId="21" fillId="0" borderId="0" xfId="0" applyNumberFormat="1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vertical="center"/>
    </xf>
    <xf numFmtId="0" fontId="21" fillId="0" borderId="29" xfId="0" applyFont="1" applyFill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left"/>
    </xf>
    <xf numFmtId="0" fontId="15" fillId="2" borderId="0" xfId="0" quotePrefix="1" applyNumberFormat="1" applyFont="1" applyFill="1" applyBorder="1" applyAlignment="1">
      <alignment horizontal="left"/>
    </xf>
    <xf numFmtId="0" fontId="15" fillId="2" borderId="0" xfId="0" quotePrefix="1" applyNumberFormat="1" applyFont="1" applyFill="1" applyBorder="1"/>
    <xf numFmtId="0" fontId="7" fillId="0" borderId="0" xfId="0" applyNumberFormat="1" applyFont="1" applyFill="1" applyBorder="1"/>
    <xf numFmtId="0" fontId="9" fillId="0" borderId="0" xfId="0" applyNumberFormat="1" applyFont="1" applyFill="1" applyBorder="1"/>
    <xf numFmtId="0" fontId="0" fillId="3" borderId="2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4" fillId="2" borderId="0" xfId="0" applyFont="1" applyFill="1" applyBorder="1" applyAlignment="1" applyProtection="1">
      <alignment horizontal="left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top" shrinkToFit="1"/>
    </xf>
    <xf numFmtId="0" fontId="7" fillId="2" borderId="0" xfId="0" applyFont="1" applyFill="1" applyBorder="1" applyAlignment="1" applyProtection="1">
      <alignment horizontal="left" vertical="center" wrapText="1" shrinkToFit="1"/>
    </xf>
    <xf numFmtId="0" fontId="7" fillId="0" borderId="0" xfId="0" applyFont="1" applyFill="1" applyBorder="1" applyAlignment="1" applyProtection="1">
      <alignment horizontal="left" vertical="top" wrapText="1" shrinkToFit="1"/>
    </xf>
    <xf numFmtId="0" fontId="7" fillId="2" borderId="0" xfId="0" quotePrefix="1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164" fontId="4" fillId="0" borderId="0" xfId="0" applyNumberFormat="1" applyFont="1" applyBorder="1" applyAlignment="1" applyProtection="1">
      <alignment horizontal="center"/>
    </xf>
    <xf numFmtId="164" fontId="13" fillId="0" borderId="0" xfId="0" applyNumberFormat="1" applyFont="1" applyBorder="1" applyAlignment="1" applyProtection="1">
      <alignment horizontal="center"/>
    </xf>
    <xf numFmtId="2" fontId="8" fillId="0" borderId="22" xfId="0" applyNumberFormat="1" applyFont="1" applyBorder="1" applyAlignment="1" applyProtection="1">
      <alignment horizontal="center" vertical="center"/>
    </xf>
    <xf numFmtId="2" fontId="8" fillId="0" borderId="23" xfId="0" applyNumberFormat="1" applyFont="1" applyBorder="1" applyAlignment="1" applyProtection="1">
      <alignment horizontal="center" vertical="center"/>
    </xf>
    <xf numFmtId="0" fontId="20" fillId="2" borderId="0" xfId="0" quotePrefix="1" applyNumberFormat="1" applyFont="1" applyFill="1" applyBorder="1" applyAlignment="1" applyProtection="1">
      <alignment horizontal="left"/>
    </xf>
    <xf numFmtId="0" fontId="20" fillId="2" borderId="0" xfId="0" applyNumberFormat="1" applyFont="1" applyFill="1" applyBorder="1" applyAlignment="1" applyProtection="1">
      <alignment horizontal="left"/>
    </xf>
    <xf numFmtId="0" fontId="7" fillId="2" borderId="1" xfId="0" applyNumberFormat="1" applyFont="1" applyFill="1" applyBorder="1" applyAlignment="1" applyProtection="1">
      <alignment horizontal="left"/>
    </xf>
    <xf numFmtId="164" fontId="9" fillId="0" borderId="2" xfId="0" applyNumberFormat="1" applyFont="1" applyBorder="1" applyAlignment="1" applyProtection="1">
      <alignment horizontal="center"/>
    </xf>
    <xf numFmtId="164" fontId="9" fillId="0" borderId="3" xfId="0" applyNumberFormat="1" applyFont="1" applyBorder="1" applyAlignment="1" applyProtection="1">
      <alignment horizontal="center"/>
    </xf>
    <xf numFmtId="164" fontId="9" fillId="0" borderId="4" xfId="0" applyNumberFormat="1" applyFont="1" applyBorder="1" applyAlignment="1" applyProtection="1">
      <alignment horizontal="center"/>
    </xf>
    <xf numFmtId="164" fontId="8" fillId="0" borderId="2" xfId="0" applyNumberFormat="1" applyFont="1" applyBorder="1" applyAlignment="1" applyProtection="1">
      <alignment horizontal="center" vertical="center"/>
    </xf>
    <xf numFmtId="164" fontId="8" fillId="0" borderId="7" xfId="0" applyNumberFormat="1" applyFont="1" applyBorder="1" applyAlignment="1" applyProtection="1">
      <alignment horizontal="center" vertical="center"/>
    </xf>
    <xf numFmtId="164" fontId="8" fillId="0" borderId="11" xfId="0" applyNumberFormat="1" applyFont="1" applyBorder="1" applyAlignment="1" applyProtection="1">
      <alignment horizontal="center" vertical="center"/>
    </xf>
    <xf numFmtId="164" fontId="8" fillId="0" borderId="12" xfId="0" applyNumberFormat="1" applyFont="1" applyBorder="1" applyAlignment="1" applyProtection="1">
      <alignment horizontal="center" vertical="center"/>
    </xf>
    <xf numFmtId="164" fontId="8" fillId="0" borderId="16" xfId="0" applyNumberFormat="1" applyFont="1" applyBorder="1" applyAlignment="1" applyProtection="1">
      <alignment horizontal="center" vertical="center"/>
    </xf>
    <xf numFmtId="164" fontId="8" fillId="0" borderId="17" xfId="0" applyNumberFormat="1" applyFont="1" applyBorder="1" applyAlignment="1" applyProtection="1">
      <alignment horizontal="center" vertical="center"/>
    </xf>
    <xf numFmtId="2" fontId="8" fillId="0" borderId="20" xfId="0" applyNumberFormat="1" applyFont="1" applyBorder="1" applyAlignment="1" applyProtection="1">
      <alignment horizontal="center" vertical="center"/>
    </xf>
    <xf numFmtId="2" fontId="8" fillId="0" borderId="21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21" fillId="0" borderId="3" xfId="0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right" vertical="center"/>
    </xf>
    <xf numFmtId="164" fontId="8" fillId="0" borderId="22" xfId="0" applyNumberFormat="1" applyFont="1" applyBorder="1" applyAlignment="1" applyProtection="1">
      <alignment horizontal="center" vertical="center"/>
    </xf>
    <xf numFmtId="164" fontId="8" fillId="0" borderId="23" xfId="0" applyNumberFormat="1" applyFont="1" applyBorder="1" applyAlignment="1" applyProtection="1">
      <alignment horizontal="center" vertical="center"/>
    </xf>
    <xf numFmtId="164" fontId="8" fillId="0" borderId="25" xfId="0" applyNumberFormat="1" applyFont="1" applyBorder="1" applyAlignment="1" applyProtection="1">
      <alignment horizontal="center" vertical="center"/>
    </xf>
    <xf numFmtId="164" fontId="8" fillId="0" borderId="26" xfId="0" applyNumberFormat="1" applyFont="1" applyBorder="1" applyAlignment="1" applyProtection="1">
      <alignment horizontal="center" vertical="center"/>
    </xf>
    <xf numFmtId="2" fontId="8" fillId="0" borderId="22" xfId="0" applyNumberFormat="1" applyFont="1" applyFill="1" applyBorder="1" applyAlignment="1" applyProtection="1">
      <alignment horizontal="center" vertical="center"/>
    </xf>
    <xf numFmtId="2" fontId="8" fillId="0" borderId="23" xfId="0" applyNumberFormat="1" applyFont="1" applyFill="1" applyBorder="1" applyAlignment="1" applyProtection="1">
      <alignment horizontal="center" vertical="center"/>
    </xf>
    <xf numFmtId="47" fontId="9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/>
    </xf>
    <xf numFmtId="164" fontId="9" fillId="0" borderId="2" xfId="0" applyNumberFormat="1" applyFont="1" applyFill="1" applyBorder="1" applyAlignment="1" applyProtection="1">
      <alignment horizontal="center"/>
    </xf>
    <xf numFmtId="164" fontId="9" fillId="0" borderId="3" xfId="0" applyNumberFormat="1" applyFont="1" applyFill="1" applyBorder="1" applyAlignment="1" applyProtection="1">
      <alignment horizontal="center"/>
    </xf>
    <xf numFmtId="164" fontId="9" fillId="0" borderId="4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 shrinkToFit="1"/>
    </xf>
    <xf numFmtId="0" fontId="21" fillId="0" borderId="29" xfId="0" applyFont="1" applyFill="1" applyBorder="1" applyAlignment="1">
      <alignment horizontal="right" vertical="center"/>
    </xf>
    <xf numFmtId="0" fontId="21" fillId="0" borderId="41" xfId="0" applyFont="1" applyFill="1" applyBorder="1" applyAlignment="1">
      <alignment horizontal="right" vertical="center"/>
    </xf>
    <xf numFmtId="0" fontId="9" fillId="0" borderId="0" xfId="0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 applyProtection="1">
      <alignment horizontal="center"/>
    </xf>
    <xf numFmtId="164" fontId="13" fillId="0" borderId="0" xfId="0" applyNumberFormat="1" applyFont="1" applyFill="1" applyBorder="1" applyAlignment="1" applyProtection="1">
      <alignment horizontal="center"/>
    </xf>
    <xf numFmtId="0" fontId="23" fillId="0" borderId="0" xfId="0" applyNumberFormat="1" applyFont="1" applyFill="1" applyBorder="1" applyAlignment="1" applyProtection="1">
      <alignment horizontal="left"/>
    </xf>
    <xf numFmtId="164" fontId="8" fillId="0" borderId="2" xfId="0" applyNumberFormat="1" applyFont="1" applyFill="1" applyBorder="1" applyAlignment="1" applyProtection="1">
      <alignment horizontal="center" vertical="center"/>
    </xf>
    <xf numFmtId="164" fontId="8" fillId="0" borderId="7" xfId="0" applyNumberFormat="1" applyFont="1" applyFill="1" applyBorder="1" applyAlignment="1" applyProtection="1">
      <alignment horizontal="center" vertical="center"/>
    </xf>
    <xf numFmtId="164" fontId="8" fillId="0" borderId="22" xfId="0" applyNumberFormat="1" applyFont="1" applyFill="1" applyBorder="1" applyAlignment="1" applyProtection="1">
      <alignment horizontal="center" vertical="center"/>
    </xf>
    <xf numFmtId="164" fontId="8" fillId="0" borderId="23" xfId="0" applyNumberFormat="1" applyFont="1" applyFill="1" applyBorder="1" applyAlignment="1" applyProtection="1">
      <alignment horizontal="center" vertical="center"/>
    </xf>
    <xf numFmtId="164" fontId="8" fillId="0" borderId="25" xfId="0" applyNumberFormat="1" applyFont="1" applyFill="1" applyBorder="1" applyAlignment="1" applyProtection="1">
      <alignment horizontal="center" vertical="center"/>
    </xf>
    <xf numFmtId="164" fontId="8" fillId="0" borderId="26" xfId="0" applyNumberFormat="1" applyFont="1" applyFill="1" applyBorder="1" applyAlignment="1" applyProtection="1">
      <alignment horizontal="center" vertical="center"/>
    </xf>
    <xf numFmtId="164" fontId="8" fillId="0" borderId="11" xfId="0" applyNumberFormat="1" applyFont="1" applyFill="1" applyBorder="1" applyAlignment="1" applyProtection="1">
      <alignment horizontal="center" vertical="center"/>
    </xf>
    <xf numFmtId="164" fontId="8" fillId="0" borderId="12" xfId="0" applyNumberFormat="1" applyFont="1" applyFill="1" applyBorder="1" applyAlignment="1" applyProtection="1">
      <alignment horizontal="center" vertical="center"/>
    </xf>
    <xf numFmtId="164" fontId="8" fillId="0" borderId="27" xfId="0" applyNumberFormat="1" applyFont="1" applyFill="1" applyBorder="1" applyAlignment="1" applyProtection="1">
      <alignment horizontal="center" vertical="center"/>
    </xf>
    <xf numFmtId="164" fontId="8" fillId="0" borderId="28" xfId="0" applyNumberFormat="1" applyFont="1" applyFill="1" applyBorder="1" applyAlignment="1" applyProtection="1">
      <alignment horizontal="center" vertical="center"/>
    </xf>
    <xf numFmtId="2" fontId="8" fillId="0" borderId="37" xfId="0" applyNumberFormat="1" applyFont="1" applyFill="1" applyBorder="1" applyAlignment="1" applyProtection="1">
      <alignment horizontal="center" vertical="center"/>
    </xf>
    <xf numFmtId="2" fontId="8" fillId="0" borderId="1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Arial Narrow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Grain Size Distribution</a:t>
            </a:r>
          </a:p>
        </c:rich>
      </c:tx>
      <c:layout>
        <c:manualLayout>
          <c:xMode val="edge"/>
          <c:yMode val="edge"/>
          <c:x val="0.35665236340870232"/>
          <c:y val="3.8367412884493845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18548484191769"/>
          <c:y val="9.0340351994322984E-2"/>
          <c:w val="0.79719713934840708"/>
          <c:h val="0.75382509895979355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Report!$A$21:$A$27</c:f>
              <c:numCache>
                <c:formatCode>0.00</c:formatCode>
                <c:ptCount val="7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 formatCode="General_)">
                  <c:v>7.4999999999999997E-2</c:v>
                </c:pt>
              </c:numCache>
            </c:numRef>
          </c:xVal>
          <c:yVal>
            <c:numRef>
              <c:f>Report!$B$21:$B$27</c:f>
              <c:numCache>
                <c:formatCode>0.00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5-4A49-85F0-2047B33289C1}"/>
            </c:ext>
          </c:extLst>
        </c:ser>
        <c:ser>
          <c:idx val="1"/>
          <c:order val="1"/>
          <c:spPr>
            <a:ln w="19050">
              <a:solidFill>
                <a:srgbClr val="0033CC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33CC"/>
                </a:solidFill>
                <a:prstDash val="solid"/>
              </a:ln>
            </c:spPr>
          </c:marker>
          <c:xVal>
            <c:numRef>
              <c:f>Report!$A$21:$A$27</c:f>
              <c:numCache>
                <c:formatCode>0.00</c:formatCode>
                <c:ptCount val="7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 formatCode="General_)">
                  <c:v>7.4999999999999997E-2</c:v>
                </c:pt>
              </c:numCache>
            </c:numRef>
          </c:xVal>
          <c:yVal>
            <c:numRef>
              <c:f>Report!$F$21:$F$27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95</c:v>
                </c:pt>
                <c:pt idx="5">
                  <c:v>46.2</c:v>
                </c:pt>
                <c:pt idx="6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5-4A49-85F0-2047B332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86936"/>
        <c:axId val="247787328"/>
      </c:scatterChart>
      <c:valAx>
        <c:axId val="247786936"/>
        <c:scaling>
          <c:logBase val="10"/>
          <c:orientation val="maxMin"/>
          <c:min val="1.0000000000000005E-2"/>
        </c:scaling>
        <c:delete val="0"/>
        <c:axPos val="b"/>
        <c:majorGridlines>
          <c:spPr>
            <a:ln w="1905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Particle Size (mm)</a:t>
                </a:r>
              </a:p>
            </c:rich>
          </c:tx>
          <c:layout>
            <c:manualLayout>
              <c:xMode val="edge"/>
              <c:yMode val="edge"/>
              <c:x val="0.40663382214837823"/>
              <c:y val="0.926832320371540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in"/>
        <c:tickLblPos val="nextTo"/>
        <c:spPr>
          <a:ln w="1905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7787328"/>
        <c:crosses val="autoZero"/>
        <c:crossBetween val="midCat"/>
      </c:valAx>
      <c:valAx>
        <c:axId val="247787328"/>
        <c:scaling>
          <c:orientation val="minMax"/>
          <c:max val="100"/>
          <c:min val="0"/>
        </c:scaling>
        <c:delete val="0"/>
        <c:axPos val="r"/>
        <c:majorGridlines>
          <c:spPr>
            <a:ln w="1905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9.2897011726745162E-3"/>
              <c:y val="0.2958608749645582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high"/>
        <c:spPr>
          <a:ln w="1905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7786936"/>
        <c:crossesAt val="1.0000000000000005E-2"/>
        <c:crossBetween val="midCat"/>
        <c:majorUnit val="20"/>
        <c:minorUnit val="5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0555" r="0.7500000000000055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6</xdr:col>
      <xdr:colOff>952500</xdr:colOff>
      <xdr:row>6</xdr:row>
      <xdr:rowOff>114300</xdr:rowOff>
    </xdr:to>
    <xdr:pic>
      <xdr:nvPicPr>
        <xdr:cNvPr id="3" name="Picture 3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0"/>
          <a:ext cx="5819775" cy="12573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66675</xdr:colOff>
      <xdr:row>22</xdr:row>
      <xdr:rowOff>66675</xdr:rowOff>
    </xdr:from>
    <xdr:to>
      <xdr:col>9</xdr:col>
      <xdr:colOff>590550</xdr:colOff>
      <xdr:row>24</xdr:row>
      <xdr:rowOff>57150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24650" y="4752975"/>
          <a:ext cx="78105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29</xdr:row>
      <xdr:rowOff>47625</xdr:rowOff>
    </xdr:from>
    <xdr:to>
      <xdr:col>6</xdr:col>
      <xdr:colOff>624840</xdr:colOff>
      <xdr:row>42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0</xdr:row>
      <xdr:rowOff>0</xdr:rowOff>
    </xdr:from>
    <xdr:to>
      <xdr:col>6</xdr:col>
      <xdr:colOff>952500</xdr:colOff>
      <xdr:row>6</xdr:row>
      <xdr:rowOff>114300</xdr:rowOff>
    </xdr:to>
    <xdr:grpSp>
      <xdr:nvGrpSpPr>
        <xdr:cNvPr id="3" name="Group 5">
          <a:extLst>
            <a:ext uri="{FF2B5EF4-FFF2-40B4-BE49-F238E27FC236}">
              <a16:creationId xmlns:a16="http://schemas.microsoft.com/office/drawing/2014/main" id="{EFF85044-976C-47D3-A4B5-F2C0AC9CE35B}"/>
            </a:ext>
          </a:extLst>
        </xdr:cNvPr>
        <xdr:cNvGrpSpPr/>
      </xdr:nvGrpSpPr>
      <xdr:grpSpPr>
        <a:xfrm>
          <a:off x="95250" y="0"/>
          <a:ext cx="6064250" cy="1250950"/>
          <a:chOff x="95250" y="0"/>
          <a:chExt cx="5819775" cy="1257300"/>
        </a:xfrm>
      </xdr:grpSpPr>
      <xdr:pic>
        <xdr:nvPicPr>
          <xdr:cNvPr id="5" name="Picture 38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95250" y="0"/>
            <a:ext cx="5819775" cy="1257300"/>
          </a:xfrm>
          <a:prstGeom prst="rect">
            <a:avLst/>
          </a:prstGeom>
          <a:noFill/>
        </xdr:spPr>
      </xdr:pic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43CD3B28-43A0-437C-9EEB-9BCAC9907A6E}"/>
              </a:ext>
            </a:extLst>
          </xdr:cNvPr>
          <xdr:cNvSpPr txBox="1"/>
        </xdr:nvSpPr>
        <xdr:spPr>
          <a:xfrm>
            <a:off x="1038225" y="495300"/>
            <a:ext cx="3749040" cy="2743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rIns="45720" rtlCol="0" anchor="t"/>
          <a:lstStyle/>
          <a:p>
            <a:pPr algn="ctr"/>
            <a:r>
              <a:rPr lang="en-US" sz="900">
                <a:solidFill>
                  <a:schemeClr val="tx1"/>
                </a:solidFill>
                <a:latin typeface="Arial Narrow" panose="020B0606020202030204" pitchFamily="34" charset="0"/>
              </a:rPr>
              <a:t>Mobile: 01819557964; PABX: 55167228-57 Ext. 7226;</a:t>
            </a:r>
            <a:r>
              <a:rPr lang="en-US" sz="900" baseline="0">
                <a:solidFill>
                  <a:schemeClr val="tx1"/>
                </a:solidFill>
                <a:latin typeface="Arial Narrow" panose="020B0606020202030204" pitchFamily="34" charset="0"/>
              </a:rPr>
              <a:t> </a:t>
            </a:r>
            <a:r>
              <a:rPr lang="en-US" sz="900">
                <a:solidFill>
                  <a:schemeClr val="tx1"/>
                </a:solidFill>
                <a:latin typeface="Arial Narrow" panose="020B0606020202030204" pitchFamily="34" charset="0"/>
              </a:rPr>
              <a:t>http://brtc.ce.buet.ac.bd/#/home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zoomScaleNormal="100" workbookViewId="0">
      <selection activeCell="J11" sqref="J11:P11"/>
    </sheetView>
  </sheetViews>
  <sheetFormatPr defaultColWidth="8.7265625" defaultRowHeight="13" x14ac:dyDescent="0.3"/>
  <cols>
    <col min="1" max="1" width="9.453125" customWidth="1"/>
    <col min="2" max="2" width="2.1796875" customWidth="1"/>
    <col min="3" max="7" width="15.7265625" customWidth="1"/>
    <col min="8" max="8" width="9.7265625" customWidth="1"/>
    <col min="9" max="9" width="3.81640625" customWidth="1"/>
    <col min="10" max="10" width="9.7265625" customWidth="1"/>
    <col min="11" max="11" width="10.7265625" bestFit="1" customWidth="1"/>
    <col min="13" max="14" width="20.26953125" customWidth="1"/>
    <col min="15" max="15" width="20.453125" customWidth="1"/>
    <col min="16" max="16" width="20.1796875" customWidth="1"/>
    <col min="17" max="17" width="20.81640625" customWidth="1"/>
    <col min="18" max="18" width="14.7265625" customWidth="1"/>
    <col min="19" max="19" width="14.453125" customWidth="1"/>
    <col min="20" max="20" width="15.81640625" customWidth="1"/>
    <col min="21" max="21" width="16.453125" customWidth="1"/>
    <col min="22" max="23" width="15.7265625" bestFit="1" customWidth="1"/>
    <col min="24" max="24" width="12.81640625" bestFit="1" customWidth="1"/>
    <col min="25" max="25" width="19.7265625" bestFit="1" customWidth="1"/>
  </cols>
  <sheetData>
    <row r="1" spans="1:16" ht="20" x14ac:dyDescent="0.3">
      <c r="A1" s="165"/>
      <c r="B1" s="165"/>
      <c r="C1" s="165"/>
      <c r="D1" s="165"/>
      <c r="E1" s="165"/>
      <c r="F1" s="165"/>
      <c r="G1" s="165"/>
      <c r="H1" s="1"/>
    </row>
    <row r="2" spans="1:16" ht="15.75" customHeight="1" x14ac:dyDescent="0.3">
      <c r="A2" s="165"/>
      <c r="B2" s="165"/>
      <c r="C2" s="165"/>
      <c r="D2" s="165"/>
      <c r="E2" s="165"/>
      <c r="F2" s="165"/>
      <c r="G2" s="165"/>
      <c r="H2" s="1"/>
    </row>
    <row r="3" spans="1:16" ht="11.25" customHeight="1" x14ac:dyDescent="0.35">
      <c r="A3" s="166"/>
      <c r="B3" s="166"/>
      <c r="C3" s="166"/>
      <c r="D3" s="166"/>
      <c r="E3" s="166"/>
      <c r="F3" s="166"/>
      <c r="G3" s="166"/>
      <c r="H3" s="2"/>
    </row>
    <row r="4" spans="1:16" ht="28.5" customHeight="1" x14ac:dyDescent="0.45">
      <c r="A4" s="167"/>
      <c r="B4" s="167"/>
      <c r="C4" s="167"/>
      <c r="D4" s="167"/>
      <c r="E4" s="167"/>
      <c r="F4" s="167"/>
      <c r="G4" s="167"/>
      <c r="H4" s="3"/>
    </row>
    <row r="5" spans="1:16" ht="10.5" customHeight="1" x14ac:dyDescent="0.4">
      <c r="A5" s="5"/>
      <c r="B5" s="5"/>
      <c r="C5" s="6"/>
      <c r="D5" s="6"/>
      <c r="E5" s="6"/>
      <c r="F5" s="4"/>
      <c r="G5" s="4"/>
      <c r="H5" s="4"/>
    </row>
    <row r="6" spans="1:16" ht="4.1500000000000004" customHeight="1" x14ac:dyDescent="0.4">
      <c r="A6" s="5"/>
      <c r="B6" s="5"/>
      <c r="C6" s="6"/>
      <c r="D6" s="6"/>
      <c r="E6" s="6"/>
      <c r="F6" s="4"/>
      <c r="G6" s="4"/>
      <c r="H6" s="4"/>
    </row>
    <row r="7" spans="1:16" ht="16.149999999999999" customHeight="1" x14ac:dyDescent="0.45">
      <c r="A7" s="168" t="s">
        <v>0</v>
      </c>
      <c r="B7" s="168"/>
      <c r="C7" s="168"/>
      <c r="D7" s="168"/>
      <c r="E7" s="168"/>
      <c r="F7" s="168"/>
      <c r="G7" s="168"/>
      <c r="H7" s="7"/>
    </row>
    <row r="8" spans="1:16" ht="18.75" customHeight="1" x14ac:dyDescent="0.35">
      <c r="A8" s="8" t="s">
        <v>33</v>
      </c>
      <c r="B8" s="8" t="s">
        <v>1</v>
      </c>
      <c r="C8" s="157" t="s">
        <v>71</v>
      </c>
      <c r="D8" s="157"/>
      <c r="E8" s="6"/>
      <c r="F8" s="40" t="s">
        <v>26</v>
      </c>
      <c r="G8" s="148" t="s">
        <v>72</v>
      </c>
      <c r="H8" s="45"/>
      <c r="I8" s="45"/>
      <c r="J8" s="46"/>
      <c r="K8" s="45"/>
      <c r="L8" s="47"/>
      <c r="M8" s="47"/>
      <c r="N8" s="48"/>
      <c r="O8" s="48"/>
      <c r="P8" s="50"/>
    </row>
    <row r="9" spans="1:16" ht="28.15" customHeight="1" x14ac:dyDescent="0.3">
      <c r="A9" s="59" t="s">
        <v>34</v>
      </c>
      <c r="B9" s="59" t="s">
        <v>1</v>
      </c>
      <c r="C9" s="158" t="s">
        <v>77</v>
      </c>
      <c r="D9" s="158"/>
      <c r="E9" s="158"/>
      <c r="F9" s="158"/>
      <c r="G9" s="158"/>
      <c r="H9" s="51"/>
      <c r="I9" s="51"/>
      <c r="J9" s="159"/>
      <c r="K9" s="159"/>
      <c r="L9" s="159"/>
      <c r="M9" s="159"/>
      <c r="N9" s="159"/>
      <c r="O9" s="159"/>
      <c r="P9" s="159"/>
    </row>
    <row r="10" spans="1:16" ht="17.25" customHeight="1" x14ac:dyDescent="0.35">
      <c r="A10" s="8" t="s">
        <v>35</v>
      </c>
      <c r="B10" s="8" t="s">
        <v>1</v>
      </c>
      <c r="C10" s="42" t="s">
        <v>73</v>
      </c>
      <c r="D10" s="42"/>
      <c r="E10" s="58"/>
      <c r="F10" s="40" t="s">
        <v>26</v>
      </c>
      <c r="G10" s="148" t="s">
        <v>74</v>
      </c>
      <c r="H10" s="45"/>
      <c r="I10" s="45"/>
      <c r="J10" s="45"/>
      <c r="K10" s="45"/>
      <c r="L10" s="47"/>
      <c r="M10" s="47"/>
      <c r="N10" s="48"/>
      <c r="O10" s="48"/>
      <c r="P10" s="50"/>
    </row>
    <row r="11" spans="1:16" ht="33" customHeight="1" x14ac:dyDescent="0.3">
      <c r="A11" s="9" t="s">
        <v>2</v>
      </c>
      <c r="B11" s="9" t="s">
        <v>1</v>
      </c>
      <c r="C11" s="160" t="s">
        <v>78</v>
      </c>
      <c r="D11" s="160"/>
      <c r="E11" s="160"/>
      <c r="F11" s="160"/>
      <c r="G11" s="160"/>
      <c r="H11" s="52"/>
      <c r="I11" s="53"/>
      <c r="J11" s="161"/>
      <c r="K11" s="161"/>
      <c r="L11" s="161"/>
      <c r="M11" s="161"/>
      <c r="N11" s="161"/>
      <c r="O11" s="161"/>
      <c r="P11" s="161"/>
    </row>
    <row r="12" spans="1:16" ht="17.25" customHeight="1" x14ac:dyDescent="0.3">
      <c r="A12" s="8" t="s">
        <v>3</v>
      </c>
      <c r="B12" s="8" t="s">
        <v>1</v>
      </c>
      <c r="C12" s="123" t="s">
        <v>62</v>
      </c>
      <c r="D12" s="60"/>
      <c r="E12" s="11" t="s">
        <v>29</v>
      </c>
      <c r="F12" s="162" t="s">
        <v>62</v>
      </c>
      <c r="G12" s="163"/>
      <c r="H12" s="45"/>
      <c r="I12" s="45"/>
      <c r="J12" s="164"/>
      <c r="K12" s="164"/>
      <c r="L12" s="164"/>
      <c r="M12" s="164"/>
      <c r="N12" s="164"/>
      <c r="O12" s="164"/>
      <c r="P12" s="164"/>
    </row>
    <row r="13" spans="1:16" ht="17.25" customHeight="1" x14ac:dyDescent="0.3">
      <c r="A13" s="185" t="s">
        <v>4</v>
      </c>
      <c r="B13" s="185" t="s">
        <v>1</v>
      </c>
      <c r="C13" s="186" t="s">
        <v>80</v>
      </c>
      <c r="D13" s="186"/>
      <c r="E13" s="11" t="s">
        <v>27</v>
      </c>
      <c r="F13" s="171" t="s">
        <v>81</v>
      </c>
      <c r="G13" s="172"/>
      <c r="H13" s="45"/>
      <c r="I13" s="45"/>
      <c r="J13" s="54"/>
      <c r="K13" s="47"/>
      <c r="L13" s="47"/>
      <c r="M13" s="47"/>
      <c r="N13" s="47"/>
      <c r="O13" s="55"/>
      <c r="P13" s="61"/>
    </row>
    <row r="14" spans="1:16" ht="17.25" customHeight="1" x14ac:dyDescent="0.3">
      <c r="A14" s="185"/>
      <c r="B14" s="185"/>
      <c r="C14" s="186"/>
      <c r="D14" s="186"/>
      <c r="E14" s="11" t="s">
        <v>28</v>
      </c>
      <c r="F14" s="162" t="s">
        <v>79</v>
      </c>
      <c r="G14" s="163"/>
      <c r="H14" s="45"/>
      <c r="I14" s="45"/>
      <c r="J14" s="56"/>
      <c r="K14" s="47"/>
      <c r="L14" s="57"/>
      <c r="M14" s="57"/>
      <c r="N14" s="48"/>
      <c r="O14" s="48"/>
      <c r="P14" s="48"/>
    </row>
    <row r="15" spans="1:16" ht="17.25" customHeight="1" thickBot="1" x14ac:dyDescent="0.4">
      <c r="A15" s="8" t="s">
        <v>5</v>
      </c>
      <c r="B15" s="8" t="s">
        <v>1</v>
      </c>
      <c r="C15" s="147" t="s">
        <v>75</v>
      </c>
      <c r="D15" s="8"/>
      <c r="E15" s="41" t="s">
        <v>60</v>
      </c>
      <c r="F15" s="173" t="s">
        <v>76</v>
      </c>
      <c r="G15" s="173"/>
      <c r="H15" s="45"/>
      <c r="I15" s="45"/>
      <c r="J15" s="50"/>
      <c r="K15" s="45"/>
      <c r="L15" s="47"/>
      <c r="M15" s="47"/>
      <c r="N15" s="48"/>
      <c r="O15" s="48"/>
      <c r="P15" s="48"/>
    </row>
    <row r="16" spans="1:16" ht="22.5" customHeight="1" x14ac:dyDescent="0.3">
      <c r="A16" s="174" t="s">
        <v>6</v>
      </c>
      <c r="B16" s="175"/>
      <c r="C16" s="175"/>
      <c r="D16" s="175"/>
      <c r="E16" s="175"/>
      <c r="F16" s="175"/>
      <c r="G16" s="176"/>
      <c r="H16" s="12"/>
    </row>
    <row r="17" spans="1:25" ht="7.5" customHeight="1" thickBot="1" x14ac:dyDescent="0.35">
      <c r="A17" s="13"/>
      <c r="B17" s="14"/>
      <c r="C17" s="14"/>
      <c r="D17" s="14"/>
      <c r="E17" s="14"/>
      <c r="F17" s="14"/>
      <c r="G17" s="15"/>
      <c r="H17" s="16"/>
    </row>
    <row r="18" spans="1:25" ht="14.15" customHeight="1" thickBot="1" x14ac:dyDescent="0.35">
      <c r="A18" s="177" t="s">
        <v>7</v>
      </c>
      <c r="B18" s="178"/>
      <c r="C18" s="17" t="s">
        <v>8</v>
      </c>
      <c r="D18" s="17" t="s">
        <v>9</v>
      </c>
      <c r="E18" s="17" t="s">
        <v>10</v>
      </c>
      <c r="F18" s="18" t="s">
        <v>11</v>
      </c>
      <c r="G18" s="19"/>
      <c r="H18" s="20"/>
      <c r="I18" s="21"/>
    </row>
    <row r="19" spans="1:25" ht="14.15" customHeight="1" thickBot="1" x14ac:dyDescent="0.35">
      <c r="A19" s="179" t="s">
        <v>12</v>
      </c>
      <c r="B19" s="180"/>
      <c r="C19" s="22" t="s">
        <v>13</v>
      </c>
      <c r="D19" s="22" t="s">
        <v>14</v>
      </c>
      <c r="E19" s="22" t="s">
        <v>15</v>
      </c>
      <c r="F19" s="23" t="s">
        <v>16</v>
      </c>
      <c r="G19" s="24" t="s">
        <v>36</v>
      </c>
      <c r="H19" s="20"/>
      <c r="I19" s="21"/>
      <c r="M19" s="154" t="s">
        <v>64</v>
      </c>
      <c r="N19" s="155"/>
      <c r="O19" s="156"/>
    </row>
    <row r="20" spans="1:25" ht="14.15" customHeight="1" thickBot="1" x14ac:dyDescent="0.35">
      <c r="A20" s="181" t="s">
        <v>17</v>
      </c>
      <c r="B20" s="182"/>
      <c r="C20" s="25" t="s">
        <v>18</v>
      </c>
      <c r="D20" s="25" t="s">
        <v>19</v>
      </c>
      <c r="E20" s="25" t="s">
        <v>19</v>
      </c>
      <c r="F20" s="26" t="s">
        <v>19</v>
      </c>
      <c r="G20" s="24"/>
      <c r="H20" s="114" t="s">
        <v>20</v>
      </c>
      <c r="I20" s="21"/>
      <c r="K20" s="98" t="s">
        <v>43</v>
      </c>
      <c r="L20" s="98" t="s">
        <v>44</v>
      </c>
      <c r="M20" s="106" t="s">
        <v>50</v>
      </c>
      <c r="N20" s="105" t="s">
        <v>45</v>
      </c>
      <c r="O20" s="105" t="s">
        <v>46</v>
      </c>
      <c r="P20" s="152" t="s">
        <v>51</v>
      </c>
      <c r="Q20" s="153"/>
      <c r="R20" s="152" t="s">
        <v>52</v>
      </c>
      <c r="S20" s="153"/>
      <c r="T20" s="152" t="s">
        <v>53</v>
      </c>
      <c r="U20" s="153"/>
      <c r="V20" s="98" t="s">
        <v>47</v>
      </c>
      <c r="W20" s="98" t="s">
        <v>48</v>
      </c>
      <c r="X20" s="102" t="s">
        <v>49</v>
      </c>
      <c r="Y20" s="102" t="s">
        <v>50</v>
      </c>
    </row>
    <row r="21" spans="1:25" ht="14.15" customHeight="1" x14ac:dyDescent="0.3">
      <c r="A21" s="183">
        <v>4.75</v>
      </c>
      <c r="B21" s="184"/>
      <c r="C21" s="43">
        <v>0</v>
      </c>
      <c r="D21" s="89">
        <f>C21/C$29*100</f>
        <v>0</v>
      </c>
      <c r="E21" s="89">
        <f>D21</f>
        <v>0</v>
      </c>
      <c r="F21" s="89">
        <f t="shared" ref="F21:F27" si="0">100-E21</f>
        <v>100</v>
      </c>
      <c r="G21" s="116" t="str">
        <f>CONCATENATE("FM: ",ROUND(SUM(E21:E26)/100,2))</f>
        <v>FM: 0.59</v>
      </c>
      <c r="H21" s="114">
        <v>4</v>
      </c>
      <c r="I21" s="21"/>
      <c r="K21" s="99">
        <f>A21</f>
        <v>4.75</v>
      </c>
      <c r="L21" s="99">
        <f>F21</f>
        <v>100</v>
      </c>
      <c r="M21" s="102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102"/>
      <c r="Y21" s="102"/>
    </row>
    <row r="22" spans="1:25" ht="14.15" customHeight="1" x14ac:dyDescent="0.3">
      <c r="A22" s="169">
        <v>2.36</v>
      </c>
      <c r="B22" s="170"/>
      <c r="C22" s="44">
        <v>0</v>
      </c>
      <c r="D22" s="90">
        <f t="shared" ref="D22:D28" si="1">C22/C$29*100</f>
        <v>0</v>
      </c>
      <c r="E22" s="90">
        <f t="shared" ref="E22:E27" si="2">E21+D22</f>
        <v>0</v>
      </c>
      <c r="F22" s="90">
        <f t="shared" si="0"/>
        <v>100</v>
      </c>
      <c r="G22" s="117" t="str">
        <f>CONCATENATE("Coarse Sand: ",ROUND(X22,2)," %")</f>
        <v>Coarse Sand: 0 %</v>
      </c>
      <c r="H22" s="114">
        <v>8</v>
      </c>
      <c r="I22" s="21"/>
      <c r="K22" s="99">
        <f t="shared" ref="K22:K28" si="3">A22</f>
        <v>2.36</v>
      </c>
      <c r="L22" s="99">
        <f t="shared" ref="L22:L27" si="4">F22</f>
        <v>100</v>
      </c>
      <c r="M22" s="104" t="s">
        <v>37</v>
      </c>
      <c r="N22" s="98">
        <v>4.75</v>
      </c>
      <c r="O22" s="98">
        <v>2</v>
      </c>
      <c r="P22" s="98"/>
      <c r="Q22" s="98"/>
      <c r="R22" s="98"/>
      <c r="S22" s="98"/>
      <c r="T22" s="98"/>
      <c r="U22" s="98"/>
      <c r="V22" s="99">
        <f>L21</f>
        <v>100</v>
      </c>
      <c r="W22" s="99">
        <f>V23</f>
        <v>100</v>
      </c>
      <c r="X22" s="103">
        <f>IF(W22="","",ROUND(V22-W22,2))</f>
        <v>0</v>
      </c>
      <c r="Y22" s="104" t="s">
        <v>37</v>
      </c>
    </row>
    <row r="23" spans="1:25" ht="14.15" customHeight="1" x14ac:dyDescent="0.3">
      <c r="A23" s="169">
        <v>1.18</v>
      </c>
      <c r="B23" s="170"/>
      <c r="C23" s="44">
        <v>0</v>
      </c>
      <c r="D23" s="90">
        <f t="shared" si="1"/>
        <v>0</v>
      </c>
      <c r="E23" s="90">
        <f t="shared" si="2"/>
        <v>0</v>
      </c>
      <c r="F23" s="90">
        <f t="shared" si="0"/>
        <v>100</v>
      </c>
      <c r="G23" s="117" t="str">
        <f>CONCATENATE("Medium Sand: ",ROUND(X23,2)," %")</f>
        <v>Medium Sand: 2.49 %</v>
      </c>
      <c r="H23" s="114">
        <v>16</v>
      </c>
      <c r="I23" s="21"/>
      <c r="K23" s="99">
        <f t="shared" si="3"/>
        <v>1.18</v>
      </c>
      <c r="L23" s="99">
        <f t="shared" si="4"/>
        <v>100</v>
      </c>
      <c r="M23" s="104" t="s">
        <v>38</v>
      </c>
      <c r="N23" s="98">
        <v>2</v>
      </c>
      <c r="O23" s="98">
        <v>0.42499999999999999</v>
      </c>
      <c r="P23" s="98">
        <f>IF(MATCH(N23,$K$21:$K$27,-1)&lt;=7,MATCH(N23,$K$21:$K$27,-1),"")</f>
        <v>2</v>
      </c>
      <c r="Q23" s="98">
        <f>IF(MATCH(N23,$K$21:$K$27,-1)+1&lt;=7,MATCH(N23,$K$21:$K$27,-1)+1,"")</f>
        <v>3</v>
      </c>
      <c r="R23" s="98">
        <f>IF(P23="","",INDEX($K$21:$K$27,P23))</f>
        <v>2.36</v>
      </c>
      <c r="S23" s="98">
        <f>IF(Q23="","",INDEX($K$21:$K$27,Q23))</f>
        <v>1.18</v>
      </c>
      <c r="T23" s="98">
        <f>IF(P23="","",INDEX($L$21:$L$27,P23))</f>
        <v>100</v>
      </c>
      <c r="U23" s="98">
        <f>IF(Q23="","",INDEX($L$21:$L$27,Q23))</f>
        <v>100</v>
      </c>
      <c r="V23" s="99" cm="1">
        <f t="array" ref="V23">TREND(T23:U23,LOG10(R23:S23),LOG10(N23),TRUE)</f>
        <v>100</v>
      </c>
      <c r="W23" s="99">
        <f t="shared" ref="W23:W26" si="5">V24</f>
        <v>97.51250170264592</v>
      </c>
      <c r="X23" s="103">
        <f t="shared" ref="X23:X26" si="6">IF(W23="","",ROUND(V23-W23,2))</f>
        <v>2.4900000000000002</v>
      </c>
      <c r="Y23" s="104" t="s">
        <v>38</v>
      </c>
    </row>
    <row r="24" spans="1:25" ht="14.15" customHeight="1" x14ac:dyDescent="0.3">
      <c r="A24" s="169">
        <v>0.6</v>
      </c>
      <c r="B24" s="170"/>
      <c r="C24" s="44">
        <v>0</v>
      </c>
      <c r="D24" s="90">
        <f t="shared" si="1"/>
        <v>0</v>
      </c>
      <c r="E24" s="90">
        <f t="shared" si="2"/>
        <v>0</v>
      </c>
      <c r="F24" s="90">
        <f t="shared" si="0"/>
        <v>100</v>
      </c>
      <c r="G24" s="117" t="str">
        <f>CONCATENATE("Fine Sand: ",ROUND(X24,2)," %")</f>
        <v>Fine Sand: 88.11 %</v>
      </c>
      <c r="H24" s="114">
        <v>30</v>
      </c>
      <c r="I24" s="21"/>
      <c r="K24" s="99">
        <f t="shared" si="3"/>
        <v>0.6</v>
      </c>
      <c r="L24" s="99">
        <f t="shared" si="4"/>
        <v>100</v>
      </c>
      <c r="M24" s="104" t="s">
        <v>39</v>
      </c>
      <c r="N24" s="98">
        <v>0.42499999999999999</v>
      </c>
      <c r="O24" s="98">
        <v>7.4999999999999997E-2</v>
      </c>
      <c r="P24" s="98">
        <f>IF(MATCH(N24,$K$21:$K$27,-1)&lt;=7,MATCH(N24,$K$21:$K$27,-1),"")</f>
        <v>4</v>
      </c>
      <c r="Q24" s="98">
        <f>IF(MATCH(N24,$K$21:$K$27,-1)+1&lt;=7,MATCH(N24,$K$21:$K$27,-1)+1,"")</f>
        <v>5</v>
      </c>
      <c r="R24" s="98">
        <f t="shared" ref="R24:R27" si="7">IF(P24="","",INDEX($K$21:$K$27,P24))</f>
        <v>0.6</v>
      </c>
      <c r="S24" s="98">
        <f t="shared" ref="S24:S27" si="8">IF(Q24="","",INDEX($K$21:$K$27,Q24))</f>
        <v>0.3</v>
      </c>
      <c r="T24" s="98">
        <f t="shared" ref="T24:T27" si="9">IF(P24="","",INDEX($L$21:$L$27,P24))</f>
        <v>100</v>
      </c>
      <c r="U24" s="98">
        <f t="shared" ref="U24:U27" si="10">IF(Q24="","",INDEX($L$21:$L$27,Q24))</f>
        <v>95</v>
      </c>
      <c r="V24" s="99" cm="1">
        <f t="array" ref="V24">TREND(T24:U24,LOG10(R24:S24),LOG10(N24),TRUE)</f>
        <v>97.51250170264592</v>
      </c>
      <c r="W24" s="99">
        <f t="shared" si="5"/>
        <v>9.4000000000000057</v>
      </c>
      <c r="X24" s="103">
        <f t="shared" si="6"/>
        <v>88.11</v>
      </c>
      <c r="Y24" s="104" t="s">
        <v>39</v>
      </c>
    </row>
    <row r="25" spans="1:25" ht="14.15" customHeight="1" x14ac:dyDescent="0.3">
      <c r="A25" s="169">
        <v>0.3</v>
      </c>
      <c r="B25" s="170"/>
      <c r="C25" s="44">
        <v>5</v>
      </c>
      <c r="D25" s="90">
        <f t="shared" si="1"/>
        <v>5</v>
      </c>
      <c r="E25" s="90">
        <f t="shared" si="2"/>
        <v>5</v>
      </c>
      <c r="F25" s="90">
        <f t="shared" si="0"/>
        <v>95</v>
      </c>
      <c r="G25" s="118" t="str">
        <f>CONCATENATE("Fines: ",ROUND(100-(X22+X23+X24),2)," %")</f>
        <v>Fines: 9.4 %</v>
      </c>
      <c r="H25" s="114">
        <v>50</v>
      </c>
      <c r="I25" s="21"/>
      <c r="K25" s="99">
        <f t="shared" si="3"/>
        <v>0.3</v>
      </c>
      <c r="L25" s="99">
        <f t="shared" si="4"/>
        <v>95</v>
      </c>
      <c r="M25" s="104" t="s">
        <v>40</v>
      </c>
      <c r="N25" s="98">
        <v>7.4999999999999997E-2</v>
      </c>
      <c r="O25" s="98">
        <v>5.0000000000000001E-3</v>
      </c>
      <c r="P25" s="98"/>
      <c r="Q25" s="98"/>
      <c r="R25" s="98"/>
      <c r="S25" s="98"/>
      <c r="T25" s="98"/>
      <c r="U25" s="98"/>
      <c r="V25" s="99">
        <f>L27</f>
        <v>9.4000000000000057</v>
      </c>
      <c r="W25" s="99" t="str">
        <f t="shared" si="5"/>
        <v/>
      </c>
      <c r="X25" s="103" t="str">
        <f t="shared" si="6"/>
        <v/>
      </c>
      <c r="Y25" s="104" t="s">
        <v>40</v>
      </c>
    </row>
    <row r="26" spans="1:25" ht="14.15" customHeight="1" x14ac:dyDescent="0.3">
      <c r="A26" s="169">
        <v>0.15</v>
      </c>
      <c r="B26" s="170"/>
      <c r="C26" s="44">
        <v>48.8</v>
      </c>
      <c r="D26" s="90">
        <f t="shared" si="1"/>
        <v>48.8</v>
      </c>
      <c r="E26" s="90">
        <f t="shared" si="2"/>
        <v>53.8</v>
      </c>
      <c r="F26" s="90">
        <f t="shared" si="0"/>
        <v>46.2</v>
      </c>
      <c r="G26" s="118" t="str">
        <f>IF(R32="---","Cu: ---",CONCATENATE("Cu: ",ROUND(R32,2)))</f>
        <v>Cu: 2.39</v>
      </c>
      <c r="H26" s="114">
        <v>100</v>
      </c>
      <c r="I26" s="21"/>
      <c r="K26" s="99">
        <f t="shared" si="3"/>
        <v>0.15</v>
      </c>
      <c r="L26" s="99">
        <f t="shared" si="4"/>
        <v>46.2</v>
      </c>
      <c r="M26" s="104" t="s">
        <v>41</v>
      </c>
      <c r="N26" s="98">
        <v>5.0000000000000001E-3</v>
      </c>
      <c r="O26" s="98">
        <v>1E-3</v>
      </c>
      <c r="P26" s="98">
        <f>IF(MATCH(N26,$K$21:$K$27,-1)&lt;=7,MATCH(N26,$K$21:$K$27,-1),"")</f>
        <v>7</v>
      </c>
      <c r="Q26" s="98" t="str">
        <f>IF(MATCH(N26,$K$21:$K$27,-1)+1&lt;=7,MATCH(N26,$K$21:$K$27,-1)+1,"")</f>
        <v/>
      </c>
      <c r="R26" s="98">
        <f t="shared" si="7"/>
        <v>7.4999999999999997E-2</v>
      </c>
      <c r="S26" s="98" t="str">
        <f t="shared" si="8"/>
        <v/>
      </c>
      <c r="T26" s="98">
        <f t="shared" si="9"/>
        <v>9.4000000000000057</v>
      </c>
      <c r="U26" s="98" t="str">
        <f t="shared" si="10"/>
        <v/>
      </c>
      <c r="V26" s="99" t="str" cm="1">
        <f t="array" ref="V26">IF(U26="","",TREND(T26:U26,LOG10(R26:S26),LOG10(N26)))</f>
        <v/>
      </c>
      <c r="W26" s="99" t="str">
        <f t="shared" si="5"/>
        <v/>
      </c>
      <c r="X26" s="103" t="str">
        <f t="shared" si="6"/>
        <v/>
      </c>
      <c r="Y26" s="104" t="s">
        <v>41</v>
      </c>
    </row>
    <row r="27" spans="1:25" ht="14.15" customHeight="1" x14ac:dyDescent="0.3">
      <c r="A27" s="189">
        <v>7.4999999999999997E-2</v>
      </c>
      <c r="B27" s="190"/>
      <c r="C27" s="44">
        <v>36.799999999999997</v>
      </c>
      <c r="D27" s="90">
        <f t="shared" si="1"/>
        <v>36.799999999999997</v>
      </c>
      <c r="E27" s="90">
        <f t="shared" si="2"/>
        <v>90.6</v>
      </c>
      <c r="F27" s="90">
        <f t="shared" si="0"/>
        <v>9.4000000000000057</v>
      </c>
      <c r="G27" s="117" t="str">
        <f>IF(S32="---","Cc: ---",CONCATENATE("Cc: ",ROUND(S32,2)))</f>
        <v>Cc: 0.89</v>
      </c>
      <c r="H27" s="114">
        <v>200</v>
      </c>
      <c r="I27" s="21"/>
      <c r="K27" s="100">
        <f t="shared" si="3"/>
        <v>7.4999999999999997E-2</v>
      </c>
      <c r="L27" s="99">
        <f t="shared" si="4"/>
        <v>9.4000000000000057</v>
      </c>
      <c r="M27" s="104" t="s">
        <v>42</v>
      </c>
      <c r="N27" s="98">
        <v>1E-3</v>
      </c>
      <c r="O27" s="98">
        <v>0</v>
      </c>
      <c r="P27" s="98">
        <f>IF(MATCH(N27,$K$21:$K$27,-1)&lt;=7,MATCH(N27,$K$21:$K$27,-1),"")</f>
        <v>7</v>
      </c>
      <c r="Q27" s="98" t="str">
        <f>IF(MATCH(N27,$K$21:$K$27,-1)+1&lt;=7,MATCH(N27,$K$21:$K$27,-1)+1,"")</f>
        <v/>
      </c>
      <c r="R27" s="98">
        <f t="shared" si="7"/>
        <v>7.4999999999999997E-2</v>
      </c>
      <c r="S27" s="98" t="str">
        <f t="shared" si="8"/>
        <v/>
      </c>
      <c r="T27" s="98">
        <f t="shared" si="9"/>
        <v>9.4000000000000057</v>
      </c>
      <c r="U27" s="98" t="str">
        <f t="shared" si="10"/>
        <v/>
      </c>
      <c r="V27" s="99" t="str" cm="1">
        <f t="array" ref="V27">IF(U27="","",TREND(T27:U27,LOG10(R27:S27),LOG10(N27)))</f>
        <v/>
      </c>
      <c r="W27" s="99"/>
      <c r="X27" s="103" t="str">
        <f>IF(V27="","",ROUND(V27,2))</f>
        <v/>
      </c>
      <c r="Y27" s="104" t="s">
        <v>42</v>
      </c>
    </row>
    <row r="28" spans="1:25" ht="14.15" customHeight="1" x14ac:dyDescent="0.3">
      <c r="A28" s="189" t="s">
        <v>21</v>
      </c>
      <c r="B28" s="190"/>
      <c r="C28" s="44">
        <v>9.4</v>
      </c>
      <c r="D28" s="90">
        <f t="shared" si="1"/>
        <v>9.4</v>
      </c>
      <c r="E28" s="27"/>
      <c r="F28" s="27"/>
      <c r="G28" s="119"/>
      <c r="H28" s="115" t="s">
        <v>22</v>
      </c>
      <c r="I28" s="21"/>
      <c r="K28" s="101" t="str">
        <f t="shared" si="3"/>
        <v>Pan</v>
      </c>
      <c r="L28" s="98"/>
      <c r="M28" s="104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102"/>
      <c r="Y28" s="104"/>
    </row>
    <row r="29" spans="1:25" ht="14.15" customHeight="1" thickBot="1" x14ac:dyDescent="0.35">
      <c r="A29" s="191" t="s">
        <v>23</v>
      </c>
      <c r="B29" s="192"/>
      <c r="C29" s="91">
        <f>IF(SUM(C21:C28)=100,100,"Not OK")</f>
        <v>100</v>
      </c>
      <c r="D29" s="30"/>
      <c r="E29" s="31"/>
      <c r="F29" s="31"/>
      <c r="G29" s="120"/>
      <c r="H29" s="29"/>
      <c r="I29" s="21"/>
    </row>
    <row r="30" spans="1:25" ht="20.25" customHeight="1" x14ac:dyDescent="0.3">
      <c r="A30" s="187" t="s">
        <v>66</v>
      </c>
      <c r="B30" s="187"/>
      <c r="C30" s="136" t="str">
        <f>IF(Q31="","---",Q31&amp;" mm")</f>
        <v>0.076 mm</v>
      </c>
      <c r="D30" s="137" t="s">
        <v>68</v>
      </c>
      <c r="E30" s="138" t="str">
        <f>IF(Q34="","---",Q34&amp;" mm")</f>
        <v>0.158 mm</v>
      </c>
      <c r="F30" s="137"/>
      <c r="G30" s="139"/>
      <c r="H30" s="29"/>
      <c r="I30" s="34"/>
      <c r="L30" s="107" t="s">
        <v>56</v>
      </c>
      <c r="M30" s="151" t="s">
        <v>57</v>
      </c>
      <c r="N30" s="151"/>
      <c r="O30" s="151" t="s">
        <v>58</v>
      </c>
      <c r="P30" s="151"/>
      <c r="Q30" s="133" t="s">
        <v>59</v>
      </c>
      <c r="R30" s="133" t="s">
        <v>54</v>
      </c>
      <c r="S30" s="111" t="s">
        <v>55</v>
      </c>
    </row>
    <row r="31" spans="1:25" ht="17.25" customHeight="1" x14ac:dyDescent="0.3">
      <c r="A31" s="188" t="s">
        <v>67</v>
      </c>
      <c r="B31" s="188"/>
      <c r="C31" s="140" t="str">
        <f>IF(Q32="","---",Q32&amp;" mm")</f>
        <v>0.111 mm</v>
      </c>
      <c r="D31" s="141" t="s">
        <v>69</v>
      </c>
      <c r="E31" s="142" t="str">
        <f>IF(Q33="","---",Q33&amp;" mm")</f>
        <v>0.182 mm</v>
      </c>
      <c r="F31" s="143"/>
      <c r="G31" s="143"/>
      <c r="H31" s="29"/>
      <c r="I31" s="21"/>
      <c r="L31" s="108">
        <v>10</v>
      </c>
      <c r="M31" s="98">
        <f>INDEX($L$21:$L$27,MATCH(L31,$L$21:$L$27,-1),1)</f>
        <v>46.2</v>
      </c>
      <c r="N31" s="98">
        <f>IF(MATCH(L31,$L$21:$L$27,-1)+1&lt;=7,INDEX($L$21:$L$27,MATCH(L31,$L$21:$L$27,-1)+1,1),"")</f>
        <v>9.4000000000000057</v>
      </c>
      <c r="O31" s="98">
        <f>INDEX($K$21:$K$27,MATCH(L31,$L$21:$L$27,-1),1)</f>
        <v>0.15</v>
      </c>
      <c r="P31" s="98">
        <f>IF(N31="","",INDEX($K$21:$K$27,MATCH(L31,$L$21:$L$27,-1)+1,1))</f>
        <v>7.4999999999999997E-2</v>
      </c>
      <c r="Q31" s="131" cm="1">
        <f t="array" ref="Q31">IF(P31="","",ROUND(10^TREND(LOG10(O31:P31),M31:N31,L31),3))</f>
        <v>7.5999999999999998E-2</v>
      </c>
      <c r="R31" s="131"/>
      <c r="S31" s="112"/>
      <c r="W31" s="63"/>
      <c r="X31" s="63"/>
    </row>
    <row r="32" spans="1:25" ht="14" x14ac:dyDescent="0.3">
      <c r="A32" s="37" t="s">
        <v>24</v>
      </c>
      <c r="B32" s="37"/>
      <c r="C32" s="36"/>
      <c r="D32" s="36"/>
      <c r="E32" s="36"/>
      <c r="F32" s="37" t="s">
        <v>25</v>
      </c>
      <c r="H32" s="36"/>
      <c r="L32" s="108">
        <v>30</v>
      </c>
      <c r="M32" s="98">
        <f t="shared" ref="M32:M34" si="11">INDEX($L$21:$L$27,MATCH(L32,$L$21:$L$27,-1),1)</f>
        <v>46.2</v>
      </c>
      <c r="N32" s="98">
        <f t="shared" ref="N32:N34" si="12">IF(MATCH(L32,$L$21:$L$27,-1)+1&lt;=7,INDEX($L$21:$L$27,MATCH(L32,$L$21:$L$27,-1)+1,1),"")</f>
        <v>9.4000000000000057</v>
      </c>
      <c r="O32" s="98">
        <f t="shared" ref="O32:O34" si="13">INDEX($K$21:$K$27,MATCH(L32,$L$21:$L$27,-1),1)</f>
        <v>0.15</v>
      </c>
      <c r="P32" s="98">
        <f t="shared" ref="P32:P34" si="14">IF(N32="","",INDEX($K$21:$K$27,MATCH(L32,$L$21:$L$27,-1)+1,1))</f>
        <v>7.4999999999999997E-2</v>
      </c>
      <c r="Q32" s="131" cm="1">
        <f t="array" ref="Q32">IF(P32="","",ROUND(10^TREND(LOG10(O32:P32),M32:N32,L32),3))</f>
        <v>0.111</v>
      </c>
      <c r="R32" s="132">
        <f>IF(OR(Q31="",Q33=""),"---",ROUND(Q33/Q31,2))</f>
        <v>2.39</v>
      </c>
      <c r="S32" s="113">
        <f>IF(OR(Q31="",Q32="",Q33=""),"---",ROUND(Q32^2/(Q33*Q31),2))</f>
        <v>0.89</v>
      </c>
      <c r="W32" s="63"/>
      <c r="X32" s="63"/>
    </row>
    <row r="33" spans="1:24" ht="16.5" customHeight="1" x14ac:dyDescent="0.3">
      <c r="A33" s="37"/>
      <c r="B33" s="37"/>
      <c r="C33" s="36"/>
      <c r="D33" s="36"/>
      <c r="E33" s="36"/>
      <c r="F33" s="37"/>
      <c r="H33" s="36"/>
      <c r="L33" s="108">
        <v>60</v>
      </c>
      <c r="M33" s="98">
        <f t="shared" si="11"/>
        <v>95</v>
      </c>
      <c r="N33" s="98">
        <f t="shared" si="12"/>
        <v>46.2</v>
      </c>
      <c r="O33" s="98">
        <f t="shared" si="13"/>
        <v>0.3</v>
      </c>
      <c r="P33" s="98">
        <f t="shared" si="14"/>
        <v>0.15</v>
      </c>
      <c r="Q33" s="131" cm="1">
        <f t="array" ref="Q33">IF(P33="","",ROUND(10^TREND(LOG10(O33:P33),M33:N33,L33),3))</f>
        <v>0.182</v>
      </c>
      <c r="R33" s="131"/>
      <c r="S33" s="112"/>
      <c r="W33" s="63"/>
      <c r="X33" s="63"/>
    </row>
    <row r="34" spans="1:24" ht="12.75" customHeight="1" thickBot="1" x14ac:dyDescent="0.35">
      <c r="C34" s="36"/>
      <c r="D34" s="36"/>
      <c r="F34" s="36"/>
      <c r="H34" s="36"/>
      <c r="L34" s="109">
        <v>50</v>
      </c>
      <c r="M34" s="110">
        <f t="shared" si="11"/>
        <v>95</v>
      </c>
      <c r="N34" s="110">
        <f t="shared" si="12"/>
        <v>46.2</v>
      </c>
      <c r="O34" s="110">
        <f t="shared" si="13"/>
        <v>0.3</v>
      </c>
      <c r="P34" s="110">
        <f t="shared" si="14"/>
        <v>0.15</v>
      </c>
      <c r="Q34" s="134" cm="1">
        <f t="array" ref="Q34">IF(P34="","",ROUND(10^TREND(LOG10(O34:P34),M34:N34,L34),3))</f>
        <v>0.158</v>
      </c>
      <c r="R34" s="110"/>
      <c r="S34" s="135"/>
      <c r="W34" s="63"/>
      <c r="X34" s="63"/>
    </row>
    <row r="35" spans="1:24" ht="13.5" customHeight="1" x14ac:dyDescent="0.3">
      <c r="A35" s="36"/>
      <c r="B35" s="36"/>
      <c r="C35" s="36"/>
      <c r="D35" s="36"/>
      <c r="F35" s="36"/>
      <c r="H35" s="36"/>
      <c r="W35" s="63"/>
      <c r="X35" s="63"/>
    </row>
    <row r="36" spans="1:24" ht="13.5" customHeight="1" x14ac:dyDescent="0.3">
      <c r="A36" s="93" t="s">
        <v>70</v>
      </c>
      <c r="B36" s="93"/>
      <c r="C36" s="94"/>
      <c r="E36" s="39"/>
      <c r="F36" s="93" t="s">
        <v>63</v>
      </c>
      <c r="G36" s="97"/>
      <c r="H36" s="36"/>
      <c r="W36" s="63"/>
      <c r="X36" s="63"/>
    </row>
    <row r="37" spans="1:24" ht="13.5" customHeight="1" x14ac:dyDescent="0.3">
      <c r="A37" s="95" t="s">
        <v>32</v>
      </c>
      <c r="B37" s="95"/>
      <c r="C37" s="94"/>
      <c r="E37" s="38"/>
      <c r="F37" s="95" t="s">
        <v>61</v>
      </c>
      <c r="G37" s="97"/>
      <c r="H37" s="36"/>
      <c r="W37" s="63"/>
      <c r="X37" s="63"/>
    </row>
    <row r="38" spans="1:24" ht="14" x14ac:dyDescent="0.3">
      <c r="A38" s="95" t="s">
        <v>30</v>
      </c>
      <c r="B38" s="95"/>
      <c r="C38" s="94"/>
      <c r="E38" s="38"/>
      <c r="F38" s="95" t="s">
        <v>30</v>
      </c>
      <c r="G38" s="97"/>
      <c r="W38" s="63"/>
      <c r="X38" s="63"/>
    </row>
    <row r="39" spans="1:24" ht="14" x14ac:dyDescent="0.3">
      <c r="A39" s="95" t="s">
        <v>31</v>
      </c>
      <c r="B39" s="95"/>
      <c r="C39" s="96"/>
      <c r="E39" s="36"/>
      <c r="F39" s="95" t="s">
        <v>31</v>
      </c>
      <c r="G39" s="97"/>
      <c r="W39" s="63"/>
      <c r="X39" s="63"/>
    </row>
    <row r="40" spans="1:24" x14ac:dyDescent="0.3">
      <c r="W40" s="63"/>
      <c r="X40" s="63"/>
    </row>
  </sheetData>
  <mergeCells count="39">
    <mergeCell ref="A30:B30"/>
    <mergeCell ref="A31:B31"/>
    <mergeCell ref="A25:B25"/>
    <mergeCell ref="A26:B26"/>
    <mergeCell ref="A27:B27"/>
    <mergeCell ref="A28:B28"/>
    <mergeCell ref="A29:B29"/>
    <mergeCell ref="A24:B24"/>
    <mergeCell ref="F13:G13"/>
    <mergeCell ref="F14:G14"/>
    <mergeCell ref="F15:G15"/>
    <mergeCell ref="A16:G16"/>
    <mergeCell ref="A18:B18"/>
    <mergeCell ref="A19:B19"/>
    <mergeCell ref="A20:B20"/>
    <mergeCell ref="A21:B21"/>
    <mergeCell ref="A22:B22"/>
    <mergeCell ref="A23:B23"/>
    <mergeCell ref="A13:A14"/>
    <mergeCell ref="B13:B14"/>
    <mergeCell ref="C13:D14"/>
    <mergeCell ref="A1:G1"/>
    <mergeCell ref="A2:G2"/>
    <mergeCell ref="A3:G3"/>
    <mergeCell ref="A4:G4"/>
    <mergeCell ref="A7:G7"/>
    <mergeCell ref="M19:O19"/>
    <mergeCell ref="C8:D8"/>
    <mergeCell ref="C9:G9"/>
    <mergeCell ref="J9:P9"/>
    <mergeCell ref="C11:G11"/>
    <mergeCell ref="J11:P11"/>
    <mergeCell ref="F12:G12"/>
    <mergeCell ref="J12:P12"/>
    <mergeCell ref="M30:N30"/>
    <mergeCell ref="O30:P30"/>
    <mergeCell ref="P20:Q20"/>
    <mergeCell ref="R20:S20"/>
    <mergeCell ref="T20:U20"/>
  </mergeCells>
  <pageMargins left="1.1000000000000001" right="0.75" top="0.45" bottom="0.5" header="0.5" footer="0.5"/>
  <pageSetup paperSize="9" scale="91" orientation="portrait" horizontalDpi="1200" verticalDpi="1200" r:id="rId1"/>
  <headerFooter alignWithMargins="0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view="pageBreakPreview" zoomScaleNormal="100" zoomScaleSheetLayoutView="100" workbookViewId="0">
      <selection activeCell="J11" sqref="J11:P11"/>
    </sheetView>
  </sheetViews>
  <sheetFormatPr defaultColWidth="8.7265625" defaultRowHeight="13" x14ac:dyDescent="0.3"/>
  <cols>
    <col min="1" max="1" width="9.453125" style="63" customWidth="1"/>
    <col min="2" max="2" width="2.1796875" style="63" customWidth="1"/>
    <col min="3" max="7" width="15.7265625" style="63" customWidth="1"/>
    <col min="8" max="8" width="9.7265625" style="63" customWidth="1"/>
    <col min="9" max="9" width="3.81640625" style="63" customWidth="1"/>
    <col min="10" max="10" width="9.7265625" style="63" customWidth="1"/>
    <col min="11" max="15" width="8.7265625" style="63"/>
    <col min="16" max="16" width="12.1796875" style="63" customWidth="1"/>
    <col min="17" max="16384" width="8.7265625" style="63"/>
  </cols>
  <sheetData>
    <row r="1" spans="1:16" ht="20" x14ac:dyDescent="0.3">
      <c r="A1" s="208"/>
      <c r="B1" s="208"/>
      <c r="C1" s="208"/>
      <c r="D1" s="208"/>
      <c r="E1" s="208"/>
      <c r="F1" s="208"/>
      <c r="G1" s="208"/>
      <c r="H1" s="62"/>
    </row>
    <row r="2" spans="1:16" ht="15.75" customHeight="1" x14ac:dyDescent="0.3">
      <c r="A2" s="208"/>
      <c r="B2" s="208"/>
      <c r="C2" s="208"/>
      <c r="D2" s="208"/>
      <c r="E2" s="208"/>
      <c r="F2" s="208"/>
      <c r="G2" s="208"/>
      <c r="H2" s="62"/>
    </row>
    <row r="3" spans="1:16" ht="11.25" customHeight="1" x14ac:dyDescent="0.35">
      <c r="A3" s="209"/>
      <c r="B3" s="209"/>
      <c r="C3" s="209"/>
      <c r="D3" s="209"/>
      <c r="E3" s="209"/>
      <c r="F3" s="209"/>
      <c r="G3" s="209"/>
      <c r="H3" s="64"/>
    </row>
    <row r="4" spans="1:16" ht="28.5" customHeight="1" x14ac:dyDescent="0.45">
      <c r="A4" s="210"/>
      <c r="B4" s="210"/>
      <c r="C4" s="210"/>
      <c r="D4" s="210"/>
      <c r="E4" s="210"/>
      <c r="F4" s="210"/>
      <c r="G4" s="210"/>
      <c r="H4" s="65"/>
    </row>
    <row r="5" spans="1:16" ht="10.5" customHeight="1" x14ac:dyDescent="0.4">
      <c r="A5" s="66"/>
      <c r="B5" s="66"/>
      <c r="C5" s="47"/>
      <c r="D5" s="47"/>
      <c r="E5" s="47"/>
      <c r="F5" s="48"/>
      <c r="G5" s="48"/>
      <c r="H5" s="48"/>
    </row>
    <row r="6" spans="1:16" ht="4.1500000000000004" customHeight="1" x14ac:dyDescent="0.4">
      <c r="A6" s="66"/>
      <c r="B6" s="66"/>
      <c r="C6" s="47"/>
      <c r="D6" s="47"/>
      <c r="E6" s="47"/>
      <c r="F6" s="48"/>
      <c r="G6" s="48"/>
      <c r="H6" s="48"/>
    </row>
    <row r="7" spans="1:16" ht="16.149999999999999" customHeight="1" x14ac:dyDescent="0.45">
      <c r="A7" s="211" t="s">
        <v>65</v>
      </c>
      <c r="B7" s="211"/>
      <c r="C7" s="211"/>
      <c r="D7" s="211"/>
      <c r="E7" s="211"/>
      <c r="F7" s="211"/>
      <c r="G7" s="211"/>
      <c r="H7" s="67"/>
    </row>
    <row r="8" spans="1:16" ht="18.75" customHeight="1" x14ac:dyDescent="0.35">
      <c r="A8" s="45" t="s">
        <v>33</v>
      </c>
      <c r="B8" s="45" t="s">
        <v>1</v>
      </c>
      <c r="C8" s="207" t="str">
        <f>Input!C8:D8</f>
        <v>1102-30385/CE/20-21</v>
      </c>
      <c r="D8" s="207"/>
      <c r="E8" s="47"/>
      <c r="F8" s="124" t="s">
        <v>26</v>
      </c>
      <c r="G8" s="150" t="str">
        <f>Input!G8</f>
        <v>27/02/2021</v>
      </c>
      <c r="H8" s="45"/>
      <c r="I8" s="45"/>
      <c r="J8" s="46"/>
      <c r="K8" s="45"/>
      <c r="L8" s="47"/>
      <c r="M8" s="48"/>
      <c r="N8" s="48"/>
      <c r="O8" s="49"/>
      <c r="P8" s="50"/>
    </row>
    <row r="9" spans="1:16" ht="28.15" customHeight="1" x14ac:dyDescent="0.3">
      <c r="A9" s="68" t="s">
        <v>34</v>
      </c>
      <c r="B9" s="68" t="s">
        <v>1</v>
      </c>
      <c r="C9" s="203" t="str">
        <f>Input!C9:G9</f>
        <v>Engr. Md. Shariful Islam Sarkar, DGM, Engineering, Windy Group. Contact No. : 01719250739</v>
      </c>
      <c r="D9" s="203"/>
      <c r="E9" s="203"/>
      <c r="F9" s="203"/>
      <c r="G9" s="203"/>
      <c r="H9" s="51"/>
      <c r="I9" s="51"/>
      <c r="J9" s="159"/>
      <c r="K9" s="159"/>
      <c r="L9" s="159"/>
      <c r="M9" s="159"/>
      <c r="N9" s="159"/>
      <c r="O9" s="159"/>
      <c r="P9" s="159"/>
    </row>
    <row r="10" spans="1:16" ht="15.75" customHeight="1" x14ac:dyDescent="0.35">
      <c r="A10" s="45" t="s">
        <v>35</v>
      </c>
      <c r="B10" s="45" t="s">
        <v>1</v>
      </c>
      <c r="C10" s="45" t="str">
        <f>Input!C10</f>
        <v>Letter</v>
      </c>
      <c r="D10" s="45"/>
      <c r="E10" s="47"/>
      <c r="F10" s="124" t="s">
        <v>26</v>
      </c>
      <c r="G10" s="149" t="str">
        <f>Input!G10</f>
        <v>23/02/2021</v>
      </c>
      <c r="H10" s="45"/>
      <c r="I10" s="45"/>
      <c r="J10" s="45"/>
      <c r="K10" s="45"/>
      <c r="L10" s="47"/>
      <c r="M10" s="48"/>
      <c r="N10" s="48"/>
      <c r="O10" s="49"/>
      <c r="P10" s="50"/>
    </row>
    <row r="11" spans="1:16" ht="38.25" customHeight="1" x14ac:dyDescent="0.3">
      <c r="A11" s="53" t="s">
        <v>2</v>
      </c>
      <c r="B11" s="53" t="s">
        <v>1</v>
      </c>
      <c r="C11" s="204" t="str">
        <f>Input!C11:G11</f>
        <v xml:space="preserve">Construction of Nine Storied Factory Building at Union Sportswear Ltd.; Project Address: 116, Morkun Link Road, Pagar Society Math, Tongi, Gazipur. </v>
      </c>
      <c r="D11" s="204"/>
      <c r="E11" s="204"/>
      <c r="F11" s="204"/>
      <c r="G11" s="204"/>
      <c r="H11" s="52"/>
      <c r="I11" s="53"/>
      <c r="J11" s="161"/>
      <c r="K11" s="161"/>
      <c r="L11" s="161"/>
      <c r="M11" s="161"/>
      <c r="N11" s="161"/>
      <c r="O11" s="161"/>
      <c r="P11" s="161"/>
    </row>
    <row r="12" spans="1:16" ht="17.25" customHeight="1" x14ac:dyDescent="0.3">
      <c r="A12" s="45" t="s">
        <v>3</v>
      </c>
      <c r="B12" s="45" t="s">
        <v>1</v>
      </c>
      <c r="C12" s="69" t="str">
        <f>Input!C12</f>
        <v>---</v>
      </c>
      <c r="D12" s="10"/>
      <c r="E12" s="11" t="s">
        <v>29</v>
      </c>
      <c r="F12" s="196" t="str">
        <f>Input!F12:G12</f>
        <v>---</v>
      </c>
      <c r="G12" s="196"/>
      <c r="H12" s="45"/>
      <c r="I12" s="45"/>
      <c r="J12" s="164"/>
      <c r="K12" s="164"/>
      <c r="L12" s="164"/>
      <c r="M12" s="164"/>
      <c r="N12" s="164"/>
      <c r="O12" s="164"/>
      <c r="P12" s="164"/>
    </row>
    <row r="13" spans="1:16" ht="17.25" customHeight="1" x14ac:dyDescent="0.3">
      <c r="A13" s="201" t="s">
        <v>4</v>
      </c>
      <c r="B13" s="202" t="s">
        <v>1</v>
      </c>
      <c r="C13" s="203" t="str">
        <f>Input!C13:D14</f>
        <v>ASTM D422, D1140, D6913</v>
      </c>
      <c r="D13" s="203"/>
      <c r="E13" s="11" t="s">
        <v>27</v>
      </c>
      <c r="F13" s="212" t="str">
        <f>Input!F13:G13</f>
        <v>Mixture of Hole Sample Nos. 03, 08, 09 &amp; 13 (FD Test)</v>
      </c>
      <c r="G13" s="212"/>
      <c r="H13" s="45"/>
      <c r="I13" s="45"/>
      <c r="J13" s="54"/>
      <c r="K13" s="47"/>
      <c r="L13" s="47"/>
      <c r="M13" s="47"/>
      <c r="N13" s="55"/>
      <c r="O13" s="195"/>
      <c r="P13" s="195"/>
    </row>
    <row r="14" spans="1:16" ht="17.25" customHeight="1" x14ac:dyDescent="0.3">
      <c r="A14" s="201"/>
      <c r="B14" s="202"/>
      <c r="C14" s="203"/>
      <c r="D14" s="203"/>
      <c r="E14" s="11" t="s">
        <v>28</v>
      </c>
      <c r="F14" s="196" t="str">
        <f>Input!F14:G14</f>
        <v xml:space="preserve"> 3" - 23" from FGL</v>
      </c>
      <c r="G14" s="196"/>
      <c r="H14" s="45"/>
      <c r="I14" s="45"/>
      <c r="J14" s="56"/>
      <c r="K14" s="47"/>
      <c r="L14" s="57"/>
      <c r="M14" s="48"/>
      <c r="N14" s="48"/>
      <c r="O14" s="48"/>
      <c r="P14" s="48"/>
    </row>
    <row r="15" spans="1:16" ht="17.25" customHeight="1" thickBot="1" x14ac:dyDescent="0.4">
      <c r="A15" s="45" t="s">
        <v>5</v>
      </c>
      <c r="B15" s="45" t="s">
        <v>1</v>
      </c>
      <c r="C15" s="146" t="str">
        <f>Input!C15</f>
        <v>11/03/2021</v>
      </c>
      <c r="D15" s="45"/>
      <c r="E15" s="41" t="s">
        <v>60</v>
      </c>
      <c r="F15" s="197" t="str">
        <f>Input!F15:G15</f>
        <v>Gray Silty Fine Sand</v>
      </c>
      <c r="G15" s="197"/>
      <c r="H15" s="45"/>
      <c r="I15" s="45"/>
      <c r="J15" s="50"/>
      <c r="K15" s="45"/>
      <c r="L15" s="47"/>
      <c r="M15" s="48"/>
      <c r="N15" s="48"/>
      <c r="O15" s="48"/>
      <c r="P15" s="48"/>
    </row>
    <row r="16" spans="1:16" ht="22.5" customHeight="1" x14ac:dyDescent="0.3">
      <c r="A16" s="198" t="s">
        <v>6</v>
      </c>
      <c r="B16" s="199"/>
      <c r="C16" s="199"/>
      <c r="D16" s="199"/>
      <c r="E16" s="199"/>
      <c r="F16" s="199"/>
      <c r="G16" s="200"/>
      <c r="H16" s="70"/>
    </row>
    <row r="17" spans="1:9" ht="7.5" customHeight="1" thickBot="1" x14ac:dyDescent="0.35">
      <c r="A17" s="71"/>
      <c r="B17" s="72"/>
      <c r="C17" s="72"/>
      <c r="D17" s="72"/>
      <c r="E17" s="72"/>
      <c r="F17" s="72"/>
      <c r="G17" s="73"/>
      <c r="H17" s="74"/>
    </row>
    <row r="18" spans="1:9" ht="14.15" customHeight="1" x14ac:dyDescent="0.3">
      <c r="A18" s="213" t="s">
        <v>7</v>
      </c>
      <c r="B18" s="214"/>
      <c r="C18" s="75" t="s">
        <v>8</v>
      </c>
      <c r="D18" s="75" t="s">
        <v>9</v>
      </c>
      <c r="E18" s="75" t="s">
        <v>10</v>
      </c>
      <c r="F18" s="76" t="s">
        <v>11</v>
      </c>
      <c r="G18" s="77"/>
      <c r="H18" s="20"/>
      <c r="I18" s="78"/>
    </row>
    <row r="19" spans="1:9" ht="14.15" customHeight="1" x14ac:dyDescent="0.3">
      <c r="A19" s="219" t="s">
        <v>12</v>
      </c>
      <c r="B19" s="220"/>
      <c r="C19" s="79" t="s">
        <v>13</v>
      </c>
      <c r="D19" s="79" t="s">
        <v>14</v>
      </c>
      <c r="E19" s="79" t="s">
        <v>15</v>
      </c>
      <c r="F19" s="80" t="s">
        <v>16</v>
      </c>
      <c r="G19" s="81" t="s">
        <v>36</v>
      </c>
      <c r="H19" s="20"/>
      <c r="I19" s="78"/>
    </row>
    <row r="20" spans="1:9" ht="14.15" customHeight="1" thickBot="1" x14ac:dyDescent="0.35">
      <c r="A20" s="221" t="s">
        <v>17</v>
      </c>
      <c r="B20" s="222"/>
      <c r="C20" s="128" t="s">
        <v>18</v>
      </c>
      <c r="D20" s="128" t="s">
        <v>19</v>
      </c>
      <c r="E20" s="128" t="s">
        <v>19</v>
      </c>
      <c r="F20" s="129" t="s">
        <v>19</v>
      </c>
      <c r="G20" s="130"/>
      <c r="H20" s="78"/>
      <c r="I20" s="78"/>
    </row>
    <row r="21" spans="1:9" ht="14.15" customHeight="1" x14ac:dyDescent="0.3">
      <c r="A21" s="223">
        <v>4.75</v>
      </c>
      <c r="B21" s="224"/>
      <c r="C21" s="127">
        <f>MROUND(Input!C21,0.01)</f>
        <v>0</v>
      </c>
      <c r="D21" s="127">
        <f>MROUND(Input!D21,0.01)</f>
        <v>0</v>
      </c>
      <c r="E21" s="127">
        <f>MROUND(Input!E21,0.01)</f>
        <v>0</v>
      </c>
      <c r="F21" s="127">
        <f>MROUND(Input!F21,0.01)</f>
        <v>100</v>
      </c>
      <c r="G21" s="117" t="str">
        <f>Input!G21</f>
        <v>FM: 0.59</v>
      </c>
      <c r="H21" s="78"/>
      <c r="I21" s="78"/>
    </row>
    <row r="22" spans="1:9" ht="14.15" customHeight="1" x14ac:dyDescent="0.3">
      <c r="A22" s="193">
        <v>2.36</v>
      </c>
      <c r="B22" s="194"/>
      <c r="C22" s="126">
        <f>MROUND(Input!C22,0.01)</f>
        <v>0</v>
      </c>
      <c r="D22" s="126">
        <f>MROUND(Input!D22,0.01)</f>
        <v>0</v>
      </c>
      <c r="E22" s="126">
        <f>MROUND(Input!E22,0.01)</f>
        <v>0</v>
      </c>
      <c r="F22" s="126">
        <f>MROUND(Input!F22,0.01)</f>
        <v>100</v>
      </c>
      <c r="G22" s="117" t="str">
        <f>Input!G22</f>
        <v>Coarse Sand: 0 %</v>
      </c>
      <c r="H22" s="78"/>
      <c r="I22" s="78"/>
    </row>
    <row r="23" spans="1:9" ht="14.15" customHeight="1" x14ac:dyDescent="0.3">
      <c r="A23" s="193">
        <v>1.18</v>
      </c>
      <c r="B23" s="194"/>
      <c r="C23" s="126">
        <f>MROUND(Input!C23,0.01)</f>
        <v>0</v>
      </c>
      <c r="D23" s="126">
        <f>MROUND(Input!D23,0.01)</f>
        <v>0</v>
      </c>
      <c r="E23" s="126">
        <f>MROUND(Input!E23,0.01)</f>
        <v>0</v>
      </c>
      <c r="F23" s="126">
        <f>MROUND(Input!F23,0.01)</f>
        <v>100</v>
      </c>
      <c r="G23" s="117" t="str">
        <f>Input!G23</f>
        <v>Medium Sand: 2.49 %</v>
      </c>
      <c r="H23" s="78"/>
      <c r="I23" s="78"/>
    </row>
    <row r="24" spans="1:9" ht="14.15" customHeight="1" x14ac:dyDescent="0.3">
      <c r="A24" s="193">
        <v>0.6</v>
      </c>
      <c r="B24" s="194"/>
      <c r="C24" s="126">
        <f>MROUND(Input!C24,0.01)</f>
        <v>0</v>
      </c>
      <c r="D24" s="126">
        <f>MROUND(Input!D24,0.01)</f>
        <v>0</v>
      </c>
      <c r="E24" s="126">
        <f>MROUND(Input!E24,0.01)</f>
        <v>0</v>
      </c>
      <c r="F24" s="126">
        <f>MROUND(Input!F24,0.01)</f>
        <v>100</v>
      </c>
      <c r="G24" s="117" t="str">
        <f>Input!G24</f>
        <v>Fine Sand: 88.11 %</v>
      </c>
      <c r="H24" s="78"/>
      <c r="I24" s="78"/>
    </row>
    <row r="25" spans="1:9" ht="14.15" customHeight="1" x14ac:dyDescent="0.3">
      <c r="A25" s="193">
        <v>0.3</v>
      </c>
      <c r="B25" s="194"/>
      <c r="C25" s="126">
        <f>MROUND(Input!C25,0.01)</f>
        <v>5</v>
      </c>
      <c r="D25" s="126">
        <f>MROUND(Input!D25,0.01)</f>
        <v>5</v>
      </c>
      <c r="E25" s="126">
        <f>MROUND(Input!E25,0.01)</f>
        <v>5</v>
      </c>
      <c r="F25" s="126">
        <f>MROUND(Input!F25,0.01)</f>
        <v>95</v>
      </c>
      <c r="G25" s="117" t="str">
        <f>Input!G25</f>
        <v>Fines: 9.4 %</v>
      </c>
      <c r="H25" s="78"/>
      <c r="I25" s="78"/>
    </row>
    <row r="26" spans="1:9" ht="14.15" customHeight="1" x14ac:dyDescent="0.3">
      <c r="A26" s="193">
        <v>0.15</v>
      </c>
      <c r="B26" s="194"/>
      <c r="C26" s="126">
        <f>MROUND(Input!C26,0.01)</f>
        <v>48.800000000000004</v>
      </c>
      <c r="D26" s="126">
        <f>MROUND(Input!D26,0.01)</f>
        <v>48.800000000000004</v>
      </c>
      <c r="E26" s="126">
        <f>MROUND(Input!E26,0.01)</f>
        <v>53.800000000000004</v>
      </c>
      <c r="F26" s="126">
        <f>MROUND(Input!F26,0.01)</f>
        <v>46.2</v>
      </c>
      <c r="G26" s="121" t="str">
        <f>Input!G26</f>
        <v>Cu: 2.39</v>
      </c>
      <c r="H26" s="78"/>
      <c r="I26" s="78"/>
    </row>
    <row r="27" spans="1:9" ht="14.15" customHeight="1" x14ac:dyDescent="0.3">
      <c r="A27" s="215">
        <v>7.4999999999999997E-2</v>
      </c>
      <c r="B27" s="216"/>
      <c r="C27" s="126">
        <f>MROUND(Input!C27,0.01)</f>
        <v>36.800000000000004</v>
      </c>
      <c r="D27" s="126">
        <f>MROUND(Input!D27,0.01)</f>
        <v>36.800000000000004</v>
      </c>
      <c r="E27" s="126">
        <f>MROUND(Input!E27,0.01)</f>
        <v>90.600000000000009</v>
      </c>
      <c r="F27" s="126">
        <f>MROUND(Input!F27,0.01)</f>
        <v>9.4</v>
      </c>
      <c r="G27" s="117" t="str">
        <f>Input!G27</f>
        <v>Cc: 0.89</v>
      </c>
      <c r="H27" s="78"/>
      <c r="I27" s="78"/>
    </row>
    <row r="28" spans="1:9" ht="14.15" customHeight="1" x14ac:dyDescent="0.3">
      <c r="A28" s="215" t="s">
        <v>21</v>
      </c>
      <c r="B28" s="216"/>
      <c r="C28" s="126">
        <f>MROUND(Input!C28,0.01)</f>
        <v>9.4</v>
      </c>
      <c r="D28" s="126">
        <f>MROUND(Input!D28,0.01)</f>
        <v>9.4</v>
      </c>
      <c r="E28" s="125"/>
      <c r="F28" s="125"/>
      <c r="G28" s="117"/>
      <c r="H28" s="78"/>
      <c r="I28" s="78"/>
    </row>
    <row r="29" spans="1:9" ht="14.15" customHeight="1" thickBot="1" x14ac:dyDescent="0.35">
      <c r="A29" s="217" t="s">
        <v>23</v>
      </c>
      <c r="B29" s="218"/>
      <c r="C29" s="92">
        <f>Input!C29</f>
        <v>100</v>
      </c>
      <c r="D29" s="82"/>
      <c r="E29" s="82"/>
      <c r="F29" s="82"/>
      <c r="G29" s="122"/>
      <c r="H29" s="29"/>
      <c r="I29" s="78"/>
    </row>
    <row r="30" spans="1:9" ht="20.25" customHeight="1" x14ac:dyDescent="0.3">
      <c r="A30" s="32"/>
      <c r="B30" s="32"/>
      <c r="C30" s="32"/>
      <c r="D30" s="33"/>
      <c r="E30" s="33"/>
      <c r="F30" s="33"/>
      <c r="G30" s="28"/>
      <c r="H30" s="29"/>
      <c r="I30" s="83"/>
    </row>
    <row r="31" spans="1:9" ht="20.25" customHeight="1" x14ac:dyDescent="0.3">
      <c r="A31" s="32"/>
      <c r="B31" s="32"/>
      <c r="C31" s="32"/>
      <c r="D31" s="35"/>
      <c r="E31" s="35"/>
      <c r="F31" s="35"/>
      <c r="G31" s="35"/>
      <c r="H31" s="29"/>
      <c r="I31" s="78"/>
    </row>
    <row r="32" spans="1:9" ht="20.25" customHeight="1" x14ac:dyDescent="0.3">
      <c r="I32" s="78"/>
    </row>
    <row r="33" spans="1:9" ht="20.25" customHeight="1" x14ac:dyDescent="0.3">
      <c r="I33" s="78"/>
    </row>
    <row r="34" spans="1:9" ht="20.25" customHeight="1" x14ac:dyDescent="0.3">
      <c r="I34" s="78"/>
    </row>
    <row r="35" spans="1:9" ht="20.25" customHeight="1" x14ac:dyDescent="0.3"/>
    <row r="36" spans="1:9" ht="20.25" customHeight="1" x14ac:dyDescent="0.3"/>
    <row r="37" spans="1:9" ht="20.25" customHeight="1" x14ac:dyDescent="0.3"/>
    <row r="38" spans="1:9" ht="20.25" customHeight="1" x14ac:dyDescent="0.3"/>
    <row r="39" spans="1:9" ht="15" customHeight="1" x14ac:dyDescent="0.3"/>
    <row r="42" spans="1:9" ht="21.75" customHeight="1" x14ac:dyDescent="0.3"/>
    <row r="44" spans="1:9" ht="17.25" customHeight="1" x14ac:dyDescent="0.3">
      <c r="A44" s="205" t="s">
        <v>66</v>
      </c>
      <c r="B44" s="206"/>
      <c r="C44" s="144" t="str">
        <f>Input!C30</f>
        <v>0.076 mm</v>
      </c>
      <c r="D44" s="145" t="s">
        <v>67</v>
      </c>
      <c r="E44" s="144" t="str">
        <f>Input!C31</f>
        <v>0.111 mm</v>
      </c>
      <c r="F44" s="145" t="s">
        <v>68</v>
      </c>
      <c r="G44" s="144" t="str">
        <f>Input!E30</f>
        <v>0.158 mm</v>
      </c>
    </row>
    <row r="45" spans="1:9" ht="14" x14ac:dyDescent="0.3">
      <c r="A45" s="84" t="s">
        <v>24</v>
      </c>
      <c r="B45" s="84"/>
      <c r="C45" s="85"/>
      <c r="D45" s="85"/>
      <c r="E45" s="85"/>
      <c r="F45" s="84" t="s">
        <v>25</v>
      </c>
      <c r="H45" s="85"/>
    </row>
    <row r="46" spans="1:9" ht="16.5" customHeight="1" x14ac:dyDescent="0.3">
      <c r="A46" s="84"/>
      <c r="B46" s="84"/>
      <c r="C46" s="85"/>
      <c r="D46" s="85"/>
      <c r="E46" s="85"/>
      <c r="F46" s="84"/>
      <c r="H46" s="85"/>
    </row>
    <row r="47" spans="1:9" ht="12.75" customHeight="1" x14ac:dyDescent="0.3">
      <c r="C47" s="85"/>
      <c r="D47" s="85"/>
      <c r="F47" s="85"/>
      <c r="H47" s="85"/>
    </row>
    <row r="48" spans="1:9" ht="13.5" customHeight="1" x14ac:dyDescent="0.3">
      <c r="A48" s="85"/>
      <c r="B48" s="85"/>
      <c r="C48" s="85"/>
      <c r="D48" s="85"/>
      <c r="F48" s="85"/>
      <c r="H48" s="85"/>
    </row>
    <row r="49" spans="1:8" ht="13.5" customHeight="1" x14ac:dyDescent="0.3">
      <c r="A49" s="86" t="str">
        <f>Input!A36</f>
        <v>Dr. A. B. M. Badruzzaman</v>
      </c>
      <c r="B49" s="86"/>
      <c r="C49" s="87"/>
      <c r="E49" s="88"/>
      <c r="F49" s="86" t="str">
        <f>Input!F36</f>
        <v>Dr. Md. Ferdous Alam</v>
      </c>
      <c r="H49" s="85"/>
    </row>
    <row r="50" spans="1:8" ht="13.5" customHeight="1" x14ac:dyDescent="0.3">
      <c r="A50" s="84" t="str">
        <f>Input!A37</f>
        <v>Professor</v>
      </c>
      <c r="B50" s="84"/>
      <c r="C50" s="87"/>
      <c r="E50" s="87"/>
      <c r="F50" s="84" t="str">
        <f>Input!F37</f>
        <v>Assistant Professor</v>
      </c>
      <c r="H50" s="85"/>
    </row>
    <row r="51" spans="1:8" ht="14" x14ac:dyDescent="0.3">
      <c r="A51" s="84" t="str">
        <f>Input!A38</f>
        <v>Department of Civil Engineering</v>
      </c>
      <c r="B51" s="84"/>
      <c r="C51" s="87"/>
      <c r="E51" s="87"/>
      <c r="F51" s="84" t="str">
        <f>Input!F38</f>
        <v>Department of Civil Engineering</v>
      </c>
    </row>
    <row r="52" spans="1:8" ht="14" x14ac:dyDescent="0.3">
      <c r="A52" s="84" t="str">
        <f>Input!A39</f>
        <v>BUET, Dhaka-1000, Bangladesh</v>
      </c>
      <c r="B52" s="84"/>
      <c r="C52" s="85"/>
      <c r="E52" s="85"/>
      <c r="F52" s="84" t="str">
        <f>Input!F39</f>
        <v>BUET, Dhaka-1000, Bangladesh</v>
      </c>
    </row>
  </sheetData>
  <mergeCells count="33">
    <mergeCell ref="A44:B44"/>
    <mergeCell ref="C8:D8"/>
    <mergeCell ref="A1:G1"/>
    <mergeCell ref="A2:G2"/>
    <mergeCell ref="A3:G3"/>
    <mergeCell ref="A4:G4"/>
    <mergeCell ref="A7:G7"/>
    <mergeCell ref="C9:G9"/>
    <mergeCell ref="F13:G13"/>
    <mergeCell ref="A18:B18"/>
    <mergeCell ref="A27:B27"/>
    <mergeCell ref="A28:B28"/>
    <mergeCell ref="A29:B29"/>
    <mergeCell ref="A19:B19"/>
    <mergeCell ref="A20:B20"/>
    <mergeCell ref="A21:B21"/>
    <mergeCell ref="J9:P9"/>
    <mergeCell ref="C11:G11"/>
    <mergeCell ref="J11:P11"/>
    <mergeCell ref="F12:G12"/>
    <mergeCell ref="J12:P12"/>
    <mergeCell ref="O13:P13"/>
    <mergeCell ref="F14:G14"/>
    <mergeCell ref="F15:G15"/>
    <mergeCell ref="A16:G16"/>
    <mergeCell ref="A13:A14"/>
    <mergeCell ref="B13:B14"/>
    <mergeCell ref="C13:D14"/>
    <mergeCell ref="A22:B22"/>
    <mergeCell ref="A23:B23"/>
    <mergeCell ref="A24:B24"/>
    <mergeCell ref="A25:B25"/>
    <mergeCell ref="A26:B26"/>
  </mergeCells>
  <pageMargins left="1.1000000000000001" right="0.75" top="0.45" bottom="0.5" header="0.5" footer="0.5"/>
  <pageSetup paperSize="9" scale="91" orientation="portrait" horizontalDpi="1200" verticalDpi="1200" r:id="rId1"/>
  <headerFooter alignWithMargins="0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Report</vt:lpstr>
      <vt:lpstr>Report!Print_Area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Md. Ferdous Alam</dc:creator>
  <cp:lastModifiedBy>Md Nasir Uddin</cp:lastModifiedBy>
  <cp:lastPrinted>2020-02-13T11:53:21Z</cp:lastPrinted>
  <dcterms:created xsi:type="dcterms:W3CDTF">2010-06-02T10:12:42Z</dcterms:created>
  <dcterms:modified xsi:type="dcterms:W3CDTF">2022-01-04T08:25:09Z</dcterms:modified>
</cp:coreProperties>
</file>