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mdnas\Desktop\ANN excel Sheet\hydrometer-all-excels\"/>
    </mc:Choice>
  </mc:AlternateContent>
  <xr:revisionPtr revIDLastSave="0" documentId="13_ncr:1_{487D825E-627F-479A-A9C6-6BC28DE678E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main" sheetId="30" r:id="rId1"/>
    <sheet name="Some Calculations" sheetId="32" r:id="rId2"/>
    <sheet name="Report" sheetId="31" r:id="rId3"/>
  </sheets>
  <definedNames>
    <definedName name="Agrad" localSheetId="0">main!$U$28</definedName>
    <definedName name="Agrad" localSheetId="2">Report!#REF!</definedName>
    <definedName name="Agrad">#REF!</definedName>
    <definedName name="GS" localSheetId="0">main!$E$70</definedName>
    <definedName name="GS" localSheetId="2">Report!#REF!</definedName>
    <definedName name="GS">#REF!</definedName>
    <definedName name="Ltwo" localSheetId="0">main!$P$28</definedName>
    <definedName name="Ltwo" localSheetId="2">Report!#REF!</definedName>
    <definedName name="Ltwo">#REF!</definedName>
    <definedName name="_xlnm.Print_Area" localSheetId="0">main!$A$1:$I$50</definedName>
    <definedName name="_xlnm.Print_Area" localSheetId="2">Report!$A$1:$Q$55</definedName>
    <definedName name="Vb" localSheetId="0">main!$Q$29</definedName>
    <definedName name="Vb" localSheetId="2">Report!#REF!</definedName>
    <definedName name="V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9" i="30" l="1"/>
  <c r="B80" i="30"/>
  <c r="B81" i="30"/>
  <c r="B82" i="30"/>
  <c r="B83" i="30"/>
  <c r="B84" i="30"/>
  <c r="B85" i="30"/>
  <c r="G13" i="31" l="1"/>
  <c r="G12" i="31"/>
  <c r="G8" i="31"/>
  <c r="D14" i="31"/>
  <c r="C13" i="31"/>
  <c r="C12" i="31"/>
  <c r="C11" i="31"/>
  <c r="B10" i="31"/>
  <c r="B9" i="31"/>
  <c r="B8" i="31"/>
  <c r="G48" i="31"/>
  <c r="G49" i="31"/>
  <c r="G50" i="31"/>
  <c r="G47" i="31"/>
  <c r="A48" i="31"/>
  <c r="A49" i="31"/>
  <c r="A50" i="31"/>
  <c r="A47" i="31"/>
  <c r="I9" i="32" l="1"/>
  <c r="E5" i="32"/>
  <c r="E6" i="32"/>
  <c r="E4" i="32"/>
  <c r="D5" i="32"/>
  <c r="D6" i="32"/>
  <c r="D7" i="32"/>
  <c r="D4" i="32"/>
  <c r="L121" i="30" l="1"/>
  <c r="L120" i="30"/>
  <c r="L119" i="30"/>
  <c r="L118" i="30"/>
  <c r="L117" i="30"/>
  <c r="L116" i="30"/>
  <c r="L115" i="30"/>
  <c r="L114" i="30"/>
  <c r="L113" i="30"/>
  <c r="L112" i="30"/>
  <c r="L111" i="30"/>
  <c r="L110" i="30"/>
  <c r="L109" i="30"/>
  <c r="L108" i="30"/>
  <c r="L107" i="30"/>
  <c r="L106" i="30"/>
  <c r="L101" i="30"/>
  <c r="L100" i="30"/>
  <c r="L99" i="30"/>
  <c r="L98" i="30"/>
  <c r="L97" i="30"/>
  <c r="L96" i="30"/>
  <c r="L95" i="30"/>
  <c r="L94" i="30"/>
  <c r="L93" i="30"/>
  <c r="L92" i="30"/>
  <c r="L91" i="30"/>
  <c r="L90" i="30"/>
  <c r="L89" i="30"/>
  <c r="L88" i="30"/>
  <c r="L87" i="30"/>
  <c r="L81" i="30"/>
  <c r="L80" i="30"/>
  <c r="L79" i="30"/>
  <c r="L78" i="30"/>
  <c r="L77" i="30"/>
  <c r="L76" i="30"/>
  <c r="L75" i="30"/>
  <c r="L74" i="30"/>
  <c r="L73" i="30"/>
  <c r="L72" i="30"/>
  <c r="L71" i="30"/>
  <c r="L70" i="30"/>
  <c r="L69" i="30"/>
  <c r="E69" i="30"/>
  <c r="E70" i="30" s="1"/>
  <c r="H42" i="31" s="1"/>
  <c r="L68" i="30"/>
  <c r="L67" i="30"/>
  <c r="U49" i="30"/>
  <c r="T49" i="30"/>
  <c r="R49" i="30"/>
  <c r="S49" i="30" s="1"/>
  <c r="O49" i="30"/>
  <c r="U48" i="30"/>
  <c r="T48" i="30"/>
  <c r="R48" i="30"/>
  <c r="S48" i="30" s="1"/>
  <c r="O48" i="30"/>
  <c r="W47" i="30"/>
  <c r="U47" i="30"/>
  <c r="T47" i="30"/>
  <c r="R47" i="30"/>
  <c r="S47" i="30" s="1"/>
  <c r="O47" i="30"/>
  <c r="U46" i="30"/>
  <c r="T46" i="30"/>
  <c r="R46" i="30"/>
  <c r="S46" i="30" s="1"/>
  <c r="O46" i="30"/>
  <c r="U45" i="30"/>
  <c r="T45" i="30"/>
  <c r="R45" i="30"/>
  <c r="S45" i="30" s="1"/>
  <c r="O45" i="30"/>
  <c r="U44" i="30"/>
  <c r="T44" i="30"/>
  <c r="R44" i="30"/>
  <c r="S44" i="30" s="1"/>
  <c r="O44" i="30"/>
  <c r="U43" i="30"/>
  <c r="T43" i="30"/>
  <c r="R43" i="30"/>
  <c r="S43" i="30" s="1"/>
  <c r="O43" i="30"/>
  <c r="U42" i="30"/>
  <c r="T42" i="30"/>
  <c r="R42" i="30"/>
  <c r="S42" i="30" s="1"/>
  <c r="O42" i="30"/>
  <c r="U41" i="30"/>
  <c r="T41" i="30"/>
  <c r="R41" i="30"/>
  <c r="S41" i="30" s="1"/>
  <c r="O41" i="30"/>
  <c r="U40" i="30"/>
  <c r="T40" i="30"/>
  <c r="R40" i="30"/>
  <c r="S40" i="30" s="1"/>
  <c r="O40" i="30"/>
  <c r="U39" i="30"/>
  <c r="T39" i="30"/>
  <c r="R39" i="30"/>
  <c r="S39" i="30" s="1"/>
  <c r="O39" i="30"/>
  <c r="U38" i="30"/>
  <c r="T38" i="30"/>
  <c r="R38" i="30"/>
  <c r="S38" i="30" s="1"/>
  <c r="O38" i="30"/>
  <c r="U37" i="30"/>
  <c r="T37" i="30"/>
  <c r="R37" i="30"/>
  <c r="S37" i="30" s="1"/>
  <c r="O37" i="30"/>
  <c r="U36" i="30"/>
  <c r="T36" i="30"/>
  <c r="R36" i="30"/>
  <c r="S36" i="30" s="1"/>
  <c r="O36" i="30"/>
  <c r="U35" i="30"/>
  <c r="T35" i="30"/>
  <c r="R35" i="30"/>
  <c r="S35" i="30" s="1"/>
  <c r="O35" i="30"/>
  <c r="M22" i="30"/>
  <c r="M21" i="30"/>
  <c r="M20" i="30"/>
  <c r="M19" i="30"/>
  <c r="M18" i="30"/>
  <c r="M17" i="30"/>
  <c r="M16" i="30"/>
  <c r="M15" i="30"/>
  <c r="V35" i="30" l="1"/>
  <c r="V36" i="30"/>
  <c r="B86" i="30" s="1"/>
  <c r="V38" i="30"/>
  <c r="B88" i="30" s="1"/>
  <c r="V40" i="30"/>
  <c r="B90" i="30" s="1"/>
  <c r="V48" i="30"/>
  <c r="B98" i="30" s="1"/>
  <c r="V39" i="30"/>
  <c r="B89" i="30" s="1"/>
  <c r="V37" i="30"/>
  <c r="B87" i="30" s="1"/>
  <c r="N22" i="30"/>
  <c r="V41" i="30"/>
  <c r="B91" i="30" s="1"/>
  <c r="V49" i="30"/>
  <c r="B99" i="30" s="1"/>
  <c r="V47" i="30"/>
  <c r="B97" i="30" s="1"/>
  <c r="V46" i="30"/>
  <c r="B96" i="30" s="1"/>
  <c r="V45" i="30"/>
  <c r="B95" i="30" s="1"/>
  <c r="V44" i="30"/>
  <c r="B94" i="30" s="1"/>
  <c r="V27" i="30"/>
  <c r="P52" i="30" s="1"/>
  <c r="P36" i="30" s="1"/>
  <c r="V42" i="30"/>
  <c r="B92" i="30" s="1"/>
  <c r="V43" i="30"/>
  <c r="B93" i="30" s="1"/>
  <c r="N15" i="30"/>
  <c r="O15" i="30" s="1"/>
  <c r="C79" i="30" s="1"/>
  <c r="N17" i="30"/>
  <c r="O17" i="30" s="1"/>
  <c r="C81" i="30" s="1"/>
  <c r="G5" i="32" s="1"/>
  <c r="N19" i="30"/>
  <c r="O19" i="30" s="1"/>
  <c r="C83" i="30" s="1"/>
  <c r="N21" i="30"/>
  <c r="O21" i="30" s="1"/>
  <c r="C85" i="30" s="1"/>
  <c r="F7" i="32" s="1"/>
  <c r="N16" i="30"/>
  <c r="O16" i="30" s="1"/>
  <c r="C80" i="30" s="1"/>
  <c r="N18" i="30"/>
  <c r="O18" i="30" s="1"/>
  <c r="C82" i="30" s="1"/>
  <c r="F6" i="32" s="1"/>
  <c r="N20" i="30"/>
  <c r="O20" i="30" s="1"/>
  <c r="C84" i="30" s="1"/>
  <c r="G6" i="32" l="1"/>
  <c r="H6" i="32" s="1" a="1"/>
  <c r="H6" i="32" s="1"/>
  <c r="F5" i="32"/>
  <c r="H5" i="32" s="1" a="1"/>
  <c r="H5" i="32" s="1"/>
  <c r="G4" i="32"/>
  <c r="F4" i="32"/>
  <c r="E9" i="32"/>
  <c r="D9" i="32"/>
  <c r="D8" i="32"/>
  <c r="E7" i="32"/>
  <c r="E8" i="32"/>
  <c r="P41" i="30"/>
  <c r="Q41" i="30" s="1"/>
  <c r="C91" i="30" s="1"/>
  <c r="P48" i="30"/>
  <c r="Q48" i="30" s="1"/>
  <c r="C98" i="30" s="1"/>
  <c r="P37" i="30"/>
  <c r="Q37" i="30" s="1"/>
  <c r="C87" i="30" s="1"/>
  <c r="Q36" i="30"/>
  <c r="C86" i="30" s="1"/>
  <c r="G7" i="32" s="1"/>
  <c r="P39" i="30"/>
  <c r="Q39" i="30" s="1"/>
  <c r="C89" i="30" s="1"/>
  <c r="P35" i="30"/>
  <c r="Q35" i="30" s="1"/>
  <c r="P44" i="30"/>
  <c r="Q44" i="30" s="1"/>
  <c r="C94" i="30" s="1"/>
  <c r="G8" i="32" s="1"/>
  <c r="P42" i="30"/>
  <c r="Q42" i="30" s="1"/>
  <c r="C92" i="30" s="1"/>
  <c r="P40" i="30"/>
  <c r="Q40" i="30" s="1"/>
  <c r="C90" i="30" s="1"/>
  <c r="P47" i="30"/>
  <c r="Q47" i="30" s="1"/>
  <c r="C97" i="30" s="1"/>
  <c r="P46" i="30"/>
  <c r="Q46" i="30" s="1"/>
  <c r="C96" i="30" s="1"/>
  <c r="P45" i="30"/>
  <c r="Q45" i="30" s="1"/>
  <c r="C95" i="30" s="1"/>
  <c r="P49" i="30"/>
  <c r="Q49" i="30" s="1"/>
  <c r="C99" i="30" s="1"/>
  <c r="P43" i="30"/>
  <c r="Q43" i="30" s="1"/>
  <c r="C93" i="30" s="1"/>
  <c r="P38" i="30"/>
  <c r="Q38" i="30" s="1"/>
  <c r="C88" i="30" s="1"/>
  <c r="E16" i="32" l="1"/>
  <c r="B16" i="32"/>
  <c r="C16" i="32"/>
  <c r="H4" i="32" a="1"/>
  <c r="H4" i="32" s="1"/>
  <c r="D16" i="32"/>
  <c r="G9" i="32"/>
  <c r="F8" i="32"/>
  <c r="H8" i="32" s="1" a="1"/>
  <c r="H8" i="32" s="1"/>
  <c r="D15" i="32"/>
  <c r="E15" i="32"/>
  <c r="B15" i="32"/>
  <c r="C15" i="32"/>
  <c r="F9" i="32"/>
  <c r="B13" i="32"/>
  <c r="B14" i="32"/>
  <c r="D13" i="32"/>
  <c r="C14" i="32"/>
  <c r="E13" i="32"/>
  <c r="E14" i="32"/>
  <c r="I5" i="32"/>
  <c r="J5" i="32" s="1"/>
  <c r="C38" i="31" s="1"/>
  <c r="C13" i="32"/>
  <c r="D14" i="32"/>
  <c r="I4" i="32"/>
  <c r="F13" i="32" l="1" a="1"/>
  <c r="F13" i="32" s="1"/>
  <c r="F14" i="32" a="1"/>
  <c r="F14" i="32" s="1"/>
  <c r="F38" i="31" s="1"/>
  <c r="H9" i="32" a="1"/>
  <c r="H9" i="32" s="1"/>
  <c r="I8" i="32" s="1"/>
  <c r="J8" i="32" s="1"/>
  <c r="F15" i="32" a="1"/>
  <c r="F15" i="32" s="1"/>
  <c r="F39" i="31" s="1"/>
  <c r="J4" i="32"/>
  <c r="C37" i="31" s="1"/>
  <c r="I7" i="32"/>
  <c r="F37" i="31" l="1"/>
  <c r="G14" i="32"/>
  <c r="H40" i="31" s="1"/>
  <c r="J9" i="32"/>
  <c r="L8" i="32" s="1"/>
  <c r="C41" i="31" s="1"/>
  <c r="H14" i="32"/>
  <c r="H41" i="31" s="1"/>
  <c r="H7" i="32" a="1"/>
  <c r="H7" i="32" s="1"/>
  <c r="F16" i="32" a="1"/>
  <c r="F16" i="32" s="1"/>
  <c r="C42" i="31" s="1"/>
  <c r="J7" i="32" l="1"/>
  <c r="C40" i="31" s="1"/>
  <c r="I6" i="32"/>
  <c r="J6" i="32" s="1"/>
  <c r="C39" i="3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<sst xmlns="http://schemas.openxmlformats.org/spreadsheetml/2006/main" count="196" uniqueCount="155">
  <si>
    <t>Date</t>
  </si>
  <si>
    <t>Temp.</t>
  </si>
  <si>
    <r>
      <t>0</t>
    </r>
    <r>
      <rPr>
        <sz val="8"/>
        <rFont val="Arial"/>
        <family val="2"/>
      </rPr>
      <t>C</t>
    </r>
  </si>
  <si>
    <t>D in</t>
  </si>
  <si>
    <t>R</t>
  </si>
  <si>
    <t>gm/cc</t>
  </si>
  <si>
    <t>Viscosity of water</t>
  </si>
  <si>
    <r>
      <t xml:space="preserve">Temp. </t>
    </r>
    <r>
      <rPr>
        <vertAlign val="superscript"/>
        <sz val="8"/>
        <rFont val="Arial"/>
        <family val="2"/>
      </rPr>
      <t>0</t>
    </r>
    <r>
      <rPr>
        <sz val="8"/>
        <rFont val="Arial"/>
        <family val="2"/>
      </rPr>
      <t>C</t>
    </r>
  </si>
  <si>
    <t>mm</t>
  </si>
  <si>
    <t>Water densities</t>
  </si>
  <si>
    <t>Density,</t>
  </si>
  <si>
    <t>Opening</t>
  </si>
  <si>
    <t>Wt.of soil</t>
  </si>
  <si>
    <t>% of soil</t>
  </si>
  <si>
    <t>Cum. %</t>
  </si>
  <si>
    <t>% finer</t>
  </si>
  <si>
    <t>gm</t>
  </si>
  <si>
    <t>retained</t>
  </si>
  <si>
    <r>
      <t>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>=</t>
    </r>
  </si>
  <si>
    <t>Hydrometer Analysis data</t>
  </si>
  <si>
    <t>Sieve analysis data</t>
  </si>
  <si>
    <t>Specific gravity of soil</t>
  </si>
  <si>
    <r>
      <t>Wt. Of bottle + water+soil (W</t>
    </r>
    <r>
      <rPr>
        <vertAlign val="subscript"/>
        <sz val="8"/>
        <rFont val="Arial"/>
        <family val="2"/>
      </rPr>
      <t>1</t>
    </r>
    <r>
      <rPr>
        <sz val="8"/>
        <rFont val="Arial"/>
        <family val="2"/>
      </rPr>
      <t>), gm =</t>
    </r>
  </si>
  <si>
    <r>
      <t>Temperature of test (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C) =</t>
    </r>
  </si>
  <si>
    <r>
      <t>Wt. Of bottle + water (W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), gm =</t>
    </r>
  </si>
  <si>
    <r>
      <t>Wt. Of soil ( 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), gm =</t>
    </r>
  </si>
  <si>
    <t>Specific gravity of water at T =</t>
  </si>
  <si>
    <t>Specific gravity of soil solids=</t>
  </si>
  <si>
    <t>Clock Time</t>
  </si>
  <si>
    <r>
      <t>R</t>
    </r>
    <r>
      <rPr>
        <vertAlign val="subscript"/>
        <sz val="8"/>
        <rFont val="Arial"/>
        <family val="2"/>
      </rPr>
      <t>a</t>
    </r>
  </si>
  <si>
    <r>
      <t>R</t>
    </r>
    <r>
      <rPr>
        <vertAlign val="subscript"/>
        <sz val="8"/>
        <rFont val="Arial"/>
        <family val="2"/>
      </rPr>
      <t>c</t>
    </r>
  </si>
  <si>
    <t>Corrected hydrometer reading</t>
  </si>
  <si>
    <t>N</t>
  </si>
  <si>
    <t>Hyd.reading Corr. only for miniscus</t>
  </si>
  <si>
    <t>L, cm</t>
  </si>
  <si>
    <t>cm</t>
  </si>
  <si>
    <r>
      <t>A</t>
    </r>
    <r>
      <rPr>
        <vertAlign val="subscript"/>
        <sz val="8"/>
        <rFont val="Arial"/>
        <family val="2"/>
      </rPr>
      <t>grad</t>
    </r>
    <r>
      <rPr>
        <sz val="8"/>
        <rFont val="Arial"/>
        <family val="2"/>
      </rPr>
      <t xml:space="preserve"> = </t>
    </r>
  </si>
  <si>
    <t>Elapsed time</t>
  </si>
  <si>
    <t>t, min.</t>
  </si>
  <si>
    <r>
      <t>Poise=(dyne X sec. / cm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</si>
  <si>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t>Sp.Gr.of water</t>
  </si>
  <si>
    <t>Actual hyd. reading</t>
  </si>
  <si>
    <r>
      <t>G</t>
    </r>
    <r>
      <rPr>
        <vertAlign val="subscript"/>
        <sz val="8"/>
        <rFont val="Arial"/>
        <family val="2"/>
      </rPr>
      <t>w</t>
    </r>
    <r>
      <rPr>
        <sz val="8"/>
        <rFont val="Arial"/>
        <family val="2"/>
      </rPr>
      <t xml:space="preserve"> </t>
    </r>
  </si>
  <si>
    <t>D, mm</t>
  </si>
  <si>
    <t>Grain diameter</t>
  </si>
  <si>
    <t>Project :</t>
  </si>
  <si>
    <t>Sieve</t>
  </si>
  <si>
    <t>no.</t>
  </si>
  <si>
    <t>Pan</t>
  </si>
  <si>
    <t>-</t>
  </si>
  <si>
    <t xml:space="preserve">Hydrometer Type : </t>
  </si>
  <si>
    <t>ASTM 152H</t>
  </si>
  <si>
    <t>Hydrometer no. :</t>
  </si>
  <si>
    <t>Dispersing agent :</t>
  </si>
  <si>
    <t>Zero correction :</t>
  </si>
  <si>
    <r>
      <t>Sp. gravity of soil, G</t>
    </r>
    <r>
      <rPr>
        <b/>
        <vertAlign val="subscript"/>
        <sz val="8"/>
        <rFont val="Arial"/>
        <family val="2"/>
      </rPr>
      <t>s</t>
    </r>
    <r>
      <rPr>
        <b/>
        <sz val="8"/>
        <rFont val="Arial"/>
        <family val="2"/>
      </rPr>
      <t xml:space="preserve"> :</t>
    </r>
  </si>
  <si>
    <t xml:space="preserve"> (hydrometer reading in water with dispersing agent only)</t>
  </si>
  <si>
    <t>Meniscus correction:</t>
  </si>
  <si>
    <t>For R =</t>
  </si>
  <si>
    <r>
      <t>L</t>
    </r>
    <r>
      <rPr>
        <b/>
        <vertAlign val="subscript"/>
        <sz val="8"/>
        <rFont val="Arial"/>
        <family val="2"/>
      </rPr>
      <t>1</t>
    </r>
    <r>
      <rPr>
        <b/>
        <sz val="8"/>
        <rFont val="Arial"/>
        <family val="2"/>
      </rPr>
      <t xml:space="preserve"> =</t>
    </r>
  </si>
  <si>
    <r>
      <t>L</t>
    </r>
    <r>
      <rPr>
        <b/>
        <vertAlign val="subscript"/>
        <sz val="8"/>
        <rFont val="Arial"/>
        <family val="2"/>
      </rPr>
      <t>2</t>
    </r>
    <r>
      <rPr>
        <b/>
        <sz val="8"/>
        <rFont val="Arial"/>
        <family val="2"/>
      </rPr>
      <t xml:space="preserve"> =</t>
    </r>
  </si>
  <si>
    <r>
      <t>cm</t>
    </r>
    <r>
      <rPr>
        <vertAlign val="superscript"/>
        <sz val="8"/>
        <rFont val="Arial"/>
        <family val="2"/>
      </rPr>
      <t>3</t>
    </r>
  </si>
  <si>
    <r>
      <t>cm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</si>
  <si>
    <r>
      <t>Vol. of bulb, V</t>
    </r>
    <r>
      <rPr>
        <b/>
        <vertAlign val="subscript"/>
        <sz val="8"/>
        <rFont val="Arial"/>
        <family val="2"/>
      </rPr>
      <t>b</t>
    </r>
    <r>
      <rPr>
        <b/>
        <sz val="8"/>
        <rFont val="Arial"/>
        <family val="2"/>
      </rPr>
      <t xml:space="preserve"> =</t>
    </r>
  </si>
  <si>
    <t>Vol. Of suspension =</t>
  </si>
  <si>
    <t>1000 cc</t>
  </si>
  <si>
    <t>% Finer (% of portion finer than #200 sieve only)</t>
  </si>
  <si>
    <t>% Finer (comb-ined)</t>
  </si>
  <si>
    <t>Effec-tive depth</t>
  </si>
  <si>
    <r>
      <t>R</t>
    </r>
    <r>
      <rPr>
        <vertAlign val="subscript"/>
        <sz val="8"/>
        <rFont val="Arial"/>
        <family val="2"/>
      </rPr>
      <t>c</t>
    </r>
    <r>
      <rPr>
        <sz val="8"/>
        <rFont val="Arial"/>
        <family val="2"/>
      </rPr>
      <t xml:space="preserve"> = R</t>
    </r>
    <r>
      <rPr>
        <vertAlign val="subscript"/>
        <sz val="8"/>
        <rFont val="Arial"/>
        <family val="2"/>
      </rPr>
      <t>a</t>
    </r>
    <r>
      <rPr>
        <sz val="8"/>
        <rFont val="Arial"/>
        <family val="2"/>
      </rPr>
      <t xml:space="preserve"> - Zero correction + Correction for temp. </t>
    </r>
  </si>
  <si>
    <r>
      <t>N = (R</t>
    </r>
    <r>
      <rPr>
        <vertAlign val="subscript"/>
        <sz val="8"/>
        <rFont val="Arial"/>
        <family val="2"/>
      </rPr>
      <t>c</t>
    </r>
    <r>
      <rPr>
        <sz val="8"/>
        <rFont val="Arial"/>
        <family val="2"/>
      </rPr>
      <t xml:space="preserve"> * a / 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>) *100</t>
    </r>
  </si>
  <si>
    <r>
      <t>Correction factor for Sp.Gr., a = G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* 1.65 / (G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- 1) / 2.65 =</t>
    </r>
  </si>
  <si>
    <r>
      <t>L = L</t>
    </r>
    <r>
      <rPr>
        <vertAlign val="subscript"/>
        <sz val="8"/>
        <rFont val="Arial"/>
        <family val="2"/>
      </rPr>
      <t>1</t>
    </r>
    <r>
      <rPr>
        <sz val="8"/>
        <rFont val="Arial"/>
        <family val="2"/>
      </rPr>
      <t xml:space="preserve"> + 0.5 * (L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- V</t>
    </r>
    <r>
      <rPr>
        <vertAlign val="subscript"/>
        <sz val="8"/>
        <rFont val="Arial"/>
        <family val="2"/>
      </rPr>
      <t>b</t>
    </r>
    <r>
      <rPr>
        <sz val="8"/>
        <rFont val="Arial"/>
        <family val="2"/>
      </rPr>
      <t xml:space="preserve"> / A</t>
    </r>
    <r>
      <rPr>
        <vertAlign val="subscript"/>
        <sz val="8"/>
        <rFont val="Arial"/>
        <family val="2"/>
      </rPr>
      <t>grad</t>
    </r>
    <r>
      <rPr>
        <sz val="8"/>
        <rFont val="Arial"/>
        <family val="2"/>
      </rPr>
      <t>)</t>
    </r>
  </si>
  <si>
    <r>
      <t>D = [ 30 * h / {980 * (G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- G</t>
    </r>
    <r>
      <rPr>
        <vertAlign val="subscript"/>
        <sz val="8"/>
        <rFont val="Arial"/>
        <family val="2"/>
      </rPr>
      <t>w</t>
    </r>
    <r>
      <rPr>
        <sz val="8"/>
        <rFont val="Arial"/>
        <family val="2"/>
      </rPr>
      <t>)} * ( L / t) ]</t>
    </r>
    <r>
      <rPr>
        <vertAlign val="superscript"/>
        <sz val="8"/>
        <rFont val="Arial"/>
        <family val="2"/>
      </rPr>
      <t>0.5</t>
    </r>
  </si>
  <si>
    <r>
      <t xml:space="preserve">Hydrometer reading correction for temparatute, </t>
    </r>
    <r>
      <rPr>
        <b/>
        <sz val="8"/>
        <rFont val="Arial"/>
        <family val="2"/>
      </rPr>
      <t>C</t>
    </r>
    <r>
      <rPr>
        <b/>
        <vertAlign val="subscript"/>
        <sz val="8"/>
        <rFont val="Arial"/>
        <family val="2"/>
      </rPr>
      <t>T</t>
    </r>
  </si>
  <si>
    <r>
      <t xml:space="preserve">Viscosity of water, </t>
    </r>
    <r>
      <rPr>
        <b/>
        <i/>
        <sz val="8"/>
        <rFont val="Symbol"/>
        <family val="1"/>
        <charset val="2"/>
      </rPr>
      <t>h</t>
    </r>
  </si>
  <si>
    <t>Vis-cocity</t>
  </si>
  <si>
    <t>From</t>
  </si>
  <si>
    <t>Eqn.</t>
  </si>
  <si>
    <r>
      <t>Wt.of soil, W</t>
    </r>
    <r>
      <rPr>
        <b/>
        <vertAlign val="subscript"/>
        <sz val="8"/>
        <rFont val="Arial"/>
        <family val="2"/>
      </rPr>
      <t>s</t>
    </r>
    <r>
      <rPr>
        <b/>
        <sz val="8"/>
        <rFont val="Arial"/>
        <family val="2"/>
      </rPr>
      <t xml:space="preserve"> :</t>
    </r>
  </si>
  <si>
    <r>
      <t>(</t>
    </r>
    <r>
      <rPr>
        <vertAlign val="superscript"/>
        <sz val="8"/>
        <rFont val="Arial"/>
        <family val="2"/>
      </rPr>
      <t>0</t>
    </r>
    <r>
      <rPr>
        <sz val="8"/>
        <rFont val="Arial"/>
        <family val="2"/>
      </rPr>
      <t>C)</t>
    </r>
  </si>
  <si>
    <r>
      <t>C</t>
    </r>
    <r>
      <rPr>
        <vertAlign val="subscript"/>
        <sz val="8"/>
        <rFont val="Arial"/>
        <family val="2"/>
      </rPr>
      <t>T</t>
    </r>
  </si>
  <si>
    <r>
      <t>h,</t>
    </r>
    <r>
      <rPr>
        <sz val="8"/>
        <rFont val="Arial"/>
        <family val="2"/>
      </rPr>
      <t xml:space="preserve"> Poise</t>
    </r>
  </si>
  <si>
    <r>
      <t>o</t>
    </r>
    <r>
      <rPr>
        <sz val="8"/>
        <rFont val="Arial"/>
        <family val="2"/>
      </rPr>
      <t>C</t>
    </r>
  </si>
  <si>
    <t>Bottle No. =</t>
  </si>
  <si>
    <t xml:space="preserve">    in water to make 1000 ml of standard solution</t>
  </si>
  <si>
    <t>100ml of standard solution*</t>
  </si>
  <si>
    <t xml:space="preserve">*   33 gm of sodium hexameta phosphate &amp; 7 gm of sodium carbonate dissolved </t>
  </si>
  <si>
    <t>Countersigned by :</t>
  </si>
  <si>
    <t>Test performed by :</t>
  </si>
  <si>
    <t>Department of Civil Engineering</t>
  </si>
  <si>
    <t>BUET, Dhaka - 1000.</t>
  </si>
  <si>
    <t>Professor</t>
  </si>
  <si>
    <t>BRTC No.:</t>
  </si>
  <si>
    <t>Ref :</t>
  </si>
  <si>
    <t>GRAIN SIZE ANALYSIS (SIEVE AND HYDROMETER)</t>
  </si>
  <si>
    <t>Sent by :</t>
  </si>
  <si>
    <t>Bore Hole No. :</t>
  </si>
  <si>
    <t>Sample No. :</t>
  </si>
  <si>
    <t>Sample Depth :</t>
  </si>
  <si>
    <t>Standard :</t>
  </si>
  <si>
    <t>Test Date :</t>
  </si>
  <si>
    <t>Visual Description of Soil :</t>
  </si>
  <si>
    <t xml:space="preserve">Complete all cells of elapsed time. In case of absence of any last cell just write the previous time and corresponding reading again and again </t>
  </si>
  <si>
    <t>Last Standard Time</t>
  </si>
  <si>
    <t>%F</t>
  </si>
  <si>
    <t>Coarse Sand:</t>
  </si>
  <si>
    <t>Medium Sand:</t>
  </si>
  <si>
    <t>Fine Sand</t>
  </si>
  <si>
    <t>Fine Sand:</t>
  </si>
  <si>
    <t>Silt:</t>
  </si>
  <si>
    <t>Clay:</t>
  </si>
  <si>
    <t>Upper Sieve (mm)</t>
  </si>
  <si>
    <t>Lower Sieve (mm)</t>
  </si>
  <si>
    <t>Plot</t>
  </si>
  <si>
    <t>ASTM D422</t>
  </si>
  <si>
    <t>Coarse Sand</t>
  </si>
  <si>
    <t>Medium Sand</t>
  </si>
  <si>
    <t>Silt</t>
  </si>
  <si>
    <t>Clay</t>
  </si>
  <si>
    <t>Colloids</t>
  </si>
  <si>
    <t>Boundary of Size in mm [Higher-Lower]</t>
  </si>
  <si>
    <t>Size (mm)</t>
  </si>
  <si>
    <t>Cu</t>
  </si>
  <si>
    <t>Cc</t>
  </si>
  <si>
    <t>%</t>
  </si>
  <si>
    <t>Boundary of Upper Sieve Size [mm]</t>
  </si>
  <si>
    <t>Boundary of Upper Sieve % F</t>
  </si>
  <si>
    <t>Upper Sieve % F</t>
  </si>
  <si>
    <t>Lower Sieve % F</t>
  </si>
  <si>
    <t>% Materials</t>
  </si>
  <si>
    <t>For Program:</t>
  </si>
  <si>
    <t>Boundary of % F</t>
  </si>
  <si>
    <r>
      <t>Coefficient of Curvature, C</t>
    </r>
    <r>
      <rPr>
        <vertAlign val="subscript"/>
        <sz val="9"/>
        <rFont val="Arial"/>
        <family val="2"/>
      </rPr>
      <t xml:space="preserve">c </t>
    </r>
    <r>
      <rPr>
        <sz val="9"/>
        <rFont val="Arial"/>
        <family val="2"/>
      </rPr>
      <t>:</t>
    </r>
  </si>
  <si>
    <r>
      <t>Coefficient of Uniformity, C</t>
    </r>
    <r>
      <rPr>
        <vertAlign val="subscript"/>
        <sz val="9"/>
        <rFont val="Arial"/>
        <family val="2"/>
      </rPr>
      <t xml:space="preserve">u </t>
    </r>
    <r>
      <rPr>
        <sz val="9"/>
        <rFont val="Arial"/>
        <family val="2"/>
      </rPr>
      <t>:</t>
    </r>
  </si>
  <si>
    <r>
      <t>D</t>
    </r>
    <r>
      <rPr>
        <vertAlign val="subscript"/>
        <sz val="9"/>
        <rFont val="Arial"/>
        <family val="2"/>
      </rPr>
      <t>10</t>
    </r>
    <r>
      <rPr>
        <sz val="9"/>
        <rFont val="Arial"/>
        <family val="2"/>
      </rPr>
      <t xml:space="preserve"> :</t>
    </r>
  </si>
  <si>
    <r>
      <t>D</t>
    </r>
    <r>
      <rPr>
        <vertAlign val="subscript"/>
        <sz val="9"/>
        <rFont val="Arial"/>
        <family val="2"/>
      </rPr>
      <t>30</t>
    </r>
    <r>
      <rPr>
        <sz val="9"/>
        <rFont val="Arial"/>
        <family val="2"/>
      </rPr>
      <t xml:space="preserve"> :</t>
    </r>
  </si>
  <si>
    <r>
      <t>D</t>
    </r>
    <r>
      <rPr>
        <vertAlign val="subscript"/>
        <sz val="9"/>
        <rFont val="Arial"/>
        <family val="2"/>
      </rPr>
      <t>60</t>
    </r>
    <r>
      <rPr>
        <sz val="9"/>
        <rFont val="Arial"/>
        <family val="2"/>
      </rPr>
      <t xml:space="preserve"> :</t>
    </r>
  </si>
  <si>
    <t>CLAY</t>
  </si>
  <si>
    <t>Dr. Md. Ferdous Alam</t>
  </si>
  <si>
    <t>Assistant Professor</t>
  </si>
  <si>
    <t>Do not do anything here</t>
  </si>
  <si>
    <t>1102-05882/CE/19-20 Dated 23/01/2020</t>
  </si>
  <si>
    <t>NEXTEON DEVELOPMENT LTD., 339/B, 1st Floor, Tejgaon I/A, Dhaka-1208</t>
  </si>
  <si>
    <t>NE-003 (28+5B) MULTISTORIED COMMERCIAL BUILDING</t>
  </si>
  <si>
    <t>Letter Dated 23/01/2020</t>
  </si>
  <si>
    <t>UD-1</t>
  </si>
  <si>
    <t>2.0m - 2.5m</t>
  </si>
  <si>
    <t>Red Silty Clay</t>
  </si>
  <si>
    <t>04/02/2020 to 08/02/2020</t>
  </si>
  <si>
    <t>05-02-2020</t>
  </si>
  <si>
    <r>
      <t>Specific Gravity of Soil Solids, G</t>
    </r>
    <r>
      <rPr>
        <vertAlign val="subscript"/>
        <sz val="9"/>
        <rFont val="Arial"/>
        <family val="2"/>
      </rPr>
      <t xml:space="preserve">s </t>
    </r>
    <r>
      <rPr>
        <sz val="9"/>
        <rFont val="Arial"/>
        <family val="2"/>
      </rPr>
      <t>:</t>
    </r>
  </si>
  <si>
    <r>
      <t>D</t>
    </r>
    <r>
      <rPr>
        <vertAlign val="subscript"/>
        <sz val="9"/>
        <color theme="1"/>
        <rFont val="Arial"/>
        <family val="2"/>
      </rPr>
      <t>50</t>
    </r>
    <r>
      <rPr>
        <sz val="9"/>
        <color theme="1"/>
        <rFont val="Arial"/>
        <family val="2"/>
      </rPr>
      <t xml:space="preserve"> :</t>
    </r>
  </si>
  <si>
    <t>Dr. A. B. M. Badruzzaman</t>
  </si>
  <si>
    <t>ASTM D422, D854, D1140, D6913, D7928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</si>
</sst>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_)"/>
  </numFmts>
  <fonts count="3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vertAlign val="subscript"/>
      <sz val="8"/>
      <name val="Arial"/>
      <family val="2"/>
    </font>
    <font>
      <i/>
      <u/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vertAlign val="superscript"/>
      <sz val="8"/>
      <name val="Arial"/>
      <family val="2"/>
    </font>
    <font>
      <b/>
      <i/>
      <sz val="8"/>
      <name val="Arial"/>
      <family val="2"/>
    </font>
    <font>
      <sz val="8"/>
      <name val="Symbol"/>
      <family val="1"/>
      <charset val="2"/>
    </font>
    <font>
      <b/>
      <vertAlign val="subscript"/>
      <sz val="8"/>
      <name val="Arial"/>
      <family val="2"/>
    </font>
    <font>
      <b/>
      <i/>
      <sz val="8"/>
      <name val="Symbol"/>
      <family val="1"/>
      <charset val="2"/>
    </font>
    <font>
      <sz val="9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i/>
      <sz val="9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sz val="10"/>
      <color rgb="FFC00000"/>
      <name val="MS Sans Serif"/>
    </font>
    <font>
      <b/>
      <sz val="10"/>
      <color rgb="FFFF0000"/>
      <name val="MS Sans Serif"/>
    </font>
    <font>
      <vertAlign val="subscript"/>
      <sz val="9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5.5"/>
      <name val="Arial"/>
      <family val="2"/>
    </font>
    <font>
      <sz val="9"/>
      <color theme="1"/>
      <name val="Arial"/>
      <family val="2"/>
    </font>
    <font>
      <vertAlign val="subscript"/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2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2" fillId="0" borderId="0" xfId="0" applyFont="1"/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9" fillId="0" borderId="9" xfId="0" applyFont="1" applyBorder="1"/>
    <xf numFmtId="0" fontId="0" fillId="0" borderId="10" xfId="0" applyBorder="1"/>
    <xf numFmtId="0" fontId="2" fillId="0" borderId="10" xfId="0" applyFont="1" applyBorder="1"/>
    <xf numFmtId="0" fontId="0" fillId="0" borderId="7" xfId="0" applyBorder="1"/>
    <xf numFmtId="0" fontId="9" fillId="0" borderId="7" xfId="0" applyFont="1" applyBorder="1" applyAlignment="1">
      <alignment horizontal="left"/>
    </xf>
    <xf numFmtId="0" fontId="0" fillId="0" borderId="0" xfId="0" applyBorder="1"/>
    <xf numFmtId="0" fontId="9" fillId="0" borderId="6" xfId="0" applyFont="1" applyBorder="1"/>
    <xf numFmtId="0" fontId="2" fillId="0" borderId="1" xfId="0" applyFont="1" applyBorder="1"/>
    <xf numFmtId="0" fontId="2" fillId="0" borderId="11" xfId="0" applyFont="1" applyBorder="1"/>
    <xf numFmtId="0" fontId="2" fillId="2" borderId="1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Fill="1" applyBorder="1"/>
    <xf numFmtId="2" fontId="2" fillId="0" borderId="4" xfId="0" applyNumberFormat="1" applyFont="1" applyBorder="1" applyAlignment="1">
      <alignment horizontal="center"/>
    </xf>
    <xf numFmtId="2" fontId="0" fillId="0" borderId="0" xfId="0" applyNumberFormat="1"/>
    <xf numFmtId="2" fontId="2" fillId="0" borderId="0" xfId="0" applyNumberFormat="1" applyFont="1" applyFill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0" fillId="0" borderId="4" xfId="0" applyBorder="1"/>
    <xf numFmtId="164" fontId="2" fillId="0" borderId="4" xfId="0" applyNumberFormat="1" applyFont="1" applyBorder="1"/>
    <xf numFmtId="0" fontId="0" fillId="0" borderId="2" xfId="0" applyBorder="1"/>
    <xf numFmtId="0" fontId="0" fillId="0" borderId="14" xfId="0" applyBorder="1" applyAlignment="1">
      <alignment wrapText="1"/>
    </xf>
    <xf numFmtId="0" fontId="9" fillId="0" borderId="10" xfId="0" applyFont="1" applyBorder="1"/>
    <xf numFmtId="0" fontId="9" fillId="0" borderId="9" xfId="0" applyFont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0" fillId="0" borderId="3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9" xfId="0" applyFont="1" applyBorder="1"/>
    <xf numFmtId="164" fontId="2" fillId="0" borderId="0" xfId="0" applyNumberFormat="1" applyFont="1" applyAlignment="1">
      <alignment horizontal="left"/>
    </xf>
    <xf numFmtId="0" fontId="11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14" fontId="2" fillId="5" borderId="4" xfId="0" applyNumberFormat="1" applyFont="1" applyFill="1" applyBorder="1" applyAlignment="1">
      <alignment horizontal="center"/>
    </xf>
    <xf numFmtId="0" fontId="0" fillId="0" borderId="0" xfId="0" applyBorder="1" applyAlignment="1">
      <alignment readingOrder="1"/>
    </xf>
    <xf numFmtId="0" fontId="2" fillId="3" borderId="7" xfId="0" applyFont="1" applyFill="1" applyBorder="1" applyAlignment="1">
      <alignment horizontal="center" wrapText="1"/>
    </xf>
    <xf numFmtId="0" fontId="19" fillId="0" borderId="0" xfId="0" applyFont="1"/>
    <xf numFmtId="0" fontId="20" fillId="0" borderId="0" xfId="0" applyFont="1" applyFill="1" applyAlignment="1">
      <alignment horizontal="left"/>
    </xf>
    <xf numFmtId="0" fontId="16" fillId="0" borderId="0" xfId="0" applyFont="1"/>
    <xf numFmtId="0" fontId="1" fillId="0" borderId="0" xfId="0" applyFont="1"/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Border="1" applyAlignment="1">
      <alignment horizontal="left"/>
    </xf>
    <xf numFmtId="0" fontId="2" fillId="0" borderId="0" xfId="0" applyFont="1" applyFill="1" applyBorder="1" applyAlignment="1"/>
    <xf numFmtId="0" fontId="9" fillId="0" borderId="0" xfId="0" applyFont="1" applyBorder="1" applyAlignment="1">
      <alignment horizontal="left" vertical="center"/>
    </xf>
    <xf numFmtId="0" fontId="0" fillId="7" borderId="0" xfId="0" applyFill="1" applyBorder="1" applyAlignment="1">
      <alignment vertical="center"/>
    </xf>
    <xf numFmtId="0" fontId="9" fillId="7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/>
    </xf>
    <xf numFmtId="0" fontId="0" fillId="7" borderId="0" xfId="0" applyFill="1" applyBorder="1"/>
    <xf numFmtId="0" fontId="2" fillId="7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7" fillId="7" borderId="0" xfId="0" applyFont="1" applyFill="1"/>
    <xf numFmtId="0" fontId="0" fillId="7" borderId="0" xfId="0" applyFill="1"/>
    <xf numFmtId="0" fontId="18" fillId="7" borderId="0" xfId="0" applyFont="1" applyFill="1"/>
    <xf numFmtId="0" fontId="2" fillId="7" borderId="0" xfId="0" quotePrefix="1" applyFont="1" applyFill="1" applyBorder="1" applyAlignment="1">
      <alignment vertical="center"/>
    </xf>
    <xf numFmtId="14" fontId="8" fillId="7" borderId="0" xfId="0" applyNumberFormat="1" applyFont="1" applyFill="1" applyBorder="1"/>
    <xf numFmtId="0" fontId="2" fillId="7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0" fillId="8" borderId="15" xfId="0" applyFill="1" applyBorder="1"/>
    <xf numFmtId="0" fontId="0" fillId="8" borderId="17" xfId="0" applyFill="1" applyBorder="1"/>
    <xf numFmtId="0" fontId="0" fillId="8" borderId="19" xfId="0" applyFill="1" applyBorder="1"/>
    <xf numFmtId="2" fontId="2" fillId="2" borderId="4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6" borderId="4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0" fillId="8" borderId="4" xfId="0" applyFill="1" applyBorder="1"/>
    <xf numFmtId="0" fontId="0" fillId="0" borderId="2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7" xfId="0" applyFont="1" applyBorder="1"/>
    <xf numFmtId="0" fontId="0" fillId="2" borderId="18" xfId="0" applyFill="1" applyBorder="1"/>
    <xf numFmtId="0" fontId="8" fillId="0" borderId="17" xfId="0" applyFont="1" applyBorder="1"/>
    <xf numFmtId="0" fontId="12" fillId="0" borderId="19" xfId="0" applyFont="1" applyBorder="1"/>
    <xf numFmtId="0" fontId="0" fillId="0" borderId="22" xfId="0" applyBorder="1"/>
    <xf numFmtId="2" fontId="0" fillId="4" borderId="20" xfId="0" applyNumberFormat="1" applyFill="1" applyBorder="1"/>
    <xf numFmtId="0" fontId="2" fillId="8" borderId="23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/>
    </xf>
    <xf numFmtId="0" fontId="0" fillId="8" borderId="26" xfId="0" applyFill="1" applyBorder="1"/>
    <xf numFmtId="0" fontId="0" fillId="8" borderId="26" xfId="0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2" fontId="2" fillId="8" borderId="28" xfId="0" applyNumberFormat="1" applyFont="1" applyFill="1" applyBorder="1" applyAlignment="1">
      <alignment horizontal="center"/>
    </xf>
    <xf numFmtId="0" fontId="2" fillId="8" borderId="29" xfId="0" applyFont="1" applyFill="1" applyBorder="1" applyAlignment="1">
      <alignment horizontal="center"/>
    </xf>
    <xf numFmtId="2" fontId="2" fillId="8" borderId="30" xfId="0" applyNumberFormat="1" applyFont="1" applyFill="1" applyBorder="1" applyAlignment="1">
      <alignment horizontal="center"/>
    </xf>
    <xf numFmtId="0" fontId="22" fillId="0" borderId="15" xfId="0" applyFont="1" applyBorder="1"/>
    <xf numFmtId="0" fontId="24" fillId="8" borderId="35" xfId="0" applyFont="1" applyFill="1" applyBorder="1" applyAlignment="1">
      <alignment horizontal="center" vertical="center"/>
    </xf>
    <xf numFmtId="0" fontId="24" fillId="8" borderId="28" xfId="0" applyFont="1" applyFill="1" applyBorder="1" applyAlignment="1">
      <alignment horizontal="center" vertical="center"/>
    </xf>
    <xf numFmtId="2" fontId="24" fillId="8" borderId="28" xfId="0" applyNumberFormat="1" applyFont="1" applyFill="1" applyBorder="1" applyAlignment="1">
      <alignment horizontal="center" vertical="center"/>
    </xf>
    <xf numFmtId="0" fontId="0" fillId="8" borderId="36" xfId="0" applyFill="1" applyBorder="1"/>
    <xf numFmtId="0" fontId="0" fillId="8" borderId="33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21" fillId="8" borderId="19" xfId="0" applyFont="1" applyFill="1" applyBorder="1"/>
    <xf numFmtId="0" fontId="21" fillId="8" borderId="20" xfId="0" applyFont="1" applyFill="1" applyBorder="1"/>
    <xf numFmtId="0" fontId="0" fillId="8" borderId="34" xfId="0" applyFill="1" applyBorder="1"/>
    <xf numFmtId="166" fontId="23" fillId="8" borderId="27" xfId="0" applyNumberFormat="1" applyFont="1" applyFill="1" applyBorder="1"/>
    <xf numFmtId="166" fontId="23" fillId="8" borderId="29" xfId="0" applyNumberFormat="1" applyFont="1" applyFill="1" applyBorder="1"/>
    <xf numFmtId="0" fontId="21" fillId="8" borderId="33" xfId="0" applyFont="1" applyFill="1" applyBorder="1" applyAlignment="1">
      <alignment horizontal="center" vertical="center"/>
    </xf>
    <xf numFmtId="0" fontId="1" fillId="8" borderId="34" xfId="0" applyFont="1" applyFill="1" applyBorder="1"/>
    <xf numFmtId="0" fontId="21" fillId="8" borderId="35" xfId="0" applyFont="1" applyFill="1" applyBorder="1"/>
    <xf numFmtId="0" fontId="21" fillId="8" borderId="28" xfId="0" applyFont="1" applyFill="1" applyBorder="1"/>
    <xf numFmtId="0" fontId="21" fillId="8" borderId="3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0" borderId="0" xfId="0" quotePrefix="1" applyFont="1" applyFill="1" applyBorder="1" applyAlignment="1">
      <alignment vertical="center"/>
    </xf>
    <xf numFmtId="0" fontId="0" fillId="0" borderId="0" xfId="0" applyFill="1"/>
    <xf numFmtId="0" fontId="26" fillId="0" borderId="0" xfId="0" applyFont="1" applyFill="1"/>
    <xf numFmtId="0" fontId="27" fillId="0" borderId="0" xfId="0" applyFont="1" applyFill="1"/>
    <xf numFmtId="0" fontId="3" fillId="8" borderId="20" xfId="0" applyFont="1" applyFill="1" applyBorder="1" applyAlignment="1">
      <alignment vertical="center"/>
    </xf>
    <xf numFmtId="0" fontId="3" fillId="8" borderId="1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7" borderId="0" xfId="0" quotePrefix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7" borderId="0" xfId="0" quotePrefix="1" applyFont="1" applyFill="1" applyBorder="1" applyAlignment="1">
      <alignment horizontal="left"/>
    </xf>
    <xf numFmtId="0" fontId="0" fillId="7" borderId="18" xfId="0" applyFill="1" applyBorder="1"/>
    <xf numFmtId="0" fontId="16" fillId="0" borderId="0" xfId="0" applyNumberFormat="1" applyFont="1" applyAlignment="1">
      <alignment horizontal="right" vertical="center"/>
    </xf>
    <xf numFmtId="0" fontId="16" fillId="0" borderId="0" xfId="0" applyNumberFormat="1" applyFont="1" applyAlignment="1">
      <alignment horizontal="left" vertical="center"/>
    </xf>
    <xf numFmtId="0" fontId="28" fillId="0" borderId="0" xfId="0" applyFont="1" applyFill="1" applyBorder="1" applyAlignment="1">
      <alignment horizontal="left" vertical="center"/>
    </xf>
    <xf numFmtId="14" fontId="2" fillId="5" borderId="4" xfId="0" quotePrefix="1" applyNumberFormat="1" applyFont="1" applyFill="1" applyBorder="1" applyAlignment="1">
      <alignment horizontal="center"/>
    </xf>
    <xf numFmtId="0" fontId="24" fillId="8" borderId="4" xfId="0" applyFont="1" applyFill="1" applyBorder="1" applyAlignment="1">
      <alignment horizontal="center" vertical="center"/>
    </xf>
    <xf numFmtId="2" fontId="24" fillId="8" borderId="4" xfId="0" applyNumberFormat="1" applyFont="1" applyFill="1" applyBorder="1" applyAlignment="1">
      <alignment horizontal="center" vertical="center"/>
    </xf>
    <xf numFmtId="0" fontId="24" fillId="8" borderId="34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24" fillId="8" borderId="36" xfId="0" applyFont="1" applyFill="1" applyBorder="1" applyAlignment="1">
      <alignment horizontal="center" vertical="center"/>
    </xf>
    <xf numFmtId="0" fontId="0" fillId="0" borderId="36" xfId="0" applyBorder="1"/>
    <xf numFmtId="0" fontId="0" fillId="0" borderId="30" xfId="0" applyBorder="1"/>
    <xf numFmtId="0" fontId="29" fillId="0" borderId="0" xfId="0" applyFont="1" applyAlignment="1">
      <alignment horizontal="left" vertical="center"/>
    </xf>
    <xf numFmtId="0" fontId="29" fillId="0" borderId="0" xfId="0" applyNumberFormat="1" applyFont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10" xfId="0" applyBorder="1" applyAlignment="1">
      <alignment readingOrder="1"/>
    </xf>
    <xf numFmtId="0" fontId="0" fillId="0" borderId="10" xfId="0" applyBorder="1" applyAlignment="1"/>
    <xf numFmtId="0" fontId="0" fillId="0" borderId="11" xfId="0" applyBorder="1" applyAlignment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3" borderId="10" xfId="0" applyFont="1" applyFill="1" applyBorder="1" applyAlignment="1"/>
    <xf numFmtId="0" fontId="0" fillId="3" borderId="11" xfId="0" applyFill="1" applyBorder="1" applyAlignment="1"/>
    <xf numFmtId="0" fontId="2" fillId="2" borderId="10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2" fillId="7" borderId="0" xfId="0" applyFont="1" applyFill="1" applyBorder="1" applyAlignment="1">
      <alignment vertical="center"/>
    </xf>
    <xf numFmtId="18" fontId="2" fillId="5" borderId="2" xfId="0" applyNumberFormat="1" applyFont="1" applyFill="1" applyBorder="1" applyAlignment="1">
      <alignment horizontal="center" vertical="center" textRotation="90" wrapText="1" readingOrder="1"/>
    </xf>
    <xf numFmtId="18" fontId="2" fillId="5" borderId="14" xfId="0" applyNumberFormat="1" applyFont="1" applyFill="1" applyBorder="1" applyAlignment="1">
      <alignment horizontal="center" vertical="center" textRotation="90" wrapText="1" readingOrder="1"/>
    </xf>
    <xf numFmtId="18" fontId="2" fillId="5" borderId="3" xfId="0" applyNumberFormat="1" applyFont="1" applyFill="1" applyBorder="1" applyAlignment="1">
      <alignment horizontal="center" vertical="center" textRotation="90" wrapText="1" readingOrder="1"/>
    </xf>
    <xf numFmtId="0" fontId="1" fillId="8" borderId="16" xfId="0" applyFont="1" applyFill="1" applyBorder="1" applyAlignment="1">
      <alignment horizontal="center" wrapText="1"/>
    </xf>
    <xf numFmtId="0" fontId="0" fillId="8" borderId="18" xfId="0" applyFill="1" applyBorder="1" applyAlignment="1">
      <alignment horizontal="center" wrapText="1"/>
    </xf>
    <xf numFmtId="0" fontId="0" fillId="8" borderId="20" xfId="0" applyFill="1" applyBorder="1" applyAlignment="1">
      <alignment horizontal="center" wrapText="1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" fillId="8" borderId="34" xfId="0" applyFont="1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21" fillId="8" borderId="15" xfId="0" applyFont="1" applyFill="1" applyBorder="1" applyAlignment="1">
      <alignment horizontal="center" vertical="center"/>
    </xf>
    <xf numFmtId="0" fontId="21" fillId="8" borderId="19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Viscosity of water</a:t>
            </a:r>
          </a:p>
        </c:rich>
      </c:tx>
      <c:layout>
        <c:manualLayout>
          <c:xMode val="edge"/>
          <c:yMode val="edge"/>
          <c:x val="0.38806010550633985"/>
          <c:y val="3.30579401739524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123686246175241"/>
          <c:y val="0.17355418591324981"/>
          <c:w val="0.7697236158669728"/>
          <c:h val="0.6831974302616835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4"/>
            <c:dispRSqr val="0"/>
            <c:dispEq val="1"/>
            <c:trendlineLbl>
              <c:layout>
                <c:manualLayout>
                  <c:x val="4.8054822418470068E-2"/>
                  <c:y val="-0.63008540342713526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0.000000000347305x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4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- 0.000000107995290x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3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+ 0.000010444897593x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- 0.000543832412820x + 0.017557582729184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main!$J$87:$J$101</c:f>
              <c:numCache>
                <c:formatCode>General</c:formatCode>
                <c:ptCount val="1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</c:numCache>
            </c:numRef>
          </c:xVal>
          <c:yVal>
            <c:numRef>
              <c:f>main!$K$87:$K$101</c:f>
              <c:numCache>
                <c:formatCode>General</c:formatCode>
                <c:ptCount val="15"/>
                <c:pt idx="0">
                  <c:v>1.111E-2</c:v>
                </c:pt>
                <c:pt idx="1">
                  <c:v>1.0829999999999999E-2</c:v>
                </c:pt>
                <c:pt idx="2">
                  <c:v>1.056E-2</c:v>
                </c:pt>
                <c:pt idx="3">
                  <c:v>1.03E-2</c:v>
                </c:pt>
                <c:pt idx="4">
                  <c:v>1.005E-2</c:v>
                </c:pt>
                <c:pt idx="5">
                  <c:v>9.8099999999999993E-3</c:v>
                </c:pt>
                <c:pt idx="6">
                  <c:v>9.58E-3</c:v>
                </c:pt>
                <c:pt idx="7">
                  <c:v>9.3600000000000003E-3</c:v>
                </c:pt>
                <c:pt idx="8">
                  <c:v>9.1400000000000006E-3</c:v>
                </c:pt>
                <c:pt idx="9">
                  <c:v>8.94E-3</c:v>
                </c:pt>
                <c:pt idx="10">
                  <c:v>8.7399999999999995E-3</c:v>
                </c:pt>
                <c:pt idx="11">
                  <c:v>8.5500000000000003E-3</c:v>
                </c:pt>
                <c:pt idx="12">
                  <c:v>8.3599999999999994E-3</c:v>
                </c:pt>
                <c:pt idx="13">
                  <c:v>8.1799999999999998E-3</c:v>
                </c:pt>
                <c:pt idx="14">
                  <c:v>8.0099999999999998E-3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03-4385-87D7-D8489A363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717672"/>
        <c:axId val="291714144"/>
      </c:scatterChart>
      <c:valAx>
        <c:axId val="29171767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1714144"/>
        <c:crosses val="autoZero"/>
        <c:crossBetween val="midCat"/>
      </c:valAx>
      <c:valAx>
        <c:axId val="291714144"/>
        <c:scaling>
          <c:orientation val="minMax"/>
          <c:max val="1.2E-2"/>
          <c:min val="7.0000000000000114E-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171767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Water densities</a:t>
            </a:r>
          </a:p>
        </c:rich>
      </c:tx>
      <c:layout>
        <c:manualLayout>
          <c:xMode val="edge"/>
          <c:yMode val="edge"/>
          <c:x val="0.40552101065098084"/>
          <c:y val="1.63934426229508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4203871839901472"/>
          <c:y val="0.22295081967213121"/>
          <c:w val="0.69851524871294313"/>
          <c:h val="0.5737704918032803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3.2617731445925294E-2"/>
                  <c:y val="-0.63108196721311682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-0.000005006464124x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- 0.000004845507430x + 1.000330653522920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main!$J$67:$J$81</c:f>
              <c:numCache>
                <c:formatCode>General</c:formatCode>
                <c:ptCount val="1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</c:numCache>
            </c:numRef>
          </c:xVal>
          <c:yVal>
            <c:numRef>
              <c:f>main!$K$67:$K$81</c:f>
              <c:numCache>
                <c:formatCode>General</c:formatCode>
                <c:ptCount val="15"/>
                <c:pt idx="0">
                  <c:v>0.99897000000000002</c:v>
                </c:pt>
                <c:pt idx="1">
                  <c:v>0.99880000000000002</c:v>
                </c:pt>
                <c:pt idx="2">
                  <c:v>0.99861999999999995</c:v>
                </c:pt>
                <c:pt idx="3">
                  <c:v>0.99843999999999999</c:v>
                </c:pt>
                <c:pt idx="4">
                  <c:v>0.99822999999999995</c:v>
                </c:pt>
                <c:pt idx="5">
                  <c:v>0.99802000000000002</c:v>
                </c:pt>
                <c:pt idx="6">
                  <c:v>0.99780000000000002</c:v>
                </c:pt>
                <c:pt idx="7">
                  <c:v>0.99756999999999996</c:v>
                </c:pt>
                <c:pt idx="8">
                  <c:v>0.99733000000000005</c:v>
                </c:pt>
                <c:pt idx="9">
                  <c:v>0.99707999999999997</c:v>
                </c:pt>
                <c:pt idx="10">
                  <c:v>0.99682000000000004</c:v>
                </c:pt>
                <c:pt idx="11">
                  <c:v>0.99655000000000005</c:v>
                </c:pt>
                <c:pt idx="12">
                  <c:v>0.99626999999999999</c:v>
                </c:pt>
                <c:pt idx="13">
                  <c:v>0.99597999999999998</c:v>
                </c:pt>
                <c:pt idx="14">
                  <c:v>0.99568000000000001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CE-45AC-A7B0-06C3D45FC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93568"/>
        <c:axId val="338794744"/>
      </c:scatterChart>
      <c:valAx>
        <c:axId val="33879356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4744"/>
        <c:crosses val="autoZero"/>
        <c:crossBetween val="midCat"/>
      </c:valAx>
      <c:valAx>
        <c:axId val="338794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356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25" b="1" i="0" strike="noStrike">
                <a:solidFill>
                  <a:srgbClr val="000000"/>
                </a:solidFill>
                <a:latin typeface="Arial"/>
                <a:cs typeface="Arial"/>
              </a:rPr>
              <a:t>Temparature correction, C</a:t>
            </a:r>
            <a:r>
              <a:rPr lang="en-US" sz="925" b="1" i="0" strike="noStrike" baseline="-25000">
                <a:solidFill>
                  <a:srgbClr val="000000"/>
                </a:solidFill>
                <a:latin typeface="Arial"/>
                <a:cs typeface="Arial"/>
              </a:rPr>
              <a:t>T</a:t>
            </a:r>
          </a:p>
        </c:rich>
      </c:tx>
      <c:layout>
        <c:manualLayout>
          <c:xMode val="edge"/>
          <c:yMode val="edge"/>
          <c:x val="0.33758031776704933"/>
          <c:y val="1.51975683890577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62026568360537"/>
          <c:y val="0.23100303951367784"/>
          <c:w val="0.81528831460720752"/>
          <c:h val="0.5440729483282674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4"/>
            <c:dispRSqr val="1"/>
            <c:dispEq val="1"/>
            <c:trendlineLbl>
              <c:layout>
                <c:manualLayout>
                  <c:x val="7.2278210364458292E-2"/>
                  <c:y val="-0.18630352057056698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0.000122052869731x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4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- 0.009759929612870x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3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+ 0.294922898309103x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- 3.754217108570830x + 15.630269111694700</a:t>
                    </a:r>
                  </a:p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R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0.99973078342715</a:t>
                    </a: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1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main!$J$106:$J$121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main!$K$106:$K$121</c:f>
              <c:numCache>
                <c:formatCode>General</c:formatCode>
                <c:ptCount val="16"/>
                <c:pt idx="0">
                  <c:v>-1.1000000000000001</c:v>
                </c:pt>
                <c:pt idx="1">
                  <c:v>-0.9</c:v>
                </c:pt>
                <c:pt idx="2">
                  <c:v>-0.7</c:v>
                </c:pt>
                <c:pt idx="3">
                  <c:v>-0.5</c:v>
                </c:pt>
                <c:pt idx="4">
                  <c:v>-0.3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0.7</c:v>
                </c:pt>
                <c:pt idx="9">
                  <c:v>1</c:v>
                </c:pt>
                <c:pt idx="10">
                  <c:v>1.3</c:v>
                </c:pt>
                <c:pt idx="11">
                  <c:v>1.65</c:v>
                </c:pt>
                <c:pt idx="12">
                  <c:v>2</c:v>
                </c:pt>
                <c:pt idx="13">
                  <c:v>2.5</c:v>
                </c:pt>
                <c:pt idx="14">
                  <c:v>3.05</c:v>
                </c:pt>
                <c:pt idx="15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D7-41E5-B012-098BFB581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99448"/>
        <c:axId val="338797096"/>
      </c:scatterChart>
      <c:valAx>
        <c:axId val="3387994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7096"/>
        <c:crossesAt val="-2"/>
        <c:crossBetween val="midCat"/>
      </c:valAx>
      <c:valAx>
        <c:axId val="3387970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944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Grain Size Distribution Curve</a:t>
            </a:r>
          </a:p>
        </c:rich>
      </c:tx>
      <c:layout>
        <c:manualLayout>
          <c:xMode val="edge"/>
          <c:yMode val="edge"/>
          <c:x val="0.29422091709729936"/>
          <c:y val="3.11005147985603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91397111946373"/>
          <c:y val="0.12918675377863537"/>
          <c:w val="0.81132047518450434"/>
          <c:h val="0.70095775661370974"/>
        </c:manualLayout>
      </c:layout>
      <c:scatterChart>
        <c:scatterStyle val="lineMarker"/>
        <c:varyColors val="0"/>
        <c:ser>
          <c:idx val="1"/>
          <c:order val="0"/>
          <c:tx>
            <c:v>Grain Size Distribution</c:v>
          </c:tx>
          <c:spPr>
            <a:ln w="19050">
              <a:solidFill>
                <a:srgbClr val="0000FF"/>
              </a:solidFill>
            </a:ln>
          </c:spPr>
          <c:marker>
            <c:symbol val="diamond"/>
            <c:size val="8"/>
            <c:spPr>
              <a:noFill/>
              <a:ln w="12700">
                <a:solidFill>
                  <a:schemeClr val="tx1"/>
                </a:solidFill>
              </a:ln>
            </c:spPr>
          </c:marker>
          <c:xVal>
            <c:numRef>
              <c:f>main!$B$79:$B$99</c:f>
              <c:numCache>
                <c:formatCode>General</c:formatCode>
                <c:ptCount val="21"/>
                <c:pt idx="0">
                  <c:v>4.75</c:v>
                </c:pt>
                <c:pt idx="1">
                  <c:v>2.36</c:v>
                </c:pt>
                <c:pt idx="2">
                  <c:v>1.18</c:v>
                </c:pt>
                <c:pt idx="3">
                  <c:v>0.6</c:v>
                </c:pt>
                <c:pt idx="4">
                  <c:v>0.3</c:v>
                </c:pt>
                <c:pt idx="5">
                  <c:v>0.15</c:v>
                </c:pt>
                <c:pt idx="6">
                  <c:v>7.4999999999999997E-2</c:v>
                </c:pt>
                <c:pt idx="7">
                  <c:v>4.931E-2</c:v>
                </c:pt>
                <c:pt idx="8">
                  <c:v>3.6260000000000001E-2</c:v>
                </c:pt>
                <c:pt idx="9">
                  <c:v>2.6980000000000001E-2</c:v>
                </c:pt>
                <c:pt idx="10">
                  <c:v>1.9810000000000001E-2</c:v>
                </c:pt>
                <c:pt idx="11">
                  <c:v>1.468E-2</c:v>
                </c:pt>
                <c:pt idx="12">
                  <c:v>1.107E-2</c:v>
                </c:pt>
                <c:pt idx="13">
                  <c:v>8.0400000000000003E-3</c:v>
                </c:pt>
                <c:pt idx="14">
                  <c:v>5.77E-3</c:v>
                </c:pt>
                <c:pt idx="15">
                  <c:v>4.1599999999999996E-3</c:v>
                </c:pt>
                <c:pt idx="16">
                  <c:v>2.9499999999999999E-3</c:v>
                </c:pt>
                <c:pt idx="17">
                  <c:v>2.1199999999999999E-3</c:v>
                </c:pt>
                <c:pt idx="18">
                  <c:v>1.25E-3</c:v>
                </c:pt>
                <c:pt idx="19">
                  <c:v>8.8000000000000003E-4</c:v>
                </c:pt>
                <c:pt idx="20">
                  <c:v>7.2000000000000005E-4</c:v>
                </c:pt>
              </c:numCache>
            </c:numRef>
          </c:xVal>
          <c:yVal>
            <c:numRef>
              <c:f>main!$C$79:$C$99</c:f>
              <c:numCache>
                <c:formatCode>General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97.3</c:v>
                </c:pt>
                <c:pt idx="7" formatCode="0.00">
                  <c:v>94.263685389999992</c:v>
                </c:pt>
                <c:pt idx="8" formatCode="0.00">
                  <c:v>86.615516189999994</c:v>
                </c:pt>
                <c:pt idx="9" formatCode="0.00">
                  <c:v>75.14326238999999</c:v>
                </c:pt>
                <c:pt idx="10" formatCode="0.00">
                  <c:v>65.583050889999996</c:v>
                </c:pt>
                <c:pt idx="11" formatCode="0.00">
                  <c:v>52.198754790000002</c:v>
                </c:pt>
                <c:pt idx="12" formatCode="0.00">
                  <c:v>43.594564439999992</c:v>
                </c:pt>
                <c:pt idx="13" formatCode="0.00">
                  <c:v>34.990374090000003</c:v>
                </c:pt>
                <c:pt idx="14" formatCode="0.00">
                  <c:v>29.063042959999997</c:v>
                </c:pt>
                <c:pt idx="15" formatCode="0.00">
                  <c:v>23.518120290000002</c:v>
                </c:pt>
                <c:pt idx="16" formatCode="0.00">
                  <c:v>20.267648379999997</c:v>
                </c:pt>
                <c:pt idx="17" formatCode="0.00">
                  <c:v>17.781993390000004</c:v>
                </c:pt>
                <c:pt idx="18" formatCode="0.00">
                  <c:v>15.869951089999999</c:v>
                </c:pt>
                <c:pt idx="19" formatCode="0.00">
                  <c:v>13.00188764</c:v>
                </c:pt>
                <c:pt idx="20" formatCode="0.00">
                  <c:v>13.00188764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1-446F-914E-C7C02DEDB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96704"/>
        <c:axId val="338800232"/>
      </c:scatterChart>
      <c:valAx>
        <c:axId val="338796704"/>
        <c:scaling>
          <c:logBase val="10"/>
          <c:orientation val="maxMin"/>
          <c:max val="10"/>
          <c:min val="1.000000000000004E-4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Particle</a:t>
                </a:r>
                <a:r>
                  <a:rPr lang="en-US" baseline="0"/>
                  <a:t> Size</a:t>
                </a:r>
                <a:r>
                  <a:rPr lang="en-US"/>
                  <a:t> (mm)</a:t>
                </a:r>
              </a:p>
            </c:rich>
          </c:tx>
          <c:layout>
            <c:manualLayout>
              <c:xMode val="edge"/>
              <c:yMode val="edge"/>
              <c:x val="0.41097526556991232"/>
              <c:y val="0.932217910560223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in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800232"/>
        <c:crossesAt val="0"/>
        <c:crossBetween val="midCat"/>
      </c:valAx>
      <c:valAx>
        <c:axId val="338800232"/>
        <c:scaling>
          <c:orientation val="minMax"/>
          <c:max val="100"/>
          <c:min val="0"/>
        </c:scaling>
        <c:delete val="0"/>
        <c:axPos val="r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 Finer (%)</a:t>
                </a:r>
              </a:p>
            </c:rich>
          </c:tx>
          <c:layout>
            <c:manualLayout>
              <c:xMode val="edge"/>
              <c:yMode val="edge"/>
              <c:x val="6.433647013635491E-3"/>
              <c:y val="0.288570298364129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high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6704"/>
        <c:crossesAt val="10"/>
        <c:crossBetween val="midCat"/>
        <c:majorUnit val="20"/>
        <c:minorUnit val="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83</xdr:row>
      <xdr:rowOff>0</xdr:rowOff>
    </xdr:from>
    <xdr:to>
      <xdr:col>21</xdr:col>
      <xdr:colOff>438150</xdr:colOff>
      <xdr:row>101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63</xdr:row>
      <xdr:rowOff>0</xdr:rowOff>
    </xdr:from>
    <xdr:to>
      <xdr:col>21</xdr:col>
      <xdr:colOff>409575</xdr:colOff>
      <xdr:row>80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590550</xdr:colOff>
      <xdr:row>0</xdr:row>
      <xdr:rowOff>57150</xdr:rowOff>
    </xdr:from>
    <xdr:to>
      <xdr:col>8</xdr:col>
      <xdr:colOff>590550</xdr:colOff>
      <xdr:row>5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590550" y="57150"/>
          <a:ext cx="4876800" cy="790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257175</xdr:colOff>
      <xdr:row>103</xdr:row>
      <xdr:rowOff>9525</xdr:rowOff>
    </xdr:from>
    <xdr:to>
      <xdr:col>21</xdr:col>
      <xdr:colOff>466725</xdr:colOff>
      <xdr:row>122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10</xdr:row>
      <xdr:rowOff>123825</xdr:rowOff>
    </xdr:from>
    <xdr:to>
      <xdr:col>20</xdr:col>
      <xdr:colOff>0</xdr:colOff>
      <xdr:row>23</xdr:row>
      <xdr:rowOff>76200</xdr:rowOff>
    </xdr:to>
    <xdr:grpSp>
      <xdr:nvGrpSpPr>
        <xdr:cNvPr id="8" name="Group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9950450" y="1774825"/>
          <a:ext cx="1365250" cy="2784475"/>
          <a:chOff x="973" y="190"/>
          <a:chExt cx="149" cy="216"/>
        </a:xfrm>
      </xdr:grpSpPr>
      <xdr:grpSp>
        <xdr:nvGrpSpPr>
          <xdr:cNvPr id="9" name="Group 10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973" y="190"/>
            <a:ext cx="149" cy="216"/>
            <a:chOff x="973" y="190"/>
            <a:chExt cx="149" cy="216"/>
          </a:xfrm>
        </xdr:grpSpPr>
        <xdr:sp macro="" textlink="">
          <xdr:nvSpPr>
            <xdr:cNvPr id="11" name="Line 11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199"/>
              <a:ext cx="0" cy="14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2" name="Line 12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5" y="199"/>
              <a:ext cx="0" cy="14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Arc 13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/>
            </xdr:cNvSpPr>
          </xdr:nvSpPr>
          <xdr:spPr bwMode="auto">
            <a:xfrm>
              <a:off x="1045" y="191"/>
              <a:ext cx="10" cy="8"/>
            </a:xfrm>
            <a:custGeom>
              <a:avLst/>
              <a:gdLst>
                <a:gd name="G0" fmla="+- 0 0 0"/>
                <a:gd name="G1" fmla="+- 20336 0 0"/>
                <a:gd name="G2" fmla="+- 21600 0 0"/>
                <a:gd name="T0" fmla="*/ 7279 w 21600"/>
                <a:gd name="T1" fmla="*/ 0 h 20336"/>
                <a:gd name="T2" fmla="*/ 21600 w 21600"/>
                <a:gd name="T3" fmla="*/ 20336 h 20336"/>
                <a:gd name="T4" fmla="*/ 0 w 21600"/>
                <a:gd name="T5" fmla="*/ 20336 h 2033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0336" fill="none" extrusionOk="0">
                  <a:moveTo>
                    <a:pt x="7279" y="-1"/>
                  </a:moveTo>
                  <a:cubicBezTo>
                    <a:pt x="15868" y="3073"/>
                    <a:pt x="21600" y="11213"/>
                    <a:pt x="21600" y="20336"/>
                  </a:cubicBezTo>
                </a:path>
                <a:path w="21600" h="20336" stroke="0" extrusionOk="0">
                  <a:moveTo>
                    <a:pt x="7279" y="-1"/>
                  </a:moveTo>
                  <a:cubicBezTo>
                    <a:pt x="15868" y="3073"/>
                    <a:pt x="21600" y="11213"/>
                    <a:pt x="21600" y="20336"/>
                  </a:cubicBezTo>
                  <a:lnTo>
                    <a:pt x="0" y="20336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Arc 14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/>
            </xdr:cNvSpPr>
          </xdr:nvSpPr>
          <xdr:spPr bwMode="auto">
            <a:xfrm flipH="1">
              <a:off x="1041" y="190"/>
              <a:ext cx="9" cy="9"/>
            </a:xfrm>
            <a:custGeom>
              <a:avLst/>
              <a:gdLst>
                <a:gd name="G0" fmla="+- 0 0 0"/>
                <a:gd name="G1" fmla="+- 21226 0 0"/>
                <a:gd name="G2" fmla="+- 21600 0 0"/>
                <a:gd name="T0" fmla="*/ 4004 w 21600"/>
                <a:gd name="T1" fmla="*/ 0 h 21226"/>
                <a:gd name="T2" fmla="*/ 21600 w 21600"/>
                <a:gd name="T3" fmla="*/ 21226 h 21226"/>
                <a:gd name="T4" fmla="*/ 0 w 21600"/>
                <a:gd name="T5" fmla="*/ 21226 h 212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226" fill="none" extrusionOk="0">
                  <a:moveTo>
                    <a:pt x="4003" y="0"/>
                  </a:moveTo>
                  <a:cubicBezTo>
                    <a:pt x="14209" y="1925"/>
                    <a:pt x="21600" y="10840"/>
                    <a:pt x="21600" y="21226"/>
                  </a:cubicBezTo>
                </a:path>
                <a:path w="21600" h="21226" stroke="0" extrusionOk="0">
                  <a:moveTo>
                    <a:pt x="4003" y="0"/>
                  </a:moveTo>
                  <a:cubicBezTo>
                    <a:pt x="14209" y="1925"/>
                    <a:pt x="21600" y="10840"/>
                    <a:pt x="21600" y="21226"/>
                  </a:cubicBezTo>
                  <a:lnTo>
                    <a:pt x="0" y="21226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Line 15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8" y="325"/>
              <a:ext cx="0" cy="7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prstDash val="dashDot"/>
              <a:round/>
              <a:headEnd/>
              <a:tailEnd/>
            </a:ln>
          </xdr:spPr>
        </xdr:sp>
        <xdr:sp macro="" textlink="">
          <xdr:nvSpPr>
            <xdr:cNvPr id="16" name="Line 1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32" y="348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7" name="Line 1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32" y="382"/>
              <a:ext cx="10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8" name="Line 18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5" y="348"/>
              <a:ext cx="8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9" name="Line 19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53" y="380"/>
              <a:ext cx="1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0" name="Freeform 20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376"/>
              <a:ext cx="1" cy="7"/>
            </a:xfrm>
            <a:custGeom>
              <a:avLst/>
              <a:gdLst/>
              <a:ahLst/>
              <a:cxnLst>
                <a:cxn ang="0">
                  <a:pos x="1" y="9"/>
                </a:cxn>
                <a:cxn ang="0">
                  <a:pos x="0" y="3"/>
                </a:cxn>
                <a:cxn ang="0">
                  <a:pos x="1" y="0"/>
                </a:cxn>
              </a:cxnLst>
              <a:rect l="0" t="0" r="r" b="b"/>
              <a:pathLst>
                <a:path w="1" h="9">
                  <a:moveTo>
                    <a:pt x="1" y="9"/>
                  </a:moveTo>
                  <a:cubicBezTo>
                    <a:pt x="0" y="6"/>
                    <a:pt x="0" y="4"/>
                    <a:pt x="0" y="3"/>
                  </a:cubicBezTo>
                  <a:cubicBezTo>
                    <a:pt x="0" y="2"/>
                    <a:pt x="1" y="0"/>
                    <a:pt x="1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1" name="Freeform 21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>
              <a:spLocks/>
            </xdr:cNvSpPr>
          </xdr:nvSpPr>
          <xdr:spPr bwMode="auto">
            <a:xfrm>
              <a:off x="1062" y="376"/>
              <a:ext cx="2" cy="6"/>
            </a:xfrm>
            <a:custGeom>
              <a:avLst/>
              <a:gdLst/>
              <a:ahLst/>
              <a:cxnLst>
                <a:cxn ang="0">
                  <a:pos x="1" y="0"/>
                </a:cxn>
                <a:cxn ang="0">
                  <a:pos x="2" y="3"/>
                </a:cxn>
                <a:cxn ang="0">
                  <a:pos x="0" y="8"/>
                </a:cxn>
              </a:cxnLst>
              <a:rect l="0" t="0" r="r" b="b"/>
              <a:pathLst>
                <a:path w="2" h="8">
                  <a:moveTo>
                    <a:pt x="1" y="0"/>
                  </a:moveTo>
                  <a:cubicBezTo>
                    <a:pt x="1" y="1"/>
                    <a:pt x="2" y="2"/>
                    <a:pt x="2" y="3"/>
                  </a:cubicBezTo>
                  <a:cubicBezTo>
                    <a:pt x="2" y="4"/>
                    <a:pt x="1" y="6"/>
                    <a:pt x="0" y="8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2" name="Freeform 22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>
              <a:spLocks/>
            </xdr:cNvSpPr>
          </xdr:nvSpPr>
          <xdr:spPr bwMode="auto">
            <a:xfrm>
              <a:off x="1042" y="400"/>
              <a:ext cx="11" cy="5"/>
            </a:xfrm>
            <a:custGeom>
              <a:avLst/>
              <a:gdLst/>
              <a:ahLst/>
              <a:cxnLst>
                <a:cxn ang="0">
                  <a:pos x="0" y="2"/>
                </a:cxn>
                <a:cxn ang="0">
                  <a:pos x="4" y="5"/>
                </a:cxn>
                <a:cxn ang="0">
                  <a:pos x="10" y="5"/>
                </a:cxn>
                <a:cxn ang="0">
                  <a:pos x="14" y="0"/>
                </a:cxn>
              </a:cxnLst>
              <a:rect l="0" t="0" r="r" b="b"/>
              <a:pathLst>
                <a:path w="14" h="6">
                  <a:moveTo>
                    <a:pt x="0" y="2"/>
                  </a:moveTo>
                  <a:cubicBezTo>
                    <a:pt x="1" y="3"/>
                    <a:pt x="2" y="4"/>
                    <a:pt x="4" y="5"/>
                  </a:cubicBezTo>
                  <a:cubicBezTo>
                    <a:pt x="6" y="6"/>
                    <a:pt x="8" y="6"/>
                    <a:pt x="10" y="5"/>
                  </a:cubicBezTo>
                  <a:cubicBezTo>
                    <a:pt x="12" y="4"/>
                    <a:pt x="13" y="2"/>
                    <a:pt x="14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3" name="Freeform 23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>
              <a:spLocks/>
            </xdr:cNvSpPr>
          </xdr:nvSpPr>
          <xdr:spPr bwMode="auto">
            <a:xfrm>
              <a:off x="1055" y="342"/>
              <a:ext cx="1" cy="5"/>
            </a:xfrm>
            <a:custGeom>
              <a:avLst/>
              <a:gdLst/>
              <a:ahLst/>
              <a:cxnLst>
                <a:cxn ang="0">
                  <a:pos x="1" y="7"/>
                </a:cxn>
                <a:cxn ang="0">
                  <a:pos x="0" y="5"/>
                </a:cxn>
                <a:cxn ang="0">
                  <a:pos x="0" y="0"/>
                </a:cxn>
              </a:cxnLst>
              <a:rect l="0" t="0" r="r" b="b"/>
              <a:pathLst>
                <a:path w="1" h="7">
                  <a:moveTo>
                    <a:pt x="1" y="7"/>
                  </a:moveTo>
                  <a:cubicBezTo>
                    <a:pt x="0" y="6"/>
                    <a:pt x="0" y="6"/>
                    <a:pt x="0" y="5"/>
                  </a:cubicBezTo>
                  <a:cubicBezTo>
                    <a:pt x="0" y="4"/>
                    <a:pt x="0" y="2"/>
                    <a:pt x="0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4" name="Line 24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39" y="379"/>
              <a:ext cx="18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prstDash val="dashDot"/>
              <a:round/>
              <a:headEnd/>
              <a:tailEnd/>
            </a:ln>
          </xdr:spPr>
        </xdr:sp>
        <xdr:sp macro="" textlink="">
          <xdr:nvSpPr>
            <xdr:cNvPr id="25" name="Line 25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85" y="274"/>
              <a:ext cx="5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arrow" w="med" len="med"/>
              <a:tailEnd/>
            </a:ln>
          </xdr:spPr>
        </xdr:sp>
        <xdr:sp macro="" textlink="">
          <xdr:nvSpPr>
            <xdr:cNvPr id="26" name="Line 26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99" y="345"/>
              <a:ext cx="40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7" name="Arc 27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>
              <a:spLocks/>
            </xdr:cNvSpPr>
          </xdr:nvSpPr>
          <xdr:spPr bwMode="auto">
            <a:xfrm flipV="1">
              <a:off x="1032" y="265"/>
              <a:ext cx="9" cy="9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8" name="Line 28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04" y="265"/>
              <a:ext cx="3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" name="Text Box 29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7" y="255"/>
              <a:ext cx="21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R</a:t>
              </a:r>
              <a:r>
                <a:rPr lang="en-US" sz="800" b="0" i="0" strike="noStrike" baseline="-25000">
                  <a:solidFill>
                    <a:srgbClr val="000000"/>
                  </a:solidFill>
                  <a:latin typeface="Arial"/>
                  <a:cs typeface="Arial"/>
                </a:rPr>
                <a:t>a</a:t>
              </a:r>
            </a:p>
          </xdr:txBody>
        </xdr:sp>
        <xdr:sp macro="" textlink="">
          <xdr:nvSpPr>
            <xdr:cNvPr id="30" name="Text Box 30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" y="266"/>
              <a:ext cx="16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R</a:t>
              </a:r>
            </a:p>
          </xdr:txBody>
        </xdr:sp>
        <xdr:sp macro="" textlink="">
          <xdr:nvSpPr>
            <xdr:cNvPr id="31" name="Line 31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8" y="274"/>
              <a:ext cx="0" cy="27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stealth" w="sm" len="sm"/>
              <a:tailEnd/>
            </a:ln>
          </xdr:spPr>
        </xdr:sp>
        <xdr:sp macro="" textlink="">
          <xdr:nvSpPr>
            <xdr:cNvPr id="32" name="Text Box 32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3" y="299"/>
              <a:ext cx="17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L</a:t>
              </a:r>
              <a:r>
                <a:rPr lang="en-US" sz="800" b="0" i="0" strike="noStrike" baseline="-25000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33" name="Line 33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8" y="314"/>
              <a:ext cx="0" cy="3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34" name="Line 34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00" y="406"/>
              <a:ext cx="3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5" name="Line 35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08" y="345"/>
              <a:ext cx="0" cy="2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36" name="Text Box 36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2" y="365"/>
              <a:ext cx="20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L</a:t>
              </a:r>
              <a:r>
                <a:rPr lang="en-US" sz="800" b="0" i="0" strike="noStrike" baseline="-25000">
                  <a:solidFill>
                    <a:srgbClr val="000000"/>
                  </a:solidFill>
                  <a:latin typeface="Arial"/>
                  <a:cs typeface="Arial"/>
                </a:rPr>
                <a:t>2</a:t>
              </a:r>
            </a:p>
          </xdr:txBody>
        </xdr:sp>
        <xdr:sp macro="" textlink="">
          <xdr:nvSpPr>
            <xdr:cNvPr id="37" name="Line 37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8" y="381"/>
              <a:ext cx="0" cy="25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38" name="Line 38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62" y="274"/>
              <a:ext cx="3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" name="Arc 39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>
              <a:spLocks/>
            </xdr:cNvSpPr>
          </xdr:nvSpPr>
          <xdr:spPr bwMode="auto">
            <a:xfrm>
              <a:off x="1055" y="264"/>
              <a:ext cx="9" cy="10"/>
            </a:xfrm>
            <a:custGeom>
              <a:avLst/>
              <a:gdLst>
                <a:gd name="G0" fmla="+- 21585 0 0"/>
                <a:gd name="G1" fmla="+- 0 0 0"/>
                <a:gd name="G2" fmla="+- 21600 0 0"/>
                <a:gd name="T0" fmla="*/ 20063 w 21585"/>
                <a:gd name="T1" fmla="*/ 21546 h 21546"/>
                <a:gd name="T2" fmla="*/ 0 w 21585"/>
                <a:gd name="T3" fmla="*/ 806 h 21546"/>
                <a:gd name="T4" fmla="*/ 21585 w 21585"/>
                <a:gd name="T5" fmla="*/ 0 h 2154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585" h="21546" fill="none" extrusionOk="0">
                  <a:moveTo>
                    <a:pt x="20062" y="21546"/>
                  </a:moveTo>
                  <a:cubicBezTo>
                    <a:pt x="9060" y="20769"/>
                    <a:pt x="411" y="11827"/>
                    <a:pt x="0" y="805"/>
                  </a:cubicBezTo>
                </a:path>
                <a:path w="21585" h="21546" stroke="0" extrusionOk="0">
                  <a:moveTo>
                    <a:pt x="20062" y="21546"/>
                  </a:moveTo>
                  <a:cubicBezTo>
                    <a:pt x="9060" y="20769"/>
                    <a:pt x="411" y="11827"/>
                    <a:pt x="0" y="805"/>
                  </a:cubicBezTo>
                  <a:lnTo>
                    <a:pt x="21585" y="0"/>
                  </a:lnTo>
                  <a:close/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0" name="Line 40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68" y="379"/>
              <a:ext cx="29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1" name="Line 41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79" y="274"/>
              <a:ext cx="0" cy="47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42" name="Text Box 42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" y="321"/>
              <a:ext cx="11" cy="14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L</a:t>
              </a:r>
            </a:p>
          </xdr:txBody>
        </xdr:sp>
        <xdr:sp macro="" textlink="">
          <xdr:nvSpPr>
            <xdr:cNvPr id="43" name="Line 43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79" y="337"/>
              <a:ext cx="0" cy="43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44" name="Line 44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2" y="223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5" name="Line 45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36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6" name="Line 46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49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7" name="Line 47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2" y="345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8" name="Line 48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61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9" name="Line 49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74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0" name="Line 50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85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1" name="Line 51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97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2" name="Line 52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2" y="309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3" name="Line 53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320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4" name="Line 54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332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5" name="Freeform 55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>
              <a:spLocks/>
            </xdr:cNvSpPr>
          </xdr:nvSpPr>
          <xdr:spPr bwMode="auto">
            <a:xfrm>
              <a:off x="1041" y="344"/>
              <a:ext cx="1" cy="4"/>
            </a:xfrm>
            <a:custGeom>
              <a:avLst/>
              <a:gdLst/>
              <a:ahLst/>
              <a:cxnLst>
                <a:cxn ang="0">
                  <a:pos x="0" y="4"/>
                </a:cxn>
                <a:cxn ang="0">
                  <a:pos x="0" y="2"/>
                </a:cxn>
                <a:cxn ang="0">
                  <a:pos x="0" y="0"/>
                </a:cxn>
              </a:cxnLst>
              <a:rect l="0" t="0" r="r" b="b"/>
              <a:pathLst>
                <a:path w="1" h="4">
                  <a:moveTo>
                    <a:pt x="0" y="4"/>
                  </a:moveTo>
                  <a:cubicBezTo>
                    <a:pt x="0" y="3"/>
                    <a:pt x="0" y="3"/>
                    <a:pt x="0" y="2"/>
                  </a:cubicBezTo>
                  <a:cubicBezTo>
                    <a:pt x="0" y="1"/>
                    <a:pt x="0" y="0"/>
                    <a:pt x="0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6" name="Line 56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22" y="257"/>
              <a:ext cx="0" cy="9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stealth" w="sm" len="sm"/>
              <a:tailEnd type="none" w="sm" len="sm"/>
            </a:ln>
          </xdr:spPr>
        </xdr:sp>
        <xdr:sp macro="" textlink="">
          <xdr:nvSpPr>
            <xdr:cNvPr id="57" name="Line 57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22" y="274"/>
              <a:ext cx="0" cy="9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stealth" w="sm" len="sm"/>
              <a:tailEnd type="none" w="sm" len="sm"/>
            </a:ln>
          </xdr:spPr>
        </xdr:sp>
        <xdr:sp macro="" textlink="">
          <xdr:nvSpPr>
            <xdr:cNvPr id="58" name="Text Box 58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6" y="220"/>
              <a:ext cx="56" cy="3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Meniscus</a:t>
              </a:r>
            </a:p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correction</a:t>
              </a:r>
            </a:p>
          </xdr:txBody>
        </xdr:sp>
      </xdr:grpSp>
      <xdr:sp macro="" textlink="">
        <xdr:nvSpPr>
          <xdr:cNvPr id="10" name="Line 5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022" y="231"/>
            <a:ext cx="46" cy="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0</xdr:col>
      <xdr:colOff>38100</xdr:colOff>
      <xdr:row>0</xdr:row>
      <xdr:rowOff>1</xdr:rowOff>
    </xdr:from>
    <xdr:to>
      <xdr:col>9</xdr:col>
      <xdr:colOff>50800</xdr:colOff>
      <xdr:row>6</xdr:row>
      <xdr:rowOff>1</xdr:rowOff>
    </xdr:to>
    <xdr:pic>
      <xdr:nvPicPr>
        <xdr:cNvPr id="60" name="Picture 1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l="1987" b="18405"/>
        <a:stretch>
          <a:fillRect/>
        </a:stretch>
      </xdr:blipFill>
      <xdr:spPr bwMode="auto">
        <a:xfrm>
          <a:off x="38100" y="1"/>
          <a:ext cx="54483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552450</xdr:colOff>
      <xdr:row>17</xdr:row>
      <xdr:rowOff>133350</xdr:rowOff>
    </xdr:from>
    <xdr:to>
      <xdr:col>8</xdr:col>
      <xdr:colOff>273558</xdr:colOff>
      <xdr:row>19</xdr:row>
      <xdr:rowOff>113157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4219575" y="3086100"/>
          <a:ext cx="978408" cy="484632"/>
        </a:xfrm>
        <a:prstGeom prst="right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20</xdr:row>
      <xdr:rowOff>161925</xdr:rowOff>
    </xdr:from>
    <xdr:to>
      <xdr:col>4</xdr:col>
      <xdr:colOff>398907</xdr:colOff>
      <xdr:row>24</xdr:row>
      <xdr:rowOff>130683</xdr:rowOff>
    </xdr:to>
    <xdr:sp macro="" textlink="">
      <xdr:nvSpPr>
        <xdr:cNvPr id="61" name="Down Arrow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 bwMode="auto">
        <a:xfrm>
          <a:off x="2362200" y="3876675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523875</xdr:colOff>
      <xdr:row>31</xdr:row>
      <xdr:rowOff>152400</xdr:rowOff>
    </xdr:from>
    <xdr:to>
      <xdr:col>4</xdr:col>
      <xdr:colOff>389382</xdr:colOff>
      <xdr:row>34</xdr:row>
      <xdr:rowOff>92583</xdr:rowOff>
    </xdr:to>
    <xdr:sp macro="" textlink="">
      <xdr:nvSpPr>
        <xdr:cNvPr id="62" name="Down Arrow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 bwMode="auto">
        <a:xfrm>
          <a:off x="2352675" y="6219825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552450</xdr:colOff>
      <xdr:row>42</xdr:row>
      <xdr:rowOff>38100</xdr:rowOff>
    </xdr:from>
    <xdr:to>
      <xdr:col>4</xdr:col>
      <xdr:colOff>417957</xdr:colOff>
      <xdr:row>46</xdr:row>
      <xdr:rowOff>92583</xdr:rowOff>
    </xdr:to>
    <xdr:sp macro="" textlink="">
      <xdr:nvSpPr>
        <xdr:cNvPr id="63" name="Down Arrow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 bwMode="auto">
        <a:xfrm>
          <a:off x="2381250" y="8439150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485775</xdr:colOff>
      <xdr:row>52</xdr:row>
      <xdr:rowOff>133350</xdr:rowOff>
    </xdr:from>
    <xdr:to>
      <xdr:col>4</xdr:col>
      <xdr:colOff>351282</xdr:colOff>
      <xdr:row>58</xdr:row>
      <xdr:rowOff>140208</xdr:rowOff>
    </xdr:to>
    <xdr:sp macro="" textlink="">
      <xdr:nvSpPr>
        <xdr:cNvPr id="64" name="Down Arrow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 bwMode="auto">
        <a:xfrm>
          <a:off x="2314575" y="10439400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676275</xdr:colOff>
      <xdr:row>22</xdr:row>
      <xdr:rowOff>0</xdr:rowOff>
    </xdr:from>
    <xdr:to>
      <xdr:col>9</xdr:col>
      <xdr:colOff>92202</xdr:colOff>
      <xdr:row>25</xdr:row>
      <xdr:rowOff>17145</xdr:rowOff>
    </xdr:to>
    <xdr:sp macro="" textlink="">
      <xdr:nvSpPr>
        <xdr:cNvPr id="65" name="Curved Down Arrow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 bwMode="auto">
        <a:xfrm>
          <a:off x="4343400" y="4257675"/>
          <a:ext cx="1216152" cy="731520"/>
        </a:xfrm>
        <a:prstGeom prst="curved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323850</xdr:colOff>
      <xdr:row>60</xdr:row>
      <xdr:rowOff>66675</xdr:rowOff>
    </xdr:from>
    <xdr:to>
      <xdr:col>7</xdr:col>
      <xdr:colOff>65532</xdr:colOff>
      <xdr:row>66</xdr:row>
      <xdr:rowOff>64008</xdr:rowOff>
    </xdr:to>
    <xdr:sp macro="" textlink="">
      <xdr:nvSpPr>
        <xdr:cNvPr id="66" name="Down Arrow 63">
          <a:extLst>
            <a:ext uri="{FF2B5EF4-FFF2-40B4-BE49-F238E27FC236}">
              <a16:creationId xmlns:a16="http://schemas.microsoft.com/office/drawing/2014/main" id="{DA1958EF-52A2-48AC-8654-25A62D6598CC}"/>
            </a:ext>
          </a:extLst>
        </xdr:cNvPr>
        <xdr:cNvSpPr/>
      </xdr:nvSpPr>
      <xdr:spPr bwMode="auto">
        <a:xfrm>
          <a:off x="3990975" y="11668125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70</xdr:row>
      <xdr:rowOff>38100</xdr:rowOff>
    </xdr:from>
    <xdr:to>
      <xdr:col>5</xdr:col>
      <xdr:colOff>503682</xdr:colOff>
      <xdr:row>76</xdr:row>
      <xdr:rowOff>35433</xdr:rowOff>
    </xdr:to>
    <xdr:sp macro="" textlink="">
      <xdr:nvSpPr>
        <xdr:cNvPr id="67" name="Down Arrow 63">
          <a:extLst>
            <a:ext uri="{FF2B5EF4-FFF2-40B4-BE49-F238E27FC236}">
              <a16:creationId xmlns:a16="http://schemas.microsoft.com/office/drawing/2014/main" id="{C25D2893-3842-4902-8ABE-82FB0C46611C}"/>
            </a:ext>
          </a:extLst>
        </xdr:cNvPr>
        <xdr:cNvSpPr/>
      </xdr:nvSpPr>
      <xdr:spPr bwMode="auto">
        <a:xfrm rot="2532061">
          <a:off x="3076575" y="13277850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210312</xdr:colOff>
      <xdr:row>82</xdr:row>
      <xdr:rowOff>94488</xdr:rowOff>
    </xdr:from>
    <xdr:to>
      <xdr:col>5</xdr:col>
      <xdr:colOff>579120</xdr:colOff>
      <xdr:row>84</xdr:row>
      <xdr:rowOff>131445</xdr:rowOff>
    </xdr:to>
    <xdr:sp macro="" textlink="">
      <xdr:nvSpPr>
        <xdr:cNvPr id="68" name="Down Arrow 63">
          <a:extLst>
            <a:ext uri="{FF2B5EF4-FFF2-40B4-BE49-F238E27FC236}">
              <a16:creationId xmlns:a16="http://schemas.microsoft.com/office/drawing/2014/main" id="{052BFE33-7641-4675-BAB6-CC24E0C45CED}"/>
            </a:ext>
          </a:extLst>
        </xdr:cNvPr>
        <xdr:cNvSpPr/>
      </xdr:nvSpPr>
      <xdr:spPr bwMode="auto">
        <a:xfrm rot="5400000">
          <a:off x="2905125" y="15039975"/>
          <a:ext cx="484632" cy="978408"/>
        </a:xfrm>
        <a:prstGeom prst="downArrow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2</xdr:row>
      <xdr:rowOff>142875</xdr:rowOff>
    </xdr:from>
    <xdr:to>
      <xdr:col>6</xdr:col>
      <xdr:colOff>737235</xdr:colOff>
      <xdr:row>4</xdr:row>
      <xdr:rowOff>47625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2ABBC69-0F20-4710-9AF3-3AF570A87A51}"/>
            </a:ext>
          </a:extLst>
        </xdr:cNvPr>
        <xdr:cNvSpPr txBox="1"/>
      </xdr:nvSpPr>
      <xdr:spPr>
        <a:xfrm>
          <a:off x="838200" y="504825"/>
          <a:ext cx="356616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t"/>
        <a:lstStyle/>
        <a:p>
          <a:pPr algn="ctr"/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Mobile: 01819557964; PABX: 55167228-57 Ext. 7226;</a:t>
          </a:r>
          <a:r>
            <a:rPr lang="en-US" sz="850" baseline="0">
              <a:solidFill>
                <a:schemeClr val="tx1"/>
              </a:solidFill>
              <a:latin typeface="Arial Narrow" panose="020B0606020202030204" pitchFamily="34" charset="0"/>
            </a:rPr>
            <a:t> </a:t>
          </a:r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http://brtc.ce.buet.ac.bd/#/home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57150</xdr:rowOff>
    </xdr:from>
    <xdr:to>
      <xdr:col>8</xdr:col>
      <xdr:colOff>523875</xdr:colOff>
      <xdr:row>35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0</xdr:row>
      <xdr:rowOff>57150</xdr:rowOff>
    </xdr:from>
    <xdr:to>
      <xdr:col>8</xdr:col>
      <xdr:colOff>590550</xdr:colOff>
      <xdr:row>5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590550" y="57150"/>
          <a:ext cx="4876800" cy="790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38100</xdr:colOff>
      <xdr:row>0</xdr:row>
      <xdr:rowOff>1</xdr:rowOff>
    </xdr:from>
    <xdr:to>
      <xdr:col>9</xdr:col>
      <xdr:colOff>19050</xdr:colOff>
      <xdr:row>6</xdr:row>
      <xdr:rowOff>1</xdr:rowOff>
    </xdr:to>
    <xdr:pic>
      <xdr:nvPicPr>
        <xdr:cNvPr id="59" name="Picture 16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1987" b="18405"/>
        <a:stretch>
          <a:fillRect/>
        </a:stretch>
      </xdr:blipFill>
      <xdr:spPr bwMode="auto">
        <a:xfrm>
          <a:off x="38100" y="1"/>
          <a:ext cx="54483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238125</xdr:colOff>
      <xdr:row>2</xdr:row>
      <xdr:rowOff>133350</xdr:rowOff>
    </xdr:from>
    <xdr:to>
      <xdr:col>7</xdr:col>
      <xdr:colOff>3810</xdr:colOff>
      <xdr:row>4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D47807D-A3D2-4698-82F6-15C5DADDC279}"/>
            </a:ext>
          </a:extLst>
        </xdr:cNvPr>
        <xdr:cNvSpPr txBox="1"/>
      </xdr:nvSpPr>
      <xdr:spPr>
        <a:xfrm>
          <a:off x="847725" y="495300"/>
          <a:ext cx="356616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t"/>
        <a:lstStyle/>
        <a:p>
          <a:pPr algn="ctr"/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Mobile: 01819557964; PABX: 55167228-57 Ext. 7226;</a:t>
          </a:r>
          <a:r>
            <a:rPr lang="en-US" sz="850" baseline="0">
              <a:solidFill>
                <a:schemeClr val="tx1"/>
              </a:solidFill>
              <a:latin typeface="Arial Narrow" panose="020B0606020202030204" pitchFamily="34" charset="0"/>
            </a:rPr>
            <a:t> </a:t>
          </a:r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http://brtc.ce.buet.ac.bd/#/home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1"/>
  <sheetViews>
    <sheetView topLeftCell="B82" zoomScaleNormal="100" zoomScaleSheetLayoutView="100" workbookViewId="0">
      <selection activeCell="E69" sqref="E69"/>
    </sheetView>
  </sheetViews>
  <sheetFormatPr defaultRowHeight="12.5" x14ac:dyDescent="0.25"/>
  <cols>
    <col min="4" max="4" width="9.26953125" bestFit="1" customWidth="1"/>
    <col min="6" max="6" width="8.26953125" bestFit="1" customWidth="1"/>
    <col min="7" max="7" width="11.1796875" customWidth="1"/>
    <col min="8" max="8" width="7.7265625" customWidth="1"/>
    <col min="9" max="9" width="8.1796875" customWidth="1"/>
    <col min="10" max="10" width="9.1796875" customWidth="1"/>
    <col min="11" max="11" width="7.54296875" customWidth="1"/>
    <col min="12" max="12" width="6.81640625" customWidth="1"/>
    <col min="13" max="13" width="7.26953125" customWidth="1"/>
    <col min="14" max="15" width="8.54296875" customWidth="1"/>
    <col min="17" max="17" width="6.26953125" customWidth="1"/>
    <col min="18" max="18" width="7" customWidth="1"/>
    <col min="19" max="19" width="5.81640625" customWidth="1"/>
    <col min="20" max="20" width="6.7265625" customWidth="1"/>
    <col min="21" max="21" width="7.1796875" customWidth="1"/>
    <col min="22" max="22" width="7" customWidth="1"/>
  </cols>
  <sheetData>
    <row r="1" spans="1:37" ht="14" x14ac:dyDescent="0.3">
      <c r="B1" s="4"/>
      <c r="C1" s="4"/>
      <c r="D1" s="4"/>
      <c r="E1" s="4"/>
      <c r="F1" s="4"/>
      <c r="G1" s="4"/>
      <c r="H1" s="4"/>
      <c r="AG1" s="34"/>
      <c r="AH1" s="34"/>
      <c r="AI1" s="34"/>
      <c r="AJ1" s="34"/>
      <c r="AK1" s="34"/>
    </row>
    <row r="2" spans="1:37" ht="14" x14ac:dyDescent="0.3">
      <c r="A2" s="4"/>
      <c r="B2" s="4"/>
      <c r="C2" s="5"/>
      <c r="D2" s="4"/>
      <c r="E2" s="4"/>
      <c r="F2" s="4"/>
      <c r="G2" s="4"/>
      <c r="H2" s="4"/>
      <c r="AG2" s="34"/>
      <c r="AH2" s="34"/>
      <c r="AI2" s="34"/>
      <c r="AJ2" s="34"/>
      <c r="AK2" s="34"/>
    </row>
    <row r="3" spans="1:37" ht="13" x14ac:dyDescent="0.3">
      <c r="D3" s="6"/>
      <c r="AG3" s="34"/>
      <c r="AH3" s="34"/>
      <c r="AI3" s="34"/>
      <c r="AJ3" s="34"/>
      <c r="AK3" s="34"/>
    </row>
    <row r="4" spans="1:37" ht="13" x14ac:dyDescent="0.3">
      <c r="D4" s="9"/>
      <c r="AG4" s="34"/>
      <c r="AH4" s="34"/>
      <c r="AI4" s="34"/>
      <c r="AJ4" s="34"/>
      <c r="AK4" s="34"/>
    </row>
    <row r="5" spans="1:37" x14ac:dyDescent="0.25">
      <c r="AG5" s="34"/>
      <c r="AH5" s="34"/>
      <c r="AI5" s="34"/>
      <c r="AJ5" s="34"/>
      <c r="AK5" s="34"/>
    </row>
    <row r="6" spans="1:37" x14ac:dyDescent="0.25">
      <c r="AG6" s="34"/>
      <c r="AH6" s="34"/>
      <c r="AI6" s="34"/>
      <c r="AJ6" s="34"/>
      <c r="AK6" s="34"/>
    </row>
    <row r="7" spans="1:37" ht="13" x14ac:dyDescent="0.25">
      <c r="J7" s="84"/>
      <c r="K7" s="185"/>
      <c r="L7" s="185"/>
      <c r="M7" s="185"/>
      <c r="N7" s="185"/>
      <c r="O7" s="185"/>
      <c r="P7" s="186"/>
      <c r="Q7" s="186"/>
      <c r="R7" s="186"/>
      <c r="S7" s="85"/>
      <c r="T7" s="187"/>
      <c r="U7" s="188"/>
      <c r="V7" s="188"/>
      <c r="AG7" s="34"/>
      <c r="AH7" s="34"/>
      <c r="AI7" s="34"/>
      <c r="AJ7" s="34"/>
      <c r="AK7" s="34"/>
    </row>
    <row r="8" spans="1:37" ht="12.75" customHeight="1" x14ac:dyDescent="0.25">
      <c r="A8" s="84" t="s">
        <v>93</v>
      </c>
      <c r="B8" s="199" t="s">
        <v>142</v>
      </c>
      <c r="C8" s="199"/>
      <c r="D8" s="199"/>
      <c r="E8" s="199"/>
      <c r="F8" s="187" t="s">
        <v>45</v>
      </c>
      <c r="G8" s="211" t="s">
        <v>144</v>
      </c>
      <c r="H8" s="211"/>
      <c r="I8" s="211"/>
      <c r="J8" s="84"/>
      <c r="K8" s="185"/>
      <c r="L8" s="185"/>
      <c r="M8" s="185"/>
      <c r="N8" s="185"/>
      <c r="O8" s="185"/>
      <c r="P8" s="186"/>
      <c r="Q8" s="186"/>
      <c r="R8" s="186"/>
      <c r="S8" s="85"/>
      <c r="T8" s="189"/>
      <c r="U8" s="189"/>
      <c r="V8" s="188"/>
      <c r="AG8" s="34"/>
      <c r="AH8" s="34"/>
      <c r="AI8" s="34"/>
      <c r="AJ8" s="34"/>
      <c r="AK8" s="34"/>
    </row>
    <row r="9" spans="1:37" ht="13" x14ac:dyDescent="0.25">
      <c r="A9" s="90" t="s">
        <v>96</v>
      </c>
      <c r="B9" s="95" t="s">
        <v>143</v>
      </c>
      <c r="C9" s="95"/>
      <c r="D9" s="95"/>
      <c r="E9" s="95"/>
      <c r="F9" s="187"/>
      <c r="G9" s="211"/>
      <c r="H9" s="211"/>
      <c r="I9" s="211"/>
      <c r="J9" s="84"/>
      <c r="K9" s="185"/>
      <c r="L9" s="185"/>
      <c r="M9" s="185"/>
      <c r="N9" s="185"/>
      <c r="O9" s="185"/>
      <c r="P9" s="185"/>
      <c r="Q9" s="185"/>
      <c r="R9" s="185"/>
      <c r="S9" s="85"/>
      <c r="T9" s="87"/>
      <c r="U9" s="189"/>
      <c r="V9" s="188"/>
      <c r="AG9" s="34"/>
      <c r="AH9" s="34"/>
      <c r="AI9" s="34"/>
      <c r="AJ9" s="34"/>
      <c r="AK9" s="34"/>
    </row>
    <row r="10" spans="1:37" x14ac:dyDescent="0.25">
      <c r="A10" s="84" t="s">
        <v>94</v>
      </c>
      <c r="B10" s="199" t="s">
        <v>145</v>
      </c>
      <c r="C10" s="199"/>
      <c r="D10" s="199"/>
      <c r="E10" s="199"/>
      <c r="F10" s="187"/>
      <c r="G10" s="211"/>
      <c r="H10" s="211"/>
      <c r="I10" s="211"/>
      <c r="J10" s="84"/>
      <c r="K10" s="96"/>
      <c r="L10" s="193"/>
      <c r="M10" s="193"/>
      <c r="N10" s="193"/>
      <c r="O10" s="193"/>
      <c r="P10" s="193"/>
      <c r="Q10" s="193"/>
      <c r="R10" s="193"/>
      <c r="S10" s="193"/>
      <c r="T10" s="194"/>
      <c r="U10" s="194"/>
      <c r="V10" s="194"/>
      <c r="AG10" s="34"/>
      <c r="AH10" s="34"/>
      <c r="AI10" s="34"/>
      <c r="AJ10" s="34"/>
      <c r="AK10" s="34"/>
    </row>
    <row r="11" spans="1:37" x14ac:dyDescent="0.25">
      <c r="A11" s="85" t="s">
        <v>97</v>
      </c>
      <c r="B11" s="87"/>
      <c r="C11" s="167">
        <v>2</v>
      </c>
      <c r="D11" s="91"/>
      <c r="E11" s="92"/>
      <c r="F11" s="187"/>
      <c r="G11" s="211"/>
      <c r="H11" s="211"/>
      <c r="I11" s="2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AG11" s="34"/>
      <c r="AH11" s="34"/>
      <c r="AI11" s="34"/>
      <c r="AJ11" s="34"/>
      <c r="AK11" s="34"/>
    </row>
    <row r="12" spans="1:37" ht="13.5" x14ac:dyDescent="0.35">
      <c r="A12" s="166" t="s">
        <v>98</v>
      </c>
      <c r="B12" s="87"/>
      <c r="C12" s="167" t="s">
        <v>146</v>
      </c>
      <c r="D12" s="91"/>
      <c r="E12" s="92"/>
      <c r="F12" s="86" t="s">
        <v>101</v>
      </c>
      <c r="G12" s="95" t="s">
        <v>149</v>
      </c>
      <c r="H12" s="103"/>
      <c r="I12" s="94"/>
      <c r="J12" s="10" t="s">
        <v>20</v>
      </c>
      <c r="M12" s="8" t="s">
        <v>18</v>
      </c>
      <c r="N12" s="70">
        <v>100</v>
      </c>
      <c r="O12" s="1" t="s">
        <v>16</v>
      </c>
      <c r="AG12" s="34"/>
      <c r="AH12" s="34"/>
      <c r="AI12" s="34"/>
      <c r="AJ12" s="34"/>
      <c r="AK12" s="34"/>
    </row>
    <row r="13" spans="1:37" x14ac:dyDescent="0.25">
      <c r="A13" s="85" t="s">
        <v>99</v>
      </c>
      <c r="B13" s="89"/>
      <c r="C13" s="170" t="s">
        <v>147</v>
      </c>
      <c r="D13" s="94"/>
      <c r="E13" s="92"/>
      <c r="F13" s="88" t="s">
        <v>100</v>
      </c>
      <c r="G13" s="210" t="s">
        <v>154</v>
      </c>
      <c r="H13" s="210"/>
      <c r="I13" s="210"/>
      <c r="J13" s="79" t="s">
        <v>46</v>
      </c>
      <c r="K13" s="17" t="s">
        <v>11</v>
      </c>
      <c r="L13" s="18" t="s">
        <v>12</v>
      </c>
      <c r="M13" s="17" t="s">
        <v>13</v>
      </c>
      <c r="N13" s="18" t="s">
        <v>14</v>
      </c>
      <c r="O13" s="17" t="s">
        <v>15</v>
      </c>
      <c r="AG13" s="34"/>
      <c r="AH13" s="34"/>
      <c r="AI13" s="34"/>
      <c r="AJ13" s="34"/>
      <c r="AK13" s="34"/>
    </row>
    <row r="14" spans="1:37" x14ac:dyDescent="0.25">
      <c r="A14" s="85" t="s">
        <v>102</v>
      </c>
      <c r="B14" s="89"/>
      <c r="C14" s="106"/>
      <c r="D14" s="105" t="s">
        <v>148</v>
      </c>
      <c r="E14" s="93"/>
      <c r="F14" s="104"/>
      <c r="G14" s="210"/>
      <c r="H14" s="210"/>
      <c r="I14" s="210"/>
      <c r="J14" s="20" t="s">
        <v>47</v>
      </c>
      <c r="K14" s="19" t="s">
        <v>8</v>
      </c>
      <c r="L14" s="20" t="s">
        <v>16</v>
      </c>
      <c r="M14" s="19" t="s">
        <v>17</v>
      </c>
      <c r="N14" s="20" t="s">
        <v>17</v>
      </c>
      <c r="O14" s="19"/>
      <c r="AG14" s="34"/>
      <c r="AH14" s="34"/>
      <c r="AI14" s="34"/>
      <c r="AJ14" s="34"/>
      <c r="AK14" s="34"/>
    </row>
    <row r="15" spans="1:37" ht="15.5" x14ac:dyDescent="0.35">
      <c r="B15" s="81"/>
      <c r="C15" s="23"/>
      <c r="E15" s="56"/>
      <c r="G15" s="1"/>
      <c r="J15" s="12">
        <v>4</v>
      </c>
      <c r="K15" s="54">
        <v>4.75</v>
      </c>
      <c r="L15" s="111">
        <v>0</v>
      </c>
      <c r="M15" s="54">
        <f t="shared" ref="M15:M23" si="0">L15/$N$12*100</f>
        <v>0</v>
      </c>
      <c r="N15" s="54">
        <f>M15</f>
        <v>0</v>
      </c>
      <c r="O15" s="54">
        <f t="shared" ref="O15:O21" si="1">100-N15</f>
        <v>100</v>
      </c>
      <c r="AG15" s="34"/>
      <c r="AH15" s="34"/>
      <c r="AI15" s="34"/>
      <c r="AJ15" s="34"/>
      <c r="AK15" s="34"/>
    </row>
    <row r="16" spans="1:37" ht="15.5" x14ac:dyDescent="0.35">
      <c r="B16" s="81" t="s">
        <v>95</v>
      </c>
      <c r="C16" s="23"/>
      <c r="E16" s="56"/>
      <c r="G16" s="1"/>
      <c r="J16" s="12">
        <v>8</v>
      </c>
      <c r="K16" s="54">
        <v>2.36</v>
      </c>
      <c r="L16" s="111">
        <v>0</v>
      </c>
      <c r="M16" s="54">
        <f t="shared" si="0"/>
        <v>0</v>
      </c>
      <c r="N16" s="54">
        <f>SUM(M15:M16)</f>
        <v>0</v>
      </c>
      <c r="O16" s="54">
        <f t="shared" si="1"/>
        <v>100</v>
      </c>
      <c r="AG16" s="34"/>
      <c r="AH16" s="34"/>
      <c r="AI16" s="34"/>
      <c r="AJ16" s="34"/>
      <c r="AK16" s="34"/>
    </row>
    <row r="17" spans="1:38" ht="19.5" customHeight="1" x14ac:dyDescent="0.25">
      <c r="C17" s="1"/>
      <c r="D17" s="8"/>
      <c r="E17" s="1"/>
      <c r="F17" s="1"/>
      <c r="G17" s="1"/>
      <c r="J17" s="12">
        <v>16</v>
      </c>
      <c r="K17" s="54">
        <v>1.18</v>
      </c>
      <c r="L17" s="111">
        <v>0</v>
      </c>
      <c r="M17" s="54">
        <f t="shared" si="0"/>
        <v>0</v>
      </c>
      <c r="N17" s="54">
        <f>SUM(M15:M17)</f>
        <v>0</v>
      </c>
      <c r="O17" s="54">
        <f t="shared" si="1"/>
        <v>100</v>
      </c>
      <c r="V17" s="83"/>
      <c r="AG17" s="34"/>
      <c r="AH17" s="34"/>
      <c r="AI17" s="34"/>
      <c r="AJ17" s="34"/>
      <c r="AK17" s="34"/>
    </row>
    <row r="18" spans="1:38" ht="19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2">
        <v>30</v>
      </c>
      <c r="K18" s="54">
        <v>0.6</v>
      </c>
      <c r="L18" s="111">
        <v>0</v>
      </c>
      <c r="M18" s="54">
        <f t="shared" si="0"/>
        <v>0</v>
      </c>
      <c r="N18" s="54">
        <f>SUM(M15:M18)</f>
        <v>0</v>
      </c>
      <c r="O18" s="54">
        <f t="shared" si="1"/>
        <v>100</v>
      </c>
      <c r="AG18" s="34"/>
      <c r="AH18" s="34"/>
      <c r="AI18" s="34"/>
      <c r="AJ18" s="34"/>
      <c r="AK18" s="34"/>
    </row>
    <row r="19" spans="1:38" ht="20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2">
        <v>50</v>
      </c>
      <c r="K19" s="54">
        <v>0.3</v>
      </c>
      <c r="L19" s="111">
        <v>0</v>
      </c>
      <c r="M19" s="54">
        <f t="shared" si="0"/>
        <v>0</v>
      </c>
      <c r="N19" s="54">
        <f>SUM(M15:M19)</f>
        <v>0</v>
      </c>
      <c r="O19" s="54">
        <f t="shared" si="1"/>
        <v>100</v>
      </c>
      <c r="AG19" s="34"/>
      <c r="AH19" s="34"/>
      <c r="AI19" s="34"/>
      <c r="AJ19" s="34"/>
      <c r="AK19" s="34"/>
    </row>
    <row r="20" spans="1:38" ht="20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2">
        <v>100</v>
      </c>
      <c r="K20" s="54">
        <v>0.15</v>
      </c>
      <c r="L20" s="111">
        <v>0</v>
      </c>
      <c r="M20" s="54">
        <f t="shared" si="0"/>
        <v>0</v>
      </c>
      <c r="N20" s="54">
        <f>SUM(M15:M20)</f>
        <v>0</v>
      </c>
      <c r="O20" s="54">
        <f t="shared" si="1"/>
        <v>100</v>
      </c>
      <c r="AG20" s="34"/>
      <c r="AH20" s="34"/>
      <c r="AI20" s="34"/>
      <c r="AJ20" s="34"/>
      <c r="AK20" s="34"/>
    </row>
    <row r="21" spans="1:38" ht="20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2">
        <v>200</v>
      </c>
      <c r="K21" s="54">
        <v>7.4999999999999997E-2</v>
      </c>
      <c r="L21" s="111">
        <v>2.7</v>
      </c>
      <c r="M21" s="54">
        <f t="shared" si="0"/>
        <v>2.7</v>
      </c>
      <c r="N21" s="54">
        <f>SUM(M15:M21)</f>
        <v>2.7</v>
      </c>
      <c r="O21" s="54">
        <f t="shared" si="1"/>
        <v>97.3</v>
      </c>
      <c r="AG21" s="34"/>
      <c r="AH21" s="34"/>
      <c r="AI21" s="34"/>
      <c r="AJ21" s="34"/>
      <c r="AK21" s="34"/>
    </row>
    <row r="22" spans="1:38" ht="22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6" t="s">
        <v>48</v>
      </c>
      <c r="K22" s="12" t="s">
        <v>49</v>
      </c>
      <c r="L22" s="112">
        <v>97.3</v>
      </c>
      <c r="M22" s="54">
        <f t="shared" si="0"/>
        <v>97.3</v>
      </c>
      <c r="N22" s="113">
        <f>IF(SUM(M15:M22)=100,100,"Adjust wt.")</f>
        <v>100</v>
      </c>
      <c r="O22" s="21" t="s">
        <v>49</v>
      </c>
      <c r="AG22" s="34"/>
      <c r="AH22" s="34"/>
      <c r="AI22" s="34"/>
      <c r="AJ22" s="34"/>
      <c r="AK22" s="34"/>
    </row>
    <row r="23" spans="1:38" ht="19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AG23" s="34"/>
      <c r="AH23" s="34"/>
      <c r="AI23" s="34"/>
      <c r="AJ23" s="34"/>
      <c r="AK23" s="34"/>
    </row>
    <row r="24" spans="1:38" ht="17.25" customHeight="1" x14ac:dyDescent="0.25"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AG24" s="34"/>
      <c r="AH24" s="34"/>
      <c r="AI24" s="34"/>
      <c r="AJ24" s="34"/>
      <c r="AK24" s="34"/>
    </row>
    <row r="25" spans="1:38" ht="19.5" customHeight="1" x14ac:dyDescent="0.25"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AG25" s="34"/>
      <c r="AH25" s="34"/>
      <c r="AI25" s="34"/>
      <c r="AJ25" s="34"/>
      <c r="AK25" s="34"/>
    </row>
    <row r="26" spans="1:38" ht="17.25" customHeight="1" x14ac:dyDescent="0.25">
      <c r="J26" s="10" t="s">
        <v>19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AG26" s="34"/>
      <c r="AH26" s="34"/>
      <c r="AI26" s="34"/>
      <c r="AJ26" s="34"/>
      <c r="AK26" s="34"/>
    </row>
    <row r="27" spans="1:38" ht="18" customHeight="1" x14ac:dyDescent="0.35">
      <c r="B27" s="1"/>
      <c r="C27" s="1"/>
      <c r="D27" s="1"/>
      <c r="E27" s="1"/>
      <c r="F27" s="1"/>
      <c r="G27" s="1"/>
      <c r="J27" s="29" t="s">
        <v>50</v>
      </c>
      <c r="K27" s="31"/>
      <c r="L27" s="30"/>
      <c r="M27" s="195" t="s">
        <v>51</v>
      </c>
      <c r="N27" s="196"/>
      <c r="O27" s="29" t="s">
        <v>52</v>
      </c>
      <c r="P27" s="31"/>
      <c r="Q27" s="197">
        <v>867452</v>
      </c>
      <c r="R27" s="198"/>
      <c r="S27" s="33" t="s">
        <v>55</v>
      </c>
      <c r="T27" s="32"/>
      <c r="U27" s="32"/>
      <c r="V27" s="66">
        <f>GS</f>
        <v>2.73</v>
      </c>
      <c r="AH27" s="34"/>
      <c r="AI27" s="34"/>
      <c r="AJ27" s="34"/>
      <c r="AK27" s="34"/>
      <c r="AL27" s="34"/>
    </row>
    <row r="28" spans="1:38" ht="13.5" x14ac:dyDescent="0.35">
      <c r="J28" s="29" t="s">
        <v>58</v>
      </c>
      <c r="K28" s="75">
        <v>0</v>
      </c>
      <c r="L28" s="39" t="s">
        <v>59</v>
      </c>
      <c r="M28" s="75">
        <v>10.65</v>
      </c>
      <c r="N28" s="37" t="s">
        <v>35</v>
      </c>
      <c r="O28" s="40" t="s">
        <v>60</v>
      </c>
      <c r="P28" s="75">
        <v>14</v>
      </c>
      <c r="Q28" s="31" t="s">
        <v>35</v>
      </c>
      <c r="R28" s="37"/>
      <c r="S28" s="71" t="s">
        <v>36</v>
      </c>
      <c r="T28" s="31"/>
      <c r="U28" s="75">
        <v>27.8</v>
      </c>
      <c r="V28" s="37" t="s">
        <v>62</v>
      </c>
      <c r="AH28" s="34"/>
      <c r="AI28" s="34"/>
      <c r="AJ28" s="34"/>
      <c r="AK28" s="34"/>
      <c r="AL28" s="34"/>
    </row>
    <row r="29" spans="1:38" ht="13.5" x14ac:dyDescent="0.35">
      <c r="J29" s="29" t="s">
        <v>58</v>
      </c>
      <c r="K29" s="75">
        <v>60</v>
      </c>
      <c r="L29" s="39" t="s">
        <v>59</v>
      </c>
      <c r="M29" s="75">
        <v>0.8</v>
      </c>
      <c r="N29" s="37" t="s">
        <v>35</v>
      </c>
      <c r="O29" s="29" t="s">
        <v>63</v>
      </c>
      <c r="P29" s="31"/>
      <c r="Q29" s="75">
        <v>59</v>
      </c>
      <c r="R29" s="37" t="s">
        <v>61</v>
      </c>
      <c r="S29" s="65" t="s">
        <v>79</v>
      </c>
      <c r="T29" s="30"/>
      <c r="U29" s="38">
        <v>50</v>
      </c>
      <c r="V29" s="37" t="s">
        <v>16</v>
      </c>
      <c r="AG29" s="34"/>
      <c r="AH29" s="34"/>
      <c r="AI29" s="34"/>
      <c r="AJ29" s="34"/>
      <c r="AK29" s="34"/>
    </row>
    <row r="30" spans="1:38" x14ac:dyDescent="0.25">
      <c r="J30" s="29" t="s">
        <v>53</v>
      </c>
      <c r="K30" s="31"/>
      <c r="L30" s="190" t="s">
        <v>86</v>
      </c>
      <c r="M30" s="191"/>
      <c r="N30" s="191"/>
      <c r="O30" s="191"/>
      <c r="P30" s="191"/>
      <c r="Q30" s="191"/>
      <c r="R30" s="192"/>
      <c r="S30" s="29" t="s">
        <v>64</v>
      </c>
      <c r="T30" s="64"/>
      <c r="U30" s="31"/>
      <c r="V30" s="37" t="s">
        <v>65</v>
      </c>
      <c r="W30" s="1"/>
      <c r="AE30" s="1"/>
      <c r="AH30" s="34"/>
      <c r="AI30" s="34"/>
      <c r="AJ30" s="34"/>
      <c r="AK30" s="34"/>
      <c r="AL30" s="34"/>
    </row>
    <row r="31" spans="1:38" x14ac:dyDescent="0.25">
      <c r="J31" s="35" t="s">
        <v>54</v>
      </c>
      <c r="K31" s="36"/>
      <c r="L31" s="74">
        <v>3</v>
      </c>
      <c r="M31" s="36" t="s">
        <v>56</v>
      </c>
      <c r="N31" s="2"/>
      <c r="O31" s="2"/>
      <c r="P31" s="2"/>
      <c r="Q31" s="2"/>
      <c r="R31" s="2"/>
      <c r="S31" s="29" t="s">
        <v>57</v>
      </c>
      <c r="T31" s="64"/>
      <c r="U31" s="30"/>
      <c r="V31" s="76">
        <v>0.5</v>
      </c>
      <c r="AH31" s="34"/>
      <c r="AI31" s="34"/>
      <c r="AJ31" s="34"/>
      <c r="AK31" s="34"/>
      <c r="AL31" s="34"/>
    </row>
    <row r="32" spans="1:38" x14ac:dyDescent="0.25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AG32" s="34"/>
      <c r="AH32" s="34"/>
      <c r="AI32" s="34"/>
      <c r="AJ32" s="34"/>
      <c r="AK32" s="34"/>
    </row>
    <row r="33" spans="1:40" ht="50" x14ac:dyDescent="0.25">
      <c r="J33" s="41" t="s">
        <v>0</v>
      </c>
      <c r="K33" s="42" t="s">
        <v>28</v>
      </c>
      <c r="L33" s="43" t="s">
        <v>37</v>
      </c>
      <c r="M33" s="44" t="s">
        <v>41</v>
      </c>
      <c r="N33" s="45" t="s">
        <v>1</v>
      </c>
      <c r="O33" s="43" t="s">
        <v>31</v>
      </c>
      <c r="P33" s="44" t="s">
        <v>66</v>
      </c>
      <c r="Q33" s="44" t="s">
        <v>67</v>
      </c>
      <c r="R33" s="43" t="s">
        <v>33</v>
      </c>
      <c r="S33" s="43" t="s">
        <v>68</v>
      </c>
      <c r="T33" s="43" t="s">
        <v>40</v>
      </c>
      <c r="U33" s="43" t="s">
        <v>6</v>
      </c>
      <c r="V33" s="43" t="s">
        <v>44</v>
      </c>
      <c r="AG33" s="28"/>
      <c r="AH33" s="24"/>
      <c r="AI33" s="51"/>
      <c r="AJ33" s="24"/>
      <c r="AK33" s="24"/>
      <c r="AL33" s="24"/>
      <c r="AM33" s="24"/>
      <c r="AN33" s="22"/>
    </row>
    <row r="34" spans="1:40" ht="13.5" x14ac:dyDescent="0.35">
      <c r="J34" s="46"/>
      <c r="K34" s="47"/>
      <c r="L34" s="19" t="s">
        <v>38</v>
      </c>
      <c r="M34" s="48" t="s">
        <v>29</v>
      </c>
      <c r="N34" s="49" t="s">
        <v>2</v>
      </c>
      <c r="O34" s="19" t="s">
        <v>30</v>
      </c>
      <c r="P34" s="48" t="s">
        <v>32</v>
      </c>
      <c r="Q34" s="48"/>
      <c r="R34" s="19" t="s">
        <v>4</v>
      </c>
      <c r="S34" s="19" t="s">
        <v>34</v>
      </c>
      <c r="T34" s="19" t="s">
        <v>42</v>
      </c>
      <c r="U34" s="50" t="s">
        <v>82</v>
      </c>
      <c r="V34" s="19" t="s">
        <v>43</v>
      </c>
      <c r="AC34" s="24"/>
      <c r="AD34" s="24"/>
      <c r="AE34" s="51"/>
      <c r="AF34" s="24"/>
      <c r="AG34" s="24"/>
      <c r="AH34" s="24"/>
      <c r="AI34" s="24"/>
      <c r="AJ34" s="22"/>
    </row>
    <row r="35" spans="1:40" x14ac:dyDescent="0.25">
      <c r="J35" s="175" t="s">
        <v>150</v>
      </c>
      <c r="K35" s="200" t="s">
        <v>103</v>
      </c>
      <c r="L35" s="26">
        <v>0.25</v>
      </c>
      <c r="M35" s="26">
        <v>50</v>
      </c>
      <c r="N35" s="26">
        <v>30</v>
      </c>
      <c r="O35" s="11">
        <f t="shared" ref="O35:O49" si="2">M35-$L$31+$V$31+ROUND(0.0001220529*N35^4-0.0097599296*N35^3+0.2949228983*N35^2-3.7542171086*N35+15.6302691117,1)</f>
        <v>51.3</v>
      </c>
      <c r="P35" s="27">
        <f t="shared" ref="P35:P49" si="3">O35/$U$29*$P$52*100</f>
        <v>100.80963</v>
      </c>
      <c r="Q35" s="27">
        <f t="shared" ref="Q35:Q49" si="4">P35*$O$21/100</f>
        <v>98.087769989999998</v>
      </c>
      <c r="R35" s="11">
        <f t="shared" ref="R35:R49" si="5">M35+$V$31</f>
        <v>50.5</v>
      </c>
      <c r="S35" s="11">
        <f t="shared" ref="S35:S49" si="6">ROUND(($M$28-$M$29)/($K$28-$K$29)*(R35-$K$28)+$M$28+0.5*(Ltwo-Vb/Agrad),1)</f>
        <v>8.3000000000000007</v>
      </c>
      <c r="T35" s="11">
        <f t="shared" ref="T35:T49" si="7">ROUND(-0.000005006464124*N35^2-0.00000484550743*N35+1.00033065352292,5)</f>
        <v>0.99568000000000001</v>
      </c>
      <c r="U35" s="11">
        <f t="shared" ref="U35:U49" si="8">ROUND(0.000000000347305*N35^4-0.00000010799529*N35^3+0.000010444897593*N35^2-0.00054383241282*N35+0.017557582729184,5)</f>
        <v>8.0099999999999998E-3</v>
      </c>
      <c r="V35" s="12">
        <f t="shared" ref="V35:V49" si="9">ROUND( (30*U35/980/(GS-T35)*S35/L35)^0.5,5)</f>
        <v>6.8510000000000001E-2</v>
      </c>
      <c r="AC35" s="24"/>
      <c r="AD35" s="24"/>
      <c r="AE35" s="51"/>
      <c r="AF35" s="24"/>
      <c r="AG35" s="24"/>
      <c r="AH35" s="24"/>
      <c r="AI35" s="24"/>
      <c r="AJ35" s="22"/>
    </row>
    <row r="36" spans="1:40" x14ac:dyDescent="0.25">
      <c r="J36" s="26"/>
      <c r="K36" s="201"/>
      <c r="L36" s="26">
        <v>0.5</v>
      </c>
      <c r="M36" s="26">
        <v>48</v>
      </c>
      <c r="N36" s="26">
        <v>30</v>
      </c>
      <c r="O36" s="11">
        <f t="shared" si="2"/>
        <v>49.3</v>
      </c>
      <c r="P36" s="27">
        <f t="shared" si="3"/>
        <v>96.879429999999999</v>
      </c>
      <c r="Q36" s="27">
        <f t="shared" si="4"/>
        <v>94.263685389999992</v>
      </c>
      <c r="R36" s="11">
        <f t="shared" si="5"/>
        <v>48.5</v>
      </c>
      <c r="S36" s="11">
        <f t="shared" si="6"/>
        <v>8.6</v>
      </c>
      <c r="T36" s="11">
        <f t="shared" si="7"/>
        <v>0.99568000000000001</v>
      </c>
      <c r="U36" s="11">
        <f t="shared" si="8"/>
        <v>8.0099999999999998E-3</v>
      </c>
      <c r="V36" s="12">
        <f t="shared" si="9"/>
        <v>4.931E-2</v>
      </c>
      <c r="AC36" s="24"/>
      <c r="AD36" s="24"/>
      <c r="AE36" s="51"/>
      <c r="AF36" s="24"/>
      <c r="AG36" s="24"/>
      <c r="AH36" s="24"/>
      <c r="AI36" s="24"/>
      <c r="AJ36" s="22"/>
    </row>
    <row r="37" spans="1:40" x14ac:dyDescent="0.25">
      <c r="J37" s="26"/>
      <c r="K37" s="201"/>
      <c r="L37" s="26">
        <v>1</v>
      </c>
      <c r="M37" s="26">
        <v>44</v>
      </c>
      <c r="N37" s="26">
        <v>30</v>
      </c>
      <c r="O37" s="11">
        <f t="shared" si="2"/>
        <v>45.3</v>
      </c>
      <c r="P37" s="27">
        <f t="shared" si="3"/>
        <v>89.019030000000001</v>
      </c>
      <c r="Q37" s="27">
        <f t="shared" si="4"/>
        <v>86.615516189999994</v>
      </c>
      <c r="R37" s="11">
        <f t="shared" si="5"/>
        <v>44.5</v>
      </c>
      <c r="S37" s="11">
        <f t="shared" si="6"/>
        <v>9.3000000000000007</v>
      </c>
      <c r="T37" s="11">
        <f t="shared" si="7"/>
        <v>0.99568000000000001</v>
      </c>
      <c r="U37" s="11">
        <f t="shared" si="8"/>
        <v>8.0099999999999998E-3</v>
      </c>
      <c r="V37" s="12">
        <f t="shared" si="9"/>
        <v>3.6260000000000001E-2</v>
      </c>
      <c r="AC37" s="24"/>
      <c r="AD37" s="24"/>
      <c r="AE37" s="51"/>
      <c r="AF37" s="24"/>
      <c r="AG37" s="24"/>
      <c r="AH37" s="24"/>
      <c r="AI37" s="24"/>
      <c r="AJ37" s="22"/>
    </row>
    <row r="38" spans="1:40" x14ac:dyDescent="0.25">
      <c r="J38" s="26"/>
      <c r="K38" s="201"/>
      <c r="L38" s="26">
        <v>2</v>
      </c>
      <c r="M38" s="26">
        <v>38</v>
      </c>
      <c r="N38" s="26">
        <v>30</v>
      </c>
      <c r="O38" s="11">
        <f t="shared" si="2"/>
        <v>39.299999999999997</v>
      </c>
      <c r="P38" s="27">
        <f t="shared" si="3"/>
        <v>77.228429999999989</v>
      </c>
      <c r="Q38" s="27">
        <f t="shared" si="4"/>
        <v>75.14326238999999</v>
      </c>
      <c r="R38" s="11">
        <f t="shared" si="5"/>
        <v>38.5</v>
      </c>
      <c r="S38" s="11">
        <f t="shared" si="6"/>
        <v>10.3</v>
      </c>
      <c r="T38" s="11">
        <f t="shared" si="7"/>
        <v>0.99568000000000001</v>
      </c>
      <c r="U38" s="11">
        <f t="shared" si="8"/>
        <v>8.0099999999999998E-3</v>
      </c>
      <c r="V38" s="12">
        <f t="shared" si="9"/>
        <v>2.6980000000000001E-2</v>
      </c>
      <c r="AC38" s="24"/>
      <c r="AD38" s="24"/>
      <c r="AE38" s="51"/>
      <c r="AF38" s="24"/>
      <c r="AG38" s="24"/>
      <c r="AH38" s="24"/>
      <c r="AI38" s="24"/>
      <c r="AJ38" s="22"/>
    </row>
    <row r="39" spans="1:40" x14ac:dyDescent="0.25">
      <c r="J39" s="26"/>
      <c r="K39" s="201"/>
      <c r="L39" s="26">
        <v>4</v>
      </c>
      <c r="M39" s="26">
        <v>33</v>
      </c>
      <c r="N39" s="26">
        <v>30</v>
      </c>
      <c r="O39" s="11">
        <f t="shared" si="2"/>
        <v>34.299999999999997</v>
      </c>
      <c r="P39" s="27">
        <f t="shared" si="3"/>
        <v>67.402929999999998</v>
      </c>
      <c r="Q39" s="27">
        <f t="shared" si="4"/>
        <v>65.583050889999996</v>
      </c>
      <c r="R39" s="11">
        <f t="shared" si="5"/>
        <v>33.5</v>
      </c>
      <c r="S39" s="11">
        <f t="shared" si="6"/>
        <v>11.1</v>
      </c>
      <c r="T39" s="11">
        <f t="shared" si="7"/>
        <v>0.99568000000000001</v>
      </c>
      <c r="U39" s="11">
        <f t="shared" si="8"/>
        <v>8.0099999999999998E-3</v>
      </c>
      <c r="V39" s="12">
        <f t="shared" si="9"/>
        <v>1.9810000000000001E-2</v>
      </c>
      <c r="AC39" s="24"/>
      <c r="AD39" s="24"/>
      <c r="AE39" s="51"/>
      <c r="AF39" s="24"/>
      <c r="AG39" s="24"/>
      <c r="AH39" s="24"/>
      <c r="AI39" s="24"/>
      <c r="AJ39" s="22"/>
    </row>
    <row r="40" spans="1:40" x14ac:dyDescent="0.25">
      <c r="A40" s="82"/>
      <c r="J40" s="26"/>
      <c r="K40" s="201"/>
      <c r="L40" s="26">
        <v>8</v>
      </c>
      <c r="M40" s="26">
        <v>26</v>
      </c>
      <c r="N40" s="26">
        <v>30</v>
      </c>
      <c r="O40" s="11">
        <f t="shared" si="2"/>
        <v>27.3</v>
      </c>
      <c r="P40" s="27">
        <f t="shared" si="3"/>
        <v>53.64723</v>
      </c>
      <c r="Q40" s="27">
        <f t="shared" si="4"/>
        <v>52.198754790000002</v>
      </c>
      <c r="R40" s="11">
        <f t="shared" si="5"/>
        <v>26.5</v>
      </c>
      <c r="S40" s="11">
        <f t="shared" si="6"/>
        <v>12.2</v>
      </c>
      <c r="T40" s="11">
        <f t="shared" si="7"/>
        <v>0.99568000000000001</v>
      </c>
      <c r="U40" s="11">
        <f t="shared" si="8"/>
        <v>8.0099999999999998E-3</v>
      </c>
      <c r="V40" s="12">
        <f t="shared" si="9"/>
        <v>1.468E-2</v>
      </c>
      <c r="AC40" s="24"/>
      <c r="AD40" s="24"/>
      <c r="AE40" s="51"/>
      <c r="AF40" s="24"/>
      <c r="AG40" s="24"/>
      <c r="AH40" s="24"/>
      <c r="AI40" s="24"/>
      <c r="AJ40" s="22"/>
    </row>
    <row r="41" spans="1:40" x14ac:dyDescent="0.25">
      <c r="A41" s="82"/>
      <c r="J41" s="26"/>
      <c r="K41" s="201"/>
      <c r="L41" s="26">
        <v>15</v>
      </c>
      <c r="M41" s="26">
        <v>21.5</v>
      </c>
      <c r="N41" s="26">
        <v>30</v>
      </c>
      <c r="O41" s="11">
        <f t="shared" si="2"/>
        <v>22.8</v>
      </c>
      <c r="P41" s="27">
        <f t="shared" si="3"/>
        <v>44.804279999999999</v>
      </c>
      <c r="Q41" s="27">
        <f t="shared" si="4"/>
        <v>43.594564439999992</v>
      </c>
      <c r="R41" s="11">
        <f t="shared" si="5"/>
        <v>22</v>
      </c>
      <c r="S41" s="11">
        <f t="shared" si="6"/>
        <v>13</v>
      </c>
      <c r="T41" s="11">
        <f t="shared" si="7"/>
        <v>0.99568000000000001</v>
      </c>
      <c r="U41" s="11">
        <f t="shared" si="8"/>
        <v>8.0099999999999998E-3</v>
      </c>
      <c r="V41" s="12">
        <f t="shared" si="9"/>
        <v>1.107E-2</v>
      </c>
      <c r="AC41" s="24"/>
      <c r="AD41" s="24"/>
      <c r="AE41" s="51"/>
      <c r="AF41" s="24"/>
      <c r="AG41" s="24"/>
      <c r="AH41" s="24"/>
      <c r="AI41" s="24"/>
      <c r="AJ41" s="22"/>
    </row>
    <row r="42" spans="1:40" x14ac:dyDescent="0.25">
      <c r="B42" s="7"/>
      <c r="G42" s="7"/>
      <c r="J42" s="26"/>
      <c r="K42" s="201"/>
      <c r="L42" s="26">
        <v>30</v>
      </c>
      <c r="M42" s="26">
        <v>17</v>
      </c>
      <c r="N42" s="26">
        <v>30</v>
      </c>
      <c r="O42" s="11">
        <f t="shared" si="2"/>
        <v>18.3</v>
      </c>
      <c r="P42" s="27">
        <f t="shared" si="3"/>
        <v>35.961330000000004</v>
      </c>
      <c r="Q42" s="27">
        <f t="shared" si="4"/>
        <v>34.990374090000003</v>
      </c>
      <c r="R42" s="11">
        <f t="shared" si="5"/>
        <v>17.5</v>
      </c>
      <c r="S42" s="11">
        <f t="shared" si="6"/>
        <v>13.7</v>
      </c>
      <c r="T42" s="11">
        <f t="shared" si="7"/>
        <v>0.99568000000000001</v>
      </c>
      <c r="U42" s="11">
        <f t="shared" si="8"/>
        <v>8.0099999999999998E-3</v>
      </c>
      <c r="V42" s="12">
        <f t="shared" si="9"/>
        <v>8.0400000000000003E-3</v>
      </c>
      <c r="AC42" s="24"/>
      <c r="AD42" s="24"/>
      <c r="AE42" s="51"/>
      <c r="AF42" s="24"/>
      <c r="AG42" s="24"/>
      <c r="AH42" s="24"/>
      <c r="AI42" s="24"/>
      <c r="AJ42" s="22"/>
    </row>
    <row r="43" spans="1:40" x14ac:dyDescent="0.25">
      <c r="J43" s="26"/>
      <c r="K43" s="201"/>
      <c r="L43" s="26">
        <v>60</v>
      </c>
      <c r="M43" s="26">
        <v>13.5</v>
      </c>
      <c r="N43" s="26">
        <v>30.5</v>
      </c>
      <c r="O43" s="11">
        <f t="shared" si="2"/>
        <v>15.2</v>
      </c>
      <c r="P43" s="27">
        <f t="shared" si="3"/>
        <v>29.869519999999998</v>
      </c>
      <c r="Q43" s="27">
        <f t="shared" si="4"/>
        <v>29.063042959999997</v>
      </c>
      <c r="R43" s="11">
        <f t="shared" si="5"/>
        <v>14</v>
      </c>
      <c r="S43" s="11">
        <f t="shared" si="6"/>
        <v>14.3</v>
      </c>
      <c r="T43" s="11">
        <f t="shared" si="7"/>
        <v>0.99553000000000003</v>
      </c>
      <c r="U43" s="11">
        <f t="shared" si="8"/>
        <v>7.92E-3</v>
      </c>
      <c r="V43" s="12">
        <f t="shared" si="9"/>
        <v>5.77E-3</v>
      </c>
      <c r="AC43" s="24"/>
      <c r="AD43" s="24"/>
      <c r="AE43" s="51"/>
      <c r="AF43" s="24"/>
      <c r="AG43" s="24"/>
      <c r="AH43" s="24"/>
      <c r="AI43" s="24"/>
      <c r="AJ43" s="22"/>
    </row>
    <row r="44" spans="1:40" ht="13" x14ac:dyDescent="0.3">
      <c r="A44" s="80" t="s">
        <v>88</v>
      </c>
      <c r="B44" s="9"/>
      <c r="C44" s="9"/>
      <c r="D44" s="9"/>
      <c r="E44" s="9"/>
      <c r="F44" s="9"/>
      <c r="G44" s="80" t="s">
        <v>89</v>
      </c>
      <c r="J44" s="26"/>
      <c r="K44" s="201"/>
      <c r="L44" s="26">
        <v>120</v>
      </c>
      <c r="M44" s="26">
        <v>11</v>
      </c>
      <c r="N44" s="26">
        <v>30</v>
      </c>
      <c r="O44" s="11">
        <f t="shared" si="2"/>
        <v>12.3</v>
      </c>
      <c r="P44" s="27">
        <f t="shared" si="3"/>
        <v>24.170730000000002</v>
      </c>
      <c r="Q44" s="27">
        <f t="shared" si="4"/>
        <v>23.518120290000002</v>
      </c>
      <c r="R44" s="11">
        <f t="shared" si="5"/>
        <v>11.5</v>
      </c>
      <c r="S44" s="11">
        <f t="shared" si="6"/>
        <v>14.7</v>
      </c>
      <c r="T44" s="11">
        <f t="shared" si="7"/>
        <v>0.99568000000000001</v>
      </c>
      <c r="U44" s="11">
        <f t="shared" si="8"/>
        <v>8.0099999999999998E-3</v>
      </c>
      <c r="V44" s="12">
        <f t="shared" si="9"/>
        <v>4.1599999999999996E-3</v>
      </c>
      <c r="AC44" s="24"/>
      <c r="AD44" s="24"/>
      <c r="AE44" s="51"/>
      <c r="AF44" s="24"/>
      <c r="AG44" s="24"/>
      <c r="AH44" s="24"/>
      <c r="AI44" s="24"/>
      <c r="AJ44" s="22"/>
    </row>
    <row r="45" spans="1:40" ht="33.75" customHeight="1" x14ac:dyDescent="0.25">
      <c r="J45" s="26"/>
      <c r="K45" s="201"/>
      <c r="L45" s="26">
        <v>240</v>
      </c>
      <c r="M45" s="26">
        <v>8.5</v>
      </c>
      <c r="N45" s="26">
        <v>31</v>
      </c>
      <c r="O45" s="11">
        <f t="shared" si="2"/>
        <v>10.6</v>
      </c>
      <c r="P45" s="27">
        <f t="shared" si="3"/>
        <v>20.83006</v>
      </c>
      <c r="Q45" s="27">
        <f t="shared" si="4"/>
        <v>20.267648379999997</v>
      </c>
      <c r="R45" s="11">
        <f t="shared" si="5"/>
        <v>9</v>
      </c>
      <c r="S45" s="11">
        <f t="shared" si="6"/>
        <v>15.1</v>
      </c>
      <c r="T45" s="11">
        <f t="shared" si="7"/>
        <v>0.99536999999999998</v>
      </c>
      <c r="U45" s="11">
        <f t="shared" si="8"/>
        <v>7.8399999999999997E-3</v>
      </c>
      <c r="V45" s="12">
        <f t="shared" si="9"/>
        <v>2.9499999999999999E-3</v>
      </c>
      <c r="AC45" s="24"/>
      <c r="AD45" s="24"/>
      <c r="AE45" s="51"/>
      <c r="AF45" s="24"/>
      <c r="AG45" s="24"/>
      <c r="AH45" s="24"/>
      <c r="AI45" s="24"/>
      <c r="AJ45" s="22"/>
    </row>
    <row r="46" spans="1:40" ht="13" thickBot="1" x14ac:dyDescent="0.3">
      <c r="J46" s="26"/>
      <c r="K46" s="201"/>
      <c r="L46" s="26">
        <v>480</v>
      </c>
      <c r="M46" s="26">
        <v>8</v>
      </c>
      <c r="N46" s="26">
        <v>30</v>
      </c>
      <c r="O46" s="11">
        <f t="shared" si="2"/>
        <v>9.3000000000000007</v>
      </c>
      <c r="P46" s="27">
        <f t="shared" si="3"/>
        <v>18.275430000000004</v>
      </c>
      <c r="Q46" s="27">
        <f t="shared" si="4"/>
        <v>17.781993390000004</v>
      </c>
      <c r="R46" s="11">
        <f t="shared" si="5"/>
        <v>8.5</v>
      </c>
      <c r="S46" s="11">
        <f t="shared" si="6"/>
        <v>15.2</v>
      </c>
      <c r="T46" s="11">
        <f t="shared" si="7"/>
        <v>0.99568000000000001</v>
      </c>
      <c r="U46" s="11">
        <f t="shared" si="8"/>
        <v>8.0099999999999998E-3</v>
      </c>
      <c r="V46" s="12">
        <f t="shared" si="9"/>
        <v>2.1199999999999999E-3</v>
      </c>
      <c r="AC46" s="24"/>
      <c r="AD46" s="24"/>
      <c r="AE46" s="51"/>
      <c r="AF46" s="24"/>
      <c r="AG46" s="24"/>
      <c r="AH46" s="24"/>
      <c r="AI46" s="24"/>
      <c r="AJ46" s="22"/>
    </row>
    <row r="47" spans="1:40" x14ac:dyDescent="0.25">
      <c r="A47" s="100" t="s">
        <v>153</v>
      </c>
      <c r="B47" s="101"/>
      <c r="C47" s="101"/>
      <c r="G47" s="100" t="s">
        <v>139</v>
      </c>
      <c r="H47" s="101"/>
      <c r="I47" s="101"/>
      <c r="J47" s="77"/>
      <c r="K47" s="201"/>
      <c r="L47" s="26">
        <v>1404</v>
      </c>
      <c r="M47" s="26">
        <v>7</v>
      </c>
      <c r="N47" s="26">
        <v>30</v>
      </c>
      <c r="O47" s="11">
        <f t="shared" si="2"/>
        <v>8.3000000000000007</v>
      </c>
      <c r="P47" s="27">
        <f t="shared" si="3"/>
        <v>16.31033</v>
      </c>
      <c r="Q47" s="27">
        <f t="shared" si="4"/>
        <v>15.869951089999999</v>
      </c>
      <c r="R47" s="11">
        <f t="shared" si="5"/>
        <v>7.5</v>
      </c>
      <c r="S47" s="11">
        <f t="shared" si="6"/>
        <v>15.4</v>
      </c>
      <c r="T47" s="11">
        <f t="shared" si="7"/>
        <v>0.99568000000000001</v>
      </c>
      <c r="U47" s="11">
        <f t="shared" si="8"/>
        <v>8.0099999999999998E-3</v>
      </c>
      <c r="V47" s="107">
        <f t="shared" si="9"/>
        <v>1.25E-3</v>
      </c>
      <c r="W47" s="108">
        <f>24*60</f>
        <v>1440</v>
      </c>
      <c r="X47" s="203" t="s">
        <v>104</v>
      </c>
      <c r="AC47" s="24"/>
      <c r="AD47" s="24"/>
      <c r="AE47" s="51"/>
      <c r="AF47" s="24"/>
      <c r="AG47" s="24"/>
      <c r="AH47" s="24"/>
      <c r="AI47" s="24"/>
      <c r="AJ47" s="22"/>
    </row>
    <row r="48" spans="1:40" x14ac:dyDescent="0.25">
      <c r="A48" s="102" t="s">
        <v>92</v>
      </c>
      <c r="B48" s="101"/>
      <c r="C48" s="101"/>
      <c r="G48" s="102" t="s">
        <v>140</v>
      </c>
      <c r="H48" s="101"/>
      <c r="I48" s="101"/>
      <c r="J48" s="77"/>
      <c r="K48" s="201"/>
      <c r="L48" s="26">
        <v>2841</v>
      </c>
      <c r="M48" s="26">
        <v>5.5</v>
      </c>
      <c r="N48" s="26">
        <v>30</v>
      </c>
      <c r="O48" s="11">
        <f t="shared" si="2"/>
        <v>6.8</v>
      </c>
      <c r="P48" s="27">
        <f t="shared" si="3"/>
        <v>13.362680000000001</v>
      </c>
      <c r="Q48" s="27">
        <f t="shared" si="4"/>
        <v>13.00188764</v>
      </c>
      <c r="R48" s="11">
        <f t="shared" si="5"/>
        <v>6</v>
      </c>
      <c r="S48" s="11">
        <f t="shared" si="6"/>
        <v>15.6</v>
      </c>
      <c r="T48" s="11">
        <f t="shared" si="7"/>
        <v>0.99568000000000001</v>
      </c>
      <c r="U48" s="11">
        <f t="shared" si="8"/>
        <v>8.0099999999999998E-3</v>
      </c>
      <c r="V48" s="107">
        <f t="shared" si="9"/>
        <v>8.8000000000000003E-4</v>
      </c>
      <c r="W48" s="109">
        <v>2880</v>
      </c>
      <c r="X48" s="204"/>
      <c r="AC48" s="24"/>
      <c r="AD48" s="24"/>
      <c r="AE48" s="51"/>
      <c r="AF48" s="24"/>
      <c r="AG48" s="24"/>
      <c r="AH48" s="24"/>
      <c r="AI48" s="24"/>
      <c r="AJ48" s="22"/>
    </row>
    <row r="49" spans="1:39" ht="13" thickBot="1" x14ac:dyDescent="0.3">
      <c r="A49" s="102" t="s">
        <v>90</v>
      </c>
      <c r="B49" s="101"/>
      <c r="C49" s="101"/>
      <c r="G49" s="102" t="s">
        <v>90</v>
      </c>
      <c r="H49" s="101"/>
      <c r="I49" s="101"/>
      <c r="J49" s="77"/>
      <c r="K49" s="202"/>
      <c r="L49" s="26">
        <v>4279</v>
      </c>
      <c r="M49" s="26">
        <v>5.5</v>
      </c>
      <c r="N49" s="26">
        <v>30</v>
      </c>
      <c r="O49" s="11">
        <f t="shared" si="2"/>
        <v>6.8</v>
      </c>
      <c r="P49" s="27">
        <f t="shared" si="3"/>
        <v>13.362680000000001</v>
      </c>
      <c r="Q49" s="27">
        <f t="shared" si="4"/>
        <v>13.00188764</v>
      </c>
      <c r="R49" s="11">
        <f t="shared" si="5"/>
        <v>6</v>
      </c>
      <c r="S49" s="11">
        <f t="shared" si="6"/>
        <v>15.6</v>
      </c>
      <c r="T49" s="11">
        <f t="shared" si="7"/>
        <v>0.99568000000000001</v>
      </c>
      <c r="U49" s="11">
        <f t="shared" si="8"/>
        <v>8.0099999999999998E-3</v>
      </c>
      <c r="V49" s="107">
        <f t="shared" si="9"/>
        <v>7.2000000000000005E-4</v>
      </c>
      <c r="W49" s="110">
        <v>4320</v>
      </c>
      <c r="X49" s="205"/>
      <c r="AC49" s="24"/>
      <c r="AD49" s="24"/>
      <c r="AE49" s="51"/>
      <c r="AF49" s="24"/>
      <c r="AG49" s="24"/>
      <c r="AH49" s="24"/>
      <c r="AI49" s="24"/>
      <c r="AJ49" s="22"/>
    </row>
    <row r="50" spans="1:39" ht="13.5" x14ac:dyDescent="0.35">
      <c r="A50" s="102" t="s">
        <v>91</v>
      </c>
      <c r="B50" s="94"/>
      <c r="C50" s="94"/>
      <c r="D50" s="34"/>
      <c r="E50" s="34"/>
      <c r="F50" s="34"/>
      <c r="G50" s="102" t="s">
        <v>91</v>
      </c>
      <c r="H50" s="94"/>
      <c r="I50" s="101"/>
      <c r="J50" s="1" t="s">
        <v>69</v>
      </c>
      <c r="R50" s="1" t="s">
        <v>72</v>
      </c>
      <c r="AC50" s="24"/>
      <c r="AD50" s="24"/>
      <c r="AE50" s="51"/>
      <c r="AF50" s="24"/>
      <c r="AG50" s="24"/>
      <c r="AH50" s="24"/>
      <c r="AI50" s="24"/>
      <c r="AJ50" s="22"/>
    </row>
    <row r="51" spans="1:39" ht="13.5" x14ac:dyDescent="0.35">
      <c r="J51" s="1" t="s">
        <v>70</v>
      </c>
      <c r="R51" s="1" t="s">
        <v>73</v>
      </c>
      <c r="AB51" s="24"/>
      <c r="AC51" s="24"/>
      <c r="AD51" s="34"/>
      <c r="AE51" s="34"/>
      <c r="AF51" s="34"/>
    </row>
    <row r="52" spans="1:39" ht="13.5" x14ac:dyDescent="0.35">
      <c r="B52" s="3"/>
      <c r="J52" s="1" t="s">
        <v>71</v>
      </c>
      <c r="P52" s="72">
        <f>ROUND(V27*1.65/(V27-1)/2.65,5)</f>
        <v>0.98255000000000003</v>
      </c>
      <c r="R52" s="24"/>
      <c r="S52" s="51"/>
      <c r="T52" s="24"/>
      <c r="U52" s="24"/>
      <c r="V52" s="24"/>
      <c r="AB52" s="34"/>
      <c r="AC52" s="53"/>
      <c r="AD52" s="34"/>
      <c r="AE52" s="34"/>
    </row>
    <row r="53" spans="1:39" x14ac:dyDescent="0.25">
      <c r="B53" s="1"/>
      <c r="AB53" s="24"/>
      <c r="AC53" s="51"/>
      <c r="AD53" s="24"/>
      <c r="AE53" s="24"/>
      <c r="AF53" s="24"/>
      <c r="AG53" s="24"/>
      <c r="AH53" s="25"/>
      <c r="AI53" s="34"/>
      <c r="AJ53" s="34"/>
      <c r="AK53" s="34"/>
    </row>
    <row r="54" spans="1:39" x14ac:dyDescent="0.25">
      <c r="B54" s="1"/>
      <c r="E54" s="83"/>
      <c r="J54" s="78" t="s">
        <v>87</v>
      </c>
      <c r="AB54" s="24"/>
      <c r="AC54" s="51"/>
      <c r="AD54" s="24"/>
      <c r="AE54" s="24"/>
      <c r="AF54" s="24"/>
      <c r="AG54" s="24"/>
      <c r="AH54" s="25"/>
      <c r="AI54" s="34"/>
      <c r="AJ54" s="34"/>
      <c r="AK54" s="34"/>
    </row>
    <row r="55" spans="1:39" x14ac:dyDescent="0.25">
      <c r="B55" s="1"/>
      <c r="J55" t="s">
        <v>85</v>
      </c>
      <c r="AB55" s="24"/>
      <c r="AC55" s="51"/>
      <c r="AD55" s="24"/>
      <c r="AE55" s="24"/>
      <c r="AF55" s="24"/>
      <c r="AG55" s="24"/>
      <c r="AH55" s="25"/>
      <c r="AI55" s="34"/>
      <c r="AJ55" s="34"/>
      <c r="AK55" s="34"/>
    </row>
    <row r="56" spans="1:39" x14ac:dyDescent="0.25">
      <c r="B56" s="1"/>
      <c r="AB56" s="24"/>
      <c r="AC56" s="51"/>
      <c r="AD56" s="24"/>
      <c r="AE56" s="24"/>
      <c r="AF56" s="24"/>
      <c r="AG56" s="24"/>
      <c r="AH56" s="25"/>
      <c r="AI56" s="34"/>
      <c r="AJ56" s="34"/>
      <c r="AK56" s="34"/>
    </row>
    <row r="57" spans="1:39" x14ac:dyDescent="0.25">
      <c r="AB57" s="34"/>
      <c r="AC57" s="34"/>
      <c r="AD57" s="24"/>
      <c r="AE57" s="51"/>
      <c r="AF57" s="24"/>
      <c r="AG57" s="24"/>
      <c r="AH57" s="24"/>
      <c r="AI57" s="24"/>
      <c r="AJ57" s="25"/>
      <c r="AK57" s="34"/>
      <c r="AL57" s="34"/>
      <c r="AM57" s="34"/>
    </row>
    <row r="58" spans="1:39" x14ac:dyDescent="0.25">
      <c r="J58" t="s">
        <v>88</v>
      </c>
      <c r="S58" t="s">
        <v>89</v>
      </c>
      <c r="AB58" s="24"/>
      <c r="AC58" s="51"/>
      <c r="AD58" s="24"/>
      <c r="AE58" s="24"/>
      <c r="AF58" s="24"/>
      <c r="AG58" s="24"/>
      <c r="AH58" s="25"/>
      <c r="AI58" s="34"/>
      <c r="AJ58" s="34"/>
      <c r="AK58" s="34"/>
    </row>
    <row r="59" spans="1:39" x14ac:dyDescent="0.25">
      <c r="AB59" s="24"/>
      <c r="AC59" s="51"/>
      <c r="AD59" s="24"/>
      <c r="AE59" s="24"/>
      <c r="AF59" s="24"/>
      <c r="AG59" s="24"/>
      <c r="AH59" s="25"/>
      <c r="AI59" s="34"/>
      <c r="AJ59" s="34"/>
      <c r="AK59" s="34"/>
    </row>
    <row r="60" spans="1:39" x14ac:dyDescent="0.25">
      <c r="AB60" s="24"/>
      <c r="AC60" s="51"/>
      <c r="AD60" s="24"/>
      <c r="AE60" s="24"/>
      <c r="AF60" s="24"/>
      <c r="AG60" s="24"/>
      <c r="AH60" s="25"/>
      <c r="AI60" s="34"/>
      <c r="AJ60" s="34"/>
      <c r="AK60" s="34"/>
    </row>
    <row r="61" spans="1:39" x14ac:dyDescent="0.25">
      <c r="AB61" s="34"/>
      <c r="AC61" s="24"/>
      <c r="AD61" s="34"/>
      <c r="AE61" s="24"/>
      <c r="AF61" s="24"/>
      <c r="AG61" s="24"/>
      <c r="AH61" s="52"/>
      <c r="AI61" s="24"/>
      <c r="AJ61" s="34"/>
      <c r="AK61" s="34"/>
    </row>
    <row r="62" spans="1:39" ht="13" thickBot="1" x14ac:dyDescent="0.3">
      <c r="AB62" s="34"/>
      <c r="AC62" s="34"/>
      <c r="AD62" s="34"/>
      <c r="AE62" s="34"/>
      <c r="AG62" s="34"/>
      <c r="AH62" s="34"/>
      <c r="AI62" s="34"/>
      <c r="AJ62" s="34"/>
      <c r="AK62" s="34"/>
    </row>
    <row r="63" spans="1:39" ht="13" x14ac:dyDescent="0.3">
      <c r="B63" s="135" t="s">
        <v>21</v>
      </c>
      <c r="C63" s="116"/>
      <c r="D63" s="116"/>
      <c r="E63" s="117"/>
      <c r="J63" s="10" t="s">
        <v>9</v>
      </c>
      <c r="AG63" s="34"/>
      <c r="AH63" s="34"/>
      <c r="AI63" s="34"/>
      <c r="AJ63" s="34"/>
      <c r="AK63" s="34"/>
    </row>
    <row r="64" spans="1:39" x14ac:dyDescent="0.25">
      <c r="B64" s="118" t="s">
        <v>84</v>
      </c>
      <c r="C64" s="34"/>
      <c r="D64" s="34"/>
      <c r="E64" s="171">
        <v>7</v>
      </c>
      <c r="J64" s="15" t="s">
        <v>1</v>
      </c>
      <c r="K64" s="13" t="s">
        <v>10</v>
      </c>
      <c r="L64" s="62" t="s">
        <v>77</v>
      </c>
      <c r="AG64" s="34"/>
      <c r="AH64" s="34"/>
      <c r="AI64" s="34"/>
      <c r="AJ64" s="34"/>
      <c r="AK64" s="34"/>
    </row>
    <row r="65" spans="2:37" ht="13.5" x14ac:dyDescent="0.35">
      <c r="B65" s="120" t="s">
        <v>22</v>
      </c>
      <c r="C65" s="34"/>
      <c r="D65" s="34"/>
      <c r="E65" s="121">
        <v>373.5</v>
      </c>
      <c r="J65" s="73" t="s">
        <v>83</v>
      </c>
      <c r="K65" s="14" t="s">
        <v>5</v>
      </c>
      <c r="L65" s="67" t="s">
        <v>78</v>
      </c>
      <c r="AG65" s="34"/>
      <c r="AH65" s="34"/>
      <c r="AI65" s="34"/>
      <c r="AJ65" s="34"/>
      <c r="AK65" s="34"/>
    </row>
    <row r="66" spans="2:37" x14ac:dyDescent="0.25">
      <c r="B66" s="120" t="s">
        <v>23</v>
      </c>
      <c r="C66" s="34"/>
      <c r="D66" s="34"/>
      <c r="E66" s="121">
        <v>30</v>
      </c>
      <c r="J66" s="12">
        <v>4</v>
      </c>
      <c r="K66" s="12">
        <v>1</v>
      </c>
      <c r="L66" s="60"/>
      <c r="AF66" s="34"/>
      <c r="AG66" s="34"/>
      <c r="AH66" s="34"/>
      <c r="AI66" s="34"/>
      <c r="AJ66" s="34"/>
    </row>
    <row r="67" spans="2:37" ht="13.5" x14ac:dyDescent="0.35">
      <c r="B67" s="120" t="s">
        <v>24</v>
      </c>
      <c r="C67" s="34"/>
      <c r="D67" s="34"/>
      <c r="E67" s="121">
        <v>342.1</v>
      </c>
      <c r="J67" s="12">
        <v>16</v>
      </c>
      <c r="K67" s="12">
        <v>0.99897000000000002</v>
      </c>
      <c r="L67" s="61">
        <f t="shared" ref="L67:L81" si="10">ROUND(-0.000005006464124*J67^2-0.00000484550743*J67+1.00033065352292,5)</f>
        <v>0.99897000000000002</v>
      </c>
      <c r="AF67" s="34"/>
      <c r="AG67" s="34"/>
      <c r="AH67" s="34"/>
      <c r="AI67" s="34"/>
      <c r="AJ67" s="34"/>
    </row>
    <row r="68" spans="2:37" ht="13.5" x14ac:dyDescent="0.35">
      <c r="B68" s="120" t="s">
        <v>25</v>
      </c>
      <c r="C68" s="34"/>
      <c r="D68" s="34"/>
      <c r="E68" s="121">
        <v>49.4</v>
      </c>
      <c r="J68" s="12">
        <v>17</v>
      </c>
      <c r="K68" s="12">
        <v>0.99880000000000002</v>
      </c>
      <c r="L68" s="61">
        <f t="shared" si="10"/>
        <v>0.99880000000000002</v>
      </c>
      <c r="AF68" s="34"/>
      <c r="AG68" s="34"/>
      <c r="AH68" s="34"/>
      <c r="AI68" s="34"/>
      <c r="AJ68" s="34"/>
    </row>
    <row r="69" spans="2:37" x14ac:dyDescent="0.25">
      <c r="B69" s="122" t="s">
        <v>26</v>
      </c>
      <c r="C69" s="34"/>
      <c r="D69" s="34"/>
      <c r="E69" s="119">
        <f>ROUND(-0.000005006464124*E66^2-0.00000484550743*E66+1.00033065352292,5)</f>
        <v>0.99568000000000001</v>
      </c>
      <c r="J69" s="12">
        <v>18</v>
      </c>
      <c r="K69" s="12">
        <v>0.99861999999999995</v>
      </c>
      <c r="L69" s="61">
        <f t="shared" si="10"/>
        <v>0.99861999999999995</v>
      </c>
    </row>
    <row r="70" spans="2:37" ht="13" thickBot="1" x14ac:dyDescent="0.3">
      <c r="B70" s="123" t="s">
        <v>27</v>
      </c>
      <c r="C70" s="124"/>
      <c r="D70" s="124"/>
      <c r="E70" s="125">
        <f>MROUND((E69*E68)/(E68-E65+E67),0.01)</f>
        <v>2.73</v>
      </c>
      <c r="J70" s="12">
        <v>19</v>
      </c>
      <c r="K70" s="12">
        <v>0.99843999999999999</v>
      </c>
      <c r="L70" s="61">
        <f t="shared" si="10"/>
        <v>0.99843000000000004</v>
      </c>
    </row>
    <row r="71" spans="2:37" x14ac:dyDescent="0.25">
      <c r="J71" s="12">
        <v>20</v>
      </c>
      <c r="K71" s="12">
        <v>0.99822999999999995</v>
      </c>
      <c r="L71" s="61">
        <f t="shared" si="10"/>
        <v>0.99822999999999995</v>
      </c>
    </row>
    <row r="72" spans="2:37" x14ac:dyDescent="0.25">
      <c r="J72" s="12">
        <v>21</v>
      </c>
      <c r="K72" s="12">
        <v>0.99802000000000002</v>
      </c>
      <c r="L72" s="61">
        <f t="shared" si="10"/>
        <v>0.99802000000000002</v>
      </c>
      <c r="Y72" s="1"/>
    </row>
    <row r="73" spans="2:37" x14ac:dyDescent="0.25">
      <c r="J73" s="12">
        <v>22</v>
      </c>
      <c r="K73" s="12">
        <v>0.99780000000000002</v>
      </c>
      <c r="L73" s="61">
        <f t="shared" si="10"/>
        <v>0.99780000000000002</v>
      </c>
    </row>
    <row r="74" spans="2:37" ht="13" thickBot="1" x14ac:dyDescent="0.3">
      <c r="J74" s="12">
        <v>23</v>
      </c>
      <c r="K74" s="12">
        <v>0.99756999999999996</v>
      </c>
      <c r="L74" s="61">
        <f t="shared" si="10"/>
        <v>0.99756999999999996</v>
      </c>
    </row>
    <row r="75" spans="2:37" x14ac:dyDescent="0.25">
      <c r="B75" s="206" t="s">
        <v>114</v>
      </c>
      <c r="C75" s="207"/>
      <c r="J75" s="12">
        <v>24</v>
      </c>
      <c r="K75" s="12">
        <v>0.99733000000000005</v>
      </c>
      <c r="L75" s="61">
        <f t="shared" si="10"/>
        <v>0.99733000000000005</v>
      </c>
    </row>
    <row r="76" spans="2:37" x14ac:dyDescent="0.25">
      <c r="B76" s="208"/>
      <c r="C76" s="209"/>
      <c r="J76" s="12">
        <v>25</v>
      </c>
      <c r="K76" s="12">
        <v>0.99707999999999997</v>
      </c>
      <c r="L76" s="61">
        <f t="shared" si="10"/>
        <v>0.99707999999999997</v>
      </c>
    </row>
    <row r="77" spans="2:37" x14ac:dyDescent="0.25">
      <c r="B77" s="126" t="s">
        <v>3</v>
      </c>
      <c r="C77" s="127" t="s">
        <v>105</v>
      </c>
      <c r="J77" s="12">
        <v>26</v>
      </c>
      <c r="K77" s="12">
        <v>0.99682000000000004</v>
      </c>
      <c r="L77" s="61">
        <f t="shared" si="10"/>
        <v>0.99682000000000004</v>
      </c>
    </row>
    <row r="78" spans="2:37" x14ac:dyDescent="0.25">
      <c r="B78" s="128" t="s">
        <v>8</v>
      </c>
      <c r="C78" s="129"/>
      <c r="J78" s="12">
        <v>27</v>
      </c>
      <c r="K78" s="12">
        <v>0.99655000000000005</v>
      </c>
      <c r="L78" s="61">
        <f t="shared" si="10"/>
        <v>0.99655000000000005</v>
      </c>
    </row>
    <row r="79" spans="2:37" x14ac:dyDescent="0.25">
      <c r="B79" s="128">
        <f t="shared" ref="B79:B85" si="11">K15</f>
        <v>4.75</v>
      </c>
      <c r="C79" s="130">
        <f t="shared" ref="C79:C85" si="12">O15</f>
        <v>100</v>
      </c>
      <c r="J79" s="12">
        <v>28</v>
      </c>
      <c r="K79" s="12">
        <v>0.99626999999999999</v>
      </c>
      <c r="L79" s="61">
        <f t="shared" si="10"/>
        <v>0.99626999999999999</v>
      </c>
    </row>
    <row r="80" spans="2:37" x14ac:dyDescent="0.25">
      <c r="B80" s="128">
        <f t="shared" si="11"/>
        <v>2.36</v>
      </c>
      <c r="C80" s="130">
        <f t="shared" si="12"/>
        <v>100</v>
      </c>
      <c r="J80" s="12">
        <v>29</v>
      </c>
      <c r="K80" s="12">
        <v>0.99597999999999998</v>
      </c>
      <c r="L80" s="61">
        <f t="shared" si="10"/>
        <v>0.99597999999999998</v>
      </c>
    </row>
    <row r="81" spans="2:30" x14ac:dyDescent="0.25">
      <c r="B81" s="128">
        <f t="shared" si="11"/>
        <v>1.18</v>
      </c>
      <c r="C81" s="130">
        <f t="shared" si="12"/>
        <v>100</v>
      </c>
      <c r="J81" s="12">
        <v>30</v>
      </c>
      <c r="K81" s="12">
        <v>0.99568000000000001</v>
      </c>
      <c r="L81" s="61">
        <f t="shared" si="10"/>
        <v>0.99568000000000001</v>
      </c>
    </row>
    <row r="82" spans="2:30" x14ac:dyDescent="0.25">
      <c r="B82" s="128">
        <f t="shared" si="11"/>
        <v>0.6</v>
      </c>
      <c r="C82" s="130">
        <f t="shared" si="12"/>
        <v>100</v>
      </c>
    </row>
    <row r="83" spans="2:30" x14ac:dyDescent="0.25">
      <c r="B83" s="128">
        <f t="shared" si="11"/>
        <v>0.3</v>
      </c>
      <c r="C83" s="130">
        <f t="shared" si="12"/>
        <v>100</v>
      </c>
      <c r="J83" s="10" t="s">
        <v>75</v>
      </c>
    </row>
    <row r="84" spans="2:30" x14ac:dyDescent="0.25">
      <c r="B84" s="128">
        <f t="shared" si="11"/>
        <v>0.15</v>
      </c>
      <c r="C84" s="130">
        <f t="shared" si="12"/>
        <v>100</v>
      </c>
      <c r="J84" s="15" t="s">
        <v>7</v>
      </c>
      <c r="K84" s="57" t="s">
        <v>76</v>
      </c>
      <c r="L84" s="62" t="s">
        <v>77</v>
      </c>
    </row>
    <row r="85" spans="2:30" ht="32.5" x14ac:dyDescent="0.25">
      <c r="B85" s="128">
        <f t="shared" si="11"/>
        <v>7.4999999999999997E-2</v>
      </c>
      <c r="C85" s="130">
        <f t="shared" si="12"/>
        <v>97.3</v>
      </c>
      <c r="E85" s="168" t="s">
        <v>141</v>
      </c>
      <c r="J85" s="58"/>
      <c r="K85" s="59" t="s">
        <v>39</v>
      </c>
      <c r="L85" s="63" t="s">
        <v>78</v>
      </c>
    </row>
    <row r="86" spans="2:30" x14ac:dyDescent="0.25">
      <c r="B86" s="131">
        <f>V36</f>
        <v>4.931E-2</v>
      </c>
      <c r="C86" s="132">
        <f>Q36</f>
        <v>94.263685389999992</v>
      </c>
      <c r="F86" s="55"/>
      <c r="J86" s="12">
        <v>4</v>
      </c>
      <c r="K86" s="12">
        <v>1.567E-2</v>
      </c>
      <c r="L86" s="60"/>
    </row>
    <row r="87" spans="2:30" x14ac:dyDescent="0.25">
      <c r="B87" s="131">
        <f t="shared" ref="B87:B99" si="13">V37</f>
        <v>3.6260000000000001E-2</v>
      </c>
      <c r="C87" s="132">
        <f t="shared" ref="C87:C99" si="14">Q37</f>
        <v>86.615516189999994</v>
      </c>
      <c r="F87" s="55"/>
      <c r="J87" s="12">
        <v>16</v>
      </c>
      <c r="K87" s="12">
        <v>1.111E-2</v>
      </c>
      <c r="L87" s="61">
        <f t="shared" ref="L87:L101" si="15">ROUND(0.000000000347305*J87^4-0.00000010799529*J87^3+0.000010444897593*J87^2-0.00054383241282*J87+0.017557582729184,5)</f>
        <v>1.111E-2</v>
      </c>
    </row>
    <row r="88" spans="2:30" x14ac:dyDescent="0.25">
      <c r="B88" s="131">
        <f t="shared" si="13"/>
        <v>2.6980000000000001E-2</v>
      </c>
      <c r="C88" s="132">
        <f t="shared" si="14"/>
        <v>75.14326238999999</v>
      </c>
      <c r="F88" s="55"/>
      <c r="J88" s="12">
        <v>17</v>
      </c>
      <c r="K88" s="12">
        <v>1.0829999999999999E-2</v>
      </c>
      <c r="L88" s="61">
        <f t="shared" si="15"/>
        <v>1.0829999999999999E-2</v>
      </c>
    </row>
    <row r="89" spans="2:30" x14ac:dyDescent="0.25">
      <c r="B89" s="131">
        <f t="shared" si="13"/>
        <v>1.9810000000000001E-2</v>
      </c>
      <c r="C89" s="132">
        <f t="shared" si="14"/>
        <v>65.583050889999996</v>
      </c>
      <c r="F89" s="55"/>
      <c r="J89" s="12">
        <v>18</v>
      </c>
      <c r="K89" s="12">
        <v>1.056E-2</v>
      </c>
      <c r="L89" s="61">
        <f t="shared" si="15"/>
        <v>1.056E-2</v>
      </c>
    </row>
    <row r="90" spans="2:30" x14ac:dyDescent="0.25">
      <c r="B90" s="131">
        <f t="shared" si="13"/>
        <v>1.468E-2</v>
      </c>
      <c r="C90" s="132">
        <f t="shared" si="14"/>
        <v>52.198754790000002</v>
      </c>
      <c r="F90" s="55"/>
      <c r="J90" s="12">
        <v>19</v>
      </c>
      <c r="K90" s="12">
        <v>1.03E-2</v>
      </c>
      <c r="L90" s="61">
        <f t="shared" si="15"/>
        <v>1.03E-2</v>
      </c>
      <c r="Z90" s="34"/>
      <c r="AA90" s="34"/>
      <c r="AB90" s="34"/>
      <c r="AC90" s="34"/>
      <c r="AD90" s="34"/>
    </row>
    <row r="91" spans="2:30" x14ac:dyDescent="0.25">
      <c r="B91" s="131">
        <f t="shared" si="13"/>
        <v>1.107E-2</v>
      </c>
      <c r="C91" s="132">
        <f t="shared" si="14"/>
        <v>43.594564439999992</v>
      </c>
      <c r="F91" s="55"/>
      <c r="J91" s="12">
        <v>20</v>
      </c>
      <c r="K91" s="12">
        <v>1.005E-2</v>
      </c>
      <c r="L91" s="61">
        <f t="shared" si="15"/>
        <v>1.005E-2</v>
      </c>
      <c r="Z91" s="34"/>
      <c r="AA91" s="34"/>
      <c r="AB91" s="34"/>
      <c r="AC91" s="34"/>
      <c r="AD91" s="34"/>
    </row>
    <row r="92" spans="2:30" x14ac:dyDescent="0.25">
      <c r="B92" s="131">
        <f t="shared" si="13"/>
        <v>8.0400000000000003E-3</v>
      </c>
      <c r="C92" s="132">
        <f t="shared" si="14"/>
        <v>34.990374090000003</v>
      </c>
      <c r="F92" s="55"/>
      <c r="J92" s="12">
        <v>21</v>
      </c>
      <c r="K92" s="12">
        <v>9.8099999999999993E-3</v>
      </c>
      <c r="L92" s="61">
        <f t="shared" si="15"/>
        <v>9.8099999999999993E-3</v>
      </c>
      <c r="Z92" s="34"/>
      <c r="AA92" s="34"/>
      <c r="AB92" s="34"/>
      <c r="AC92" s="34"/>
      <c r="AD92" s="34"/>
    </row>
    <row r="93" spans="2:30" x14ac:dyDescent="0.25">
      <c r="B93" s="131">
        <f t="shared" si="13"/>
        <v>5.77E-3</v>
      </c>
      <c r="C93" s="132">
        <f t="shared" si="14"/>
        <v>29.063042959999997</v>
      </c>
      <c r="F93" s="55"/>
      <c r="J93" s="12">
        <v>22</v>
      </c>
      <c r="K93" s="12">
        <v>9.58E-3</v>
      </c>
      <c r="L93" s="61">
        <f t="shared" si="15"/>
        <v>9.58E-3</v>
      </c>
      <c r="V93" s="1"/>
      <c r="Z93" s="34"/>
      <c r="AA93" s="34"/>
      <c r="AB93" s="34"/>
      <c r="AC93" s="34"/>
      <c r="AD93" s="34"/>
    </row>
    <row r="94" spans="2:30" x14ac:dyDescent="0.25">
      <c r="B94" s="131">
        <f t="shared" si="13"/>
        <v>4.1599999999999996E-3</v>
      </c>
      <c r="C94" s="132">
        <f t="shared" si="14"/>
        <v>23.518120290000002</v>
      </c>
      <c r="D94" s="83"/>
      <c r="F94" s="55"/>
      <c r="J94" s="12">
        <v>23</v>
      </c>
      <c r="K94" s="12">
        <v>9.3600000000000003E-3</v>
      </c>
      <c r="L94" s="61">
        <f t="shared" si="15"/>
        <v>9.3600000000000003E-3</v>
      </c>
      <c r="V94" s="1"/>
      <c r="Z94" s="34"/>
      <c r="AA94" s="34"/>
      <c r="AB94" s="34"/>
      <c r="AC94" s="34"/>
      <c r="AD94" s="34"/>
    </row>
    <row r="95" spans="2:30" x14ac:dyDescent="0.25">
      <c r="B95" s="131">
        <f t="shared" si="13"/>
        <v>2.9499999999999999E-3</v>
      </c>
      <c r="C95" s="132">
        <f t="shared" si="14"/>
        <v>20.267648379999997</v>
      </c>
      <c r="F95" s="55"/>
      <c r="J95" s="12">
        <v>24</v>
      </c>
      <c r="K95" s="12">
        <v>9.1400000000000006E-3</v>
      </c>
      <c r="L95" s="61">
        <f t="shared" si="15"/>
        <v>9.1400000000000006E-3</v>
      </c>
      <c r="Z95" s="34"/>
      <c r="AA95" s="34"/>
      <c r="AB95" s="34"/>
      <c r="AC95" s="34"/>
      <c r="AD95" s="34"/>
    </row>
    <row r="96" spans="2:30" x14ac:dyDescent="0.25">
      <c r="B96" s="131">
        <f t="shared" si="13"/>
        <v>2.1199999999999999E-3</v>
      </c>
      <c r="C96" s="132">
        <f t="shared" si="14"/>
        <v>17.781993390000004</v>
      </c>
      <c r="F96" s="55"/>
      <c r="J96" s="12">
        <v>25</v>
      </c>
      <c r="K96" s="12">
        <v>8.94E-3</v>
      </c>
      <c r="L96" s="61">
        <f t="shared" si="15"/>
        <v>8.94E-3</v>
      </c>
      <c r="Z96" s="34"/>
      <c r="AA96" s="34"/>
      <c r="AB96" s="34"/>
      <c r="AC96" s="34"/>
      <c r="AD96" s="34"/>
    </row>
    <row r="97" spans="2:37" x14ac:dyDescent="0.25">
      <c r="B97" s="131">
        <f>V47</f>
        <v>1.25E-3</v>
      </c>
      <c r="C97" s="132">
        <f t="shared" si="14"/>
        <v>15.869951089999999</v>
      </c>
      <c r="F97" s="55"/>
      <c r="J97" s="12">
        <v>26</v>
      </c>
      <c r="K97" s="12">
        <v>8.7399999999999995E-3</v>
      </c>
      <c r="L97" s="61">
        <f t="shared" si="15"/>
        <v>8.7399999999999995E-3</v>
      </c>
      <c r="AF97" s="34"/>
      <c r="AG97" s="34"/>
      <c r="AH97" s="34"/>
      <c r="AI97" s="34"/>
      <c r="AJ97" s="34"/>
    </row>
    <row r="98" spans="2:37" x14ac:dyDescent="0.25">
      <c r="B98" s="131">
        <f t="shared" si="13"/>
        <v>8.8000000000000003E-4</v>
      </c>
      <c r="C98" s="132">
        <f t="shared" si="14"/>
        <v>13.00188764</v>
      </c>
      <c r="F98" s="55"/>
      <c r="J98" s="12">
        <v>27</v>
      </c>
      <c r="K98" s="12">
        <v>8.5500000000000003E-3</v>
      </c>
      <c r="L98" s="61">
        <f t="shared" si="15"/>
        <v>8.5500000000000003E-3</v>
      </c>
      <c r="AF98" s="34"/>
      <c r="AG98" s="34"/>
      <c r="AH98" s="34"/>
      <c r="AI98" s="34"/>
      <c r="AJ98" s="34"/>
    </row>
    <row r="99" spans="2:37" ht="13" thickBot="1" x14ac:dyDescent="0.3">
      <c r="B99" s="133">
        <f t="shared" si="13"/>
        <v>7.2000000000000005E-4</v>
      </c>
      <c r="C99" s="134">
        <f t="shared" si="14"/>
        <v>13.00188764</v>
      </c>
      <c r="F99" s="55"/>
      <c r="J99" s="12">
        <v>28</v>
      </c>
      <c r="K99" s="12">
        <v>8.3599999999999994E-3</v>
      </c>
      <c r="L99" s="61">
        <f t="shared" si="15"/>
        <v>8.3599999999999994E-3</v>
      </c>
      <c r="W99" s="1"/>
      <c r="AF99" s="34"/>
      <c r="AG99" s="34"/>
      <c r="AH99" s="34"/>
      <c r="AI99" s="34"/>
      <c r="AJ99" s="34"/>
    </row>
    <row r="100" spans="2:37" x14ac:dyDescent="0.25">
      <c r="B100" s="24"/>
      <c r="C100" s="51"/>
      <c r="J100" s="12">
        <v>29</v>
      </c>
      <c r="K100" s="12">
        <v>8.1799999999999998E-3</v>
      </c>
      <c r="L100" s="61">
        <f t="shared" si="15"/>
        <v>8.1799999999999998E-3</v>
      </c>
      <c r="AF100" s="34"/>
      <c r="AG100" s="34"/>
      <c r="AH100" s="34"/>
      <c r="AI100" s="34"/>
      <c r="AJ100" s="34"/>
    </row>
    <row r="101" spans="2:37" x14ac:dyDescent="0.25">
      <c r="B101" s="24"/>
      <c r="C101" s="114"/>
      <c r="J101" s="12">
        <v>30</v>
      </c>
      <c r="K101" s="12">
        <v>8.0099999999999998E-3</v>
      </c>
      <c r="L101" s="61">
        <f t="shared" si="15"/>
        <v>8.0099999999999998E-3</v>
      </c>
      <c r="AF101" s="34"/>
      <c r="AG101" s="34"/>
      <c r="AH101" s="34"/>
      <c r="AI101" s="34"/>
      <c r="AJ101" s="34"/>
    </row>
    <row r="102" spans="2:37" x14ac:dyDescent="0.25">
      <c r="AF102" s="34"/>
      <c r="AG102" s="34"/>
      <c r="AH102" s="34"/>
      <c r="AI102" s="34"/>
      <c r="AJ102" s="34"/>
    </row>
    <row r="103" spans="2:37" ht="13.5" x14ac:dyDescent="0.35">
      <c r="J103" s="10" t="s">
        <v>74</v>
      </c>
      <c r="AF103" s="34"/>
      <c r="AG103" s="34"/>
      <c r="AH103" s="34"/>
      <c r="AI103" s="34"/>
      <c r="AJ103" s="34"/>
    </row>
    <row r="104" spans="2:37" x14ac:dyDescent="0.25">
      <c r="J104" s="68" t="s">
        <v>1</v>
      </c>
      <c r="K104" s="68"/>
      <c r="L104" s="68" t="s">
        <v>77</v>
      </c>
      <c r="AF104" s="34"/>
      <c r="AG104" s="34"/>
      <c r="AH104" s="34"/>
      <c r="AI104" s="34"/>
      <c r="AJ104" s="34"/>
    </row>
    <row r="105" spans="2:37" ht="13.5" x14ac:dyDescent="0.35">
      <c r="J105" s="69" t="s">
        <v>80</v>
      </c>
      <c r="K105" s="69" t="s">
        <v>81</v>
      </c>
      <c r="L105" s="69" t="s">
        <v>78</v>
      </c>
      <c r="AF105" s="34"/>
      <c r="AG105" s="34"/>
      <c r="AH105" s="34"/>
      <c r="AI105" s="34"/>
      <c r="AJ105" s="34"/>
    </row>
    <row r="106" spans="2:37" x14ac:dyDescent="0.25">
      <c r="J106" s="12">
        <v>15</v>
      </c>
      <c r="K106" s="12">
        <v>-1.1000000000000001</v>
      </c>
      <c r="L106" s="12">
        <f t="shared" ref="L106:L121" si="16">0.000122052869731*J106^4-0.00975992961287*J106^3+0.294922898309103*J106^2-3.75421710857083*J106+15.6302691116947</f>
        <v>-1.0861713106239481</v>
      </c>
      <c r="AG106" s="34"/>
      <c r="AH106" s="34"/>
      <c r="AI106" s="34"/>
      <c r="AJ106" s="34"/>
      <c r="AK106" s="34"/>
    </row>
    <row r="107" spans="2:37" x14ac:dyDescent="0.25">
      <c r="J107" s="12">
        <v>16</v>
      </c>
      <c r="K107" s="12">
        <v>-0.9</v>
      </c>
      <c r="L107" s="12">
        <f t="shared" si="16"/>
        <v>-0.91475748193291118</v>
      </c>
      <c r="AG107" s="34"/>
      <c r="AH107" s="34"/>
      <c r="AI107" s="34"/>
      <c r="AJ107" s="34"/>
      <c r="AK107" s="34"/>
    </row>
    <row r="108" spans="2:37" x14ac:dyDescent="0.25">
      <c r="J108" s="12">
        <v>17</v>
      </c>
      <c r="K108" s="12">
        <v>-0.7</v>
      </c>
      <c r="L108" s="12">
        <f t="shared" si="16"/>
        <v>-0.71526057790609521</v>
      </c>
      <c r="AG108" s="34"/>
      <c r="AH108" s="34"/>
      <c r="AI108" s="34"/>
      <c r="AJ108" s="34"/>
      <c r="AK108" s="34"/>
    </row>
    <row r="109" spans="2:37" x14ac:dyDescent="0.25">
      <c r="J109" s="12">
        <v>18</v>
      </c>
      <c r="K109" s="12">
        <v>-0.5</v>
      </c>
      <c r="L109" s="12">
        <f t="shared" si="16"/>
        <v>-0.49790723980724216</v>
      </c>
      <c r="AF109" s="34"/>
      <c r="AG109" s="34"/>
      <c r="AH109" s="34"/>
      <c r="AI109" s="34"/>
      <c r="AJ109" s="34"/>
    </row>
    <row r="110" spans="2:37" x14ac:dyDescent="0.25">
      <c r="J110" s="12">
        <v>19</v>
      </c>
      <c r="K110" s="12">
        <v>-0.3</v>
      </c>
      <c r="L110" s="12">
        <f t="shared" si="16"/>
        <v>-0.26999484002655727</v>
      </c>
      <c r="AF110" s="34"/>
      <c r="AG110" s="34"/>
      <c r="AH110" s="34"/>
      <c r="AI110" s="34"/>
      <c r="AJ110" s="34"/>
    </row>
    <row r="111" spans="2:37" x14ac:dyDescent="0.25">
      <c r="J111" s="12">
        <v>20</v>
      </c>
      <c r="K111" s="12">
        <v>0</v>
      </c>
      <c r="L111" s="12">
        <f t="shared" si="16"/>
        <v>-3.5891482080687709E-2</v>
      </c>
      <c r="AF111" s="34"/>
      <c r="AG111" s="34"/>
      <c r="AH111" s="34"/>
      <c r="AI111" s="34"/>
      <c r="AJ111" s="34"/>
    </row>
    <row r="112" spans="2:37" x14ac:dyDescent="0.25">
      <c r="J112" s="12">
        <v>21</v>
      </c>
      <c r="K112" s="12">
        <v>0.2</v>
      </c>
      <c r="L112" s="12">
        <f t="shared" si="16"/>
        <v>0.20296399938724896</v>
      </c>
    </row>
    <row r="113" spans="10:26" x14ac:dyDescent="0.25">
      <c r="J113" s="12">
        <v>22</v>
      </c>
      <c r="K113" s="12">
        <v>0.4</v>
      </c>
      <c r="L113" s="12">
        <f t="shared" si="16"/>
        <v>0.44806203860768612</v>
      </c>
      <c r="V113" s="24"/>
    </row>
    <row r="114" spans="10:26" x14ac:dyDescent="0.25">
      <c r="J114" s="12">
        <v>23</v>
      </c>
      <c r="K114" s="12">
        <v>0.7</v>
      </c>
      <c r="L114" s="12">
        <f t="shared" si="16"/>
        <v>0.70382233868457256</v>
      </c>
    </row>
    <row r="115" spans="10:26" x14ac:dyDescent="0.25">
      <c r="J115" s="12">
        <v>24</v>
      </c>
      <c r="K115" s="12">
        <v>1</v>
      </c>
      <c r="L115" s="12">
        <f t="shared" si="16"/>
        <v>0.97759387159550037</v>
      </c>
    </row>
    <row r="116" spans="10:26" x14ac:dyDescent="0.25">
      <c r="J116" s="12">
        <v>25</v>
      </c>
      <c r="K116" s="12">
        <v>1.3</v>
      </c>
      <c r="L116" s="12">
        <f t="shared" si="16"/>
        <v>1.2796548781914492</v>
      </c>
      <c r="W116" s="1"/>
    </row>
    <row r="117" spans="10:26" x14ac:dyDescent="0.25">
      <c r="J117" s="12">
        <v>26</v>
      </c>
      <c r="K117" s="12">
        <v>1.65</v>
      </c>
      <c r="L117" s="12">
        <f t="shared" si="16"/>
        <v>1.6232128681970988</v>
      </c>
      <c r="W117" s="51"/>
      <c r="Z117" s="24"/>
    </row>
    <row r="118" spans="10:26" x14ac:dyDescent="0.25">
      <c r="J118" s="12">
        <v>27</v>
      </c>
      <c r="K118" s="12">
        <v>2</v>
      </c>
      <c r="L118" s="12">
        <f t="shared" si="16"/>
        <v>2.024404620210559</v>
      </c>
      <c r="W118" s="25"/>
      <c r="Z118" s="34"/>
    </row>
    <row r="119" spans="10:26" x14ac:dyDescent="0.25">
      <c r="J119" s="12">
        <v>28</v>
      </c>
      <c r="K119" s="12">
        <v>2.5</v>
      </c>
      <c r="L119" s="12">
        <f t="shared" si="16"/>
        <v>2.5022961817035121</v>
      </c>
    </row>
    <row r="120" spans="10:26" x14ac:dyDescent="0.25">
      <c r="J120" s="12">
        <v>29</v>
      </c>
      <c r="K120" s="12">
        <v>3.05</v>
      </c>
      <c r="L120" s="12">
        <f t="shared" si="16"/>
        <v>3.0788828690212551</v>
      </c>
    </row>
    <row r="121" spans="10:26" x14ac:dyDescent="0.25">
      <c r="J121" s="12">
        <v>30</v>
      </c>
      <c r="K121" s="12">
        <v>3.8</v>
      </c>
      <c r="L121" s="12">
        <f t="shared" si="16"/>
        <v>3.7790892673825009</v>
      </c>
    </row>
  </sheetData>
  <mergeCells count="19">
    <mergeCell ref="B8:E8"/>
    <mergeCell ref="B10:E10"/>
    <mergeCell ref="K35:K49"/>
    <mergeCell ref="X47:X49"/>
    <mergeCell ref="B75:C76"/>
    <mergeCell ref="F8:F11"/>
    <mergeCell ref="G13:I14"/>
    <mergeCell ref="G8:I11"/>
    <mergeCell ref="K7:R7"/>
    <mergeCell ref="T7:V7"/>
    <mergeCell ref="K8:R8"/>
    <mergeCell ref="T8:V8"/>
    <mergeCell ref="L30:R30"/>
    <mergeCell ref="L10:R10"/>
    <mergeCell ref="S10:V10"/>
    <mergeCell ref="M27:N27"/>
    <mergeCell ref="Q27:R27"/>
    <mergeCell ref="K9:R9"/>
    <mergeCell ref="U9:V9"/>
  </mergeCells>
  <pageMargins left="1.1000000000000001" right="0.75" top="0.5" bottom="0.5" header="0.5" footer="0.5"/>
  <pageSetup paperSize="9" orientation="portrait" blackAndWhite="1" horizontalDpi="1200" verticalDpi="1200" r:id="rId1"/>
  <headerFooter alignWithMargins="0"/>
  <rowBreaks count="1" manualBreakCount="1">
    <brk id="50" max="16383" man="1"/>
  </rowBreaks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6"/>
  <sheetViews>
    <sheetView workbookViewId="0">
      <selection activeCell="C16" sqref="C16"/>
    </sheetView>
  </sheetViews>
  <sheetFormatPr defaultRowHeight="12.5" x14ac:dyDescent="0.25"/>
  <cols>
    <col min="1" max="1" width="14.81640625" bestFit="1" customWidth="1"/>
    <col min="2" max="2" width="18.81640625" customWidth="1"/>
    <col min="3" max="3" width="19" customWidth="1"/>
    <col min="4" max="4" width="17.54296875" customWidth="1"/>
    <col min="5" max="5" width="17" customWidth="1"/>
    <col min="6" max="6" width="15" customWidth="1"/>
    <col min="7" max="7" width="15.54296875" customWidth="1"/>
    <col min="8" max="9" width="15" bestFit="1" customWidth="1"/>
    <col min="10" max="10" width="10.81640625" bestFit="1" customWidth="1"/>
  </cols>
  <sheetData>
    <row r="2" spans="1:12" ht="13" thickBot="1" x14ac:dyDescent="0.3"/>
    <row r="3" spans="1:12" ht="13" x14ac:dyDescent="0.3">
      <c r="A3" s="152" t="s">
        <v>115</v>
      </c>
      <c r="B3" s="149" t="s">
        <v>112</v>
      </c>
      <c r="C3" s="149" t="s">
        <v>113</v>
      </c>
      <c r="D3" s="212" t="s">
        <v>126</v>
      </c>
      <c r="E3" s="213"/>
      <c r="F3" s="212" t="s">
        <v>127</v>
      </c>
      <c r="G3" s="213"/>
      <c r="H3" s="153" t="s">
        <v>128</v>
      </c>
      <c r="I3" s="153" t="s">
        <v>129</v>
      </c>
      <c r="J3" s="154" t="s">
        <v>130</v>
      </c>
    </row>
    <row r="4" spans="1:12" ht="13" x14ac:dyDescent="0.3">
      <c r="A4" s="150" t="s">
        <v>116</v>
      </c>
      <c r="B4" s="115">
        <v>4.75</v>
      </c>
      <c r="C4" s="115">
        <v>2</v>
      </c>
      <c r="D4" s="115">
        <f>INDEX(main!$B$79:$C$99,MATCH(B4,main!$B$79:$B$99,-1),1)</f>
        <v>4.75</v>
      </c>
      <c r="E4" s="115">
        <f>INDEX(main!$B$79:$C$99,MATCH(B4,main!$B$79:$B$99,-1)+1,1)</f>
        <v>2.36</v>
      </c>
      <c r="F4" s="115">
        <f>INDEX(main!$B$79:$C$99,MATCH(B4,main!$B$79:$B$99,-1),2)</f>
        <v>100</v>
      </c>
      <c r="G4" s="115">
        <f>INDEX(main!$B$79:$C$99,MATCH(B4,main!$B$79:$B$99,-1)+1,2)</f>
        <v>100</v>
      </c>
      <c r="H4" s="115" cm="1">
        <f t="array" ref="H4">TREND(F4:G4,LOG10(D4:E4),LOG10(B4),TRUE)</f>
        <v>100</v>
      </c>
      <c r="I4" s="115">
        <f>H5</f>
        <v>100</v>
      </c>
      <c r="J4" s="155">
        <f>ROUND(H4-I4,2)</f>
        <v>0</v>
      </c>
    </row>
    <row r="5" spans="1:12" ht="13" x14ac:dyDescent="0.3">
      <c r="A5" s="150" t="s">
        <v>117</v>
      </c>
      <c r="B5" s="115">
        <v>2</v>
      </c>
      <c r="C5" s="115">
        <v>0.42499999999999999</v>
      </c>
      <c r="D5" s="115">
        <f>INDEX(main!$B$79:$C$99,MATCH(B5,main!$B$79:$B$99,-1),1)</f>
        <v>2.36</v>
      </c>
      <c r="E5" s="115">
        <f>INDEX(main!$B$79:$C$99,MATCH(B5,main!$B$79:$B$99,-1)+1,1)</f>
        <v>1.18</v>
      </c>
      <c r="F5" s="115">
        <f>INDEX(main!$B$79:$C$99,MATCH(B5,main!$B$79:$B$99,-1),2)</f>
        <v>100</v>
      </c>
      <c r="G5" s="115">
        <f>INDEX(main!$B$79:$C$99,MATCH(B5,main!$B$79:$B$99,-1)+1,2)</f>
        <v>100</v>
      </c>
      <c r="H5" s="115" cm="1">
        <f t="array" ref="H5">TREND(F5:G5,LOG10(D5:E5),LOG10(B5),TRUE)</f>
        <v>100</v>
      </c>
      <c r="I5" s="115">
        <f t="shared" ref="I5:I9" si="0">H6</f>
        <v>100</v>
      </c>
      <c r="J5" s="155">
        <f t="shared" ref="J5:J9" si="1">ROUND(H5-I5,2)</f>
        <v>0</v>
      </c>
    </row>
    <row r="6" spans="1:12" ht="13" x14ac:dyDescent="0.3">
      <c r="A6" s="150" t="s">
        <v>108</v>
      </c>
      <c r="B6" s="115">
        <v>0.42499999999999999</v>
      </c>
      <c r="C6" s="115">
        <v>7.4999999999999997E-2</v>
      </c>
      <c r="D6" s="115">
        <f>INDEX(main!$B$79:$C$99,MATCH(B6,main!$B$79:$B$99,-1),1)</f>
        <v>0.6</v>
      </c>
      <c r="E6" s="115">
        <f>INDEX(main!$B$79:$C$99,MATCH(B6,main!$B$79:$B$99,-1)+1,1)</f>
        <v>0.3</v>
      </c>
      <c r="F6" s="115">
        <f>INDEX(main!$B$79:$C$99,MATCH(B6,main!$B$79:$B$99,-1),2)</f>
        <v>100</v>
      </c>
      <c r="G6" s="115">
        <f>INDEX(main!$B$79:$C$99,MATCH(B6,main!$B$79:$B$99,-1)+1,2)</f>
        <v>100</v>
      </c>
      <c r="H6" s="115" cm="1">
        <f t="array" ref="H6">TREND(F6:G6,LOG10(D6:E6),LOG10(B6),TRUE)</f>
        <v>100</v>
      </c>
      <c r="I6" s="115">
        <f t="shared" si="0"/>
        <v>97.3</v>
      </c>
      <c r="J6" s="155">
        <f t="shared" si="1"/>
        <v>2.7</v>
      </c>
    </row>
    <row r="7" spans="1:12" ht="13.5" thickBot="1" x14ac:dyDescent="0.35">
      <c r="A7" s="150" t="s">
        <v>118</v>
      </c>
      <c r="B7" s="115">
        <v>7.4999999999999997E-2</v>
      </c>
      <c r="C7" s="115">
        <v>5.0000000000000001E-3</v>
      </c>
      <c r="D7" s="115">
        <f>INDEX(main!$B$79:$C$99,MATCH(B7,main!$B$79:$B$99,-1),1)</f>
        <v>7.4999999999999997E-2</v>
      </c>
      <c r="E7" s="115">
        <f>INDEX(main!$B$79:$C$99,MATCH(B7,main!$B$79:$B$99,-1)+1,1)</f>
        <v>4.931E-2</v>
      </c>
      <c r="F7" s="115">
        <f>INDEX(main!$B$79:$C$99,MATCH(B7,main!$B$79:$B$99,-1),2)</f>
        <v>97.3</v>
      </c>
      <c r="G7" s="115">
        <f>INDEX(main!$B$79:$C$99,MATCH(B7,main!$B$79:$B$99,-1)+1,2)</f>
        <v>94.263685389999992</v>
      </c>
      <c r="H7" s="115" cm="1">
        <f t="array" ref="H7">TREND(F7:G7,LOG10(D7:E7),LOG10(B7),TRUE)</f>
        <v>97.3</v>
      </c>
      <c r="I7" s="115">
        <f t="shared" si="0"/>
        <v>26.635393939581618</v>
      </c>
      <c r="J7" s="155">
        <f t="shared" si="1"/>
        <v>70.66</v>
      </c>
    </row>
    <row r="8" spans="1:12" ht="13" x14ac:dyDescent="0.3">
      <c r="A8" s="150" t="s">
        <v>119</v>
      </c>
      <c r="B8" s="115">
        <v>5.0000000000000001E-3</v>
      </c>
      <c r="C8" s="115">
        <v>1E-3</v>
      </c>
      <c r="D8" s="115">
        <f>INDEX(main!$B$79:$C$99,MATCH(B8,main!$B$79:$B$99,-1),1)</f>
        <v>5.77E-3</v>
      </c>
      <c r="E8" s="115">
        <f>INDEX(main!$B$79:$C$99,MATCH(B8,main!$B$79:$B$99,-1)+1,1)</f>
        <v>4.1599999999999996E-3</v>
      </c>
      <c r="F8" s="115">
        <f>INDEX(main!$B$79:$C$99,MATCH(B8,main!$B$79:$B$99,-1),2)</f>
        <v>29.063042959999997</v>
      </c>
      <c r="G8" s="115">
        <f>INDEX(main!$B$79:$C$99,MATCH(B8,main!$B$79:$B$99,-1)+1,2)</f>
        <v>23.518120290000002</v>
      </c>
      <c r="H8" s="115" cm="1">
        <f t="array" ref="H8">TREND(F8:G8,LOG10(D8:E8),LOG10(B8),TRUE)</f>
        <v>26.635393939581618</v>
      </c>
      <c r="I8" s="115">
        <f t="shared" si="0"/>
        <v>14.046498258748642</v>
      </c>
      <c r="J8" s="155">
        <f t="shared" si="1"/>
        <v>12.59</v>
      </c>
      <c r="K8" s="214" t="s">
        <v>138</v>
      </c>
      <c r="L8" s="165">
        <f>J9+J8</f>
        <v>26.64</v>
      </c>
    </row>
    <row r="9" spans="1:12" ht="13.5" thickBot="1" x14ac:dyDescent="0.35">
      <c r="A9" s="151" t="s">
        <v>120</v>
      </c>
      <c r="B9" s="139">
        <v>1E-3</v>
      </c>
      <c r="C9" s="139">
        <v>0</v>
      </c>
      <c r="D9" s="139">
        <f>INDEX(main!$B$79:$C$99,MATCH(B9,main!$B$79:$B$99,-1),1)</f>
        <v>1.25E-3</v>
      </c>
      <c r="E9" s="139">
        <f>INDEX(main!$B$79:$C$99,MATCH(B9,main!$B$79:$B$99,-1)+1,1)</f>
        <v>8.8000000000000003E-4</v>
      </c>
      <c r="F9" s="139">
        <f>INDEX(main!$B$79:$C$99,MATCH(B9,main!$B$79:$B$99,-1),2)</f>
        <v>15.869951089999999</v>
      </c>
      <c r="G9" s="139">
        <f>INDEX(main!$B$79:$C$99,MATCH(B9,main!$B$79:$B$99,-1)+1,2)</f>
        <v>13.00188764</v>
      </c>
      <c r="H9" s="139" cm="1">
        <f t="array" ref="H9">TREND(F9:G9,LOG10(D9:E9),LOG10(B9),TRUE)</f>
        <v>14.046498258748642</v>
      </c>
      <c r="I9" s="139">
        <f t="shared" si="0"/>
        <v>0</v>
      </c>
      <c r="J9" s="156">
        <f t="shared" si="1"/>
        <v>14.05</v>
      </c>
      <c r="K9" s="215"/>
      <c r="L9" s="164"/>
    </row>
    <row r="10" spans="1:12" ht="13.5" thickBot="1" x14ac:dyDescent="0.35">
      <c r="G10" s="147" t="s">
        <v>131</v>
      </c>
      <c r="H10" s="148">
        <v>0</v>
      </c>
    </row>
    <row r="11" spans="1:12" ht="13" thickBot="1" x14ac:dyDescent="0.3"/>
    <row r="12" spans="1:12" ht="13" x14ac:dyDescent="0.25">
      <c r="A12" s="140" t="s">
        <v>105</v>
      </c>
      <c r="B12" s="212" t="s">
        <v>132</v>
      </c>
      <c r="C12" s="213"/>
      <c r="D12" s="212" t="s">
        <v>121</v>
      </c>
      <c r="E12" s="213"/>
      <c r="F12" s="178" t="s">
        <v>122</v>
      </c>
      <c r="G12" s="178" t="s">
        <v>123</v>
      </c>
      <c r="H12" s="136" t="s">
        <v>124</v>
      </c>
    </row>
    <row r="13" spans="1:12" ht="13" x14ac:dyDescent="0.25">
      <c r="A13" s="141">
        <v>10</v>
      </c>
      <c r="B13" s="142">
        <f>INDEX(main!$B$79:$C$99,MATCH(A13,main!$C$79:$C$99,-1),2)</f>
        <v>13.00188764</v>
      </c>
      <c r="C13" s="142" t="e">
        <f>INDEX(main!$B$79:$C$99,MATCH(A13,main!$C$79:$C$99,-1)+1,2)</f>
        <v>#REF!</v>
      </c>
      <c r="D13" s="142">
        <f>INDEX(main!$B$79:$C$99,MATCH(A13,main!$C$79:$C$99,-1),1)</f>
        <v>7.2000000000000005E-4</v>
      </c>
      <c r="E13" s="142" t="e">
        <f>INDEX(main!$B$79:$C$99,MATCH(A13,main!$C$79:$C$99,-1)+1,1)</f>
        <v>#REF!</v>
      </c>
      <c r="F13" s="176" t="str" cm="1">
        <f t="array" ref="F13">IF(ISERROR(E13)=FALSE,ROUND(10^TREND(LOG10(D13:E13),B13:C13,A13),3),"---")</f>
        <v>---</v>
      </c>
      <c r="G13" s="176"/>
      <c r="H13" s="137"/>
    </row>
    <row r="14" spans="1:12" ht="13" x14ac:dyDescent="0.25">
      <c r="A14" s="141">
        <v>30</v>
      </c>
      <c r="B14" s="142">
        <f>INDEX(main!$B$79:$C$99,MATCH(A14,main!$C$79:$C$99,-1),2)</f>
        <v>34.990374090000003</v>
      </c>
      <c r="C14" s="142">
        <f>INDEX(main!$B$79:$C$99,MATCH(A14,main!$C$79:$C$99,-1)+1,2)</f>
        <v>29.063042959999997</v>
      </c>
      <c r="D14" s="142">
        <f>INDEX(main!$B$79:$C$99,MATCH(A14,main!$C$79:$C$99,-1),1)</f>
        <v>8.0400000000000003E-3</v>
      </c>
      <c r="E14" s="142">
        <f>INDEX(main!$B$79:$C$99,MATCH(A14,main!$C$79:$C$99,-1)+1,1)</f>
        <v>5.77E-3</v>
      </c>
      <c r="F14" s="176" cm="1">
        <f t="array" ref="F14">IF(ISERROR(E14)=FALSE,ROUND(10^TREND(LOG10(D14:E14),B14:C14,A14),3),"---")</f>
        <v>6.0000000000000001E-3</v>
      </c>
      <c r="G14" s="177" t="str">
        <f>IF(OR(F13="---",F15="---"),"---",ROUND(F15/F13,2))</f>
        <v>---</v>
      </c>
      <c r="H14" s="138" t="str">
        <f>IF(OR(F13="---",F14="---",F15="---"),"---",ROUND(F14^2/(F15*F13),2))</f>
        <v>---</v>
      </c>
    </row>
    <row r="15" spans="1:12" ht="13" x14ac:dyDescent="0.25">
      <c r="A15" s="141">
        <v>60</v>
      </c>
      <c r="B15" s="142">
        <f>INDEX(main!$B$79:$C$99,MATCH(A15,main!$C$79:$C$99,-1),2)</f>
        <v>65.583050889999996</v>
      </c>
      <c r="C15" s="142">
        <f>INDEX(main!$B$79:$C$99,MATCH(A15,main!$C$79:$C$99,-1)+1,2)</f>
        <v>52.198754790000002</v>
      </c>
      <c r="D15" s="142">
        <f>INDEX(main!$B$79:$C$99,MATCH(A15,main!$C$79:$C$99,-1),1)</f>
        <v>1.9810000000000001E-2</v>
      </c>
      <c r="E15" s="142">
        <f>INDEX(main!$B$79:$C$99,MATCH(A15,main!$C$79:$C$99,-1)+1,1)</f>
        <v>1.468E-2</v>
      </c>
      <c r="F15" s="176" cm="1">
        <f t="array" ref="F15">IF(ISERROR(E15)=FALSE,ROUND(10^TREND(LOG10(D15:E15),B15:C15,A15),3),"---")</f>
        <v>1.7000000000000001E-2</v>
      </c>
      <c r="G15" s="176"/>
      <c r="H15" s="137"/>
    </row>
    <row r="16" spans="1:12" ht="13.5" thickBot="1" x14ac:dyDescent="0.3">
      <c r="A16" s="143">
        <v>50</v>
      </c>
      <c r="B16" s="179">
        <f>INDEX(main!$B$79:$C$99,MATCH(A16,main!$C$79:$C$99,-1),2)</f>
        <v>52.198754790000002</v>
      </c>
      <c r="C16" s="179">
        <f>INDEX(main!$B$79:$C$99,MATCH(A16,main!$C$79:$C$99,-1)+1,2)</f>
        <v>43.594564439999992</v>
      </c>
      <c r="D16" s="179">
        <f>INDEX(main!$B$79:$C$99,MATCH(A16,main!$C$79:$C$99,-1),1)</f>
        <v>1.468E-2</v>
      </c>
      <c r="E16" s="179">
        <f>INDEX(main!$B$79:$C$99,MATCH(A16,main!$C$79:$C$99,-1)+1,1)</f>
        <v>1.107E-2</v>
      </c>
      <c r="F16" s="180" cm="1">
        <f t="array" ref="F16">IF(ISERROR(E16)=FALSE,ROUND(10^TREND(LOG10(D16:E16),B16:C16,A16),3),"---")</f>
        <v>1.4E-2</v>
      </c>
      <c r="G16" s="181"/>
      <c r="H16" s="182"/>
    </row>
  </sheetData>
  <mergeCells count="5">
    <mergeCell ref="B12:C12"/>
    <mergeCell ref="D12:E12"/>
    <mergeCell ref="D3:E3"/>
    <mergeCell ref="F3:G3"/>
    <mergeCell ref="K8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tabSelected="1" view="pageBreakPreview" topLeftCell="A31" zoomScaleNormal="100" zoomScaleSheetLayoutView="100" workbookViewId="0">
      <selection activeCell="J41" sqref="J41"/>
    </sheetView>
  </sheetViews>
  <sheetFormatPr defaultRowHeight="12.5" x14ac:dyDescent="0.25"/>
  <cols>
    <col min="4" max="4" width="9.26953125" bestFit="1" customWidth="1"/>
    <col min="7" max="7" width="11.1796875" customWidth="1"/>
    <col min="8" max="8" width="7.7265625" customWidth="1"/>
    <col min="9" max="9" width="8.1796875" customWidth="1"/>
  </cols>
  <sheetData>
    <row r="1" spans="1:9" ht="14" x14ac:dyDescent="0.3">
      <c r="B1" s="4"/>
      <c r="C1" s="4"/>
      <c r="D1" s="4"/>
      <c r="E1" s="4"/>
      <c r="F1" s="4"/>
      <c r="G1" s="4"/>
      <c r="H1" s="4"/>
    </row>
    <row r="2" spans="1:9" ht="14" x14ac:dyDescent="0.3">
      <c r="A2" s="4"/>
      <c r="B2" s="4"/>
      <c r="C2" s="5"/>
      <c r="D2" s="4"/>
      <c r="E2" s="4"/>
      <c r="F2" s="4"/>
      <c r="G2" s="4"/>
      <c r="H2" s="4"/>
    </row>
    <row r="3" spans="1:9" ht="13" x14ac:dyDescent="0.3">
      <c r="D3" s="6"/>
    </row>
    <row r="4" spans="1:9" ht="13" x14ac:dyDescent="0.3">
      <c r="D4" s="9"/>
    </row>
    <row r="8" spans="1:9" ht="12.75" customHeight="1" x14ac:dyDescent="0.25">
      <c r="A8" s="84" t="s">
        <v>93</v>
      </c>
      <c r="B8" s="157" t="str">
        <f>main!B8</f>
        <v>1102-05882/CE/19-20 Dated 23/01/2020</v>
      </c>
      <c r="C8" s="158"/>
      <c r="D8" s="158"/>
      <c r="E8" s="158"/>
      <c r="F8" s="187" t="s">
        <v>45</v>
      </c>
      <c r="G8" s="217" t="str">
        <f>main!G8</f>
        <v>NE-003 (28+5B) MULTISTORIED COMMERCIAL BUILDING</v>
      </c>
      <c r="H8" s="217"/>
      <c r="I8" s="217"/>
    </row>
    <row r="9" spans="1:9" x14ac:dyDescent="0.25">
      <c r="A9" s="90" t="s">
        <v>96</v>
      </c>
      <c r="B9" s="174" t="str">
        <f>main!B9</f>
        <v>NEXTEON DEVELOPMENT LTD., 339/B, 1st Floor, Tejgaon I/A, Dhaka-1208</v>
      </c>
      <c r="C9" s="157"/>
      <c r="D9" s="157"/>
      <c r="E9" s="157"/>
      <c r="F9" s="187"/>
      <c r="G9" s="217"/>
      <c r="H9" s="217"/>
      <c r="I9" s="217"/>
    </row>
    <row r="10" spans="1:9" x14ac:dyDescent="0.25">
      <c r="A10" s="84" t="s">
        <v>94</v>
      </c>
      <c r="B10" s="157" t="str">
        <f>main!B10</f>
        <v>Letter Dated 23/01/2020</v>
      </c>
      <c r="C10" s="157"/>
      <c r="D10" s="157"/>
      <c r="E10" s="157"/>
      <c r="F10" s="187"/>
      <c r="G10" s="217"/>
      <c r="H10" s="217"/>
      <c r="I10" s="217"/>
    </row>
    <row r="11" spans="1:9" x14ac:dyDescent="0.25">
      <c r="A11" s="98" t="s">
        <v>97</v>
      </c>
      <c r="B11" s="97"/>
      <c r="C11" s="157">
        <f>main!C11</f>
        <v>2</v>
      </c>
      <c r="D11" s="159"/>
      <c r="E11" s="99"/>
      <c r="F11" s="187"/>
      <c r="G11" s="217"/>
      <c r="H11" s="217"/>
      <c r="I11" s="217"/>
    </row>
    <row r="12" spans="1:9" x14ac:dyDescent="0.25">
      <c r="A12" s="169" t="s">
        <v>98</v>
      </c>
      <c r="B12" s="97"/>
      <c r="C12" s="157" t="str">
        <f>main!C12</f>
        <v>UD-1</v>
      </c>
      <c r="D12" s="159"/>
      <c r="E12" s="99"/>
      <c r="F12" s="99" t="s">
        <v>101</v>
      </c>
      <c r="G12" s="97" t="str">
        <f>main!G12</f>
        <v>04/02/2020 to 08/02/2020</v>
      </c>
      <c r="H12" s="160"/>
      <c r="I12" s="53"/>
    </row>
    <row r="13" spans="1:9" x14ac:dyDescent="0.25">
      <c r="A13" s="98" t="s">
        <v>99</v>
      </c>
      <c r="B13" s="89"/>
      <c r="C13" s="106" t="str">
        <f>main!C13</f>
        <v>2.0m - 2.5m</v>
      </c>
      <c r="D13" s="53"/>
      <c r="E13" s="99"/>
      <c r="F13" s="218" t="s">
        <v>100</v>
      </c>
      <c r="G13" s="217" t="str">
        <f>main!G13</f>
        <v>ASTM D422, D854, D1140, D6913, D7928</v>
      </c>
      <c r="H13" s="217"/>
      <c r="I13" s="217"/>
    </row>
    <row r="14" spans="1:9" x14ac:dyDescent="0.25">
      <c r="A14" s="98" t="s">
        <v>102</v>
      </c>
      <c r="B14" s="89"/>
      <c r="C14" s="106"/>
      <c r="D14" s="219" t="str">
        <f>main!D14</f>
        <v>Red Silty Clay</v>
      </c>
      <c r="E14" s="219"/>
      <c r="F14" s="218"/>
      <c r="G14" s="217"/>
      <c r="H14" s="217"/>
      <c r="I14" s="217"/>
    </row>
    <row r="15" spans="1:9" ht="15.5" x14ac:dyDescent="0.35">
      <c r="B15" s="81"/>
      <c r="C15" s="23"/>
      <c r="D15" s="219"/>
      <c r="E15" s="219"/>
      <c r="G15" s="1"/>
    </row>
    <row r="16" spans="1:9" ht="17.25" customHeight="1" x14ac:dyDescent="0.25">
      <c r="A16" s="216" t="s">
        <v>95</v>
      </c>
      <c r="B16" s="216"/>
      <c r="C16" s="216"/>
      <c r="D16" s="216"/>
      <c r="E16" s="216"/>
      <c r="F16" s="216"/>
      <c r="G16" s="216"/>
      <c r="H16" s="216"/>
      <c r="I16" s="216"/>
    </row>
    <row r="17" spans="1:9" ht="10" customHeight="1" x14ac:dyDescent="0.25">
      <c r="C17" s="1"/>
      <c r="D17" s="8"/>
      <c r="E17" s="1"/>
      <c r="F17" s="1"/>
      <c r="G17" s="1"/>
    </row>
    <row r="18" spans="1:9" ht="10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0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0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0" customHeight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10" customHeight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0" customHeight="1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12.75" customHeight="1" x14ac:dyDescent="0.25"/>
    <row r="25" spans="1:9" ht="16.5" customHeight="1" x14ac:dyDescent="0.25"/>
    <row r="26" spans="1:9" ht="18" customHeight="1" x14ac:dyDescent="0.25"/>
    <row r="27" spans="1:9" ht="21" customHeight="1" x14ac:dyDescent="0.25">
      <c r="B27" s="1"/>
      <c r="C27" s="1"/>
      <c r="D27" s="1"/>
      <c r="E27" s="1"/>
      <c r="F27" s="1"/>
      <c r="G27" s="1"/>
    </row>
    <row r="28" spans="1:9" ht="20.149999999999999" customHeight="1" x14ac:dyDescent="0.25"/>
    <row r="29" spans="1:9" ht="20.149999999999999" customHeight="1" x14ac:dyDescent="0.25"/>
    <row r="30" spans="1:9" ht="20.149999999999999" customHeight="1" x14ac:dyDescent="0.25"/>
    <row r="31" spans="1:9" ht="20.149999999999999" customHeight="1" x14ac:dyDescent="0.25"/>
    <row r="32" spans="1:9" ht="20.149999999999999" customHeight="1" x14ac:dyDescent="0.25"/>
    <row r="33" spans="1:10" ht="20.149999999999999" customHeight="1" x14ac:dyDescent="0.25">
      <c r="J33" s="22"/>
    </row>
    <row r="34" spans="1:10" ht="20.149999999999999" customHeight="1" x14ac:dyDescent="0.25"/>
    <row r="35" spans="1:10" ht="20.149999999999999" customHeight="1" x14ac:dyDescent="0.25"/>
    <row r="36" spans="1:10" ht="20.149999999999999" customHeight="1" x14ac:dyDescent="0.25"/>
    <row r="37" spans="1:10" ht="20.149999999999999" customHeight="1" x14ac:dyDescent="0.25">
      <c r="A37" s="144" t="s">
        <v>106</v>
      </c>
      <c r="B37" s="144"/>
      <c r="C37" s="172">
        <f>'Some Calculations'!J4</f>
        <v>0</v>
      </c>
      <c r="D37" s="144" t="s">
        <v>125</v>
      </c>
      <c r="E37" s="144" t="s">
        <v>135</v>
      </c>
      <c r="F37" s="146" t="str">
        <f>'Some Calculations'!F13</f>
        <v>---</v>
      </c>
      <c r="G37" s="144" t="s">
        <v>8</v>
      </c>
      <c r="H37" s="144"/>
      <c r="I37" s="144"/>
    </row>
    <row r="38" spans="1:10" ht="20.149999999999999" customHeight="1" x14ac:dyDescent="0.25">
      <c r="A38" s="144" t="s">
        <v>107</v>
      </c>
      <c r="B38" s="144"/>
      <c r="C38" s="172">
        <f>'Some Calculations'!J5</f>
        <v>0</v>
      </c>
      <c r="D38" s="144" t="s">
        <v>125</v>
      </c>
      <c r="E38" s="144" t="s">
        <v>136</v>
      </c>
      <c r="F38" s="146">
        <f>'Some Calculations'!F14</f>
        <v>6.0000000000000001E-3</v>
      </c>
      <c r="G38" s="144" t="s">
        <v>8</v>
      </c>
      <c r="H38" s="144"/>
      <c r="I38" s="144"/>
    </row>
    <row r="39" spans="1:10" ht="20.149999999999999" customHeight="1" x14ac:dyDescent="0.25">
      <c r="A39" s="144" t="s">
        <v>109</v>
      </c>
      <c r="B39" s="144"/>
      <c r="C39" s="172">
        <f>'Some Calculations'!J6</f>
        <v>2.7</v>
      </c>
      <c r="D39" s="144" t="s">
        <v>125</v>
      </c>
      <c r="E39" s="144" t="s">
        <v>137</v>
      </c>
      <c r="F39" s="146">
        <f>'Some Calculations'!F15</f>
        <v>1.7000000000000001E-2</v>
      </c>
      <c r="G39" s="144" t="s">
        <v>8</v>
      </c>
      <c r="H39" s="144"/>
      <c r="I39" s="144"/>
    </row>
    <row r="40" spans="1:10" ht="20.149999999999999" customHeight="1" x14ac:dyDescent="0.25">
      <c r="A40" s="144" t="s">
        <v>110</v>
      </c>
      <c r="B40" s="144"/>
      <c r="C40" s="172">
        <f>'Some Calculations'!J7</f>
        <v>70.66</v>
      </c>
      <c r="D40" s="144" t="s">
        <v>125</v>
      </c>
      <c r="E40" s="144" t="s">
        <v>134</v>
      </c>
      <c r="F40" s="144"/>
      <c r="G40" s="144"/>
      <c r="H40" s="173" t="str">
        <f>'Some Calculations'!G14</f>
        <v>---</v>
      </c>
      <c r="I40" s="144"/>
    </row>
    <row r="41" spans="1:10" ht="20.149999999999999" customHeight="1" x14ac:dyDescent="0.25">
      <c r="A41" s="144" t="s">
        <v>111</v>
      </c>
      <c r="B41" s="144"/>
      <c r="C41" s="172">
        <f>'Some Calculations'!L8</f>
        <v>26.64</v>
      </c>
      <c r="D41" s="144" t="s">
        <v>125</v>
      </c>
      <c r="E41" s="144" t="s">
        <v>133</v>
      </c>
      <c r="F41" s="144"/>
      <c r="G41" s="144"/>
      <c r="H41" s="173" t="str">
        <f>'Some Calculations'!H14</f>
        <v>---</v>
      </c>
      <c r="I41" s="144"/>
    </row>
    <row r="42" spans="1:10" ht="20.149999999999999" customHeight="1" x14ac:dyDescent="0.25">
      <c r="A42" s="183" t="s">
        <v>152</v>
      </c>
      <c r="B42" s="145"/>
      <c r="C42" s="184">
        <f>'Some Calculations'!F16</f>
        <v>1.4E-2</v>
      </c>
      <c r="D42" s="183" t="s">
        <v>8</v>
      </c>
      <c r="E42" s="144" t="s">
        <v>151</v>
      </c>
      <c r="F42" s="144"/>
      <c r="G42" s="145"/>
      <c r="H42" s="144">
        <f>main!GS</f>
        <v>2.73</v>
      </c>
      <c r="I42" s="144"/>
    </row>
    <row r="43" spans="1:10" ht="20.149999999999999" customHeight="1" x14ac:dyDescent="0.25">
      <c r="A43" s="82"/>
      <c r="B43" s="82"/>
      <c r="C43" s="82"/>
      <c r="D43" s="82"/>
      <c r="E43" s="82"/>
      <c r="F43" s="82"/>
      <c r="G43" s="82"/>
      <c r="H43" s="82"/>
      <c r="I43" s="82"/>
    </row>
    <row r="44" spans="1:10" ht="13" x14ac:dyDescent="0.3">
      <c r="A44" s="9" t="s">
        <v>88</v>
      </c>
      <c r="B44" s="9"/>
      <c r="C44" s="9"/>
      <c r="D44" s="9"/>
      <c r="E44" s="9"/>
      <c r="F44" s="9"/>
      <c r="G44" s="9" t="s">
        <v>89</v>
      </c>
    </row>
    <row r="45" spans="1:10" ht="28.5" customHeight="1" x14ac:dyDescent="0.25"/>
    <row r="46" spans="1:10" ht="15.75" customHeight="1" x14ac:dyDescent="0.25">
      <c r="A46" s="161"/>
      <c r="B46" s="161"/>
      <c r="C46" s="161"/>
      <c r="D46" s="161"/>
      <c r="E46" s="161"/>
      <c r="F46" s="161"/>
      <c r="G46" s="161"/>
      <c r="H46" s="161"/>
      <c r="I46" s="161"/>
      <c r="J46" s="161"/>
    </row>
    <row r="47" spans="1:10" ht="12.75" customHeight="1" x14ac:dyDescent="0.25">
      <c r="A47" s="162" t="str">
        <f>main!A47</f>
        <v>Dr. A. B. M. Badruzzaman</v>
      </c>
      <c r="B47" s="161"/>
      <c r="C47" s="161"/>
      <c r="D47" s="161"/>
      <c r="E47" s="161"/>
      <c r="F47" s="161"/>
      <c r="G47" s="162" t="str">
        <f>main!G47</f>
        <v>Dr. Md. Ferdous Alam</v>
      </c>
      <c r="H47" s="161"/>
      <c r="I47" s="161"/>
      <c r="J47" s="161"/>
    </row>
    <row r="48" spans="1:10" x14ac:dyDescent="0.25">
      <c r="A48" s="163" t="str">
        <f>main!A48</f>
        <v>Professor</v>
      </c>
      <c r="B48" s="161"/>
      <c r="C48" s="161"/>
      <c r="D48" s="161"/>
      <c r="E48" s="161"/>
      <c r="F48" s="161"/>
      <c r="G48" s="163" t="str">
        <f>main!G48</f>
        <v>Assistant Professor</v>
      </c>
      <c r="H48" s="161"/>
      <c r="I48" s="161"/>
      <c r="J48" s="161"/>
    </row>
    <row r="49" spans="1:10" x14ac:dyDescent="0.25">
      <c r="A49" s="163" t="str">
        <f>main!A49</f>
        <v>Department of Civil Engineering</v>
      </c>
      <c r="B49" s="161"/>
      <c r="C49" s="161"/>
      <c r="D49" s="161"/>
      <c r="E49" s="161"/>
      <c r="F49" s="161"/>
      <c r="G49" s="163" t="str">
        <f>main!G49</f>
        <v>Department of Civil Engineering</v>
      </c>
      <c r="H49" s="161"/>
      <c r="I49" s="161"/>
      <c r="J49" s="161"/>
    </row>
    <row r="50" spans="1:10" x14ac:dyDescent="0.25">
      <c r="A50" s="163" t="str">
        <f>main!A50</f>
        <v>BUET, Dhaka - 1000.</v>
      </c>
      <c r="B50" s="53"/>
      <c r="C50" s="53"/>
      <c r="D50" s="53"/>
      <c r="E50" s="53"/>
      <c r="F50" s="53"/>
      <c r="G50" s="163" t="str">
        <f>main!G50</f>
        <v>BUET, Dhaka - 1000.</v>
      </c>
      <c r="H50" s="53"/>
      <c r="I50" s="161"/>
      <c r="J50" s="161"/>
    </row>
  </sheetData>
  <mergeCells count="6">
    <mergeCell ref="A16:I16"/>
    <mergeCell ref="G13:I14"/>
    <mergeCell ref="F8:F11"/>
    <mergeCell ref="G8:I11"/>
    <mergeCell ref="F13:F14"/>
    <mergeCell ref="D14:E15"/>
  </mergeCells>
  <pageMargins left="1.1000000000000001" right="0.75" top="0.5" bottom="0.5" header="0.5" footer="0.5"/>
  <pageSetup paperSize="9" orientation="portrait" blackAndWhite="1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main</vt:lpstr>
      <vt:lpstr>Some Calculations</vt:lpstr>
      <vt:lpstr>Report</vt:lpstr>
      <vt:lpstr>main!Agrad</vt:lpstr>
      <vt:lpstr>main!GS</vt:lpstr>
      <vt:lpstr>main!Ltwo</vt:lpstr>
      <vt:lpstr>main!Print_Area</vt:lpstr>
      <vt:lpstr>Report!Print_Area</vt:lpstr>
      <vt:lpstr>main!Vb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Consolidation Calculations</dc:title>
  <dc:creator>Dr. Md. Ferdous Alam</dc:creator>
  <cp:lastModifiedBy>Md Nasir Uddin</cp:lastModifiedBy>
  <cp:lastPrinted>2015-10-16T12:06:54Z</cp:lastPrinted>
  <dcterms:created xsi:type="dcterms:W3CDTF">2000-01-03T08:46:43Z</dcterms:created>
  <dcterms:modified xsi:type="dcterms:W3CDTF">2022-01-04T09:12:39Z</dcterms:modified>
</cp:coreProperties>
</file>