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j-ng-fs2\СИП\1. ГИП\2024\03\Рассылка\ВН\Чистовая\"/>
    </mc:Choice>
  </mc:AlternateContent>
  <bookViews>
    <workbookView xWindow="0" yWindow="0" windowWidth="28800" windowHeight="13500"/>
  </bookViews>
  <sheets>
    <sheet name="График_Суточной_Добычи_Нефть" sheetId="5" r:id="rId1"/>
    <sheet name="Расч_сут_добычи_итоги" sheetId="3" r:id="rId2"/>
    <sheet name="Расчет_Суточной_Добычи_По_Датам" sheetId="1" r:id="rId3"/>
  </sheets>
  <calcPr calcId="162913"/>
</workbook>
</file>

<file path=xl/calcChain.xml><?xml version="1.0" encoding="utf-8"?>
<calcChain xmlns="http://schemas.openxmlformats.org/spreadsheetml/2006/main">
  <c r="AU8" i="5" l="1"/>
  <c r="M8" i="5"/>
  <c r="W8" i="5"/>
  <c r="AT8" i="5"/>
  <c r="M9" i="5"/>
  <c r="AU10" i="5" s="1"/>
  <c r="W9" i="5"/>
  <c r="AT9" i="5"/>
  <c r="M10" i="5"/>
  <c r="W10" i="5"/>
  <c r="W40" i="5" s="1"/>
  <c r="AT10" i="5"/>
  <c r="M11" i="5"/>
  <c r="W11" i="5"/>
  <c r="AT11" i="5"/>
  <c r="M12" i="5"/>
  <c r="W12" i="5"/>
  <c r="AT12" i="5"/>
  <c r="M13" i="5"/>
  <c r="W13" i="5"/>
  <c r="AT13" i="5"/>
  <c r="M14" i="5"/>
  <c r="W14" i="5"/>
  <c r="AT14" i="5"/>
  <c r="M15" i="5"/>
  <c r="W15" i="5"/>
  <c r="AT15" i="5"/>
  <c r="M16" i="5"/>
  <c r="W16" i="5"/>
  <c r="AT16" i="5"/>
  <c r="M17" i="5"/>
  <c r="W17" i="5"/>
  <c r="AT17" i="5"/>
  <c r="M18" i="5"/>
  <c r="W18" i="5"/>
  <c r="AT18" i="5"/>
  <c r="M19" i="5"/>
  <c r="W19" i="5"/>
  <c r="AT19" i="5"/>
  <c r="M20" i="5"/>
  <c r="W20" i="5"/>
  <c r="AT20" i="5"/>
  <c r="M21" i="5"/>
  <c r="W21" i="5"/>
  <c r="AT21" i="5"/>
  <c r="M22" i="5"/>
  <c r="W22" i="5"/>
  <c r="AT22" i="5"/>
  <c r="M23" i="5"/>
  <c r="W23" i="5"/>
  <c r="AT23" i="5"/>
  <c r="M24" i="5"/>
  <c r="W24" i="5"/>
  <c r="AT24" i="5"/>
  <c r="M25" i="5"/>
  <c r="W25" i="5"/>
  <c r="AT25" i="5"/>
  <c r="M26" i="5"/>
  <c r="W26" i="5"/>
  <c r="AT26" i="5"/>
  <c r="M27" i="5"/>
  <c r="W27" i="5"/>
  <c r="AT27" i="5"/>
  <c r="M28" i="5"/>
  <c r="W28" i="5"/>
  <c r="AT28" i="5"/>
  <c r="M29" i="5"/>
  <c r="W29" i="5"/>
  <c r="AT29" i="5"/>
  <c r="M30" i="5"/>
  <c r="W30" i="5"/>
  <c r="AT30" i="5"/>
  <c r="M31" i="5"/>
  <c r="W31" i="5"/>
  <c r="AT31" i="5"/>
  <c r="M32" i="5"/>
  <c r="W32" i="5"/>
  <c r="AT32" i="5"/>
  <c r="M33" i="5"/>
  <c r="W33" i="5"/>
  <c r="AT33" i="5"/>
  <c r="M34" i="5"/>
  <c r="W34" i="5"/>
  <c r="AT34" i="5"/>
  <c r="M35" i="5"/>
  <c r="W35" i="5"/>
  <c r="AT35" i="5"/>
  <c r="M36" i="5"/>
  <c r="W36" i="5"/>
  <c r="AT36" i="5"/>
  <c r="M37" i="5"/>
  <c r="W37" i="5"/>
  <c r="AT37" i="5"/>
  <c r="M38" i="5"/>
  <c r="W38" i="5"/>
  <c r="AT38" i="5"/>
  <c r="M39" i="5"/>
  <c r="W39" i="5"/>
  <c r="AT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M42" i="5"/>
  <c r="W42" i="5"/>
  <c r="W44" i="5" s="1"/>
  <c r="AT42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M46" i="5"/>
  <c r="W46" i="5"/>
  <c r="AT46" i="5"/>
  <c r="O97" i="3"/>
  <c r="G97" i="3"/>
  <c r="AU46" i="5" l="1"/>
  <c r="AU42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40" i="5" s="1"/>
  <c r="AU44" i="5" s="1"/>
  <c r="J24" i="3" l="1"/>
  <c r="J27" i="3"/>
  <c r="J26" i="3"/>
  <c r="J14" i="3"/>
  <c r="J10" i="3"/>
  <c r="Q7" i="3" l="1"/>
  <c r="J7" i="3"/>
  <c r="O58" i="3"/>
  <c r="N58" i="3"/>
  <c r="O55" i="3"/>
  <c r="N55" i="3"/>
  <c r="N53" i="3" s="1"/>
  <c r="N43" i="3" s="1"/>
  <c r="O53" i="3"/>
  <c r="O43" i="3"/>
  <c r="O41" i="3"/>
  <c r="N41" i="3"/>
  <c r="O38" i="3"/>
  <c r="N38" i="3"/>
  <c r="O35" i="3"/>
  <c r="N35" i="3"/>
  <c r="O34" i="3"/>
  <c r="N34" i="3"/>
  <c r="O23" i="3"/>
  <c r="N23" i="3"/>
  <c r="O9" i="3"/>
  <c r="N9" i="3"/>
  <c r="O8" i="3"/>
  <c r="N8" i="3"/>
  <c r="G43" i="3"/>
  <c r="F43" i="3"/>
  <c r="E43" i="3"/>
  <c r="E33" i="3" s="1"/>
  <c r="G41" i="3"/>
  <c r="F41" i="3"/>
  <c r="G38" i="3"/>
  <c r="F38" i="3"/>
  <c r="G35" i="3"/>
  <c r="G34" i="3" s="1"/>
  <c r="G33" i="3" s="1"/>
  <c r="F35" i="3"/>
  <c r="F34" i="3"/>
  <c r="F33" i="3" s="1"/>
  <c r="G23" i="3"/>
  <c r="F23" i="3"/>
  <c r="E23" i="3"/>
  <c r="G9" i="3"/>
  <c r="G8" i="3" s="1"/>
  <c r="F9" i="3"/>
  <c r="F8" i="3" s="1"/>
  <c r="E9" i="3"/>
  <c r="E8" i="3" s="1"/>
  <c r="O33" i="3" l="1"/>
  <c r="N33" i="3"/>
  <c r="Q58" i="3" l="1"/>
  <c r="P58" i="3"/>
  <c r="Q55" i="3"/>
  <c r="P55" i="3"/>
  <c r="P53" i="3" s="1"/>
  <c r="P43" i="3" s="1"/>
  <c r="K7" i="3"/>
  <c r="L7" i="3"/>
  <c r="R7" i="3"/>
  <c r="S7" i="3"/>
  <c r="J8" i="3"/>
  <c r="C9" i="3"/>
  <c r="C8" i="3" s="1"/>
  <c r="D9" i="3"/>
  <c r="D8" i="3" s="1"/>
  <c r="H9" i="3"/>
  <c r="H8" i="3" s="1"/>
  <c r="I9" i="3"/>
  <c r="I8" i="3" s="1"/>
  <c r="I62" i="3" s="1"/>
  <c r="J9" i="3"/>
  <c r="M9" i="3"/>
  <c r="M8" i="3" s="1"/>
  <c r="P9" i="3"/>
  <c r="P8" i="3" s="1"/>
  <c r="Q9" i="3"/>
  <c r="K10" i="3"/>
  <c r="L10" i="3"/>
  <c r="R10" i="3"/>
  <c r="R9" i="3" s="1"/>
  <c r="S10" i="3"/>
  <c r="S9" i="3" s="1"/>
  <c r="K11" i="3"/>
  <c r="L11" i="3"/>
  <c r="R11" i="3"/>
  <c r="S11" i="3"/>
  <c r="K12" i="3"/>
  <c r="L12" i="3"/>
  <c r="R12" i="3"/>
  <c r="S12" i="3"/>
  <c r="K13" i="3"/>
  <c r="L13" i="3"/>
  <c r="R13" i="3"/>
  <c r="S13" i="3"/>
  <c r="K14" i="3"/>
  <c r="L14" i="3"/>
  <c r="R14" i="3"/>
  <c r="S14" i="3"/>
  <c r="K15" i="3"/>
  <c r="L15" i="3"/>
  <c r="R15" i="3"/>
  <c r="S15" i="3"/>
  <c r="K16" i="3"/>
  <c r="L16" i="3"/>
  <c r="R16" i="3"/>
  <c r="S16" i="3"/>
  <c r="K17" i="3"/>
  <c r="L17" i="3"/>
  <c r="R17" i="3"/>
  <c r="S17" i="3"/>
  <c r="K18" i="3"/>
  <c r="L18" i="3"/>
  <c r="R18" i="3"/>
  <c r="S18" i="3"/>
  <c r="K19" i="3"/>
  <c r="L19" i="3"/>
  <c r="R19" i="3"/>
  <c r="S19" i="3"/>
  <c r="K20" i="3"/>
  <c r="L20" i="3"/>
  <c r="R20" i="3"/>
  <c r="S20" i="3"/>
  <c r="K21" i="3"/>
  <c r="L21" i="3"/>
  <c r="R21" i="3"/>
  <c r="S21" i="3"/>
  <c r="K22" i="3"/>
  <c r="L22" i="3"/>
  <c r="R22" i="3"/>
  <c r="S22" i="3"/>
  <c r="C23" i="3"/>
  <c r="D23" i="3"/>
  <c r="H23" i="3"/>
  <c r="I23" i="3"/>
  <c r="J23" i="3"/>
  <c r="M23" i="3"/>
  <c r="P23" i="3"/>
  <c r="Q23" i="3"/>
  <c r="K24" i="3"/>
  <c r="L24" i="3"/>
  <c r="R24" i="3"/>
  <c r="S24" i="3"/>
  <c r="K25" i="3"/>
  <c r="L25" i="3"/>
  <c r="R25" i="3"/>
  <c r="S25" i="3"/>
  <c r="K26" i="3"/>
  <c r="L26" i="3"/>
  <c r="R26" i="3"/>
  <c r="S26" i="3"/>
  <c r="K27" i="3"/>
  <c r="L27" i="3"/>
  <c r="R27" i="3"/>
  <c r="S27" i="3"/>
  <c r="K28" i="3"/>
  <c r="L28" i="3"/>
  <c r="R28" i="3"/>
  <c r="S28" i="3"/>
  <c r="L29" i="3"/>
  <c r="S29" i="3"/>
  <c r="S30" i="3"/>
  <c r="I35" i="3"/>
  <c r="I34" i="3" s="1"/>
  <c r="I33" i="3" s="1"/>
  <c r="J35" i="3"/>
  <c r="J34" i="3" s="1"/>
  <c r="J33" i="3" s="1"/>
  <c r="P35" i="3"/>
  <c r="P34" i="3" s="1"/>
  <c r="Q35" i="3"/>
  <c r="L36" i="3"/>
  <c r="L35" i="3" s="1"/>
  <c r="S36" i="3"/>
  <c r="L37" i="3"/>
  <c r="S37" i="3"/>
  <c r="F62" i="3"/>
  <c r="I38" i="3"/>
  <c r="J38" i="3"/>
  <c r="P38" i="3"/>
  <c r="Q38" i="3"/>
  <c r="Q34" i="3" s="1"/>
  <c r="L39" i="3"/>
  <c r="S39" i="3"/>
  <c r="S38" i="3" s="1"/>
  <c r="L40" i="3"/>
  <c r="S40" i="3"/>
  <c r="I41" i="3"/>
  <c r="J41" i="3"/>
  <c r="P41" i="3"/>
  <c r="Q41" i="3"/>
  <c r="L42" i="3"/>
  <c r="L41" i="3" s="1"/>
  <c r="S42" i="3"/>
  <c r="S41" i="3" s="1"/>
  <c r="H43" i="3"/>
  <c r="H33" i="3" s="1"/>
  <c r="I43" i="3"/>
  <c r="J43" i="3"/>
  <c r="L44" i="3"/>
  <c r="S44" i="3"/>
  <c r="L45" i="3"/>
  <c r="S45" i="3"/>
  <c r="L46" i="3"/>
  <c r="S46" i="3"/>
  <c r="L47" i="3"/>
  <c r="S47" i="3"/>
  <c r="L48" i="3"/>
  <c r="S48" i="3"/>
  <c r="L49" i="3"/>
  <c r="S49" i="3"/>
  <c r="L50" i="3"/>
  <c r="S50" i="3"/>
  <c r="L51" i="3"/>
  <c r="L43" i="3" s="1"/>
  <c r="S51" i="3"/>
  <c r="L52" i="3"/>
  <c r="S52" i="3"/>
  <c r="S54" i="3"/>
  <c r="Q53" i="3"/>
  <c r="Q43" i="3" s="1"/>
  <c r="S56" i="3"/>
  <c r="S57" i="3"/>
  <c r="S59" i="3"/>
  <c r="S60" i="3"/>
  <c r="S61" i="3"/>
  <c r="E72" i="3"/>
  <c r="G72" i="3"/>
  <c r="H72" i="3"/>
  <c r="J72" i="3"/>
  <c r="O72" i="3"/>
  <c r="Q72" i="3"/>
  <c r="H79" i="3"/>
  <c r="I79" i="3"/>
  <c r="J79" i="3"/>
  <c r="K79" i="3"/>
  <c r="L79" i="3"/>
  <c r="P79" i="3"/>
  <c r="Q79" i="3"/>
  <c r="R79" i="3"/>
  <c r="S79" i="3"/>
  <c r="C80" i="3"/>
  <c r="D80" i="3"/>
  <c r="D79" i="3" s="1"/>
  <c r="E80" i="3"/>
  <c r="F80" i="3"/>
  <c r="G80" i="3"/>
  <c r="M80" i="3"/>
  <c r="M79" i="3" s="1"/>
  <c r="N80" i="3"/>
  <c r="O80" i="3"/>
  <c r="C94" i="3"/>
  <c r="D94" i="3"/>
  <c r="E94" i="3"/>
  <c r="F94" i="3"/>
  <c r="F79" i="3" s="1"/>
  <c r="F133" i="3" s="1"/>
  <c r="G94" i="3"/>
  <c r="M94" i="3"/>
  <c r="N94" i="3"/>
  <c r="O94" i="3"/>
  <c r="F106" i="3"/>
  <c r="F105" i="3" s="1"/>
  <c r="F104" i="3" s="1"/>
  <c r="G106" i="3"/>
  <c r="G105" i="3" s="1"/>
  <c r="G104" i="3" s="1"/>
  <c r="N106" i="3"/>
  <c r="N105" i="3" s="1"/>
  <c r="N104" i="3" s="1"/>
  <c r="O106" i="3"/>
  <c r="O105" i="3" s="1"/>
  <c r="F109" i="3"/>
  <c r="G109" i="3"/>
  <c r="N109" i="3"/>
  <c r="O109" i="3"/>
  <c r="F112" i="3"/>
  <c r="G112" i="3"/>
  <c r="N112" i="3"/>
  <c r="O112" i="3"/>
  <c r="E114" i="3"/>
  <c r="E104" i="3" s="1"/>
  <c r="F114" i="3"/>
  <c r="G114" i="3"/>
  <c r="N126" i="3"/>
  <c r="O126" i="3"/>
  <c r="O124" i="3" s="1"/>
  <c r="O114" i="3" s="1"/>
  <c r="N129" i="3"/>
  <c r="N124" i="3" s="1"/>
  <c r="N114" i="3" s="1"/>
  <c r="O129" i="3"/>
  <c r="S132" i="3"/>
  <c r="E143" i="3"/>
  <c r="G143" i="3"/>
  <c r="H143" i="3"/>
  <c r="J143" i="3"/>
  <c r="O143" i="3"/>
  <c r="Q143" i="3"/>
  <c r="CE134" i="1"/>
  <c r="CD134" i="1"/>
  <c r="CC134" i="1"/>
  <c r="CB134" i="1"/>
  <c r="BZ134" i="1"/>
  <c r="BY134" i="1"/>
  <c r="AR134" i="1"/>
  <c r="R134" i="1"/>
  <c r="CF130" i="1"/>
  <c r="BW130" i="1"/>
  <c r="BQ130" i="1"/>
  <c r="AO130" i="1"/>
  <c r="AH130" i="1"/>
  <c r="AP130" i="1" s="1"/>
  <c r="AE130" i="1"/>
  <c r="Z130" i="1"/>
  <c r="T130" i="1"/>
  <c r="P130" i="1"/>
  <c r="N130" i="1"/>
  <c r="I130" i="1"/>
  <c r="F130" i="1"/>
  <c r="Q130" i="1" s="1"/>
  <c r="BW129" i="1"/>
  <c r="BQ129" i="1"/>
  <c r="AP129" i="1"/>
  <c r="AO129" i="1"/>
  <c r="AH129" i="1"/>
  <c r="AE129" i="1"/>
  <c r="Z129" i="1"/>
  <c r="T129" i="1"/>
  <c r="CF126" i="1"/>
  <c r="BW126" i="1"/>
  <c r="BQ126" i="1"/>
  <c r="AP126" i="1"/>
  <c r="AO126" i="1"/>
  <c r="AH126" i="1"/>
  <c r="AE126" i="1"/>
  <c r="Z126" i="1"/>
  <c r="T126" i="1"/>
  <c r="P126" i="1"/>
  <c r="N126" i="1"/>
  <c r="I126" i="1"/>
  <c r="F126" i="1"/>
  <c r="Q126" i="1" s="1"/>
  <c r="BW125" i="1"/>
  <c r="BQ125" i="1"/>
  <c r="AP125" i="1"/>
  <c r="AO125" i="1"/>
  <c r="AH125" i="1"/>
  <c r="AE125" i="1"/>
  <c r="Z125" i="1"/>
  <c r="T125" i="1"/>
  <c r="CF122" i="1"/>
  <c r="BW122" i="1"/>
  <c r="BQ122" i="1"/>
  <c r="AP122" i="1"/>
  <c r="AO122" i="1"/>
  <c r="AH122" i="1"/>
  <c r="AE122" i="1"/>
  <c r="Z122" i="1"/>
  <c r="T122" i="1"/>
  <c r="P122" i="1"/>
  <c r="N122" i="1"/>
  <c r="I122" i="1"/>
  <c r="F122" i="1"/>
  <c r="Q122" i="1" s="1"/>
  <c r="BW121" i="1"/>
  <c r="BQ121" i="1"/>
  <c r="AP121" i="1"/>
  <c r="AO121" i="1"/>
  <c r="AH121" i="1"/>
  <c r="AE121" i="1"/>
  <c r="Z121" i="1"/>
  <c r="T121" i="1"/>
  <c r="CF118" i="1"/>
  <c r="BW118" i="1"/>
  <c r="BQ118" i="1"/>
  <c r="AO118" i="1"/>
  <c r="AH118" i="1"/>
  <c r="AP118" i="1" s="1"/>
  <c r="AE118" i="1"/>
  <c r="Z118" i="1"/>
  <c r="T118" i="1"/>
  <c r="P118" i="1"/>
  <c r="N118" i="1"/>
  <c r="I118" i="1"/>
  <c r="F118" i="1"/>
  <c r="Q118" i="1" s="1"/>
  <c r="BW117" i="1"/>
  <c r="BQ117" i="1"/>
  <c r="AP117" i="1"/>
  <c r="AO117" i="1"/>
  <c r="AH117" i="1"/>
  <c r="AE117" i="1"/>
  <c r="Z117" i="1"/>
  <c r="T117" i="1"/>
  <c r="CF114" i="1"/>
  <c r="BW114" i="1"/>
  <c r="BQ114" i="1"/>
  <c r="AO114" i="1"/>
  <c r="AH114" i="1"/>
  <c r="AP114" i="1" s="1"/>
  <c r="AE114" i="1"/>
  <c r="Z114" i="1"/>
  <c r="T114" i="1"/>
  <c r="P114" i="1"/>
  <c r="N114" i="1"/>
  <c r="I114" i="1"/>
  <c r="F114" i="1"/>
  <c r="Q114" i="1" s="1"/>
  <c r="BW113" i="1"/>
  <c r="BQ113" i="1"/>
  <c r="AP113" i="1"/>
  <c r="AO113" i="1"/>
  <c r="AH113" i="1"/>
  <c r="AE113" i="1"/>
  <c r="Z113" i="1"/>
  <c r="T113" i="1"/>
  <c r="CF110" i="1"/>
  <c r="BW110" i="1"/>
  <c r="BQ110" i="1"/>
  <c r="AP110" i="1"/>
  <c r="AO110" i="1"/>
  <c r="AH110" i="1"/>
  <c r="AE110" i="1"/>
  <c r="Z110" i="1"/>
  <c r="T110" i="1"/>
  <c r="P110" i="1"/>
  <c r="N110" i="1"/>
  <c r="I110" i="1"/>
  <c r="F110" i="1"/>
  <c r="Q110" i="1" s="1"/>
  <c r="BW109" i="1"/>
  <c r="BQ109" i="1"/>
  <c r="AP109" i="1"/>
  <c r="AO109" i="1"/>
  <c r="AH109" i="1"/>
  <c r="AE109" i="1"/>
  <c r="Z109" i="1"/>
  <c r="T109" i="1"/>
  <c r="CF106" i="1"/>
  <c r="BW106" i="1"/>
  <c r="BQ106" i="1"/>
  <c r="AP106" i="1"/>
  <c r="AO106" i="1"/>
  <c r="AH106" i="1"/>
  <c r="AE106" i="1"/>
  <c r="Z106" i="1"/>
  <c r="T106" i="1"/>
  <c r="P106" i="1"/>
  <c r="N106" i="1"/>
  <c r="I106" i="1"/>
  <c r="F106" i="1"/>
  <c r="Q106" i="1" s="1"/>
  <c r="BW105" i="1"/>
  <c r="BQ105" i="1"/>
  <c r="AP105" i="1"/>
  <c r="AO105" i="1"/>
  <c r="AH105" i="1"/>
  <c r="AE105" i="1"/>
  <c r="Z105" i="1"/>
  <c r="T105" i="1"/>
  <c r="CF102" i="1"/>
  <c r="BW102" i="1"/>
  <c r="BQ102" i="1"/>
  <c r="AO102" i="1"/>
  <c r="AH102" i="1"/>
  <c r="AP102" i="1" s="1"/>
  <c r="AE102" i="1"/>
  <c r="Z102" i="1"/>
  <c r="T102" i="1"/>
  <c r="P102" i="1"/>
  <c r="N102" i="1"/>
  <c r="I102" i="1"/>
  <c r="F102" i="1"/>
  <c r="Q102" i="1" s="1"/>
  <c r="BW101" i="1"/>
  <c r="BQ101" i="1"/>
  <c r="AP101" i="1"/>
  <c r="AO101" i="1"/>
  <c r="AH101" i="1"/>
  <c r="AE101" i="1"/>
  <c r="Z101" i="1"/>
  <c r="T101" i="1"/>
  <c r="CF98" i="1"/>
  <c r="BW98" i="1"/>
  <c r="BQ98" i="1"/>
  <c r="AO98" i="1"/>
  <c r="AH98" i="1"/>
  <c r="AP98" i="1" s="1"/>
  <c r="AE98" i="1"/>
  <c r="Z98" i="1"/>
  <c r="T98" i="1"/>
  <c r="P98" i="1"/>
  <c r="N98" i="1"/>
  <c r="I98" i="1"/>
  <c r="F98" i="1"/>
  <c r="BW97" i="1"/>
  <c r="BQ97" i="1"/>
  <c r="AP97" i="1"/>
  <c r="AO97" i="1"/>
  <c r="AH97" i="1"/>
  <c r="AE97" i="1"/>
  <c r="Z97" i="1"/>
  <c r="T97" i="1"/>
  <c r="CF94" i="1"/>
  <c r="BW94" i="1"/>
  <c r="BQ94" i="1"/>
  <c r="AP94" i="1"/>
  <c r="AO94" i="1"/>
  <c r="AH94" i="1"/>
  <c r="AE94" i="1"/>
  <c r="Z94" i="1"/>
  <c r="T94" i="1"/>
  <c r="P94" i="1"/>
  <c r="N94" i="1"/>
  <c r="I94" i="1"/>
  <c r="F94" i="1"/>
  <c r="Q94" i="1" s="1"/>
  <c r="BW93" i="1"/>
  <c r="BQ93" i="1"/>
  <c r="AP93" i="1"/>
  <c r="AO93" i="1"/>
  <c r="AH93" i="1"/>
  <c r="AE93" i="1"/>
  <c r="Z93" i="1"/>
  <c r="T93" i="1"/>
  <c r="CF90" i="1"/>
  <c r="BW90" i="1"/>
  <c r="BQ90" i="1"/>
  <c r="AP90" i="1"/>
  <c r="AO90" i="1"/>
  <c r="AH90" i="1"/>
  <c r="AE90" i="1"/>
  <c r="Z90" i="1"/>
  <c r="T90" i="1"/>
  <c r="P90" i="1"/>
  <c r="N90" i="1"/>
  <c r="I90" i="1"/>
  <c r="F90" i="1"/>
  <c r="Q90" i="1" s="1"/>
  <c r="BW89" i="1"/>
  <c r="BQ89" i="1"/>
  <c r="AP89" i="1"/>
  <c r="AO89" i="1"/>
  <c r="AH89" i="1"/>
  <c r="AE89" i="1"/>
  <c r="Z89" i="1"/>
  <c r="T89" i="1"/>
  <c r="CF86" i="1"/>
  <c r="BW86" i="1"/>
  <c r="BQ86" i="1"/>
  <c r="AO86" i="1"/>
  <c r="AH86" i="1"/>
  <c r="AP86" i="1" s="1"/>
  <c r="AE86" i="1"/>
  <c r="Z86" i="1"/>
  <c r="T86" i="1"/>
  <c r="P86" i="1"/>
  <c r="N86" i="1"/>
  <c r="I86" i="1"/>
  <c r="F86" i="1"/>
  <c r="BW85" i="1"/>
  <c r="BQ85" i="1"/>
  <c r="AP85" i="1"/>
  <c r="AO85" i="1"/>
  <c r="AH85" i="1"/>
  <c r="AE85" i="1"/>
  <c r="Z85" i="1"/>
  <c r="T85" i="1"/>
  <c r="CF82" i="1"/>
  <c r="BW82" i="1"/>
  <c r="BQ82" i="1"/>
  <c r="AP82" i="1"/>
  <c r="AO82" i="1"/>
  <c r="AH82" i="1"/>
  <c r="AE82" i="1"/>
  <c r="Z82" i="1"/>
  <c r="T82" i="1"/>
  <c r="P82" i="1"/>
  <c r="N82" i="1"/>
  <c r="I82" i="1"/>
  <c r="F82" i="1"/>
  <c r="BW81" i="1"/>
  <c r="BQ81" i="1"/>
  <c r="AP81" i="1"/>
  <c r="AO81" i="1"/>
  <c r="AH81" i="1"/>
  <c r="AE81" i="1"/>
  <c r="Z81" i="1"/>
  <c r="T81" i="1"/>
  <c r="CF78" i="1"/>
  <c r="BW78" i="1"/>
  <c r="BQ78" i="1"/>
  <c r="AP78" i="1"/>
  <c r="AO78" i="1"/>
  <c r="AH78" i="1"/>
  <c r="AE78" i="1"/>
  <c r="Z78" i="1"/>
  <c r="T78" i="1"/>
  <c r="P78" i="1"/>
  <c r="N78" i="1"/>
  <c r="I78" i="1"/>
  <c r="F78" i="1"/>
  <c r="Q78" i="1" s="1"/>
  <c r="BW77" i="1"/>
  <c r="BQ77" i="1"/>
  <c r="AP77" i="1"/>
  <c r="AO77" i="1"/>
  <c r="AH77" i="1"/>
  <c r="AE77" i="1"/>
  <c r="Z77" i="1"/>
  <c r="T77" i="1"/>
  <c r="CF74" i="1"/>
  <c r="BW74" i="1"/>
  <c r="BQ74" i="1"/>
  <c r="AP74" i="1"/>
  <c r="AO74" i="1"/>
  <c r="AH74" i="1"/>
  <c r="AE74" i="1"/>
  <c r="Z74" i="1"/>
  <c r="T74" i="1"/>
  <c r="P74" i="1"/>
  <c r="N74" i="1"/>
  <c r="I74" i="1"/>
  <c r="F74" i="1"/>
  <c r="Q74" i="1" s="1"/>
  <c r="BW73" i="1"/>
  <c r="BQ73" i="1"/>
  <c r="AP73" i="1"/>
  <c r="AO73" i="1"/>
  <c r="AH73" i="1"/>
  <c r="AE73" i="1"/>
  <c r="Z73" i="1"/>
  <c r="T73" i="1"/>
  <c r="CF70" i="1"/>
  <c r="BW70" i="1"/>
  <c r="BQ70" i="1"/>
  <c r="AO70" i="1"/>
  <c r="AH70" i="1"/>
  <c r="AP70" i="1" s="1"/>
  <c r="AE70" i="1"/>
  <c r="Z70" i="1"/>
  <c r="T70" i="1"/>
  <c r="P70" i="1"/>
  <c r="N70" i="1"/>
  <c r="I70" i="1"/>
  <c r="F70" i="1"/>
  <c r="Q70" i="1" s="1"/>
  <c r="BW69" i="1"/>
  <c r="BQ69" i="1"/>
  <c r="AP69" i="1"/>
  <c r="AO69" i="1"/>
  <c r="AH69" i="1"/>
  <c r="AE69" i="1"/>
  <c r="Z69" i="1"/>
  <c r="T69" i="1"/>
  <c r="CF66" i="1"/>
  <c r="BW66" i="1"/>
  <c r="BQ66" i="1"/>
  <c r="AP66" i="1"/>
  <c r="AO66" i="1"/>
  <c r="AH66" i="1"/>
  <c r="AE66" i="1"/>
  <c r="Z66" i="1"/>
  <c r="T66" i="1"/>
  <c r="P66" i="1"/>
  <c r="N66" i="1"/>
  <c r="I66" i="1"/>
  <c r="F66" i="1"/>
  <c r="Q66" i="1" s="1"/>
  <c r="BW65" i="1"/>
  <c r="BQ65" i="1"/>
  <c r="AP65" i="1"/>
  <c r="AO65" i="1"/>
  <c r="AH65" i="1"/>
  <c r="AE65" i="1"/>
  <c r="Z65" i="1"/>
  <c r="T65" i="1"/>
  <c r="CF62" i="1"/>
  <c r="BW62" i="1"/>
  <c r="BQ62" i="1"/>
  <c r="AP62" i="1"/>
  <c r="AO62" i="1"/>
  <c r="AH62" i="1"/>
  <c r="AE62" i="1"/>
  <c r="Z62" i="1"/>
  <c r="T62" i="1"/>
  <c r="P62" i="1"/>
  <c r="N62" i="1"/>
  <c r="I62" i="1"/>
  <c r="F62" i="1"/>
  <c r="Q62" i="1" s="1"/>
  <c r="BW61" i="1"/>
  <c r="BQ61" i="1"/>
  <c r="AP61" i="1"/>
  <c r="AO61" i="1"/>
  <c r="AH61" i="1"/>
  <c r="AE61" i="1"/>
  <c r="Z61" i="1"/>
  <c r="T61" i="1"/>
  <c r="CF58" i="1"/>
  <c r="BW58" i="1"/>
  <c r="BQ58" i="1"/>
  <c r="AP58" i="1"/>
  <c r="AO58" i="1"/>
  <c r="AH58" i="1"/>
  <c r="AE58" i="1"/>
  <c r="Z58" i="1"/>
  <c r="T58" i="1"/>
  <c r="P58" i="1"/>
  <c r="N58" i="1"/>
  <c r="I58" i="1"/>
  <c r="F58" i="1"/>
  <c r="Q58" i="1" s="1"/>
  <c r="BW57" i="1"/>
  <c r="BQ57" i="1"/>
  <c r="AP57" i="1"/>
  <c r="AO57" i="1"/>
  <c r="AH57" i="1"/>
  <c r="AE57" i="1"/>
  <c r="Z57" i="1"/>
  <c r="T57" i="1"/>
  <c r="CF54" i="1"/>
  <c r="BW54" i="1"/>
  <c r="BQ54" i="1"/>
  <c r="AO54" i="1"/>
  <c r="AH54" i="1"/>
  <c r="AP54" i="1" s="1"/>
  <c r="AE54" i="1"/>
  <c r="Z54" i="1"/>
  <c r="T54" i="1"/>
  <c r="P54" i="1"/>
  <c r="N54" i="1"/>
  <c r="I54" i="1"/>
  <c r="F54" i="1"/>
  <c r="Q54" i="1" s="1"/>
  <c r="BW53" i="1"/>
  <c r="BQ53" i="1"/>
  <c r="AP53" i="1"/>
  <c r="AO53" i="1"/>
  <c r="AH53" i="1"/>
  <c r="AE53" i="1"/>
  <c r="Z53" i="1"/>
  <c r="T53" i="1"/>
  <c r="CF50" i="1"/>
  <c r="BW50" i="1"/>
  <c r="BQ50" i="1"/>
  <c r="AO50" i="1"/>
  <c r="AH50" i="1"/>
  <c r="AP50" i="1" s="1"/>
  <c r="AE50" i="1"/>
  <c r="Z50" i="1"/>
  <c r="T50" i="1"/>
  <c r="P50" i="1"/>
  <c r="N50" i="1"/>
  <c r="I50" i="1"/>
  <c r="F50" i="1"/>
  <c r="Q50" i="1" s="1"/>
  <c r="BW49" i="1"/>
  <c r="BQ49" i="1"/>
  <c r="AP49" i="1"/>
  <c r="AO49" i="1"/>
  <c r="AH49" i="1"/>
  <c r="AE49" i="1"/>
  <c r="Z49" i="1"/>
  <c r="T49" i="1"/>
  <c r="CF46" i="1"/>
  <c r="BW46" i="1"/>
  <c r="BQ46" i="1"/>
  <c r="AP46" i="1"/>
  <c r="AO46" i="1"/>
  <c r="AH46" i="1"/>
  <c r="AE46" i="1"/>
  <c r="Z46" i="1"/>
  <c r="T46" i="1"/>
  <c r="P46" i="1"/>
  <c r="N46" i="1"/>
  <c r="I46" i="1"/>
  <c r="F46" i="1"/>
  <c r="BW45" i="1"/>
  <c r="BQ45" i="1"/>
  <c r="AP45" i="1"/>
  <c r="AO45" i="1"/>
  <c r="AH45" i="1"/>
  <c r="AE45" i="1"/>
  <c r="Z45" i="1"/>
  <c r="T45" i="1"/>
  <c r="CF42" i="1"/>
  <c r="BW42" i="1"/>
  <c r="BQ42" i="1"/>
  <c r="AO42" i="1"/>
  <c r="AH42" i="1"/>
  <c r="AP42" i="1" s="1"/>
  <c r="AE42" i="1"/>
  <c r="Z42" i="1"/>
  <c r="T42" i="1"/>
  <c r="Q42" i="1"/>
  <c r="P42" i="1"/>
  <c r="N42" i="1"/>
  <c r="I42" i="1"/>
  <c r="F42" i="1"/>
  <c r="BW41" i="1"/>
  <c r="BQ41" i="1"/>
  <c r="AP41" i="1"/>
  <c r="AO41" i="1"/>
  <c r="AH41" i="1"/>
  <c r="AE41" i="1"/>
  <c r="Z41" i="1"/>
  <c r="T41" i="1"/>
  <c r="CF38" i="1"/>
  <c r="BW38" i="1"/>
  <c r="BQ38" i="1"/>
  <c r="AO38" i="1"/>
  <c r="AH38" i="1"/>
  <c r="AP38" i="1" s="1"/>
  <c r="AE38" i="1"/>
  <c r="Z38" i="1"/>
  <c r="T38" i="1"/>
  <c r="P38" i="1"/>
  <c r="N38" i="1"/>
  <c r="I38" i="1"/>
  <c r="F38" i="1"/>
  <c r="Q38" i="1" s="1"/>
  <c r="BW37" i="1"/>
  <c r="BQ37" i="1"/>
  <c r="AP37" i="1"/>
  <c r="AO37" i="1"/>
  <c r="AH37" i="1"/>
  <c r="AE37" i="1"/>
  <c r="Z37" i="1"/>
  <c r="T37" i="1"/>
  <c r="CF34" i="1"/>
  <c r="BW34" i="1"/>
  <c r="BQ34" i="1"/>
  <c r="AO34" i="1"/>
  <c r="AH34" i="1"/>
  <c r="AP34" i="1" s="1"/>
  <c r="AE34" i="1"/>
  <c r="Z34" i="1"/>
  <c r="T34" i="1"/>
  <c r="P34" i="1"/>
  <c r="N34" i="1"/>
  <c r="I34" i="1"/>
  <c r="F34" i="1"/>
  <c r="BW33" i="1"/>
  <c r="BQ33" i="1"/>
  <c r="AP33" i="1"/>
  <c r="AO33" i="1"/>
  <c r="AH33" i="1"/>
  <c r="AE33" i="1"/>
  <c r="Z33" i="1"/>
  <c r="T33" i="1"/>
  <c r="CF30" i="1"/>
  <c r="BW30" i="1"/>
  <c r="BQ30" i="1"/>
  <c r="AP30" i="1"/>
  <c r="AO30" i="1"/>
  <c r="AH30" i="1"/>
  <c r="AE30" i="1"/>
  <c r="Z30" i="1"/>
  <c r="T30" i="1"/>
  <c r="Q30" i="1"/>
  <c r="P30" i="1"/>
  <c r="N30" i="1"/>
  <c r="I30" i="1"/>
  <c r="F30" i="1"/>
  <c r="BW29" i="1"/>
  <c r="BQ29" i="1"/>
  <c r="AP29" i="1"/>
  <c r="AO29" i="1"/>
  <c r="AH29" i="1"/>
  <c r="AE29" i="1"/>
  <c r="Z29" i="1"/>
  <c r="T29" i="1"/>
  <c r="CF26" i="1"/>
  <c r="BW26" i="1"/>
  <c r="BQ26" i="1"/>
  <c r="AO26" i="1"/>
  <c r="AH26" i="1"/>
  <c r="AP26" i="1" s="1"/>
  <c r="AE26" i="1"/>
  <c r="Z26" i="1"/>
  <c r="T26" i="1"/>
  <c r="P26" i="1"/>
  <c r="N26" i="1"/>
  <c r="I26" i="1"/>
  <c r="F26" i="1"/>
  <c r="Q26" i="1" s="1"/>
  <c r="BW25" i="1"/>
  <c r="BQ25" i="1"/>
  <c r="AP25" i="1"/>
  <c r="AO25" i="1"/>
  <c r="AH25" i="1"/>
  <c r="AE25" i="1"/>
  <c r="Z25" i="1"/>
  <c r="T25" i="1"/>
  <c r="CF22" i="1"/>
  <c r="BW22" i="1"/>
  <c r="BQ22" i="1"/>
  <c r="AO22" i="1"/>
  <c r="AH22" i="1"/>
  <c r="AP22" i="1" s="1"/>
  <c r="AQ22" i="1" s="1"/>
  <c r="AE22" i="1"/>
  <c r="Z22" i="1"/>
  <c r="AA22" i="1" s="1"/>
  <c r="T22" i="1"/>
  <c r="P22" i="1"/>
  <c r="N22" i="1"/>
  <c r="I22" i="1"/>
  <c r="F22" i="1"/>
  <c r="BW21" i="1"/>
  <c r="BQ21" i="1"/>
  <c r="AP21" i="1"/>
  <c r="AO21" i="1"/>
  <c r="AH21" i="1"/>
  <c r="AE21" i="1"/>
  <c r="Z21" i="1"/>
  <c r="T21" i="1"/>
  <c r="CF18" i="1"/>
  <c r="BW18" i="1"/>
  <c r="BX18" i="1" s="1"/>
  <c r="BX22" i="1" s="1"/>
  <c r="BQ18" i="1"/>
  <c r="AP18" i="1"/>
  <c r="AQ18" i="1" s="1"/>
  <c r="AO18" i="1"/>
  <c r="AH18" i="1"/>
  <c r="AE18" i="1"/>
  <c r="Z18" i="1"/>
  <c r="AA18" i="1" s="1"/>
  <c r="T18" i="1"/>
  <c r="P18" i="1"/>
  <c r="N18" i="1"/>
  <c r="I18" i="1"/>
  <c r="F18" i="1"/>
  <c r="BW17" i="1"/>
  <c r="BQ17" i="1"/>
  <c r="AP17" i="1"/>
  <c r="AO17" i="1"/>
  <c r="AH17" i="1"/>
  <c r="AE17" i="1"/>
  <c r="Z17" i="1"/>
  <c r="T17" i="1"/>
  <c r="CH14" i="1"/>
  <c r="CF14" i="1"/>
  <c r="BW14" i="1"/>
  <c r="BX14" i="1" s="1"/>
  <c r="BR14" i="1"/>
  <c r="BQ14" i="1"/>
  <c r="AP14" i="1"/>
  <c r="AQ14" i="1" s="1"/>
  <c r="AO14" i="1"/>
  <c r="AH14" i="1"/>
  <c r="AE14" i="1"/>
  <c r="AF14" i="1" s="1"/>
  <c r="AA14" i="1"/>
  <c r="Z14" i="1"/>
  <c r="T14" i="1"/>
  <c r="U14" i="1" s="1"/>
  <c r="P14" i="1"/>
  <c r="N14" i="1"/>
  <c r="I14" i="1"/>
  <c r="F14" i="1"/>
  <c r="Q14" i="1" s="1"/>
  <c r="BW13" i="1"/>
  <c r="BQ13" i="1"/>
  <c r="AP13" i="1"/>
  <c r="AO13" i="1"/>
  <c r="AH13" i="1"/>
  <c r="AE13" i="1"/>
  <c r="Z13" i="1"/>
  <c r="T13" i="1"/>
  <c r="CE6" i="1"/>
  <c r="CD6" i="1"/>
  <c r="CC6" i="1"/>
  <c r="CB6" i="1"/>
  <c r="CF6" i="1" s="1"/>
  <c r="G79" i="3" l="1"/>
  <c r="G133" i="3" s="1"/>
  <c r="C79" i="3"/>
  <c r="O79" i="3"/>
  <c r="N79" i="3"/>
  <c r="N133" i="3" s="1"/>
  <c r="F134" i="3" s="1"/>
  <c r="E79" i="3"/>
  <c r="R23" i="3"/>
  <c r="R8" i="3"/>
  <c r="S23" i="3"/>
  <c r="S8" i="3" s="1"/>
  <c r="Q8" i="3"/>
  <c r="K9" i="3"/>
  <c r="L23" i="3"/>
  <c r="K23" i="3"/>
  <c r="K8" i="3" s="1"/>
  <c r="S58" i="3"/>
  <c r="S35" i="3"/>
  <c r="S34" i="3" s="1"/>
  <c r="L38" i="3"/>
  <c r="L9" i="3"/>
  <c r="S55" i="3"/>
  <c r="S53" i="3" s="1"/>
  <c r="S43" i="3" s="1"/>
  <c r="S33" i="3" s="1"/>
  <c r="G62" i="3"/>
  <c r="L34" i="3"/>
  <c r="L33" i="3" s="1"/>
  <c r="N62" i="3"/>
  <c r="F63" i="3" s="1"/>
  <c r="Q33" i="3"/>
  <c r="Q62" i="3" s="1"/>
  <c r="AA63" i="3" s="1"/>
  <c r="O62" i="3"/>
  <c r="J62" i="3"/>
  <c r="L62" i="3" s="1"/>
  <c r="O104" i="3"/>
  <c r="P33" i="3"/>
  <c r="P62" i="3" s="1"/>
  <c r="I63" i="3" s="1"/>
  <c r="BX30" i="1"/>
  <c r="BX34" i="1" s="1"/>
  <c r="BX38" i="1" s="1"/>
  <c r="BX42" i="1" s="1"/>
  <c r="BX46" i="1" s="1"/>
  <c r="BX50" i="1" s="1"/>
  <c r="BX54" i="1" s="1"/>
  <c r="BX58" i="1" s="1"/>
  <c r="BX62" i="1" s="1"/>
  <c r="BX66" i="1" s="1"/>
  <c r="BX70" i="1" s="1"/>
  <c r="BX74" i="1" s="1"/>
  <c r="BX78" i="1" s="1"/>
  <c r="BX82" i="1" s="1"/>
  <c r="BX86" i="1" s="1"/>
  <c r="BX90" i="1" s="1"/>
  <c r="BX94" i="1" s="1"/>
  <c r="BX98" i="1" s="1"/>
  <c r="BX102" i="1" s="1"/>
  <c r="BX106" i="1" s="1"/>
  <c r="BX110" i="1" s="1"/>
  <c r="BX114" i="1" s="1"/>
  <c r="BX118" i="1" s="1"/>
  <c r="BX122" i="1" s="1"/>
  <c r="BX126" i="1" s="1"/>
  <c r="BX130" i="1" s="1"/>
  <c r="CA14" i="1"/>
  <c r="U18" i="1"/>
  <c r="AQ26" i="1"/>
  <c r="AQ30" i="1"/>
  <c r="AQ34" i="1" s="1"/>
  <c r="AQ38" i="1" s="1"/>
  <c r="AQ42" i="1" s="1"/>
  <c r="AQ46" i="1" s="1"/>
  <c r="AQ50" i="1" s="1"/>
  <c r="AQ54" i="1" s="1"/>
  <c r="AQ58" i="1" s="1"/>
  <c r="AQ62" i="1" s="1"/>
  <c r="AQ66" i="1" s="1"/>
  <c r="AQ70" i="1" s="1"/>
  <c r="AQ74" i="1" s="1"/>
  <c r="AQ78" i="1" s="1"/>
  <c r="AQ82" i="1" s="1"/>
  <c r="AQ86" i="1" s="1"/>
  <c r="AQ90" i="1" s="1"/>
  <c r="AQ94" i="1" s="1"/>
  <c r="AQ98" i="1" s="1"/>
  <c r="AQ102" i="1" s="1"/>
  <c r="AQ106" i="1" s="1"/>
  <c r="AQ110" i="1" s="1"/>
  <c r="AQ114" i="1" s="1"/>
  <c r="AQ118" i="1" s="1"/>
  <c r="AQ122" i="1" s="1"/>
  <c r="AQ126" i="1" s="1"/>
  <c r="AQ130" i="1" s="1"/>
  <c r="Q46" i="1"/>
  <c r="Q86" i="1"/>
  <c r="AF18" i="1"/>
  <c r="AF22" i="1" s="1"/>
  <c r="Q22" i="1"/>
  <c r="AA26" i="1"/>
  <c r="AA30" i="1" s="1"/>
  <c r="BX26" i="1"/>
  <c r="BX134" i="1" s="1"/>
  <c r="BW134" i="1" s="1"/>
  <c r="AA34" i="1"/>
  <c r="AA38" i="1" s="1"/>
  <c r="AA42" i="1" s="1"/>
  <c r="AA46" i="1" s="1"/>
  <c r="AA50" i="1" s="1"/>
  <c r="AA54" i="1" s="1"/>
  <c r="AA58" i="1" s="1"/>
  <c r="AA62" i="1" s="1"/>
  <c r="AA66" i="1" s="1"/>
  <c r="AA70" i="1" s="1"/>
  <c r="AA74" i="1" s="1"/>
  <c r="AA78" i="1" s="1"/>
  <c r="AA82" i="1" s="1"/>
  <c r="AA86" i="1" s="1"/>
  <c r="AA90" i="1" s="1"/>
  <c r="AA94" i="1" s="1"/>
  <c r="AA98" i="1" s="1"/>
  <c r="AA102" i="1" s="1"/>
  <c r="AA106" i="1" s="1"/>
  <c r="AA110" i="1" s="1"/>
  <c r="AA114" i="1" s="1"/>
  <c r="AA118" i="1" s="1"/>
  <c r="AA122" i="1" s="1"/>
  <c r="AA126" i="1" s="1"/>
  <c r="AA130" i="1" s="1"/>
  <c r="Q18" i="1"/>
  <c r="Q82" i="1"/>
  <c r="Q98" i="1"/>
  <c r="CF134" i="1"/>
  <c r="BR18" i="1"/>
  <c r="CH18" i="1" s="1"/>
  <c r="AF26" i="1"/>
  <c r="AF30" i="1" s="1"/>
  <c r="AF34" i="1" s="1"/>
  <c r="AF38" i="1" s="1"/>
  <c r="AF42" i="1" s="1"/>
  <c r="AF46" i="1" s="1"/>
  <c r="AF50" i="1" s="1"/>
  <c r="AF54" i="1" s="1"/>
  <c r="AF58" i="1" s="1"/>
  <c r="AF62" i="1" s="1"/>
  <c r="AF66" i="1" s="1"/>
  <c r="AF70" i="1" s="1"/>
  <c r="AF74" i="1" s="1"/>
  <c r="AF78" i="1" s="1"/>
  <c r="AF82" i="1" s="1"/>
  <c r="AF86" i="1" s="1"/>
  <c r="AF90" i="1" s="1"/>
  <c r="AF94" i="1" s="1"/>
  <c r="AF98" i="1" s="1"/>
  <c r="AF102" i="1" s="1"/>
  <c r="AF106" i="1" s="1"/>
  <c r="AF110" i="1" s="1"/>
  <c r="AF114" i="1" s="1"/>
  <c r="AF118" i="1" s="1"/>
  <c r="AF122" i="1" s="1"/>
  <c r="AF126" i="1" s="1"/>
  <c r="AF130" i="1" s="1"/>
  <c r="Q34" i="1"/>
  <c r="O133" i="3" l="1"/>
  <c r="G134" i="3" s="1"/>
  <c r="G136" i="3" s="1"/>
  <c r="L8" i="3"/>
  <c r="S62" i="3"/>
  <c r="J63" i="3"/>
  <c r="Q65" i="3"/>
  <c r="O65" i="3"/>
  <c r="G63" i="3"/>
  <c r="G65" i="3" s="1"/>
  <c r="AQ134" i="1"/>
  <c r="BR22" i="1"/>
  <c r="AA134" i="1"/>
  <c r="Z134" i="1" s="1"/>
  <c r="CA18" i="1"/>
  <c r="CG16" i="1" s="1"/>
  <c r="U22" i="1"/>
  <c r="CG12" i="1"/>
  <c r="AF134" i="1"/>
  <c r="AE134" i="1" s="1"/>
  <c r="O136" i="3" l="1"/>
  <c r="L63" i="3"/>
  <c r="J65" i="3"/>
  <c r="CH22" i="1"/>
  <c r="BR26" i="1"/>
  <c r="CA22" i="1"/>
  <c r="CG20" i="1" s="1"/>
  <c r="U26" i="1"/>
  <c r="BR30" i="1" l="1"/>
  <c r="CH26" i="1"/>
  <c r="CA26" i="1"/>
  <c r="CG24" i="1" s="1"/>
  <c r="U30" i="1"/>
  <c r="CA30" i="1" l="1"/>
  <c r="CG28" i="1" s="1"/>
  <c r="U34" i="1"/>
  <c r="CH30" i="1"/>
  <c r="BR34" i="1"/>
  <c r="CA34" i="1" l="1"/>
  <c r="CG32" i="1" s="1"/>
  <c r="U38" i="1"/>
  <c r="CH34" i="1"/>
  <c r="BR38" i="1"/>
  <c r="CH38" i="1" l="1"/>
  <c r="BR42" i="1"/>
  <c r="CA38" i="1"/>
  <c r="CG36" i="1" s="1"/>
  <c r="U42" i="1"/>
  <c r="CA42" i="1" l="1"/>
  <c r="CG40" i="1" s="1"/>
  <c r="U46" i="1"/>
  <c r="CH42" i="1"/>
  <c r="BR46" i="1"/>
  <c r="CH46" i="1" l="1"/>
  <c r="BR50" i="1"/>
  <c r="CA46" i="1"/>
  <c r="CG44" i="1" s="1"/>
  <c r="U50" i="1"/>
  <c r="U54" i="1" l="1"/>
  <c r="CA50" i="1"/>
  <c r="CG48" i="1" s="1"/>
  <c r="BR54" i="1"/>
  <c r="CH50" i="1"/>
  <c r="CH54" i="1" l="1"/>
  <c r="BR58" i="1"/>
  <c r="CA54" i="1"/>
  <c r="CG52" i="1" s="1"/>
  <c r="U58" i="1"/>
  <c r="BR62" i="1" l="1"/>
  <c r="CH58" i="1"/>
  <c r="CA58" i="1"/>
  <c r="CG56" i="1" s="1"/>
  <c r="U62" i="1"/>
  <c r="CA62" i="1" l="1"/>
  <c r="CG60" i="1" s="1"/>
  <c r="U66" i="1"/>
  <c r="CH62" i="1"/>
  <c r="BR66" i="1"/>
  <c r="CH66" i="1" l="1"/>
  <c r="BR70" i="1"/>
  <c r="U70" i="1"/>
  <c r="CA66" i="1"/>
  <c r="CG64" i="1" s="1"/>
  <c r="CH70" i="1" l="1"/>
  <c r="BR74" i="1"/>
  <c r="CA70" i="1"/>
  <c r="CG68" i="1" s="1"/>
  <c r="U74" i="1"/>
  <c r="CH74" i="1" l="1"/>
  <c r="BR78" i="1"/>
  <c r="CA74" i="1"/>
  <c r="CG72" i="1" s="1"/>
  <c r="U78" i="1"/>
  <c r="CH78" i="1" l="1"/>
  <c r="BR82" i="1"/>
  <c r="CA78" i="1"/>
  <c r="CG76" i="1" s="1"/>
  <c r="U82" i="1"/>
  <c r="CH82" i="1" l="1"/>
  <c r="BR86" i="1"/>
  <c r="CA82" i="1"/>
  <c r="CG80" i="1" s="1"/>
  <c r="U86" i="1"/>
  <c r="CA86" i="1" l="1"/>
  <c r="CG84" i="1" s="1"/>
  <c r="U90" i="1"/>
  <c r="CH86" i="1"/>
  <c r="BR90" i="1"/>
  <c r="CH90" i="1" l="1"/>
  <c r="BR94" i="1"/>
  <c r="CA90" i="1"/>
  <c r="CG88" i="1" s="1"/>
  <c r="U94" i="1"/>
  <c r="BR98" i="1" l="1"/>
  <c r="CH94" i="1"/>
  <c r="CA94" i="1"/>
  <c r="CG92" i="1" s="1"/>
  <c r="U98" i="1"/>
  <c r="CA98" i="1" l="1"/>
  <c r="CG96" i="1" s="1"/>
  <c r="U102" i="1"/>
  <c r="CH98" i="1"/>
  <c r="BR102" i="1"/>
  <c r="CH102" i="1" l="1"/>
  <c r="BR106" i="1"/>
  <c r="U106" i="1"/>
  <c r="CA102" i="1"/>
  <c r="CG100" i="1" s="1"/>
  <c r="CA106" i="1" l="1"/>
  <c r="CG104" i="1" s="1"/>
  <c r="U110" i="1"/>
  <c r="CH106" i="1"/>
  <c r="BR110" i="1"/>
  <c r="BR114" i="1" l="1"/>
  <c r="CH110" i="1"/>
  <c r="CA110" i="1"/>
  <c r="CG108" i="1" s="1"/>
  <c r="U114" i="1"/>
  <c r="CA114" i="1" l="1"/>
  <c r="CG112" i="1" s="1"/>
  <c r="U118" i="1"/>
  <c r="CH114" i="1"/>
  <c r="BR118" i="1"/>
  <c r="CH118" i="1" l="1"/>
  <c r="BR122" i="1"/>
  <c r="U122" i="1"/>
  <c r="CA118" i="1"/>
  <c r="CG116" i="1" s="1"/>
  <c r="CA122" i="1" l="1"/>
  <c r="CG120" i="1" s="1"/>
  <c r="U126" i="1"/>
  <c r="CH122" i="1"/>
  <c r="BR126" i="1"/>
  <c r="CH126" i="1" l="1"/>
  <c r="BR130" i="1"/>
  <c r="CA126" i="1"/>
  <c r="CG124" i="1" s="1"/>
  <c r="U130" i="1"/>
  <c r="CA130" i="1" l="1"/>
  <c r="U134" i="1"/>
  <c r="T134" i="1" s="1"/>
  <c r="CH130" i="1"/>
  <c r="CH134" i="1" s="1"/>
  <c r="BR134" i="1"/>
  <c r="BQ134" i="1" s="1"/>
  <c r="CG128" i="1" l="1"/>
  <c r="CG135" i="1" s="1"/>
  <c r="CA134" i="1"/>
  <c r="CG134" i="1" s="1"/>
</calcChain>
</file>

<file path=xl/sharedStrings.xml><?xml version="1.0" encoding="utf-8"?>
<sst xmlns="http://schemas.openxmlformats.org/spreadsheetml/2006/main" count="2051" uniqueCount="396">
  <si>
    <t>v.2</t>
  </si>
  <si>
    <t>Расчет суточной добычи нефти по датам</t>
  </si>
  <si>
    <t/>
  </si>
  <si>
    <t>Апрель   2024</t>
  </si>
  <si>
    <t>АО Газпромнефть - ННГ</t>
  </si>
  <si>
    <t>48 тн/сут</t>
  </si>
  <si>
    <t>Входная добыча</t>
  </si>
  <si>
    <t>Прирост добычи нефти</t>
  </si>
  <si>
    <t>Потери добычи нефти</t>
  </si>
  <si>
    <t>День месяца</t>
  </si>
  <si>
    <t>Наименование</t>
  </si>
  <si>
    <t>ГЕОЛОГО - ТЕХНИЧЕСКИЕ МЕРОПРИЯТИЯ</t>
  </si>
  <si>
    <t>Накопленный эффект, т/сут</t>
  </si>
  <si>
    <t>Оптимизация</t>
  </si>
  <si>
    <t>Работа с переходящим фондом</t>
  </si>
  <si>
    <t>Ввод из БД ТГ (без инвест.)</t>
  </si>
  <si>
    <t>Восстановление потенциала простоя</t>
  </si>
  <si>
    <t>Нараст.  по потенциалу</t>
  </si>
  <si>
    <t>Геол. снижение,  т/сут</t>
  </si>
  <si>
    <t>Рост потенциала простоя (в т.ч.остановки скв. для ГТМ, оптимизацию, нерентабельный фонд, по распоряжению)</t>
  </si>
  <si>
    <t>Нараст. по остановкам</t>
  </si>
  <si>
    <t>Перевод скважин в ППД</t>
  </si>
  <si>
    <t>ИТОГО перевод в ППД</t>
  </si>
  <si>
    <t>Прочие потери</t>
  </si>
  <si>
    <t>Нараст. баланс</t>
  </si>
  <si>
    <t>Потери нефти по ОТМ</t>
  </si>
  <si>
    <t>Расчетный график добычи, т/сут</t>
  </si>
  <si>
    <t>Потенциал по графику</t>
  </si>
  <si>
    <t>Ввод новых скважин</t>
  </si>
  <si>
    <t>ГРП</t>
  </si>
  <si>
    <t>Зарезка бокового ствола</t>
  </si>
  <si>
    <t>Возврат</t>
  </si>
  <si>
    <t>Итого</t>
  </si>
  <si>
    <t>Базовый дебит ГТМ и Оптимизация скважин</t>
  </si>
  <si>
    <t>Текущий простой</t>
  </si>
  <si>
    <t>ВСП</t>
  </si>
  <si>
    <t>Итого (с ВСП)</t>
  </si>
  <si>
    <t>Исследования, т/сут</t>
  </si>
  <si>
    <t>Откл. Эл.Эн., т/сут</t>
  </si>
  <si>
    <t>УЭТ, т/сут</t>
  </si>
  <si>
    <t>УДНГ, т/сут</t>
  </si>
  <si>
    <t>№</t>
  </si>
  <si>
    <t>Скв.</t>
  </si>
  <si>
    <t>Cкв.</t>
  </si>
  <si>
    <t>Эффект</t>
  </si>
  <si>
    <t>Скв.</t>
  </si>
  <si>
    <t>Местор.</t>
  </si>
  <si>
    <t>N,N скважин</t>
  </si>
  <si>
    <t>Вынгаях</t>
  </si>
  <si>
    <t>Яр</t>
  </si>
  <si>
    <t>Вынгапур</t>
  </si>
  <si>
    <t>Карам</t>
  </si>
  <si>
    <t>1921</t>
  </si>
  <si>
    <t>2045Г</t>
  </si>
  <si>
    <t>2071Г</t>
  </si>
  <si>
    <t>359</t>
  </si>
  <si>
    <t>545</t>
  </si>
  <si>
    <t>2563</t>
  </si>
  <si>
    <t>Спор</t>
  </si>
  <si>
    <t>272</t>
  </si>
  <si>
    <t>4246</t>
  </si>
  <si>
    <t>Сут</t>
  </si>
  <si>
    <t>1054</t>
  </si>
  <si>
    <t>144</t>
  </si>
  <si>
    <t>330</t>
  </si>
  <si>
    <t>5028</t>
  </si>
  <si>
    <t>Западно-Чатылькинское</t>
  </si>
  <si>
    <t>510</t>
  </si>
  <si>
    <t>151</t>
  </si>
  <si>
    <t>1938</t>
  </si>
  <si>
    <t>Еты-П</t>
  </si>
  <si>
    <t>Сугм</t>
  </si>
  <si>
    <t>3099</t>
  </si>
  <si>
    <t>7008</t>
  </si>
  <si>
    <t>2341Г</t>
  </si>
  <si>
    <t>4591</t>
  </si>
  <si>
    <t>1816</t>
  </si>
  <si>
    <t>603</t>
  </si>
  <si>
    <t>1738</t>
  </si>
  <si>
    <t>2007</t>
  </si>
  <si>
    <t>2452</t>
  </si>
  <si>
    <t>142P</t>
  </si>
  <si>
    <t>2619</t>
  </si>
  <si>
    <t>4163</t>
  </si>
  <si>
    <t>Новогоднее</t>
  </si>
  <si>
    <t>6638</t>
  </si>
  <si>
    <t>392</t>
  </si>
  <si>
    <t>5332</t>
  </si>
  <si>
    <t>458</t>
  </si>
  <si>
    <t>840</t>
  </si>
  <si>
    <t>Чат</t>
  </si>
  <si>
    <t>336</t>
  </si>
  <si>
    <t>1Г</t>
  </si>
  <si>
    <t>102P</t>
  </si>
  <si>
    <t>1541</t>
  </si>
  <si>
    <t>449</t>
  </si>
  <si>
    <t>1131</t>
  </si>
  <si>
    <t>801</t>
  </si>
  <si>
    <t>Новое</t>
  </si>
  <si>
    <t>Сев-Пам</t>
  </si>
  <si>
    <t>Ром</t>
  </si>
  <si>
    <t>22</t>
  </si>
  <si>
    <t>23</t>
  </si>
  <si>
    <t>1684</t>
  </si>
  <si>
    <t>2708</t>
  </si>
  <si>
    <t>2791</t>
  </si>
  <si>
    <t>552</t>
  </si>
  <si>
    <t>916</t>
  </si>
  <si>
    <t>3823</t>
  </si>
  <si>
    <t>5185</t>
  </si>
  <si>
    <t>Валын</t>
  </si>
  <si>
    <t>7401</t>
  </si>
  <si>
    <t>1977</t>
  </si>
  <si>
    <t>492</t>
  </si>
  <si>
    <t>9154</t>
  </si>
  <si>
    <t>Край</t>
  </si>
  <si>
    <t>6453</t>
  </si>
  <si>
    <t>1256</t>
  </si>
  <si>
    <t>101</t>
  </si>
  <si>
    <t>4917</t>
  </si>
  <si>
    <t>Суторминское</t>
  </si>
  <si>
    <t>Нов</t>
  </si>
  <si>
    <t>1685</t>
  </si>
  <si>
    <t>1062</t>
  </si>
  <si>
    <t>2937</t>
  </si>
  <si>
    <t>3017</t>
  </si>
  <si>
    <t>4327</t>
  </si>
  <si>
    <t>636</t>
  </si>
  <si>
    <t>6595</t>
  </si>
  <si>
    <t>401Г</t>
  </si>
  <si>
    <t>4942</t>
  </si>
  <si>
    <t>6482</t>
  </si>
  <si>
    <t>6816</t>
  </si>
  <si>
    <t>4395</t>
  </si>
  <si>
    <t>5870</t>
  </si>
  <si>
    <t>2826</t>
  </si>
  <si>
    <t>4332</t>
  </si>
  <si>
    <t>795</t>
  </si>
  <si>
    <t>506</t>
  </si>
  <si>
    <t>1895</t>
  </si>
  <si>
    <t>6397</t>
  </si>
  <si>
    <t>4490</t>
  </si>
  <si>
    <t>2576</t>
  </si>
  <si>
    <t>7045</t>
  </si>
  <si>
    <t>553Г</t>
  </si>
  <si>
    <t>1308</t>
  </si>
  <si>
    <t>1004</t>
  </si>
  <si>
    <t>803Г</t>
  </si>
  <si>
    <t>634</t>
  </si>
  <si>
    <t>8931</t>
  </si>
  <si>
    <t>6495</t>
  </si>
  <si>
    <t>1414</t>
  </si>
  <si>
    <t>2946</t>
  </si>
  <si>
    <t>6484</t>
  </si>
  <si>
    <t>Карамовское</t>
  </si>
  <si>
    <t>Умс</t>
  </si>
  <si>
    <t>1125</t>
  </si>
  <si>
    <t>807</t>
  </si>
  <si>
    <t>847</t>
  </si>
  <si>
    <t>1015</t>
  </si>
  <si>
    <t>4394</t>
  </si>
  <si>
    <t>6376</t>
  </si>
  <si>
    <t>899</t>
  </si>
  <si>
    <t>2513</t>
  </si>
  <si>
    <t>6631</t>
  </si>
  <si>
    <t>919</t>
  </si>
  <si>
    <t>2496</t>
  </si>
  <si>
    <t>1537</t>
  </si>
  <si>
    <t>2135</t>
  </si>
  <si>
    <t>4325</t>
  </si>
  <si>
    <t>7493</t>
  </si>
  <si>
    <t>5222</t>
  </si>
  <si>
    <t>5535</t>
  </si>
  <si>
    <t>Спорышевское</t>
  </si>
  <si>
    <t>В-Пяк</t>
  </si>
  <si>
    <t>Холм</t>
  </si>
  <si>
    <t>Сев-Янг</t>
  </si>
  <si>
    <t>560</t>
  </si>
  <si>
    <t>6496</t>
  </si>
  <si>
    <t>1011</t>
  </si>
  <si>
    <t>5203</t>
  </si>
  <si>
    <t>2059</t>
  </si>
  <si>
    <t>4477</t>
  </si>
  <si>
    <t>572</t>
  </si>
  <si>
    <t>2587</t>
  </si>
  <si>
    <t>441</t>
  </si>
  <si>
    <t>1002</t>
  </si>
  <si>
    <t>1026</t>
  </si>
  <si>
    <t>1126</t>
  </si>
  <si>
    <t>387</t>
  </si>
  <si>
    <t>1036</t>
  </si>
  <si>
    <t>1102</t>
  </si>
  <si>
    <t>1234</t>
  </si>
  <si>
    <t>1347</t>
  </si>
  <si>
    <t>153</t>
  </si>
  <si>
    <t>1577</t>
  </si>
  <si>
    <t>1732</t>
  </si>
  <si>
    <t>1751</t>
  </si>
  <si>
    <t>2460</t>
  </si>
  <si>
    <t>323</t>
  </si>
  <si>
    <t>337</t>
  </si>
  <si>
    <t>416</t>
  </si>
  <si>
    <t>417ПO</t>
  </si>
  <si>
    <t>4498</t>
  </si>
  <si>
    <t>593</t>
  </si>
  <si>
    <t>595</t>
  </si>
  <si>
    <t>612</t>
  </si>
  <si>
    <t>8350</t>
  </si>
  <si>
    <t>978</t>
  </si>
  <si>
    <t>ИТОГО: мер-тий</t>
  </si>
  <si>
    <t>Сум.прир. деб.тн/сут.</t>
  </si>
  <si>
    <t>Итого:</t>
  </si>
  <si>
    <t>Накопленная добыча,тн.</t>
  </si>
  <si>
    <t>Изменение потенциала простоя, +,- к 1 числу</t>
  </si>
  <si>
    <t>Входная на Май</t>
  </si>
  <si>
    <t>т/сут</t>
  </si>
  <si>
    <t>Итого простаивающий фонд</t>
  </si>
  <si>
    <t>Остановка нерентабельного фонда</t>
  </si>
  <si>
    <t>0.3</t>
  </si>
  <si>
    <t>Остановка по распоряжению</t>
  </si>
  <si>
    <t>0.2</t>
  </si>
  <si>
    <t>Потенциал простоя (возвратные потери)</t>
  </si>
  <si>
    <t>0.1</t>
  </si>
  <si>
    <t>м3/сут</t>
  </si>
  <si>
    <t>скв</t>
  </si>
  <si>
    <t>Прост на 0 дату (факт)</t>
  </si>
  <si>
    <t>Ср. слож простой (3 мес.)</t>
  </si>
  <si>
    <t>Ож. простой на 0 дату (граф)</t>
  </si>
  <si>
    <t>1</t>
  </si>
  <si>
    <t>+/- к бизнес-плану</t>
  </si>
  <si>
    <t>среднесуточная</t>
  </si>
  <si>
    <t>Выходная добыча</t>
  </si>
  <si>
    <t>Потери ОТМ УДНГ</t>
  </si>
  <si>
    <t>3.2.7.4</t>
  </si>
  <si>
    <t>аварийное отключение</t>
  </si>
  <si>
    <t>плановое отключение</t>
  </si>
  <si>
    <t>Отключение электроэнергии, в т.ч:</t>
  </si>
  <si>
    <t>3.2.7.3</t>
  </si>
  <si>
    <t>аварийные потери от порывов</t>
  </si>
  <si>
    <t>плановые потери при ОТМ</t>
  </si>
  <si>
    <t>Потери при работе на трубопроводах</t>
  </si>
  <si>
    <t>3.2.7.2</t>
  </si>
  <si>
    <t>Потери из-за исследования скважин</t>
  </si>
  <si>
    <t>3.2.7.1</t>
  </si>
  <si>
    <t>3.2.7</t>
  </si>
  <si>
    <t>3.2.6</t>
  </si>
  <si>
    <t>Остановка для перевода в ППД</t>
  </si>
  <si>
    <t>3.2.5</t>
  </si>
  <si>
    <t>3.2.4</t>
  </si>
  <si>
    <t>ограничение добычи (ОПЕК)</t>
  </si>
  <si>
    <t>Остановка по распоряжению, в т.ч.:</t>
  </si>
  <si>
    <t>3.2.3</t>
  </si>
  <si>
    <t>Ост. дебит от ЗБС, Углуб., ПВЛГ/ПНЛГ</t>
  </si>
  <si>
    <t>3.2.2</t>
  </si>
  <si>
    <t>Остановка  под КРС для выполнения ГТМ</t>
  </si>
  <si>
    <t>3.2.1.2</t>
  </si>
  <si>
    <t>Потери по отказу скважин</t>
  </si>
  <si>
    <t>3.2.1.1</t>
  </si>
  <si>
    <t>Рост потенциала простоя</t>
  </si>
  <si>
    <t>3.2.1</t>
  </si>
  <si>
    <t>От технологических причин, в т.ч:</t>
  </si>
  <si>
    <t>3.2.</t>
  </si>
  <si>
    <t>по снижению дебита на последнее число</t>
  </si>
  <si>
    <t>3.1.3.1</t>
  </si>
  <si>
    <t>Потери по  ГТМ отчетного месяца</t>
  </si>
  <si>
    <t>3.1.3</t>
  </si>
  <si>
    <t>сверхнормативное снижение по фонду ГТМ</t>
  </si>
  <si>
    <t>3.1.2.2</t>
  </si>
  <si>
    <t>сверхнормативное снижение по базовому фонду</t>
  </si>
  <si>
    <t>3.1.2.1</t>
  </si>
  <si>
    <t>От сверхнормативного снижения, в т.ч:</t>
  </si>
  <si>
    <t>3.1.2</t>
  </si>
  <si>
    <t>18 т/сут</t>
  </si>
  <si>
    <t>среднесложившееся падение по фонду ГТМ</t>
  </si>
  <si>
    <t>3.1.1.2</t>
  </si>
  <si>
    <t>30 т/сут</t>
  </si>
  <si>
    <t>среднесложившееся падение по базовому фонду</t>
  </si>
  <si>
    <t>3.1.1.1</t>
  </si>
  <si>
    <t>От среднесложившегося падения, в т.ч:</t>
  </si>
  <si>
    <t>3.1.1</t>
  </si>
  <si>
    <t>Падение по базовому фонду, ГТМ</t>
  </si>
  <si>
    <t>3.1</t>
  </si>
  <si>
    <t>Потери добычи нефти, в том числе:</t>
  </si>
  <si>
    <t>Прочая добыча (отраб.скв, амбары, стравливание…)</t>
  </si>
  <si>
    <t>2.4.</t>
  </si>
  <si>
    <t>Сокращение потенциала простоя</t>
  </si>
  <si>
    <t>2.3.</t>
  </si>
  <si>
    <t>Ввод из БД ТГ (без инвест.), в т.ч.:</t>
  </si>
  <si>
    <t>2.2.4</t>
  </si>
  <si>
    <t>2.2.3</t>
  </si>
  <si>
    <t>Приросты от мероприятий на базовом фонде</t>
  </si>
  <si>
    <t>2.2.2</t>
  </si>
  <si>
    <t>2.2.1</t>
  </si>
  <si>
    <t>Работа с фондом</t>
  </si>
  <si>
    <t>2.2</t>
  </si>
  <si>
    <t>Ввод из БД</t>
  </si>
  <si>
    <t>2.1.13</t>
  </si>
  <si>
    <t>ЛНЭК</t>
  </si>
  <si>
    <t>2.1.12</t>
  </si>
  <si>
    <t>Ликвидация аварий</t>
  </si>
  <si>
    <t>2.1.11</t>
  </si>
  <si>
    <t>РИР</t>
  </si>
  <si>
    <t>2.1.10</t>
  </si>
  <si>
    <t>2.1.9</t>
  </si>
  <si>
    <t>ОПЗ (целевая)</t>
  </si>
  <si>
    <t>2.1.8</t>
  </si>
  <si>
    <t>Оптимизация (целевая)</t>
  </si>
  <si>
    <t>2.1.7</t>
  </si>
  <si>
    <t>Углубление</t>
  </si>
  <si>
    <t>2.1.6</t>
  </si>
  <si>
    <t>2.1.5</t>
  </si>
  <si>
    <t>2.1.4</t>
  </si>
  <si>
    <t>Расконсервация разведочных скважин</t>
  </si>
  <si>
    <t>2.1.3</t>
  </si>
  <si>
    <t>Ввод из других категорий</t>
  </si>
  <si>
    <t>2.1.2</t>
  </si>
  <si>
    <t>2.1.1</t>
  </si>
  <si>
    <t>Основные ГТМ</t>
  </si>
  <si>
    <t>2.1</t>
  </si>
  <si>
    <t>Прирост добычи нефти, в том числе:</t>
  </si>
  <si>
    <t>тн</t>
  </si>
  <si>
    <t>м3</t>
  </si>
  <si>
    <t>скв.</t>
  </si>
  <si>
    <t>к графику</t>
  </si>
  <si>
    <t>к БП</t>
  </si>
  <si>
    <t>Факт</t>
  </si>
  <si>
    <t>График</t>
  </si>
  <si>
    <t>БП
(тонн)</t>
  </si>
  <si>
    <t>Примечание</t>
  </si>
  <si>
    <t>+/-</t>
  </si>
  <si>
    <t>Абсолютная добыча</t>
  </si>
  <si>
    <t>Суточная добыча</t>
  </si>
  <si>
    <t>БП</t>
  </si>
  <si>
    <t>Показатели отчетного месяца</t>
  </si>
  <si>
    <t>№
п/п</t>
  </si>
  <si>
    <t>0</t>
  </si>
  <si>
    <t>11 т/сут</t>
  </si>
  <si>
    <t>39 т/сут</t>
  </si>
  <si>
    <t>Март     2024</t>
  </si>
  <si>
    <t>Расчет суточной добычи нефти и ГТМ (итоги)</t>
  </si>
  <si>
    <t>v.3</t>
  </si>
  <si>
    <t>Ограничение частот НГДП ОГМ</t>
  </si>
  <si>
    <t>График суточной добычи нефти АО Газпромнефть - ННГ на АПРЕЛЬ   2024</t>
  </si>
  <si>
    <t>тн/сут</t>
  </si>
  <si>
    <t>Падение по обвод.</t>
  </si>
  <si>
    <t>тыс.тн</t>
  </si>
  <si>
    <t>+ -</t>
  </si>
  <si>
    <t>Бизнес план</t>
  </si>
  <si>
    <t>ИТОГО по графику:</t>
  </si>
  <si>
    <t>Еты-Пуровское</t>
  </si>
  <si>
    <t>Вынгаяхинское</t>
  </si>
  <si>
    <t>Валынтойское</t>
  </si>
  <si>
    <t>Ямпинское</t>
  </si>
  <si>
    <t>Умсейское + Южно-Пурпейское</t>
  </si>
  <si>
    <t>Сугмутское</t>
  </si>
  <si>
    <t>Северо-Янгтинское</t>
  </si>
  <si>
    <t>Северо-Пямалияхское</t>
  </si>
  <si>
    <t>Северо-Пякутинское</t>
  </si>
  <si>
    <t>Саимлорское</t>
  </si>
  <si>
    <t>Романовское</t>
  </si>
  <si>
    <t>Пякутинское</t>
  </si>
  <si>
    <t>Муравленковское</t>
  </si>
  <si>
    <t>Мало-Пякутинское</t>
  </si>
  <si>
    <t>Восточно-Саимлорское</t>
  </si>
  <si>
    <t>Верхне-Надымское</t>
  </si>
  <si>
    <t>Южно-Пякутинское</t>
  </si>
  <si>
    <t>Средне-Итурское (Сев-Карам лиц. уч.)</t>
  </si>
  <si>
    <t>Крайнее</t>
  </si>
  <si>
    <t>Восточно-Пякутинское</t>
  </si>
  <si>
    <t>Южно-Удмуртское</t>
  </si>
  <si>
    <t>Чатылькинское</t>
  </si>
  <si>
    <t>Холмистое</t>
  </si>
  <si>
    <t>Равнинное</t>
  </si>
  <si>
    <t>Воргенское</t>
  </si>
  <si>
    <t>Ярайнерское</t>
  </si>
  <si>
    <t>Вынгапуровское</t>
  </si>
  <si>
    <t>Южно-Ноябрьское</t>
  </si>
  <si>
    <t>Холмогорское</t>
  </si>
  <si>
    <t>Средне-Итурское</t>
  </si>
  <si>
    <t>Северо-Карамовское</t>
  </si>
  <si>
    <t>Пограничное</t>
  </si>
  <si>
    <t>Отдельное</t>
  </si>
  <si>
    <t>Источное</t>
  </si>
  <si>
    <t>ЦДНГ-10</t>
  </si>
  <si>
    <t>ЦДНГ-3</t>
  </si>
  <si>
    <t>ЦДНГ-2</t>
  </si>
  <si>
    <t>ЦДНГ-9</t>
  </si>
  <si>
    <t>ЦДНГ-7</t>
  </si>
  <si>
    <t>ЦДНГ-1</t>
  </si>
  <si>
    <t>РИТС-2</t>
  </si>
  <si>
    <t>РИТС-1</t>
  </si>
  <si>
    <t>Ед.изм</t>
  </si>
  <si>
    <t>Показатели</t>
  </si>
  <si>
    <t>Дата:</t>
  </si>
  <si>
    <t>Подразделение:</t>
  </si>
  <si>
    <t>График суточной добычи нефти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</si>
</sst>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#,##0.0"/>
    <numFmt numFmtId="165" formatCode="0.0"/>
    <numFmt numFmtId="166" formatCode="dd"/>
    <numFmt numFmtId="167" formatCode="#,##0.0;\-#,##0.0;;@"/>
    <numFmt numFmtId="168" formatCode="0;\-0;;@"/>
    <numFmt numFmtId="169" formatCode="0.0;\-0.0;;@"/>
    <numFmt numFmtId="171" formatCode="#,##0_ ;[Red]\-#,##0\ "/>
    <numFmt numFmtId="172" formatCode="0.00;\-0.00;;@"/>
    <numFmt numFmtId="173" formatCode="#,##0.000"/>
    <numFmt numFmtId="174" formatCode="0.000;\-0.000;;@"/>
    <numFmt numFmtId="175" formatCode="mmmm\ yyyy"/>
  </numFmts>
  <fonts count="58" x14ac:knownFonts="1">
    <font>
      <sz val="11"/>
      <color rgb="FF000000"/>
      <name val="Calibri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6"/>
      <color rgb="FF800000"/>
      <name val="Arial"/>
      <family val="2"/>
      <charset val="204"/>
    </font>
    <font>
      <b/>
      <sz val="12"/>
      <color rgb="FF8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CCFFCC"/>
      <name val="Arial"/>
      <family val="2"/>
      <charset val="204"/>
    </font>
    <font>
      <b/>
      <sz val="9"/>
      <color rgb="FFCCFFFF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FreeSetCTT"/>
      <charset val="204"/>
    </font>
    <font>
      <b/>
      <sz val="10"/>
      <color rgb="FF000000"/>
      <name val="FreeSetCTT"/>
      <charset val="204"/>
    </font>
    <font>
      <i/>
      <sz val="10"/>
      <color rgb="FF000000"/>
      <name val="FreeSetCTT"/>
      <charset val="204"/>
    </font>
    <font>
      <sz val="10"/>
      <color rgb="FF333399"/>
      <name val="FreeSetCTT"/>
      <charset val="204"/>
    </font>
    <font>
      <sz val="10"/>
      <color rgb="FFFFFFFF"/>
      <name val="FreeSetCTT"/>
      <charset val="204"/>
    </font>
    <font>
      <b/>
      <i/>
      <sz val="10"/>
      <color rgb="FF000000"/>
      <name val="FreeSetCTT"/>
      <charset val="204"/>
    </font>
    <font>
      <b/>
      <sz val="10"/>
      <color rgb="FF800000"/>
      <name val="FreeSetCTT"/>
      <charset val="204"/>
    </font>
    <font>
      <b/>
      <sz val="10"/>
      <color rgb="FF800000"/>
      <name val="Arial"/>
      <family val="2"/>
      <charset val="204"/>
    </font>
    <font>
      <b/>
      <sz val="10"/>
      <color rgb="FF0000FF"/>
      <name val="Arial"/>
      <family val="2"/>
      <charset val="204"/>
    </font>
    <font>
      <b/>
      <u/>
      <sz val="10"/>
      <color rgb="FF000000"/>
      <name val="FreeSetCTT"/>
      <charset val="204"/>
    </font>
    <font>
      <b/>
      <sz val="10"/>
      <color rgb="FFFFFF99"/>
      <name val="FreeSetCTT"/>
      <charset val="204"/>
    </font>
    <font>
      <b/>
      <sz val="12"/>
      <color rgb="FF000000"/>
      <name val="FreeSetCTT"/>
      <charset val="204"/>
    </font>
    <font>
      <sz val="10"/>
      <color rgb="FF800000"/>
      <name val="Arial"/>
      <family val="2"/>
      <charset val="204"/>
    </font>
    <font>
      <sz val="10"/>
      <color rgb="FF0000FF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u/>
      <sz val="10"/>
      <color rgb="FF000000"/>
      <name val="Arial"/>
      <family val="2"/>
      <charset val="204"/>
    </font>
    <font>
      <b/>
      <u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2"/>
      <color rgb="FF0000FF"/>
      <name val="Arial"/>
      <family val="2"/>
      <charset val="204"/>
    </font>
    <font>
      <i/>
      <sz val="10"/>
      <color rgb="FFFFFFFF"/>
      <name val="Arial"/>
      <family val="2"/>
      <charset val="204"/>
    </font>
    <font>
      <b/>
      <sz val="10"/>
      <color rgb="FFFF0000"/>
      <name val="FreeSetCTT"/>
      <charset val="204"/>
    </font>
    <font>
      <b/>
      <sz val="10"/>
      <color rgb="FFFF0000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color rgb="FF000000"/>
      <name val="FreeSetCTT"/>
      <charset val="204"/>
    </font>
    <font>
      <sz val="11"/>
      <color theme="0" tint="-0.14999847407452621"/>
      <name val="Calibri"/>
      <family val="2"/>
      <charset val="204"/>
    </font>
    <font>
      <sz val="9"/>
      <color rgb="FF000000"/>
      <name val="Calibri"/>
      <family val="2"/>
      <charset val="204"/>
    </font>
    <font>
      <b/>
      <i/>
      <sz val="10"/>
      <color rgb="FF000000"/>
      <name val="Calibri"/>
      <family val="2"/>
      <charset val="204"/>
    </font>
    <font>
      <b/>
      <sz val="10"/>
      <color rgb="FF000000"/>
      <name val="Arial Cyr"/>
    </font>
    <font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9"/>
      <color rgb="FFFFFFFF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FF0000"/>
      <name val="Calibri"/>
      <family val="2"/>
      <charset val="204"/>
    </font>
    <font>
      <b/>
      <sz val="9"/>
      <color rgb="FFFF0000"/>
      <name val="Calibri"/>
      <family val="2"/>
      <charset val="204"/>
    </font>
    <font>
      <b/>
      <sz val="12"/>
      <color rgb="FF0000FF"/>
      <name val="Times New Roman"/>
      <family val="1"/>
      <charset val="204"/>
    </font>
    <font>
      <b/>
      <sz val="12"/>
      <color rgb="FFEC111F"/>
      <name val="Calibri"/>
      <family val="2"/>
      <charset val="204"/>
    </font>
    <font>
      <i/>
      <sz val="10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E4E1"/>
      </patternFill>
    </fill>
    <fill>
      <patternFill patternType="solid">
        <fgColor rgb="FFFFDEAD"/>
      </patternFill>
    </fill>
    <fill>
      <patternFill patternType="solid">
        <fgColor rgb="FFCCFFFF"/>
      </patternFill>
    </fill>
    <fill>
      <patternFill patternType="solid">
        <fgColor rgb="FFFFF8DC"/>
      </patternFill>
    </fill>
    <fill>
      <patternFill patternType="solid">
        <fgColor rgb="FFCCFFCC"/>
      </patternFill>
    </fill>
    <fill>
      <patternFill patternType="solid">
        <fgColor rgb="FFE0FFFF"/>
      </patternFill>
    </fill>
    <fill>
      <patternFill patternType="solid">
        <fgColor rgb="FFAFEEEE"/>
      </patternFill>
    </fill>
    <fill>
      <patternFill patternType="solid">
        <fgColor rgb="FFFAEBD7"/>
      </patternFill>
    </fill>
    <fill>
      <patternFill patternType="solid">
        <fgColor rgb="FFE6E6FA"/>
      </patternFill>
    </fill>
    <fill>
      <patternFill patternType="solid">
        <fgColor rgb="FFF0FFF0"/>
      </patternFill>
    </fill>
    <fill>
      <patternFill patternType="solid">
        <fgColor rgb="FFFFFACD"/>
      </patternFill>
    </fill>
    <fill>
      <patternFill patternType="solid">
        <fgColor rgb="FFFFC0CB"/>
      </patternFill>
    </fill>
    <fill>
      <patternFill patternType="solid">
        <fgColor rgb="FF80808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rgb="FFFFFF99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0" borderId="1"/>
  </cellStyleXfs>
  <cellXfs count="337">
    <xf numFmtId="0" fontId="0" fillId="0" borderId="0" xfId="0"/>
    <xf numFmtId="0" fontId="1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165" fontId="7" fillId="5" borderId="3" xfId="0" applyNumberFormat="1" applyFont="1" applyFill="1" applyBorder="1" applyAlignment="1">
      <alignment horizontal="center" vertical="center" wrapText="1"/>
    </xf>
    <xf numFmtId="165" fontId="9" fillId="5" borderId="5" xfId="0" applyNumberFormat="1" applyFont="1" applyFill="1" applyBorder="1" applyAlignment="1">
      <alignment horizontal="center" wrapText="1"/>
    </xf>
    <xf numFmtId="0" fontId="10" fillId="6" borderId="6" xfId="0" applyNumberFormat="1" applyFont="1" applyFill="1" applyBorder="1" applyAlignment="1">
      <alignment horizontal="center" wrapText="1"/>
    </xf>
    <xf numFmtId="0" fontId="10" fillId="7" borderId="6" xfId="0" applyNumberFormat="1" applyFont="1" applyFill="1" applyBorder="1" applyAlignment="1">
      <alignment horizontal="center" wrapText="1"/>
    </xf>
    <xf numFmtId="0" fontId="10" fillId="6" borderId="7" xfId="0" applyNumberFormat="1" applyFont="1" applyFill="1" applyBorder="1" applyAlignment="1">
      <alignment horizontal="center" wrapText="1"/>
    </xf>
    <xf numFmtId="0" fontId="10" fillId="7" borderId="7" xfId="0" applyNumberFormat="1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wrapText="1"/>
    </xf>
    <xf numFmtId="0" fontId="7" fillId="6" borderId="8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wrapText="1"/>
    </xf>
    <xf numFmtId="165" fontId="12" fillId="6" borderId="6" xfId="0" applyNumberFormat="1" applyFont="1" applyFill="1" applyBorder="1" applyAlignment="1">
      <alignment horizontal="center" wrapText="1"/>
    </xf>
    <xf numFmtId="165" fontId="11" fillId="6" borderId="8" xfId="0" applyNumberFormat="1" applyFont="1" applyFill="1" applyBorder="1" applyAlignment="1">
      <alignment horizontal="center" wrapText="1"/>
    </xf>
    <xf numFmtId="165" fontId="13" fillId="11" borderId="6" xfId="0" applyNumberFormat="1" applyFont="1" applyFill="1" applyBorder="1" applyAlignment="1">
      <alignment horizontal="center" wrapText="1"/>
    </xf>
    <xf numFmtId="165" fontId="10" fillId="8" borderId="10" xfId="0" applyNumberFormat="1" applyFont="1" applyFill="1" applyBorder="1" applyAlignment="1">
      <alignment horizontal="left" wrapText="1"/>
    </xf>
    <xf numFmtId="165" fontId="12" fillId="6" borderId="10" xfId="0" applyNumberFormat="1" applyFont="1" applyFill="1" applyBorder="1" applyAlignment="1">
      <alignment horizontal="center" wrapText="1"/>
    </xf>
    <xf numFmtId="165" fontId="10" fillId="11" borderId="6" xfId="0" applyNumberFormat="1" applyFont="1" applyFill="1" applyBorder="1" applyAlignment="1">
      <alignment horizontal="center" wrapText="1"/>
    </xf>
    <xf numFmtId="165" fontId="11" fillId="2" borderId="6" xfId="0" applyNumberFormat="1" applyFont="1" applyFill="1" applyBorder="1" applyAlignment="1">
      <alignment horizontal="left" wrapText="1"/>
    </xf>
    <xf numFmtId="165" fontId="10" fillId="8" borderId="6" xfId="0" applyNumberFormat="1" applyFont="1" applyFill="1" applyBorder="1" applyAlignment="1">
      <alignment horizontal="center" wrapText="1"/>
    </xf>
    <xf numFmtId="165" fontId="14" fillId="6" borderId="6" xfId="0" applyNumberFormat="1" applyFont="1" applyFill="1" applyBorder="1" applyAlignment="1">
      <alignment horizontal="center" wrapText="1"/>
    </xf>
    <xf numFmtId="165" fontId="14" fillId="6" borderId="10" xfId="0" applyNumberFormat="1" applyFont="1" applyFill="1" applyBorder="1" applyAlignment="1">
      <alignment horizontal="center" wrapText="1"/>
    </xf>
    <xf numFmtId="165" fontId="14" fillId="9" borderId="6" xfId="0" applyNumberFormat="1" applyFont="1" applyFill="1" applyBorder="1" applyAlignment="1">
      <alignment horizontal="center" wrapText="1"/>
    </xf>
    <xf numFmtId="165" fontId="14" fillId="10" borderId="6" xfId="0" applyNumberFormat="1" applyFont="1" applyFill="1" applyBorder="1" applyAlignment="1">
      <alignment horizontal="center" wrapText="1"/>
    </xf>
    <xf numFmtId="0" fontId="15" fillId="6" borderId="6" xfId="0" applyNumberFormat="1" applyFont="1" applyFill="1" applyBorder="1" applyAlignment="1">
      <alignment horizontal="left" wrapText="1"/>
    </xf>
    <xf numFmtId="165" fontId="16" fillId="6" borderId="6" xfId="0" applyNumberFormat="1" applyFont="1" applyFill="1" applyBorder="1" applyAlignment="1">
      <alignment horizontal="left" wrapText="1"/>
    </xf>
    <xf numFmtId="165" fontId="11" fillId="12" borderId="6" xfId="0" applyNumberFormat="1" applyFont="1" applyFill="1" applyBorder="1" applyAlignment="1">
      <alignment horizontal="center" wrapText="1"/>
    </xf>
    <xf numFmtId="0" fontId="7" fillId="6" borderId="11" xfId="0" applyNumberFormat="1" applyFont="1" applyFill="1" applyBorder="1" applyAlignment="1">
      <alignment horizontal="left" vertical="center" wrapText="1"/>
    </xf>
    <xf numFmtId="0" fontId="2" fillId="0" borderId="12" xfId="0" applyNumberFormat="1" applyFont="1" applyFill="1" applyBorder="1" applyAlignment="1">
      <alignment horizontal="left" wrapText="1"/>
    </xf>
    <xf numFmtId="168" fontId="11" fillId="6" borderId="13" xfId="0" applyNumberFormat="1" applyFont="1" applyFill="1" applyBorder="1" applyAlignment="1">
      <alignment horizontal="center" wrapText="1"/>
    </xf>
    <xf numFmtId="165" fontId="11" fillId="6" borderId="11" xfId="0" applyNumberFormat="1" applyFont="1" applyFill="1" applyBorder="1" applyAlignment="1">
      <alignment horizontal="center" wrapText="1"/>
    </xf>
    <xf numFmtId="168" fontId="11" fillId="11" borderId="13" xfId="0" applyNumberFormat="1" applyFont="1" applyFill="1" applyBorder="1" applyAlignment="1">
      <alignment horizontal="center" wrapText="1"/>
    </xf>
    <xf numFmtId="165" fontId="10" fillId="8" borderId="1" xfId="0" applyNumberFormat="1" applyFont="1" applyFill="1" applyBorder="1" applyAlignment="1">
      <alignment horizontal="left" wrapText="1"/>
    </xf>
    <xf numFmtId="168" fontId="11" fillId="6" borderId="1" xfId="0" applyNumberFormat="1" applyFont="1" applyFill="1" applyBorder="1" applyAlignment="1">
      <alignment horizontal="center" wrapText="1"/>
    </xf>
    <xf numFmtId="165" fontId="10" fillId="11" borderId="13" xfId="0" applyNumberFormat="1" applyFont="1" applyFill="1" applyBorder="1" applyAlignment="1">
      <alignment horizontal="center" wrapText="1"/>
    </xf>
    <xf numFmtId="165" fontId="11" fillId="2" borderId="13" xfId="0" applyNumberFormat="1" applyFont="1" applyFill="1" applyBorder="1" applyAlignment="1">
      <alignment horizontal="left" wrapText="1"/>
    </xf>
    <xf numFmtId="165" fontId="10" fillId="8" borderId="13" xfId="0" applyNumberFormat="1" applyFont="1" applyFill="1" applyBorder="1" applyAlignment="1">
      <alignment horizontal="center" wrapText="1"/>
    </xf>
    <xf numFmtId="165" fontId="14" fillId="6" borderId="1" xfId="0" applyNumberFormat="1" applyFont="1" applyFill="1" applyBorder="1" applyAlignment="1">
      <alignment horizontal="center" wrapText="1"/>
    </xf>
    <xf numFmtId="165" fontId="11" fillId="6" borderId="13" xfId="0" applyNumberFormat="1" applyFont="1" applyFill="1" applyBorder="1" applyAlignment="1">
      <alignment horizontal="center" wrapText="1"/>
    </xf>
    <xf numFmtId="165" fontId="11" fillId="9" borderId="13" xfId="0" applyNumberFormat="1" applyFont="1" applyFill="1" applyBorder="1" applyAlignment="1">
      <alignment horizontal="center" wrapText="1"/>
    </xf>
    <xf numFmtId="165" fontId="11" fillId="10" borderId="13" xfId="0" applyNumberFormat="1" applyFont="1" applyFill="1" applyBorder="1" applyAlignment="1">
      <alignment horizontal="center" wrapText="1"/>
    </xf>
    <xf numFmtId="0" fontId="17" fillId="6" borderId="13" xfId="0" applyNumberFormat="1" applyFont="1" applyFill="1" applyBorder="1" applyAlignment="1">
      <alignment horizontal="left" wrapText="1"/>
    </xf>
    <xf numFmtId="165" fontId="11" fillId="6" borderId="13" xfId="0" applyNumberFormat="1" applyFont="1" applyFill="1" applyBorder="1" applyAlignment="1">
      <alignment horizontal="left" wrapText="1"/>
    </xf>
    <xf numFmtId="165" fontId="11" fillId="12" borderId="13" xfId="0" applyNumberFormat="1" applyFont="1" applyFill="1" applyBorder="1" applyAlignment="1">
      <alignment horizontal="center" wrapText="1"/>
    </xf>
    <xf numFmtId="0" fontId="7" fillId="6" borderId="5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wrapText="1"/>
    </xf>
    <xf numFmtId="167" fontId="11" fillId="6" borderId="7" xfId="0" applyNumberFormat="1" applyFont="1" applyFill="1" applyBorder="1" applyAlignment="1">
      <alignment horizontal="center" wrapText="1"/>
    </xf>
    <xf numFmtId="167" fontId="11" fillId="6" borderId="5" xfId="0" applyNumberFormat="1" applyFont="1" applyFill="1" applyBorder="1" applyAlignment="1">
      <alignment horizontal="center" wrapText="1"/>
    </xf>
    <xf numFmtId="167" fontId="11" fillId="11" borderId="7" xfId="0" applyNumberFormat="1" applyFont="1" applyFill="1" applyBorder="1" applyAlignment="1">
      <alignment horizontal="center" wrapText="1"/>
    </xf>
    <xf numFmtId="167" fontId="11" fillId="8" borderId="14" xfId="0" applyNumberFormat="1" applyFont="1" applyFill="1" applyBorder="1" applyAlignment="1">
      <alignment horizontal="center" wrapText="1"/>
    </xf>
    <xf numFmtId="167" fontId="11" fillId="6" borderId="14" xfId="0" applyNumberFormat="1" applyFont="1" applyFill="1" applyBorder="1" applyAlignment="1">
      <alignment horizontal="center" wrapText="1"/>
    </xf>
    <xf numFmtId="167" fontId="10" fillId="11" borderId="7" xfId="0" applyNumberFormat="1" applyFont="1" applyFill="1" applyBorder="1" applyAlignment="1">
      <alignment horizontal="center" wrapText="1"/>
    </xf>
    <xf numFmtId="165" fontId="11" fillId="2" borderId="7" xfId="0" applyNumberFormat="1" applyFont="1" applyFill="1" applyBorder="1" applyAlignment="1">
      <alignment horizontal="center" wrapText="1"/>
    </xf>
    <xf numFmtId="167" fontId="10" fillId="8" borderId="7" xfId="0" applyNumberFormat="1" applyFont="1" applyFill="1" applyBorder="1" applyAlignment="1">
      <alignment horizontal="center" wrapText="1"/>
    </xf>
    <xf numFmtId="167" fontId="11" fillId="9" borderId="7" xfId="0" applyNumberFormat="1" applyFont="1" applyFill="1" applyBorder="1" applyAlignment="1">
      <alignment horizontal="center" wrapText="1"/>
    </xf>
    <xf numFmtId="167" fontId="11" fillId="10" borderId="7" xfId="0" applyNumberFormat="1" applyFont="1" applyFill="1" applyBorder="1" applyAlignment="1">
      <alignment horizontal="center" wrapText="1"/>
    </xf>
    <xf numFmtId="1" fontId="17" fillId="6" borderId="7" xfId="0" applyNumberFormat="1" applyFont="1" applyFill="1" applyBorder="1" applyAlignment="1">
      <alignment horizontal="center" wrapText="1"/>
    </xf>
    <xf numFmtId="167" fontId="11" fillId="12" borderId="7" xfId="0" applyNumberFormat="1" applyFont="1" applyFill="1" applyBorder="1" applyAlignment="1">
      <alignment horizontal="center" wrapText="1"/>
    </xf>
    <xf numFmtId="0" fontId="10" fillId="0" borderId="15" xfId="0" applyNumberFormat="1" applyFont="1" applyFill="1" applyBorder="1" applyAlignment="1">
      <alignment horizontal="left" wrapText="1"/>
    </xf>
    <xf numFmtId="168" fontId="11" fillId="12" borderId="15" xfId="0" applyNumberFormat="1" applyFont="1" applyFill="1" applyBorder="1" applyAlignment="1">
      <alignment horizontal="center" wrapText="1"/>
    </xf>
    <xf numFmtId="168" fontId="11" fillId="6" borderId="15" xfId="0" applyNumberFormat="1" applyFont="1" applyFill="1" applyBorder="1" applyAlignment="1">
      <alignment horizontal="center" wrapText="1"/>
    </xf>
    <xf numFmtId="165" fontId="10" fillId="6" borderId="15" xfId="0" applyNumberFormat="1" applyFont="1" applyFill="1" applyBorder="1" applyAlignment="1">
      <alignment horizontal="left" wrapText="1"/>
    </xf>
    <xf numFmtId="165" fontId="10" fillId="8" borderId="15" xfId="0" applyNumberFormat="1" applyFont="1" applyFill="1" applyBorder="1" applyAlignment="1">
      <alignment horizontal="left" wrapText="1"/>
    </xf>
    <xf numFmtId="168" fontId="11" fillId="12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center" wrapText="1"/>
    </xf>
    <xf numFmtId="165" fontId="11" fillId="2" borderId="16" xfId="0" applyNumberFormat="1" applyFont="1" applyFill="1" applyBorder="1" applyAlignment="1">
      <alignment horizontal="left" wrapText="1"/>
    </xf>
    <xf numFmtId="0" fontId="10" fillId="0" borderId="16" xfId="0" applyNumberFormat="1" applyFont="1" applyFill="1" applyBorder="1" applyAlignment="1">
      <alignment horizontal="left" wrapText="1"/>
    </xf>
    <xf numFmtId="165" fontId="11" fillId="8" borderId="16" xfId="0" applyNumberFormat="1" applyFont="1" applyFill="1" applyBorder="1" applyAlignment="1">
      <alignment horizontal="right" wrapText="1"/>
    </xf>
    <xf numFmtId="169" fontId="11" fillId="12" borderId="16" xfId="0" applyNumberFormat="1" applyFont="1" applyFill="1" applyBorder="1" applyAlignment="1">
      <alignment horizontal="center" wrapText="1"/>
    </xf>
    <xf numFmtId="165" fontId="11" fillId="9" borderId="15" xfId="0" applyNumberFormat="1" applyFont="1" applyFill="1" applyBorder="1" applyAlignment="1">
      <alignment horizontal="center" wrapText="1"/>
    </xf>
    <xf numFmtId="165" fontId="11" fillId="10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left" wrapText="1"/>
    </xf>
    <xf numFmtId="165" fontId="10" fillId="12" borderId="16" xfId="0" applyNumberFormat="1" applyFont="1" applyFill="1" applyBorder="1" applyAlignment="1">
      <alignment horizontal="center" wrapText="1"/>
    </xf>
    <xf numFmtId="0" fontId="10" fillId="0" borderId="7" xfId="0" applyNumberFormat="1" applyFont="1" applyFill="1" applyBorder="1" applyAlignment="1">
      <alignment horizontal="left" wrapText="1"/>
    </xf>
    <xf numFmtId="169" fontId="11" fillId="12" borderId="7" xfId="0" applyNumberFormat="1" applyFont="1" applyFill="1" applyBorder="1" applyAlignment="1">
      <alignment horizontal="center" wrapText="1"/>
    </xf>
    <xf numFmtId="169" fontId="11" fillId="6" borderId="7" xfId="0" applyNumberFormat="1" applyFont="1" applyFill="1" applyBorder="1" applyAlignment="1">
      <alignment horizontal="center" wrapText="1"/>
    </xf>
    <xf numFmtId="165" fontId="11" fillId="6" borderId="7" xfId="0" applyNumberFormat="1" applyFont="1" applyFill="1" applyBorder="1" applyAlignment="1">
      <alignment horizontal="center" wrapText="1"/>
    </xf>
    <xf numFmtId="165" fontId="11" fillId="8" borderId="7" xfId="0" applyNumberFormat="1" applyFont="1" applyFill="1" applyBorder="1" applyAlignment="1">
      <alignment horizontal="center" wrapText="1"/>
    </xf>
    <xf numFmtId="169" fontId="11" fillId="12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center" wrapText="1"/>
    </xf>
    <xf numFmtId="165" fontId="11" fillId="2" borderId="5" xfId="0" applyNumberFormat="1" applyFont="1" applyFill="1" applyBorder="1" applyAlignment="1">
      <alignment horizontal="left" wrapText="1"/>
    </xf>
    <xf numFmtId="0" fontId="10" fillId="0" borderId="5" xfId="0" applyNumberFormat="1" applyFont="1" applyFill="1" applyBorder="1" applyAlignment="1">
      <alignment horizontal="left" wrapText="1"/>
    </xf>
    <xf numFmtId="165" fontId="11" fillId="8" borderId="5" xfId="0" applyNumberFormat="1" applyFont="1" applyFill="1" applyBorder="1" applyAlignment="1">
      <alignment horizontal="right" wrapText="1"/>
    </xf>
    <xf numFmtId="165" fontId="11" fillId="9" borderId="7" xfId="0" applyNumberFormat="1" applyFont="1" applyFill="1" applyBorder="1" applyAlignment="1">
      <alignment horizontal="center" wrapText="1"/>
    </xf>
    <xf numFmtId="165" fontId="11" fillId="10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left" wrapText="1"/>
    </xf>
    <xf numFmtId="165" fontId="11" fillId="12" borderId="5" xfId="0" applyNumberFormat="1" applyFont="1" applyFill="1" applyBorder="1" applyAlignment="1">
      <alignment horizontal="center" wrapText="1"/>
    </xf>
    <xf numFmtId="164" fontId="11" fillId="12" borderId="7" xfId="0" applyNumberFormat="1" applyFont="1" applyFill="1" applyBorder="1" applyAlignment="1">
      <alignment horizontal="center" wrapText="1"/>
    </xf>
    <xf numFmtId="164" fontId="11" fillId="6" borderId="7" xfId="0" applyNumberFormat="1" applyFont="1" applyFill="1" applyBorder="1" applyAlignment="1">
      <alignment horizontal="center" wrapText="1"/>
    </xf>
    <xf numFmtId="164" fontId="11" fillId="8" borderId="7" xfId="0" applyNumberFormat="1" applyFont="1" applyFill="1" applyBorder="1" applyAlignment="1">
      <alignment horizontal="center" wrapText="1"/>
    </xf>
    <xf numFmtId="164" fontId="11" fillId="12" borderId="5" xfId="0" applyNumberFormat="1" applyFont="1" applyFill="1" applyBorder="1" applyAlignment="1">
      <alignment horizontal="center" wrapText="1"/>
    </xf>
    <xf numFmtId="164" fontId="11" fillId="6" borderId="5" xfId="0" applyNumberFormat="1" applyFont="1" applyFill="1" applyBorder="1" applyAlignment="1">
      <alignment horizontal="center" wrapText="1"/>
    </xf>
    <xf numFmtId="164" fontId="11" fillId="2" borderId="5" xfId="0" applyNumberFormat="1" applyFont="1" applyFill="1" applyBorder="1" applyAlignment="1">
      <alignment horizontal="center" wrapText="1"/>
    </xf>
    <xf numFmtId="164" fontId="11" fillId="8" borderId="5" xfId="0" applyNumberFormat="1" applyFont="1" applyFill="1" applyBorder="1" applyAlignment="1">
      <alignment horizontal="center" wrapText="1"/>
    </xf>
    <xf numFmtId="169" fontId="11" fillId="8" borderId="5" xfId="0" applyNumberFormat="1" applyFont="1" applyFill="1" applyBorder="1" applyAlignment="1">
      <alignment horizontal="center" wrapText="1"/>
    </xf>
    <xf numFmtId="169" fontId="11" fillId="9" borderId="7" xfId="0" applyNumberFormat="1" applyFont="1" applyFill="1" applyBorder="1" applyAlignment="1">
      <alignment horizontal="center" wrapText="1"/>
    </xf>
    <xf numFmtId="164" fontId="11" fillId="10" borderId="5" xfId="0" applyNumberFormat="1" applyFont="1" applyFill="1" applyBorder="1" applyAlignment="1">
      <alignment horizontal="center" wrapText="1"/>
    </xf>
    <xf numFmtId="169" fontId="11" fillId="6" borderId="5" xfId="0" applyNumberFormat="1" applyFont="1" applyFill="1" applyBorder="1" applyAlignment="1">
      <alignment horizontal="center" wrapText="1"/>
    </xf>
    <xf numFmtId="164" fontId="11" fillId="0" borderId="5" xfId="0" applyNumberFormat="1" applyFont="1" applyFill="1" applyBorder="1" applyAlignment="1">
      <alignment horizontal="center" wrapText="1"/>
    </xf>
    <xf numFmtId="164" fontId="11" fillId="0" borderId="1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/>
    <xf numFmtId="0" fontId="8" fillId="4" borderId="2" xfId="0" applyNumberFormat="1" applyFont="1" applyFill="1" applyBorder="1" applyAlignment="1">
      <alignment horizontal="center" wrapText="1"/>
    </xf>
    <xf numFmtId="0" fontId="9" fillId="6" borderId="2" xfId="0" applyNumberFormat="1" applyFont="1" applyFill="1" applyBorder="1" applyAlignment="1">
      <alignment horizontal="center" vertical="center" textRotation="90" wrapText="1"/>
    </xf>
    <xf numFmtId="0" fontId="9" fillId="6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/>
    <xf numFmtId="0" fontId="9" fillId="6" borderId="3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7" fillId="7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7" fillId="8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9" borderId="3" xfId="0" applyNumberFormat="1" applyFont="1" applyFill="1" applyBorder="1" applyAlignment="1">
      <alignment horizontal="center" vertical="center" wrapText="1"/>
    </xf>
    <xf numFmtId="0" fontId="7" fillId="10" borderId="3" xfId="0" applyNumberFormat="1" applyFont="1" applyFill="1" applyBorder="1" applyAlignment="1">
      <alignment horizontal="center" vertical="center" wrapText="1"/>
    </xf>
    <xf numFmtId="0" fontId="7" fillId="6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ill="1" applyBorder="1"/>
    <xf numFmtId="0" fontId="7" fillId="6" borderId="2" xfId="0" applyNumberFormat="1" applyFont="1" applyFill="1" applyBorder="1" applyAlignment="1">
      <alignment horizontal="center" vertical="center" wrapText="1"/>
    </xf>
    <xf numFmtId="0" fontId="7" fillId="9" borderId="2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166" fontId="11" fillId="6" borderId="2" xfId="0" applyNumberFormat="1" applyFont="1" applyFill="1" applyBorder="1" applyAlignment="1">
      <alignment horizontal="center" vertical="center" wrapText="1"/>
    </xf>
    <xf numFmtId="167" fontId="11" fillId="0" borderId="2" xfId="0" applyNumberFormat="1" applyFont="1" applyFill="1" applyBorder="1" applyAlignment="1">
      <alignment horizontal="center" wrapText="1"/>
    </xf>
    <xf numFmtId="0" fontId="11" fillId="6" borderId="15" xfId="0" applyNumberFormat="1" applyFont="1" applyFill="1" applyBorder="1" applyAlignment="1">
      <alignment horizontal="left" wrapText="1"/>
    </xf>
    <xf numFmtId="0" fontId="0" fillId="0" borderId="15" xfId="0" applyNumberFormat="1" applyFill="1" applyBorder="1"/>
    <xf numFmtId="0" fontId="11" fillId="6" borderId="7" xfId="0" applyNumberFormat="1" applyFont="1" applyFill="1" applyBorder="1" applyAlignment="1">
      <alignment horizontal="left" wrapText="1"/>
    </xf>
    <xf numFmtId="0" fontId="0" fillId="0" borderId="7" xfId="0" applyNumberFormat="1" applyFill="1" applyBorder="1"/>
    <xf numFmtId="49" fontId="17" fillId="6" borderId="1" xfId="0" applyNumberFormat="1" applyFont="1" applyFill="1" applyBorder="1" applyAlignment="1">
      <alignment horizontal="left" wrapText="1"/>
    </xf>
    <xf numFmtId="0" fontId="10" fillId="0" borderId="1" xfId="0" applyNumberFormat="1" applyFont="1" applyFill="1" applyBorder="1" applyAlignment="1">
      <alignment horizontal="right" wrapText="1"/>
    </xf>
    <xf numFmtId="0" fontId="18" fillId="0" borderId="1" xfId="1"/>
    <xf numFmtId="0" fontId="2" fillId="0" borderId="1" xfId="1" applyNumberFormat="1" applyFont="1" applyFill="1" applyBorder="1" applyAlignment="1">
      <alignment horizontal="left" wrapText="1"/>
    </xf>
    <xf numFmtId="0" fontId="2" fillId="0" borderId="1" xfId="1" applyNumberFormat="1" applyFont="1" applyFill="1" applyBorder="1" applyAlignment="1">
      <alignment horizontal="left" vertical="top" wrapText="1"/>
    </xf>
    <xf numFmtId="0" fontId="19" fillId="0" borderId="1" xfId="1" applyNumberFormat="1" applyFont="1" applyFill="1" applyBorder="1" applyAlignment="1">
      <alignment horizontal="left" vertical="center" wrapText="1"/>
    </xf>
    <xf numFmtId="171" fontId="20" fillId="0" borderId="1" xfId="1" applyNumberFormat="1" applyFont="1" applyFill="1" applyBorder="1" applyAlignment="1">
      <alignment horizontal="center" vertical="center" wrapText="1"/>
    </xf>
    <xf numFmtId="0" fontId="20" fillId="0" borderId="1" xfId="1" applyNumberFormat="1" applyFont="1" applyFill="1" applyBorder="1" applyAlignment="1">
      <alignment horizontal="left" vertical="center" wrapText="1"/>
    </xf>
    <xf numFmtId="0" fontId="21" fillId="0" borderId="1" xfId="1" applyNumberFormat="1" applyFont="1" applyFill="1" applyBorder="1" applyAlignment="1">
      <alignment horizontal="center" vertical="center" wrapText="1"/>
    </xf>
    <xf numFmtId="168" fontId="17" fillId="0" borderId="5" xfId="1" applyNumberFormat="1" applyFont="1" applyFill="1" applyBorder="1" applyAlignment="1">
      <alignment horizontal="center" vertical="center" wrapText="1"/>
    </xf>
    <xf numFmtId="168" fontId="17" fillId="0" borderId="7" xfId="1" applyNumberFormat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center" vertical="center" wrapText="1"/>
    </xf>
    <xf numFmtId="3" fontId="2" fillId="0" borderId="7" xfId="1" applyNumberFormat="1" applyFont="1" applyFill="1" applyBorder="1" applyAlignment="1">
      <alignment horizontal="center" vertical="center" wrapText="1"/>
    </xf>
    <xf numFmtId="171" fontId="22" fillId="0" borderId="1" xfId="1" applyNumberFormat="1" applyFont="1" applyFill="1" applyBorder="1" applyAlignment="1">
      <alignment horizontal="center" vertical="center" wrapText="1"/>
    </xf>
    <xf numFmtId="171" fontId="19" fillId="0" borderId="1" xfId="1" applyNumberFormat="1" applyFont="1" applyFill="1" applyBorder="1" applyAlignment="1">
      <alignment horizontal="center" vertical="center" wrapText="1"/>
    </xf>
    <xf numFmtId="0" fontId="21" fillId="0" borderId="1" xfId="1" applyNumberFormat="1" applyFont="1" applyFill="1" applyBorder="1" applyAlignment="1">
      <alignment horizontal="left" vertical="center" wrapText="1"/>
    </xf>
    <xf numFmtId="0" fontId="23" fillId="0" borderId="1" xfId="1" applyNumberFormat="1" applyFont="1" applyFill="1" applyBorder="1" applyAlignment="1">
      <alignment horizontal="right" vertical="center" wrapText="1"/>
    </xf>
    <xf numFmtId="171" fontId="20" fillId="0" borderId="1" xfId="1" applyNumberFormat="1" applyFont="1" applyFill="1" applyBorder="1" applyAlignment="1">
      <alignment horizontal="left" vertical="center" wrapText="1"/>
    </xf>
    <xf numFmtId="168" fontId="2" fillId="0" borderId="5" xfId="1" applyNumberFormat="1" applyFont="1" applyFill="1" applyBorder="1" applyAlignment="1">
      <alignment horizontal="center" vertical="center" wrapText="1"/>
    </xf>
    <xf numFmtId="168" fontId="2" fillId="0" borderId="7" xfId="1" applyNumberFormat="1" applyFont="1" applyFill="1" applyBorder="1" applyAlignment="1">
      <alignment horizontal="center" vertical="center" wrapText="1"/>
    </xf>
    <xf numFmtId="0" fontId="19" fillId="0" borderId="5" xfId="1" applyNumberFormat="1" applyFont="1" applyFill="1" applyBorder="1" applyAlignment="1">
      <alignment horizontal="center" vertical="center" wrapText="1"/>
    </xf>
    <xf numFmtId="0" fontId="19" fillId="0" borderId="7" xfId="1" applyNumberFormat="1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right" vertical="center" wrapText="1"/>
    </xf>
    <xf numFmtId="0" fontId="18" fillId="0" borderId="2" xfId="1" applyNumberFormat="1" applyFill="1" applyBorder="1"/>
    <xf numFmtId="0" fontId="20" fillId="0" borderId="2" xfId="1" applyNumberFormat="1" applyFont="1" applyFill="1" applyBorder="1" applyAlignment="1">
      <alignment horizontal="center" vertical="center" wrapText="1"/>
    </xf>
    <xf numFmtId="0" fontId="18" fillId="0" borderId="3" xfId="1" applyNumberFormat="1" applyFill="1" applyBorder="1"/>
    <xf numFmtId="0" fontId="20" fillId="0" borderId="3" xfId="1" applyNumberFormat="1" applyFont="1" applyFill="1" applyBorder="1" applyAlignment="1">
      <alignment horizontal="center" vertical="center" wrapText="1"/>
    </xf>
    <xf numFmtId="0" fontId="20" fillId="0" borderId="1" xfId="1" applyNumberFormat="1" applyFont="1" applyFill="1" applyBorder="1" applyAlignment="1">
      <alignment horizontal="right" vertical="center" wrapText="1"/>
    </xf>
    <xf numFmtId="171" fontId="24" fillId="0" borderId="1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 wrapText="1"/>
    </xf>
    <xf numFmtId="1" fontId="20" fillId="4" borderId="17" xfId="1" applyNumberFormat="1" applyFont="1" applyFill="1" applyBorder="1" applyAlignment="1">
      <alignment horizontal="center" vertical="center" wrapText="1"/>
    </xf>
    <xf numFmtId="3" fontId="20" fillId="4" borderId="5" xfId="1" applyNumberFormat="1" applyFont="1" applyFill="1" applyBorder="1" applyAlignment="1">
      <alignment horizontal="center" vertical="center" wrapText="1"/>
    </xf>
    <xf numFmtId="168" fontId="25" fillId="4" borderId="5" xfId="1" applyNumberFormat="1" applyFont="1" applyFill="1" applyBorder="1" applyAlignment="1">
      <alignment horizontal="center" vertical="center" wrapText="1"/>
    </xf>
    <xf numFmtId="168" fontId="20" fillId="4" borderId="5" xfId="1" applyNumberFormat="1" applyFont="1" applyFill="1" applyBorder="1" applyAlignment="1">
      <alignment horizontal="center" vertical="center" wrapText="1"/>
    </xf>
    <xf numFmtId="3" fontId="20" fillId="4" borderId="17" xfId="1" applyNumberFormat="1" applyFont="1" applyFill="1" applyBorder="1" applyAlignment="1">
      <alignment horizontal="center" vertical="center" wrapText="1"/>
    </xf>
    <xf numFmtId="3" fontId="20" fillId="4" borderId="5" xfId="1" applyNumberFormat="1" applyFont="1" applyFill="1" applyBorder="1" applyAlignment="1">
      <alignment horizontal="right" vertical="center" wrapText="1"/>
    </xf>
    <xf numFmtId="0" fontId="19" fillId="4" borderId="5" xfId="1" applyNumberFormat="1" applyFont="1" applyFill="1" applyBorder="1" applyAlignment="1">
      <alignment horizontal="left" wrapText="1"/>
    </xf>
    <xf numFmtId="0" fontId="20" fillId="4" borderId="7" xfId="1" applyNumberFormat="1" applyFont="1" applyFill="1" applyBorder="1" applyAlignment="1">
      <alignment horizontal="left" wrapText="1"/>
    </xf>
    <xf numFmtId="1" fontId="17" fillId="4" borderId="17" xfId="1" applyNumberFormat="1" applyFont="1" applyFill="1" applyBorder="1" applyAlignment="1">
      <alignment horizontal="center" vertical="center" wrapText="1"/>
    </xf>
    <xf numFmtId="3" fontId="17" fillId="4" borderId="5" xfId="1" applyNumberFormat="1" applyFont="1" applyFill="1" applyBorder="1" applyAlignment="1">
      <alignment horizontal="center" vertical="center" wrapText="1"/>
    </xf>
    <xf numFmtId="3" fontId="26" fillId="4" borderId="5" xfId="1" applyNumberFormat="1" applyFont="1" applyFill="1" applyBorder="1" applyAlignment="1">
      <alignment horizontal="center" vertical="center" wrapText="1"/>
    </xf>
    <xf numFmtId="3" fontId="27" fillId="4" borderId="5" xfId="1" applyNumberFormat="1" applyFont="1" applyFill="1" applyBorder="1" applyAlignment="1">
      <alignment horizontal="center" vertical="center" wrapText="1"/>
    </xf>
    <xf numFmtId="3" fontId="17" fillId="4" borderId="17" xfId="1" applyNumberFormat="1" applyFont="1" applyFill="1" applyBorder="1" applyAlignment="1">
      <alignment horizontal="center" vertical="center" wrapText="1"/>
    </xf>
    <xf numFmtId="3" fontId="17" fillId="4" borderId="5" xfId="1" applyNumberFormat="1" applyFont="1" applyFill="1" applyBorder="1" applyAlignment="1">
      <alignment horizontal="right" vertical="center" wrapText="1"/>
    </xf>
    <xf numFmtId="0" fontId="20" fillId="4" borderId="5" xfId="1" applyNumberFormat="1" applyFont="1" applyFill="1" applyBorder="1" applyAlignment="1">
      <alignment horizontal="left" vertical="center" wrapText="1"/>
    </xf>
    <xf numFmtId="0" fontId="20" fillId="4" borderId="7" xfId="1" applyNumberFormat="1" applyFont="1" applyFill="1" applyBorder="1" applyAlignment="1">
      <alignment horizontal="left" vertical="center" wrapText="1"/>
    </xf>
    <xf numFmtId="1" fontId="17" fillId="12" borderId="17" xfId="1" applyNumberFormat="1" applyFont="1" applyFill="1" applyBorder="1" applyAlignment="1">
      <alignment horizontal="center" vertical="center" wrapText="1"/>
    </xf>
    <xf numFmtId="3" fontId="17" fillId="12" borderId="5" xfId="1" applyNumberFormat="1" applyFont="1" applyFill="1" applyBorder="1" applyAlignment="1">
      <alignment horizontal="center" vertical="center" wrapText="1"/>
    </xf>
    <xf numFmtId="3" fontId="26" fillId="12" borderId="5" xfId="1" applyNumberFormat="1" applyFont="1" applyFill="1" applyBorder="1" applyAlignment="1">
      <alignment horizontal="center" vertical="center" wrapText="1"/>
    </xf>
    <xf numFmtId="3" fontId="27" fillId="12" borderId="5" xfId="1" applyNumberFormat="1" applyFont="1" applyFill="1" applyBorder="1" applyAlignment="1">
      <alignment horizontal="center" vertical="center" wrapText="1"/>
    </xf>
    <xf numFmtId="3" fontId="17" fillId="12" borderId="17" xfId="1" applyNumberFormat="1" applyFont="1" applyFill="1" applyBorder="1" applyAlignment="1">
      <alignment horizontal="center" vertical="center" wrapText="1"/>
    </xf>
    <xf numFmtId="168" fontId="17" fillId="12" borderId="5" xfId="1" applyNumberFormat="1" applyFont="1" applyFill="1" applyBorder="1" applyAlignment="1">
      <alignment horizontal="center" vertical="center" wrapText="1"/>
    </xf>
    <xf numFmtId="168" fontId="26" fillId="12" borderId="5" xfId="1" applyNumberFormat="1" applyFont="1" applyFill="1" applyBorder="1" applyAlignment="1">
      <alignment horizontal="center" vertical="center" wrapText="1"/>
    </xf>
    <xf numFmtId="168" fontId="27" fillId="12" borderId="5" xfId="1" applyNumberFormat="1" applyFont="1" applyFill="1" applyBorder="1" applyAlignment="1">
      <alignment horizontal="center" vertical="center" wrapText="1"/>
    </xf>
    <xf numFmtId="0" fontId="28" fillId="12" borderId="5" xfId="1" applyNumberFormat="1" applyFont="1" applyFill="1" applyBorder="1" applyAlignment="1">
      <alignment horizontal="right" vertical="center" wrapText="1"/>
    </xf>
    <xf numFmtId="0" fontId="29" fillId="12" borderId="7" xfId="1" applyNumberFormat="1" applyFont="1" applyFill="1" applyBorder="1" applyAlignment="1">
      <alignment horizontal="left" vertical="center" wrapText="1"/>
    </xf>
    <xf numFmtId="1" fontId="17" fillId="12" borderId="18" xfId="1" applyNumberFormat="1" applyFont="1" applyFill="1" applyBorder="1" applyAlignment="1">
      <alignment horizontal="center" vertical="center" wrapText="1"/>
    </xf>
    <xf numFmtId="168" fontId="17" fillId="12" borderId="16" xfId="1" applyNumberFormat="1" applyFont="1" applyFill="1" applyBorder="1" applyAlignment="1">
      <alignment horizontal="center" vertical="center" wrapText="1"/>
    </xf>
    <xf numFmtId="168" fontId="26" fillId="12" borderId="16" xfId="1" applyNumberFormat="1" applyFont="1" applyFill="1" applyBorder="1" applyAlignment="1">
      <alignment horizontal="center" vertical="center" wrapText="1"/>
    </xf>
    <xf numFmtId="168" fontId="27" fillId="12" borderId="16" xfId="1" applyNumberFormat="1" applyFont="1" applyFill="1" applyBorder="1" applyAlignment="1">
      <alignment horizontal="center" vertical="center" wrapText="1"/>
    </xf>
    <xf numFmtId="168" fontId="17" fillId="12" borderId="18" xfId="1" applyNumberFormat="1" applyFont="1" applyFill="1" applyBorder="1" applyAlignment="1">
      <alignment horizontal="center" vertical="center" wrapText="1"/>
    </xf>
    <xf numFmtId="3" fontId="17" fillId="12" borderId="16" xfId="1" applyNumberFormat="1" applyFont="1" applyFill="1" applyBorder="1" applyAlignment="1">
      <alignment horizontal="center" vertical="center" wrapText="1"/>
    </xf>
    <xf numFmtId="3" fontId="17" fillId="12" borderId="18" xfId="1" applyNumberFormat="1" applyFont="1" applyFill="1" applyBorder="1" applyAlignment="1">
      <alignment horizontal="center" vertical="center" wrapText="1"/>
    </xf>
    <xf numFmtId="0" fontId="30" fillId="12" borderId="16" xfId="1" applyNumberFormat="1" applyFont="1" applyFill="1" applyBorder="1" applyAlignment="1">
      <alignment horizontal="left" vertical="center" wrapText="1"/>
    </xf>
    <xf numFmtId="0" fontId="30" fillId="12" borderId="15" xfId="1" applyNumberFormat="1" applyFont="1" applyFill="1" applyBorder="1" applyAlignment="1">
      <alignment horizontal="center" vertical="center" wrapText="1"/>
    </xf>
    <xf numFmtId="1" fontId="2" fillId="0" borderId="17" xfId="1" applyNumberFormat="1" applyFont="1" applyFill="1" applyBorder="1" applyAlignment="1">
      <alignment horizontal="center" vertical="center" wrapText="1"/>
    </xf>
    <xf numFmtId="168" fontId="31" fillId="0" borderId="5" xfId="1" applyNumberFormat="1" applyFont="1" applyFill="1" applyBorder="1" applyAlignment="1">
      <alignment horizontal="center" vertical="center" wrapText="1"/>
    </xf>
    <xf numFmtId="168" fontId="32" fillId="0" borderId="5" xfId="1" applyNumberFormat="1" applyFont="1" applyFill="1" applyBorder="1" applyAlignment="1">
      <alignment horizontal="center" vertical="center" wrapText="1"/>
    </xf>
    <xf numFmtId="3" fontId="2" fillId="0" borderId="17" xfId="1" applyNumberFormat="1" applyFont="1" applyFill="1" applyBorder="1" applyAlignment="1">
      <alignment horizontal="center" vertical="center" wrapText="1"/>
    </xf>
    <xf numFmtId="3" fontId="31" fillId="0" borderId="5" xfId="1" applyNumberFormat="1" applyFont="1" applyFill="1" applyBorder="1" applyAlignment="1">
      <alignment horizontal="center" vertical="center" wrapText="1"/>
    </xf>
    <xf numFmtId="3" fontId="32" fillId="0" borderId="5" xfId="1" applyNumberFormat="1" applyFont="1" applyFill="1" applyBorder="1" applyAlignment="1">
      <alignment horizontal="center" vertical="center" wrapText="1"/>
    </xf>
    <xf numFmtId="0" fontId="33" fillId="0" borderId="5" xfId="1" applyNumberFormat="1" applyFont="1" applyFill="1" applyBorder="1" applyAlignment="1">
      <alignment horizontal="left" vertical="center" wrapText="1"/>
    </xf>
    <xf numFmtId="0" fontId="33" fillId="0" borderId="7" xfId="1" applyNumberFormat="1" applyFont="1" applyFill="1" applyBorder="1" applyAlignment="1">
      <alignment horizontal="center" vertical="center"/>
    </xf>
    <xf numFmtId="0" fontId="33" fillId="0" borderId="5" xfId="1" applyNumberFormat="1" applyFont="1" applyFill="1" applyBorder="1" applyAlignment="1">
      <alignment horizontal="right" vertical="center" wrapText="1"/>
    </xf>
    <xf numFmtId="168" fontId="26" fillId="0" borderId="5" xfId="1" applyNumberFormat="1" applyFont="1" applyFill="1" applyBorder="1" applyAlignment="1">
      <alignment horizontal="center" vertical="center" wrapText="1"/>
    </xf>
    <xf numFmtId="168" fontId="27" fillId="0" borderId="5" xfId="1" applyNumberFormat="1" applyFont="1" applyFill="1" applyBorder="1" applyAlignment="1">
      <alignment horizontal="center" vertical="center" wrapText="1"/>
    </xf>
    <xf numFmtId="1" fontId="17" fillId="6" borderId="17" xfId="1" applyNumberFormat="1" applyFont="1" applyFill="1" applyBorder="1" applyAlignment="1">
      <alignment horizontal="center" vertical="center" wrapText="1"/>
    </xf>
    <xf numFmtId="168" fontId="17" fillId="6" borderId="5" xfId="1" applyNumberFormat="1" applyFont="1" applyFill="1" applyBorder="1" applyAlignment="1">
      <alignment horizontal="center" vertical="center" wrapText="1"/>
    </xf>
    <xf numFmtId="168" fontId="26" fillId="6" borderId="5" xfId="1" applyNumberFormat="1" applyFont="1" applyFill="1" applyBorder="1" applyAlignment="1">
      <alignment horizontal="center" vertical="center" wrapText="1"/>
    </xf>
    <xf numFmtId="168" fontId="27" fillId="6" borderId="5" xfId="1" applyNumberFormat="1" applyFont="1" applyFill="1" applyBorder="1" applyAlignment="1">
      <alignment horizontal="center" vertical="center" wrapText="1"/>
    </xf>
    <xf numFmtId="3" fontId="17" fillId="6" borderId="17" xfId="1" applyNumberFormat="1" applyFont="1" applyFill="1" applyBorder="1" applyAlignment="1">
      <alignment horizontal="center" vertical="center" wrapText="1"/>
    </xf>
    <xf numFmtId="3" fontId="17" fillId="6" borderId="5" xfId="1" applyNumberFormat="1" applyFont="1" applyFill="1" applyBorder="1" applyAlignment="1">
      <alignment horizontal="center" vertical="center" wrapText="1"/>
    </xf>
    <xf numFmtId="0" fontId="34" fillId="6" borderId="5" xfId="1" applyNumberFormat="1" applyFont="1" applyFill="1" applyBorder="1" applyAlignment="1">
      <alignment horizontal="left" vertical="center" wrapText="1"/>
    </xf>
    <xf numFmtId="0" fontId="33" fillId="6" borderId="7" xfId="1" applyNumberFormat="1" applyFont="1" applyFill="1" applyBorder="1" applyAlignment="1">
      <alignment horizontal="center" vertical="center" wrapText="1"/>
    </xf>
    <xf numFmtId="0" fontId="34" fillId="0" borderId="5" xfId="1" applyNumberFormat="1" applyFont="1" applyFill="1" applyBorder="1" applyAlignment="1">
      <alignment horizontal="left" vertical="center" wrapText="1"/>
    </xf>
    <xf numFmtId="0" fontId="33" fillId="0" borderId="7" xfId="1" applyNumberFormat="1" applyFont="1" applyFill="1" applyBorder="1" applyAlignment="1">
      <alignment horizontal="center" vertical="center" wrapText="1"/>
    </xf>
    <xf numFmtId="168" fontId="2" fillId="0" borderId="17" xfId="1" applyNumberFormat="1" applyFont="1" applyFill="1" applyBorder="1" applyAlignment="1">
      <alignment horizontal="center" vertical="center" wrapText="1"/>
    </xf>
    <xf numFmtId="1" fontId="17" fillId="0" borderId="17" xfId="1" applyNumberFormat="1" applyFont="1" applyFill="1" applyBorder="1" applyAlignment="1">
      <alignment horizontal="center" vertical="center" wrapText="1"/>
    </xf>
    <xf numFmtId="3" fontId="17" fillId="0" borderId="17" xfId="1" applyNumberFormat="1" applyFont="1" applyFill="1" applyBorder="1" applyAlignment="1">
      <alignment horizontal="center" vertical="center" wrapText="1"/>
    </xf>
    <xf numFmtId="3" fontId="17" fillId="0" borderId="5" xfId="1" applyNumberFormat="1" applyFont="1" applyFill="1" applyBorder="1" applyAlignment="1">
      <alignment horizontal="center" vertical="center" wrapText="1"/>
    </xf>
    <xf numFmtId="168" fontId="17" fillId="0" borderId="17" xfId="1" applyNumberFormat="1" applyFont="1" applyFill="1" applyBorder="1" applyAlignment="1">
      <alignment horizontal="center" vertical="center" wrapText="1"/>
    </xf>
    <xf numFmtId="168" fontId="17" fillId="6" borderId="17" xfId="1" applyNumberFormat="1" applyFont="1" applyFill="1" applyBorder="1" applyAlignment="1">
      <alignment horizontal="center" vertical="center" wrapText="1"/>
    </xf>
    <xf numFmtId="0" fontId="28" fillId="6" borderId="5" xfId="1" applyNumberFormat="1" applyFont="1" applyFill="1" applyBorder="1" applyAlignment="1">
      <alignment horizontal="left" vertical="center" wrapText="1"/>
    </xf>
    <xf numFmtId="0" fontId="24" fillId="6" borderId="7" xfId="1" applyNumberFormat="1" applyFont="1" applyFill="1" applyBorder="1" applyAlignment="1">
      <alignment horizontal="center" vertical="center" wrapText="1"/>
    </xf>
    <xf numFmtId="0" fontId="2" fillId="0" borderId="5" xfId="1" applyNumberFormat="1" applyFont="1" applyFill="1" applyBorder="1" applyAlignment="1">
      <alignment horizontal="center" vertical="center" wrapText="1"/>
    </xf>
    <xf numFmtId="0" fontId="2" fillId="0" borderId="17" xfId="1" applyNumberFormat="1" applyFont="1" applyFill="1" applyBorder="1" applyAlignment="1">
      <alignment horizontal="center" vertical="center" wrapText="1"/>
    </xf>
    <xf numFmtId="0" fontId="35" fillId="6" borderId="5" xfId="1" applyNumberFormat="1" applyFont="1" applyFill="1" applyBorder="1" applyAlignment="1">
      <alignment horizontal="left" vertical="center" wrapText="1"/>
    </xf>
    <xf numFmtId="0" fontId="36" fillId="6" borderId="7" xfId="1" applyNumberFormat="1" applyFont="1" applyFill="1" applyBorder="1" applyAlignment="1">
      <alignment horizontal="center" vertical="center" wrapText="1"/>
    </xf>
    <xf numFmtId="1" fontId="3" fillId="13" borderId="18" xfId="1" applyNumberFormat="1" applyFont="1" applyFill="1" applyBorder="1" applyAlignment="1">
      <alignment horizontal="center" vertical="center" wrapText="1"/>
    </xf>
    <xf numFmtId="168" fontId="3" fillId="13" borderId="16" xfId="1" applyNumberFormat="1" applyFont="1" applyFill="1" applyBorder="1" applyAlignment="1">
      <alignment horizontal="center" vertical="center" wrapText="1"/>
    </xf>
    <xf numFmtId="168" fontId="6" fillId="13" borderId="16" xfId="1" applyNumberFormat="1" applyFont="1" applyFill="1" applyBorder="1" applyAlignment="1">
      <alignment horizontal="center" vertical="center" wrapText="1"/>
    </xf>
    <xf numFmtId="168" fontId="37" fillId="13" borderId="16" xfId="1" applyNumberFormat="1" applyFont="1" applyFill="1" applyBorder="1" applyAlignment="1">
      <alignment horizontal="center" vertical="center" wrapText="1"/>
    </xf>
    <xf numFmtId="3" fontId="3" fillId="13" borderId="18" xfId="1" applyNumberFormat="1" applyFont="1" applyFill="1" applyBorder="1" applyAlignment="1">
      <alignment horizontal="center" vertical="center" wrapText="1"/>
    </xf>
    <xf numFmtId="3" fontId="3" fillId="13" borderId="16" xfId="1" applyNumberFormat="1" applyFont="1" applyFill="1" applyBorder="1" applyAlignment="1">
      <alignment horizontal="center" vertical="center" wrapText="1"/>
    </xf>
    <xf numFmtId="168" fontId="3" fillId="13" borderId="18" xfId="1" applyNumberFormat="1" applyFont="1" applyFill="1" applyBorder="1" applyAlignment="1">
      <alignment horizontal="center" vertical="center" wrapText="1"/>
    </xf>
    <xf numFmtId="0" fontId="3" fillId="13" borderId="16" xfId="1" applyNumberFormat="1" applyFont="1" applyFill="1" applyBorder="1" applyAlignment="1">
      <alignment horizontal="left" vertical="center" wrapText="1"/>
    </xf>
    <xf numFmtId="0" fontId="3" fillId="13" borderId="15" xfId="1" applyNumberFormat="1" applyFont="1" applyFill="1" applyBorder="1" applyAlignment="1">
      <alignment horizontal="center" vertical="center" wrapText="1"/>
    </xf>
    <xf numFmtId="1" fontId="17" fillId="14" borderId="19" xfId="1" applyNumberFormat="1" applyFont="1" applyFill="1" applyBorder="1" applyAlignment="1">
      <alignment horizontal="center" vertical="center" wrapText="1"/>
    </xf>
    <xf numFmtId="1" fontId="17" fillId="14" borderId="11" xfId="1" applyNumberFormat="1" applyFont="1" applyFill="1" applyBorder="1" applyAlignment="1">
      <alignment horizontal="center" vertical="center" wrapText="1"/>
    </xf>
    <xf numFmtId="1" fontId="33" fillId="14" borderId="11" xfId="1" applyNumberFormat="1" applyFont="1" applyFill="1" applyBorder="1" applyAlignment="1">
      <alignment horizontal="center" vertical="center" wrapText="1"/>
    </xf>
    <xf numFmtId="0" fontId="33" fillId="14" borderId="11" xfId="1" applyNumberFormat="1" applyFont="1" applyFill="1" applyBorder="1" applyAlignment="1">
      <alignment horizontal="left" vertical="center" wrapText="1"/>
    </xf>
    <xf numFmtId="0" fontId="38" fillId="14" borderId="13" xfId="1" applyNumberFormat="1" applyFont="1" applyFill="1" applyBorder="1" applyAlignment="1">
      <alignment horizontal="center" vertical="center" wrapText="1"/>
    </xf>
    <xf numFmtId="1" fontId="2" fillId="6" borderId="17" xfId="1" applyNumberFormat="1" applyFont="1" applyFill="1" applyBorder="1" applyAlignment="1">
      <alignment horizontal="center" vertical="center" wrapText="1"/>
    </xf>
    <xf numFmtId="168" fontId="2" fillId="6" borderId="5" xfId="1" applyNumberFormat="1" applyFont="1" applyFill="1" applyBorder="1" applyAlignment="1">
      <alignment horizontal="center" vertical="center" wrapText="1"/>
    </xf>
    <xf numFmtId="168" fontId="31" fillId="6" borderId="5" xfId="1" applyNumberFormat="1" applyFont="1" applyFill="1" applyBorder="1" applyAlignment="1">
      <alignment horizontal="center" vertical="center" wrapText="1"/>
    </xf>
    <xf numFmtId="168" fontId="32" fillId="6" borderId="5" xfId="1" applyNumberFormat="1" applyFont="1" applyFill="1" applyBorder="1" applyAlignment="1">
      <alignment horizontal="center" vertical="center" wrapText="1"/>
    </xf>
    <xf numFmtId="168" fontId="2" fillId="6" borderId="17" xfId="1" applyNumberFormat="1" applyFont="1" applyFill="1" applyBorder="1" applyAlignment="1">
      <alignment horizontal="center" vertical="center" wrapText="1"/>
    </xf>
    <xf numFmtId="3" fontId="2" fillId="6" borderId="5" xfId="1" applyNumberFormat="1" applyFont="1" applyFill="1" applyBorder="1" applyAlignment="1">
      <alignment horizontal="center" vertical="center" wrapText="1"/>
    </xf>
    <xf numFmtId="0" fontId="3" fillId="3" borderId="17" xfId="1" applyNumberFormat="1" applyFont="1" applyFill="1" applyBorder="1" applyAlignment="1">
      <alignment horizontal="center" vertical="center" wrapText="1"/>
    </xf>
    <xf numFmtId="168" fontId="3" fillId="3" borderId="5" xfId="1" applyNumberFormat="1" applyFont="1" applyFill="1" applyBorder="1" applyAlignment="1">
      <alignment horizontal="center" vertical="center" wrapText="1"/>
    </xf>
    <xf numFmtId="168" fontId="6" fillId="3" borderId="5" xfId="1" applyNumberFormat="1" applyFont="1" applyFill="1" applyBorder="1" applyAlignment="1">
      <alignment horizontal="center" vertical="center" wrapText="1"/>
    </xf>
    <xf numFmtId="168" fontId="37" fillId="3" borderId="5" xfId="1" applyNumberFormat="1" applyFont="1" applyFill="1" applyBorder="1" applyAlignment="1">
      <alignment horizontal="center" vertical="center" wrapText="1"/>
    </xf>
    <xf numFmtId="168" fontId="3" fillId="3" borderId="17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left" vertical="center" wrapText="1"/>
    </xf>
    <xf numFmtId="0" fontId="3" fillId="3" borderId="7" xfId="1" applyNumberFormat="1" applyFont="1" applyFill="1" applyBorder="1" applyAlignment="1">
      <alignment horizontal="center" vertical="center" wrapText="1"/>
    </xf>
    <xf numFmtId="0" fontId="3" fillId="12" borderId="20" xfId="1" applyNumberFormat="1" applyFont="1" applyFill="1" applyBorder="1" applyAlignment="1">
      <alignment horizontal="center" vertical="center" wrapText="1"/>
    </xf>
    <xf numFmtId="168" fontId="3" fillId="12" borderId="21" xfId="1" applyNumberFormat="1" applyFont="1" applyFill="1" applyBorder="1" applyAlignment="1">
      <alignment horizontal="center" vertical="center" wrapText="1"/>
    </xf>
    <xf numFmtId="168" fontId="6" fillId="12" borderId="21" xfId="1" applyNumberFormat="1" applyFont="1" applyFill="1" applyBorder="1" applyAlignment="1">
      <alignment horizontal="center" vertical="center" wrapText="1"/>
    </xf>
    <xf numFmtId="168" fontId="37" fillId="12" borderId="21" xfId="1" applyNumberFormat="1" applyFont="1" applyFill="1" applyBorder="1" applyAlignment="1">
      <alignment horizontal="center" vertical="center" wrapText="1"/>
    </xf>
    <xf numFmtId="168" fontId="3" fillId="12" borderId="20" xfId="1" applyNumberFormat="1" applyFont="1" applyFill="1" applyBorder="1" applyAlignment="1">
      <alignment horizontal="center" vertical="center" wrapText="1"/>
    </xf>
    <xf numFmtId="3" fontId="3" fillId="12" borderId="21" xfId="1" applyNumberFormat="1" applyFont="1" applyFill="1" applyBorder="1" applyAlignment="1">
      <alignment horizontal="center" vertical="center" wrapText="1"/>
    </xf>
    <xf numFmtId="3" fontId="3" fillId="12" borderId="20" xfId="1" applyNumberFormat="1" applyFont="1" applyFill="1" applyBorder="1" applyAlignment="1">
      <alignment horizontal="center" vertical="center" wrapText="1"/>
    </xf>
    <xf numFmtId="0" fontId="3" fillId="12" borderId="21" xfId="1" applyNumberFormat="1" applyFont="1" applyFill="1" applyBorder="1" applyAlignment="1">
      <alignment horizontal="left" vertical="center" wrapText="1"/>
    </xf>
    <xf numFmtId="0" fontId="3" fillId="12" borderId="22" xfId="1" applyNumberFormat="1" applyFont="1" applyFill="1" applyBorder="1" applyAlignment="1">
      <alignment horizontal="center" vertical="center" wrapText="1"/>
    </xf>
    <xf numFmtId="0" fontId="18" fillId="0" borderId="23" xfId="1" applyNumberFormat="1" applyFill="1" applyBorder="1"/>
    <xf numFmtId="0" fontId="17" fillId="0" borderId="5" xfId="1" applyNumberFormat="1" applyFont="1" applyFill="1" applyBorder="1" applyAlignment="1">
      <alignment horizontal="center" vertical="center" wrapText="1"/>
    </xf>
    <xf numFmtId="0" fontId="18" fillId="0" borderId="17" xfId="1" applyNumberFormat="1" applyFill="1" applyBorder="1"/>
    <xf numFmtId="0" fontId="17" fillId="0" borderId="17" xfId="1" applyNumberFormat="1" applyFont="1" applyFill="1" applyBorder="1" applyAlignment="1">
      <alignment horizontal="center" vertical="center" wrapText="1"/>
    </xf>
    <xf numFmtId="0" fontId="18" fillId="0" borderId="5" xfId="1" applyNumberFormat="1" applyFill="1" applyBorder="1"/>
    <xf numFmtId="0" fontId="17" fillId="0" borderId="5" xfId="1" applyNumberFormat="1" applyFont="1" applyFill="1" applyBorder="1" applyAlignment="1">
      <alignment horizontal="center" vertical="center" wrapText="1"/>
    </xf>
    <xf numFmtId="0" fontId="17" fillId="0" borderId="17" xfId="1" applyNumberFormat="1" applyFont="1" applyFill="1" applyBorder="1" applyAlignment="1">
      <alignment horizontal="center" vertical="center" wrapText="1"/>
    </xf>
    <xf numFmtId="0" fontId="17" fillId="0" borderId="23" xfId="1" applyNumberFormat="1" applyFont="1" applyFill="1" applyBorder="1" applyAlignment="1">
      <alignment horizontal="center" vertical="center" wrapText="1"/>
    </xf>
    <xf numFmtId="0" fontId="17" fillId="0" borderId="3" xfId="1" applyNumberFormat="1" applyFont="1" applyFill="1" applyBorder="1" applyAlignment="1">
      <alignment horizontal="center" vertical="center" wrapText="1"/>
    </xf>
    <xf numFmtId="0" fontId="17" fillId="0" borderId="2" xfId="1" applyNumberFormat="1" applyFont="1" applyFill="1" applyBorder="1" applyAlignment="1">
      <alignment horizontal="center" vertical="center" wrapText="1"/>
    </xf>
    <xf numFmtId="0" fontId="18" fillId="0" borderId="1" xfId="1" applyNumberFormat="1" applyFill="1" applyBorder="1"/>
    <xf numFmtId="0" fontId="3" fillId="0" borderId="1" xfId="1" applyNumberFormat="1" applyFont="1" applyFill="1" applyBorder="1" applyAlignment="1">
      <alignment horizontal="center" vertical="center" wrapText="1"/>
    </xf>
    <xf numFmtId="168" fontId="39" fillId="4" borderId="5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 wrapText="1"/>
    </xf>
    <xf numFmtId="168" fontId="40" fillId="0" borderId="5" xfId="1" applyNumberFormat="1" applyFont="1" applyFill="1" applyBorder="1" applyAlignment="1">
      <alignment horizontal="center" vertical="center" wrapText="1"/>
    </xf>
    <xf numFmtId="168" fontId="40" fillId="6" borderId="5" xfId="1" applyNumberFormat="1" applyFont="1" applyFill="1" applyBorder="1" applyAlignment="1">
      <alignment horizontal="center" vertical="center" wrapText="1"/>
    </xf>
    <xf numFmtId="168" fontId="41" fillId="13" borderId="16" xfId="1" applyNumberFormat="1" applyFont="1" applyFill="1" applyBorder="1" applyAlignment="1">
      <alignment horizontal="center" vertical="center" wrapText="1"/>
    </xf>
    <xf numFmtId="0" fontId="42" fillId="0" borderId="1" xfId="1" applyNumberFormat="1" applyFont="1" applyFill="1" applyBorder="1" applyAlignment="1">
      <alignment horizontal="center" vertical="center" wrapText="1"/>
    </xf>
    <xf numFmtId="168" fontId="31" fillId="15" borderId="5" xfId="1" applyNumberFormat="1" applyFont="1" applyFill="1" applyBorder="1" applyAlignment="1">
      <alignment horizontal="center" vertical="center" wrapText="1"/>
    </xf>
    <xf numFmtId="168" fontId="18" fillId="0" borderId="1" xfId="1" applyNumberFormat="1"/>
    <xf numFmtId="172" fontId="31" fillId="0" borderId="5" xfId="1" applyNumberFormat="1" applyFont="1" applyFill="1" applyBorder="1" applyAlignment="1">
      <alignment horizontal="center" vertical="center" wrapText="1"/>
    </xf>
    <xf numFmtId="0" fontId="43" fillId="0" borderId="1" xfId="1" applyFont="1"/>
    <xf numFmtId="168" fontId="43" fillId="0" borderId="1" xfId="1" applyNumberFormat="1" applyFont="1"/>
    <xf numFmtId="0" fontId="44" fillId="0" borderId="1" xfId="1" applyNumberFormat="1" applyFont="1" applyFill="1" applyBorder="1" applyAlignment="1">
      <alignment horizontal="center"/>
    </xf>
    <xf numFmtId="169" fontId="45" fillId="16" borderId="3" xfId="1" applyNumberFormat="1" applyFont="1" applyFill="1" applyBorder="1" applyAlignment="1">
      <alignment horizontal="right" vertical="center" wrapText="1"/>
    </xf>
    <xf numFmtId="164" fontId="46" fillId="16" borderId="3" xfId="1" applyNumberFormat="1" applyFont="1" applyFill="1" applyBorder="1" applyAlignment="1">
      <alignment horizontal="right" vertical="center" wrapText="1"/>
    </xf>
    <xf numFmtId="0" fontId="45" fillId="16" borderId="3" xfId="1" applyNumberFormat="1" applyFont="1" applyFill="1" applyBorder="1" applyAlignment="1">
      <alignment horizontal="center" wrapText="1"/>
    </xf>
    <xf numFmtId="0" fontId="45" fillId="16" borderId="2" xfId="1" applyNumberFormat="1" applyFont="1" applyFill="1" applyBorder="1" applyAlignment="1">
      <alignment horizontal="center" wrapText="1"/>
    </xf>
    <xf numFmtId="173" fontId="2" fillId="0" borderId="1" xfId="1" applyNumberFormat="1" applyFont="1" applyFill="1" applyBorder="1" applyAlignment="1">
      <alignment horizontal="left" wrapText="1"/>
    </xf>
    <xf numFmtId="0" fontId="46" fillId="0" borderId="1" xfId="1" applyNumberFormat="1" applyFont="1" applyFill="1" applyBorder="1" applyAlignment="1">
      <alignment horizontal="center" wrapText="1"/>
    </xf>
    <xf numFmtId="174" fontId="45" fillId="17" borderId="3" xfId="1" applyNumberFormat="1" applyFont="1" applyFill="1" applyBorder="1" applyAlignment="1">
      <alignment horizontal="right" vertical="center" wrapText="1"/>
    </xf>
    <xf numFmtId="0" fontId="45" fillId="17" borderId="3" xfId="1" applyNumberFormat="1" applyFont="1" applyFill="1" applyBorder="1" applyAlignment="1">
      <alignment horizontal="center" wrapText="1"/>
    </xf>
    <xf numFmtId="0" fontId="45" fillId="17" borderId="2" xfId="1" applyNumberFormat="1" applyFont="1" applyFill="1" applyBorder="1" applyAlignment="1">
      <alignment horizontal="center" wrapText="1"/>
    </xf>
    <xf numFmtId="174" fontId="45" fillId="18" borderId="3" xfId="1" applyNumberFormat="1" applyFont="1" applyFill="1" applyBorder="1" applyAlignment="1">
      <alignment horizontal="right" vertical="center" wrapText="1"/>
    </xf>
    <xf numFmtId="164" fontId="46" fillId="18" borderId="3" xfId="1" applyNumberFormat="1" applyFont="1" applyFill="1" applyBorder="1" applyAlignment="1">
      <alignment horizontal="right" wrapText="1"/>
    </xf>
    <xf numFmtId="0" fontId="45" fillId="18" borderId="3" xfId="1" applyNumberFormat="1" applyFont="1" applyFill="1" applyBorder="1" applyAlignment="1">
      <alignment horizontal="center" wrapText="1"/>
    </xf>
    <xf numFmtId="0" fontId="45" fillId="18" borderId="2" xfId="1" applyNumberFormat="1" applyFont="1" applyFill="1" applyBorder="1" applyAlignment="1">
      <alignment horizontal="center" wrapText="1"/>
    </xf>
    <xf numFmtId="174" fontId="45" fillId="6" borderId="15" xfId="1" applyNumberFormat="1" applyFont="1" applyFill="1" applyBorder="1" applyAlignment="1">
      <alignment horizontal="right" vertical="center" wrapText="1"/>
    </xf>
    <xf numFmtId="49" fontId="45" fillId="6" borderId="16" xfId="1" applyNumberFormat="1" applyFont="1" applyFill="1" applyBorder="1" applyAlignment="1">
      <alignment horizontal="center" wrapText="1"/>
    </xf>
    <xf numFmtId="49" fontId="45" fillId="6" borderId="15" xfId="1" applyNumberFormat="1" applyFont="1" applyFill="1" applyBorder="1" applyAlignment="1">
      <alignment horizontal="center" wrapText="1"/>
    </xf>
    <xf numFmtId="1" fontId="1" fillId="0" borderId="1" xfId="1" applyNumberFormat="1" applyFont="1" applyFill="1" applyBorder="1" applyAlignment="1">
      <alignment horizontal="left" wrapText="1"/>
    </xf>
    <xf numFmtId="168" fontId="47" fillId="0" borderId="6" xfId="1" applyNumberFormat="1" applyFont="1" applyFill="1" applyBorder="1" applyAlignment="1">
      <alignment horizontal="right" vertical="center" wrapText="1"/>
    </xf>
    <xf numFmtId="0" fontId="44" fillId="0" borderId="6" xfId="1" applyNumberFormat="1" applyFont="1" applyFill="1" applyBorder="1" applyAlignment="1">
      <alignment horizontal="center" vertical="center" wrapText="1"/>
    </xf>
    <xf numFmtId="1" fontId="44" fillId="0" borderId="24" xfId="1" applyNumberFormat="1" applyFont="1" applyFill="1" applyBorder="1" applyAlignment="1">
      <alignment horizontal="center" vertical="center" wrapText="1"/>
    </xf>
    <xf numFmtId="3" fontId="48" fillId="0" borderId="1" xfId="1" applyNumberFormat="1" applyFont="1" applyFill="1" applyBorder="1" applyAlignment="1">
      <alignment horizontal="left" wrapText="1"/>
    </xf>
    <xf numFmtId="1" fontId="49" fillId="0" borderId="1" xfId="1" applyNumberFormat="1" applyFont="1" applyFill="1" applyBorder="1" applyAlignment="1">
      <alignment horizontal="center" vertical="center" wrapText="1"/>
    </xf>
    <xf numFmtId="169" fontId="50" fillId="0" borderId="25" xfId="1" applyNumberFormat="1" applyFont="1" applyFill="1" applyBorder="1" applyAlignment="1">
      <alignment horizontal="right" vertical="center" wrapText="1"/>
    </xf>
    <xf numFmtId="169" fontId="51" fillId="0" borderId="25" xfId="1" applyNumberFormat="1" applyFont="1" applyFill="1" applyBorder="1" applyAlignment="1">
      <alignment horizontal="right" vertical="center" wrapText="1"/>
    </xf>
    <xf numFmtId="0" fontId="52" fillId="0" borderId="26" xfId="1" applyNumberFormat="1" applyFont="1" applyFill="1" applyBorder="1" applyAlignment="1">
      <alignment horizontal="center" vertical="center" wrapText="1"/>
    </xf>
    <xf numFmtId="0" fontId="52" fillId="19" borderId="25" xfId="1" applyNumberFormat="1" applyFont="1" applyFill="1" applyBorder="1" applyAlignment="1">
      <alignment horizontal="center" vertical="center" wrapText="1"/>
    </xf>
    <xf numFmtId="0" fontId="44" fillId="4" borderId="7" xfId="1" applyNumberFormat="1" applyFont="1" applyFill="1" applyBorder="1" applyAlignment="1">
      <alignment horizontal="center" vertical="center" wrapText="1"/>
    </xf>
    <xf numFmtId="0" fontId="44" fillId="4" borderId="2" xfId="1" applyNumberFormat="1" applyFont="1" applyFill="1" applyBorder="1" applyAlignment="1">
      <alignment horizontal="center" vertical="center" wrapText="1"/>
    </xf>
    <xf numFmtId="0" fontId="47" fillId="4" borderId="2" xfId="1" applyNumberFormat="1" applyFont="1" applyFill="1" applyBorder="1" applyAlignment="1">
      <alignment horizontal="center" vertical="center" wrapText="1"/>
    </xf>
    <xf numFmtId="0" fontId="47" fillId="4" borderId="2" xfId="1" applyNumberFormat="1" applyFont="1" applyFill="1" applyBorder="1" applyAlignment="1">
      <alignment horizontal="center" vertical="center"/>
    </xf>
    <xf numFmtId="0" fontId="18" fillId="0" borderId="27" xfId="1" applyNumberFormat="1" applyFill="1" applyBorder="1"/>
    <xf numFmtId="0" fontId="47" fillId="4" borderId="27" xfId="1" applyNumberFormat="1" applyFont="1" applyFill="1" applyBorder="1" applyAlignment="1">
      <alignment horizontal="center" vertical="center"/>
    </xf>
    <xf numFmtId="0" fontId="44" fillId="4" borderId="3" xfId="1" applyNumberFormat="1" applyFont="1" applyFill="1" applyBorder="1" applyAlignment="1">
      <alignment horizontal="center" vertical="center" wrapText="1"/>
    </xf>
    <xf numFmtId="0" fontId="44" fillId="4" borderId="2" xfId="1" applyNumberFormat="1" applyFont="1" applyFill="1" applyBorder="1" applyAlignment="1">
      <alignment horizontal="center" vertical="center" wrapText="1"/>
    </xf>
    <xf numFmtId="0" fontId="53" fillId="0" borderId="1" xfId="1" applyNumberFormat="1" applyFont="1" applyFill="1" applyBorder="1" applyAlignment="1">
      <alignment horizontal="left" vertical="center" wrapText="1"/>
    </xf>
    <xf numFmtId="175" fontId="54" fillId="0" borderId="1" xfId="1" applyNumberFormat="1" applyFont="1" applyFill="1" applyBorder="1" applyAlignment="1">
      <alignment horizontal="left" vertical="center" wrapText="1"/>
    </xf>
    <xf numFmtId="0" fontId="55" fillId="0" borderId="1" xfId="1" applyNumberFormat="1" applyFont="1" applyFill="1" applyBorder="1" applyAlignment="1">
      <alignment horizontal="right" wrapText="1"/>
    </xf>
    <xf numFmtId="0" fontId="56" fillId="0" borderId="1" xfId="1" applyNumberFormat="1" applyFont="1" applyFill="1" applyBorder="1" applyAlignment="1">
      <alignment horizontal="left" wrapText="1"/>
    </xf>
    <xf numFmtId="0" fontId="57" fillId="0" borderId="1" xfId="1" applyNumberFormat="1" applyFont="1" applyFill="1" applyBorder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 b="0" i="0" u="none">
                <a:latin typeface="Calibri" pitchFamily="18" charset="0"/>
              </a:defRPr>
            </a:pP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Итого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4"/>
            <c:spPr>
              <a:solidFill>
                <a:srgbClr val="000000"/>
              </a:solidFill>
              <a:ln w="12700"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График_Суточной_Добычи_Нефть!$B$9:$B$39</c:f>
              <c:numCache>
                <c:formatCode>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График_Суточной_Добычи_Нефть!$AT$9:$AT$39</c:f>
              <c:numCache>
                <c:formatCode>0;\-0;;@</c:formatCode>
                <c:ptCount val="31"/>
                <c:pt idx="0" formatCode="General">
                  <c:v>-1</c:v>
                </c:pt>
                <c:pt idx="1">
                  <c:v>10058.819</c:v>
                </c:pt>
                <c:pt idx="2">
                  <c:v>9983.0260000000017</c:v>
                </c:pt>
                <c:pt idx="3">
                  <c:v>9995.6849999999995</c:v>
                </c:pt>
                <c:pt idx="4">
                  <c:v>9928.4050000000007</c:v>
                </c:pt>
                <c:pt idx="5">
                  <c:v>9908.6460000000006</c:v>
                </c:pt>
                <c:pt idx="6">
                  <c:v>9905.8169999999991</c:v>
                </c:pt>
                <c:pt idx="7">
                  <c:v>9903.9110000000001</c:v>
                </c:pt>
                <c:pt idx="8">
                  <c:v>9953.2560000000012</c:v>
                </c:pt>
                <c:pt idx="9">
                  <c:v>9849.6779999999999</c:v>
                </c:pt>
                <c:pt idx="10">
                  <c:v>9953.8360000000011</c:v>
                </c:pt>
                <c:pt idx="11">
                  <c:v>9932.3040000000001</c:v>
                </c:pt>
                <c:pt idx="12">
                  <c:v>9940.1079999999984</c:v>
                </c:pt>
                <c:pt idx="13">
                  <c:v>9968.0260000000017</c:v>
                </c:pt>
                <c:pt idx="14">
                  <c:v>9968.1970000000001</c:v>
                </c:pt>
                <c:pt idx="15">
                  <c:v>10072.062</c:v>
                </c:pt>
                <c:pt idx="16">
                  <c:v>10025.086999999998</c:v>
                </c:pt>
                <c:pt idx="17">
                  <c:v>9780.5109999999986</c:v>
                </c:pt>
                <c:pt idx="18">
                  <c:v>10039.66</c:v>
                </c:pt>
                <c:pt idx="19">
                  <c:v>10095.841</c:v>
                </c:pt>
                <c:pt idx="20">
                  <c:v>10115.506000000001</c:v>
                </c:pt>
                <c:pt idx="21">
                  <c:v>10109.401</c:v>
                </c:pt>
                <c:pt idx="22">
                  <c:v>10084.439</c:v>
                </c:pt>
                <c:pt idx="23">
                  <c:v>10071.788</c:v>
                </c:pt>
                <c:pt idx="24">
                  <c:v>10077.701999999999</c:v>
                </c:pt>
                <c:pt idx="25">
                  <c:v>10068.768</c:v>
                </c:pt>
                <c:pt idx="26">
                  <c:v>10073.666999999999</c:v>
                </c:pt>
                <c:pt idx="27">
                  <c:v>10115.898000000001</c:v>
                </c:pt>
                <c:pt idx="28">
                  <c:v>10126.848</c:v>
                </c:pt>
                <c:pt idx="29">
                  <c:v>10117.282000000001</c:v>
                </c:pt>
                <c:pt idx="30">
                  <c:v>10104.147999999997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E-4A58-B97E-43A627AE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0112"/>
        <c:axId val="48672768"/>
      </c:scatterChart>
      <c:valAx>
        <c:axId val="48650112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000" b="0" i="0" u="none">
                    <a:latin typeface="Arial" pitchFamily="10" charset="0"/>
                  </a:defRPr>
                </a:pPr>
                <a:endParaRPr lang="ru-RU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8672768"/>
        <c:crosses val="autoZero"/>
        <c:crossBetween val="midCat"/>
        <c:majorUnit val="1"/>
      </c:valAx>
      <c:valAx>
        <c:axId val="48672768"/>
        <c:scaling>
          <c:orientation val="minMax"/>
          <c:max val="35653"/>
          <c:min val="26794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000" b="0" i="0" u="none">
                    <a:latin typeface="Arial" pitchFamily="10" charset="0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4865011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gap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50</xdr:row>
      <xdr:rowOff>0</xdr:rowOff>
    </xdr:from>
    <xdr:to>
      <xdr:col>46</xdr:col>
      <xdr:colOff>0</xdr:colOff>
      <xdr:row>70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8"/>
  <sheetViews>
    <sheetView tabSelected="1" zoomScale="75" workbookViewId="0">
      <selection activeCell="R27" sqref="R27"/>
    </sheetView>
  </sheetViews>
  <sheetFormatPr defaultRowHeight="15" x14ac:dyDescent="0.25"/>
  <cols>
    <col min="1" max="1" width="3.85546875" style="142" customWidth="1"/>
    <col min="2" max="2" width="21" style="142" customWidth="1"/>
    <col min="3" max="3" width="9.28515625" style="142" customWidth="1"/>
    <col min="4" max="5" width="13.28515625" style="142" customWidth="1"/>
    <col min="6" max="6" width="13.7109375" style="142" customWidth="1"/>
    <col min="7" max="46" width="13.28515625" style="142" customWidth="1"/>
    <col min="47" max="47" width="13.7109375" style="142" customWidth="1"/>
    <col min="48" max="48" width="9.28515625" style="142" customWidth="1"/>
    <col min="49" max="16384" width="9.140625" style="142"/>
  </cols>
  <sheetData>
    <row r="1" spans="1:48" ht="15" customHeight="1" x14ac:dyDescent="0.25">
      <c r="A1" s="169" t="s">
        <v>0</v>
      </c>
      <c r="B1" s="143"/>
      <c r="C1" s="143"/>
      <c r="D1" s="143"/>
      <c r="E1" s="143"/>
      <c r="F1" s="336" t="s">
        <v>395</v>
      </c>
      <c r="G1" s="284" t="s">
        <v>2</v>
      </c>
      <c r="H1" s="284" t="s">
        <v>2</v>
      </c>
      <c r="I1" s="284" t="s">
        <v>2</v>
      </c>
      <c r="J1" s="284" t="s">
        <v>2</v>
      </c>
      <c r="K1" s="284" t="s">
        <v>2</v>
      </c>
      <c r="L1" s="284" t="s">
        <v>2</v>
      </c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</row>
    <row r="2" spans="1:48" ht="15" customHeight="1" x14ac:dyDescent="0.25">
      <c r="A2" s="143"/>
      <c r="B2" s="334" t="s">
        <v>394</v>
      </c>
      <c r="C2" s="335" t="s">
        <v>4</v>
      </c>
      <c r="D2" s="284" t="s">
        <v>2</v>
      </c>
      <c r="E2" s="284" t="s">
        <v>2</v>
      </c>
      <c r="F2" s="284" t="s">
        <v>2</v>
      </c>
      <c r="G2" s="284" t="s">
        <v>2</v>
      </c>
      <c r="H2" s="284" t="s">
        <v>2</v>
      </c>
      <c r="I2" s="284" t="s">
        <v>2</v>
      </c>
      <c r="J2" s="284" t="s">
        <v>2</v>
      </c>
      <c r="K2" s="284" t="s">
        <v>2</v>
      </c>
      <c r="L2" s="144"/>
      <c r="M2" s="144"/>
      <c r="N2" s="144"/>
      <c r="O2" s="144"/>
      <c r="P2" s="144"/>
      <c r="Q2" s="144"/>
      <c r="R2" s="144"/>
      <c r="S2" s="144"/>
      <c r="T2" s="144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</row>
    <row r="3" spans="1:48" ht="15" customHeight="1" x14ac:dyDescent="0.25">
      <c r="A3" s="143"/>
      <c r="B3" s="334" t="s">
        <v>393</v>
      </c>
      <c r="C3" s="333">
        <v>45383</v>
      </c>
      <c r="D3" s="284" t="s">
        <v>2</v>
      </c>
      <c r="E3" s="332"/>
      <c r="F3" s="332"/>
      <c r="G3" s="144"/>
      <c r="H3" s="144"/>
      <c r="I3" s="332"/>
      <c r="J3" s="332"/>
      <c r="K3" s="332"/>
      <c r="L3" s="332"/>
      <c r="M3" s="144"/>
      <c r="N3" s="144"/>
      <c r="O3" s="144"/>
      <c r="P3" s="144"/>
      <c r="Q3" s="144"/>
      <c r="R3" s="144"/>
      <c r="S3" s="144"/>
      <c r="T3" s="144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</row>
    <row r="4" spans="1:48" ht="15" customHeight="1" x14ac:dyDescent="0.25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</row>
    <row r="5" spans="1:48" ht="15" customHeight="1" x14ac:dyDescent="0.25">
      <c r="A5" s="143"/>
      <c r="B5" s="331" t="s">
        <v>392</v>
      </c>
      <c r="C5" s="330" t="s">
        <v>391</v>
      </c>
      <c r="D5" s="329" t="s">
        <v>390</v>
      </c>
      <c r="E5" s="328" t="s">
        <v>2</v>
      </c>
      <c r="F5" s="328" t="s">
        <v>2</v>
      </c>
      <c r="G5" s="328" t="s">
        <v>2</v>
      </c>
      <c r="H5" s="328" t="s">
        <v>2</v>
      </c>
      <c r="I5" s="328" t="s">
        <v>2</v>
      </c>
      <c r="J5" s="328" t="s">
        <v>2</v>
      </c>
      <c r="K5" s="328" t="s">
        <v>2</v>
      </c>
      <c r="L5" s="328" t="s">
        <v>2</v>
      </c>
      <c r="M5" s="327" t="s">
        <v>390</v>
      </c>
      <c r="N5" s="329" t="s">
        <v>389</v>
      </c>
      <c r="O5" s="328" t="s">
        <v>2</v>
      </c>
      <c r="P5" s="328" t="s">
        <v>2</v>
      </c>
      <c r="Q5" s="328" t="s">
        <v>2</v>
      </c>
      <c r="R5" s="328" t="s">
        <v>2</v>
      </c>
      <c r="S5" s="328" t="s">
        <v>2</v>
      </c>
      <c r="T5" s="328" t="s">
        <v>2</v>
      </c>
      <c r="U5" s="328" t="s">
        <v>2</v>
      </c>
      <c r="V5" s="328" t="s">
        <v>2</v>
      </c>
      <c r="W5" s="327" t="s">
        <v>389</v>
      </c>
      <c r="X5" s="329"/>
      <c r="Y5" s="328" t="s">
        <v>2</v>
      </c>
      <c r="Z5" s="328" t="s">
        <v>2</v>
      </c>
      <c r="AA5" s="328" t="s">
        <v>2</v>
      </c>
      <c r="AB5" s="328" t="s">
        <v>2</v>
      </c>
      <c r="AC5" s="328" t="s">
        <v>2</v>
      </c>
      <c r="AD5" s="328" t="s">
        <v>2</v>
      </c>
      <c r="AE5" s="328" t="s">
        <v>2</v>
      </c>
      <c r="AF5" s="328" t="s">
        <v>2</v>
      </c>
      <c r="AG5" s="328" t="s">
        <v>2</v>
      </c>
      <c r="AH5" s="328" t="s">
        <v>2</v>
      </c>
      <c r="AI5" s="328" t="s">
        <v>2</v>
      </c>
      <c r="AJ5" s="328" t="s">
        <v>2</v>
      </c>
      <c r="AK5" s="328" t="s">
        <v>2</v>
      </c>
      <c r="AL5" s="328" t="s">
        <v>2</v>
      </c>
      <c r="AM5" s="328" t="s">
        <v>2</v>
      </c>
      <c r="AN5" s="328" t="s">
        <v>2</v>
      </c>
      <c r="AO5" s="328" t="s">
        <v>2</v>
      </c>
      <c r="AP5" s="328" t="s">
        <v>2</v>
      </c>
      <c r="AQ5" s="328" t="s">
        <v>2</v>
      </c>
      <c r="AR5" s="328" t="s">
        <v>2</v>
      </c>
      <c r="AS5" s="328" t="s">
        <v>2</v>
      </c>
      <c r="AT5" s="327"/>
      <c r="AU5" s="326" t="s">
        <v>32</v>
      </c>
      <c r="AV5" s="144"/>
    </row>
    <row r="6" spans="1:48" ht="14.1" customHeight="1" x14ac:dyDescent="0.25">
      <c r="A6" s="143"/>
      <c r="B6" s="163" t="s">
        <v>2</v>
      </c>
      <c r="C6" s="165" t="s">
        <v>2</v>
      </c>
      <c r="D6" s="325" t="s">
        <v>388</v>
      </c>
      <c r="E6" s="325" t="s">
        <v>388</v>
      </c>
      <c r="F6" s="325" t="s">
        <v>388</v>
      </c>
      <c r="G6" s="325" t="s">
        <v>388</v>
      </c>
      <c r="H6" s="325" t="s">
        <v>388</v>
      </c>
      <c r="I6" s="325" t="s">
        <v>388</v>
      </c>
      <c r="J6" s="325" t="s">
        <v>388</v>
      </c>
      <c r="K6" s="325" t="s">
        <v>388</v>
      </c>
      <c r="L6" s="325" t="s">
        <v>388</v>
      </c>
      <c r="M6" s="163" t="s">
        <v>2</v>
      </c>
      <c r="N6" s="325" t="s">
        <v>387</v>
      </c>
      <c r="O6" s="325" t="s">
        <v>387</v>
      </c>
      <c r="P6" s="325" t="s">
        <v>387</v>
      </c>
      <c r="Q6" s="325" t="s">
        <v>386</v>
      </c>
      <c r="R6" s="325" t="s">
        <v>386</v>
      </c>
      <c r="S6" s="325" t="s">
        <v>386</v>
      </c>
      <c r="T6" s="325" t="s">
        <v>386</v>
      </c>
      <c r="U6" s="325" t="s">
        <v>386</v>
      </c>
      <c r="V6" s="325" t="s">
        <v>386</v>
      </c>
      <c r="W6" s="163" t="s">
        <v>2</v>
      </c>
      <c r="X6" s="325" t="s">
        <v>385</v>
      </c>
      <c r="Y6" s="325" t="s">
        <v>385</v>
      </c>
      <c r="Z6" s="325" t="s">
        <v>385</v>
      </c>
      <c r="AA6" s="325" t="s">
        <v>385</v>
      </c>
      <c r="AB6" s="325" t="s">
        <v>385</v>
      </c>
      <c r="AC6" s="325" t="s">
        <v>385</v>
      </c>
      <c r="AD6" s="325" t="s">
        <v>384</v>
      </c>
      <c r="AE6" s="325" t="s">
        <v>384</v>
      </c>
      <c r="AF6" s="325" t="s">
        <v>384</v>
      </c>
      <c r="AG6" s="325" t="s">
        <v>384</v>
      </c>
      <c r="AH6" s="325" t="s">
        <v>384</v>
      </c>
      <c r="AI6" s="325" t="s">
        <v>384</v>
      </c>
      <c r="AJ6" s="325" t="s">
        <v>384</v>
      </c>
      <c r="AK6" s="325" t="s">
        <v>384</v>
      </c>
      <c r="AL6" s="325" t="s">
        <v>384</v>
      </c>
      <c r="AM6" s="325" t="s">
        <v>384</v>
      </c>
      <c r="AN6" s="325" t="s">
        <v>384</v>
      </c>
      <c r="AO6" s="325" t="s">
        <v>384</v>
      </c>
      <c r="AP6" s="325" t="s">
        <v>384</v>
      </c>
      <c r="AQ6" s="325" t="s">
        <v>383</v>
      </c>
      <c r="AR6" s="325" t="s">
        <v>383</v>
      </c>
      <c r="AS6" s="325" t="s">
        <v>383</v>
      </c>
      <c r="AT6" s="163" t="s">
        <v>2</v>
      </c>
      <c r="AU6" s="163" t="s">
        <v>2</v>
      </c>
      <c r="AV6" s="144"/>
    </row>
    <row r="7" spans="1:48" ht="36.950000000000003" customHeight="1" thickBot="1" x14ac:dyDescent="0.3">
      <c r="A7" s="143"/>
      <c r="B7" s="163" t="s">
        <v>2</v>
      </c>
      <c r="C7" s="165" t="s">
        <v>2</v>
      </c>
      <c r="D7" s="324" t="s">
        <v>382</v>
      </c>
      <c r="E7" s="324" t="s">
        <v>154</v>
      </c>
      <c r="F7" s="324" t="s">
        <v>381</v>
      </c>
      <c r="G7" s="324" t="s">
        <v>380</v>
      </c>
      <c r="H7" s="324" t="s">
        <v>379</v>
      </c>
      <c r="I7" s="324" t="s">
        <v>173</v>
      </c>
      <c r="J7" s="324" t="s">
        <v>378</v>
      </c>
      <c r="K7" s="324" t="s">
        <v>377</v>
      </c>
      <c r="L7" s="324" t="s">
        <v>376</v>
      </c>
      <c r="M7" s="163" t="s">
        <v>2</v>
      </c>
      <c r="N7" s="324" t="s">
        <v>375</v>
      </c>
      <c r="O7" s="324" t="s">
        <v>84</v>
      </c>
      <c r="P7" s="324" t="s">
        <v>374</v>
      </c>
      <c r="Q7" s="324" t="s">
        <v>373</v>
      </c>
      <c r="R7" s="324" t="s">
        <v>66</v>
      </c>
      <c r="S7" s="324" t="s">
        <v>372</v>
      </c>
      <c r="T7" s="324" t="s">
        <v>371</v>
      </c>
      <c r="U7" s="324" t="s">
        <v>370</v>
      </c>
      <c r="V7" s="324" t="s">
        <v>369</v>
      </c>
      <c r="W7" s="163" t="s">
        <v>2</v>
      </c>
      <c r="X7" s="324" t="s">
        <v>368</v>
      </c>
      <c r="Y7" s="324" t="s">
        <v>367</v>
      </c>
      <c r="Z7" s="324" t="s">
        <v>98</v>
      </c>
      <c r="AA7" s="324" t="s">
        <v>366</v>
      </c>
      <c r="AB7" s="324" t="s">
        <v>120</v>
      </c>
      <c r="AC7" s="324" t="s">
        <v>365</v>
      </c>
      <c r="AD7" s="324" t="s">
        <v>364</v>
      </c>
      <c r="AE7" s="324" t="s">
        <v>363</v>
      </c>
      <c r="AF7" s="324" t="s">
        <v>362</v>
      </c>
      <c r="AG7" s="324" t="s">
        <v>361</v>
      </c>
      <c r="AH7" s="324" t="s">
        <v>360</v>
      </c>
      <c r="AI7" s="324" t="s">
        <v>359</v>
      </c>
      <c r="AJ7" s="324" t="s">
        <v>358</v>
      </c>
      <c r="AK7" s="324" t="s">
        <v>357</v>
      </c>
      <c r="AL7" s="324" t="s">
        <v>356</v>
      </c>
      <c r="AM7" s="324" t="s">
        <v>355</v>
      </c>
      <c r="AN7" s="324" t="s">
        <v>354</v>
      </c>
      <c r="AO7" s="324" t="s">
        <v>353</v>
      </c>
      <c r="AP7" s="324" t="s">
        <v>352</v>
      </c>
      <c r="AQ7" s="324" t="s">
        <v>351</v>
      </c>
      <c r="AR7" s="324" t="s">
        <v>350</v>
      </c>
      <c r="AS7" s="324" t="s">
        <v>349</v>
      </c>
      <c r="AT7" s="163" t="s">
        <v>2</v>
      </c>
      <c r="AU7" s="163" t="s">
        <v>2</v>
      </c>
      <c r="AV7" s="144"/>
    </row>
    <row r="8" spans="1:48" ht="14.1" customHeight="1" thickBot="1" x14ac:dyDescent="0.3">
      <c r="A8" s="143"/>
      <c r="B8" s="323" t="s">
        <v>6</v>
      </c>
      <c r="C8" s="322" t="s">
        <v>215</v>
      </c>
      <c r="D8" s="321">
        <v>0</v>
      </c>
      <c r="E8" s="321">
        <v>2334.9690000000001</v>
      </c>
      <c r="F8" s="321">
        <v>680.03399999999999</v>
      </c>
      <c r="G8" s="321">
        <v>193.03100000000001</v>
      </c>
      <c r="H8" s="321">
        <v>0</v>
      </c>
      <c r="I8" s="321">
        <v>1212.9670000000001</v>
      </c>
      <c r="J8" s="321">
        <v>410.00900000000001</v>
      </c>
      <c r="K8" s="321">
        <v>813.98900000000003</v>
      </c>
      <c r="L8" s="321">
        <v>54.95</v>
      </c>
      <c r="M8" s="320">
        <f>SUMIF(D$9:L$9,"&gt;0",D8:L8)</f>
        <v>5699.9489999999996</v>
      </c>
      <c r="N8" s="321">
        <v>5138.0159999999996</v>
      </c>
      <c r="O8" s="321">
        <v>1200.0360000000001</v>
      </c>
      <c r="P8" s="321">
        <v>1020.029</v>
      </c>
      <c r="Q8" s="321">
        <v>0</v>
      </c>
      <c r="R8" s="321">
        <v>6779.951</v>
      </c>
      <c r="S8" s="321">
        <v>0</v>
      </c>
      <c r="T8" s="321">
        <v>60.005000000000003</v>
      </c>
      <c r="U8" s="321">
        <v>160.01400000000001</v>
      </c>
      <c r="V8" s="321">
        <v>0</v>
      </c>
      <c r="W8" s="320">
        <f>SUMIF(N$9:V$9,"&gt;0",N8:V8)</f>
        <v>14358.050999999998</v>
      </c>
      <c r="X8" s="321">
        <v>395.00599999999997</v>
      </c>
      <c r="Y8" s="321">
        <v>1015.019</v>
      </c>
      <c r="Z8" s="321">
        <v>0</v>
      </c>
      <c r="AA8" s="321">
        <v>5</v>
      </c>
      <c r="AB8" s="321">
        <v>1984.7929999999999</v>
      </c>
      <c r="AC8" s="321">
        <v>0</v>
      </c>
      <c r="AD8" s="321">
        <v>0</v>
      </c>
      <c r="AE8" s="321">
        <v>0</v>
      </c>
      <c r="AF8" s="321">
        <v>0</v>
      </c>
      <c r="AG8" s="321">
        <v>246.005</v>
      </c>
      <c r="AH8" s="321">
        <v>0</v>
      </c>
      <c r="AI8" s="321">
        <v>1266.989</v>
      </c>
      <c r="AJ8" s="321">
        <v>0</v>
      </c>
      <c r="AK8" s="321">
        <v>0</v>
      </c>
      <c r="AL8" s="321">
        <v>24.033000000000001</v>
      </c>
      <c r="AM8" s="321">
        <v>264.00400000000002</v>
      </c>
      <c r="AN8" s="321">
        <v>796.04</v>
      </c>
      <c r="AO8" s="321">
        <v>73.015000000000001</v>
      </c>
      <c r="AP8" s="321">
        <v>0</v>
      </c>
      <c r="AQ8" s="321">
        <v>94.983000000000004</v>
      </c>
      <c r="AR8" s="321">
        <v>2435.0929999999998</v>
      </c>
      <c r="AS8" s="321">
        <v>1470.0419999999999</v>
      </c>
      <c r="AT8" s="320">
        <f>SUMIF(X$9:AS$9,"&gt;0",X8:AS8)</f>
        <v>10070.021999999999</v>
      </c>
      <c r="AU8" s="320">
        <f>SUMIF(D$9:AS$9,"&gt;0",D8:AS8)</f>
        <v>30128.022000000008</v>
      </c>
      <c r="AV8" s="144"/>
    </row>
    <row r="9" spans="1:48" ht="14.1" customHeight="1" x14ac:dyDescent="0.25">
      <c r="A9" s="143"/>
      <c r="B9" s="319">
        <v>0</v>
      </c>
      <c r="C9" s="144"/>
      <c r="D9" s="169">
        <v>1</v>
      </c>
      <c r="E9" s="169">
        <v>1</v>
      </c>
      <c r="F9" s="169">
        <v>1</v>
      </c>
      <c r="G9" s="169">
        <v>1</v>
      </c>
      <c r="H9" s="169">
        <v>1</v>
      </c>
      <c r="I9" s="169">
        <v>1</v>
      </c>
      <c r="J9" s="169">
        <v>1</v>
      </c>
      <c r="K9" s="169">
        <v>1</v>
      </c>
      <c r="L9" s="169">
        <v>1</v>
      </c>
      <c r="M9" s="169">
        <f>-1</f>
        <v>-1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>-1</f>
        <v>-1</v>
      </c>
      <c r="X9" s="169">
        <v>1</v>
      </c>
      <c r="Y9" s="169">
        <v>1</v>
      </c>
      <c r="Z9" s="169">
        <v>1</v>
      </c>
      <c r="AA9" s="169">
        <v>1</v>
      </c>
      <c r="AB9" s="169">
        <v>1</v>
      </c>
      <c r="AC9" s="169">
        <v>1</v>
      </c>
      <c r="AD9" s="169">
        <v>1</v>
      </c>
      <c r="AE9" s="169">
        <v>1</v>
      </c>
      <c r="AF9" s="169">
        <v>1</v>
      </c>
      <c r="AG9" s="169">
        <v>1</v>
      </c>
      <c r="AH9" s="169">
        <v>1</v>
      </c>
      <c r="AI9" s="169">
        <v>1</v>
      </c>
      <c r="AJ9" s="169">
        <v>1</v>
      </c>
      <c r="AK9" s="169">
        <v>1</v>
      </c>
      <c r="AL9" s="169">
        <v>1</v>
      </c>
      <c r="AM9" s="169">
        <v>1</v>
      </c>
      <c r="AN9" s="169">
        <v>1</v>
      </c>
      <c r="AO9" s="169">
        <v>1</v>
      </c>
      <c r="AP9" s="169">
        <v>1</v>
      </c>
      <c r="AQ9" s="169">
        <v>1</v>
      </c>
      <c r="AR9" s="169">
        <v>1</v>
      </c>
      <c r="AS9" s="169">
        <v>1</v>
      </c>
      <c r="AT9" s="169">
        <f>-1</f>
        <v>-1</v>
      </c>
      <c r="AU9" s="318">
        <v>31130.018</v>
      </c>
      <c r="AV9" s="314">
        <v>0</v>
      </c>
    </row>
    <row r="10" spans="1:48" ht="15" customHeight="1" x14ac:dyDescent="0.25">
      <c r="A10" s="143"/>
      <c r="B10" s="317">
        <v>1</v>
      </c>
      <c r="C10" s="316" t="s">
        <v>215</v>
      </c>
      <c r="D10" s="315">
        <v>0</v>
      </c>
      <c r="E10" s="315">
        <v>2328.2689999999998</v>
      </c>
      <c r="F10" s="315">
        <v>679.88400000000001</v>
      </c>
      <c r="G10" s="315">
        <v>193.02099999999999</v>
      </c>
      <c r="H10" s="315">
        <v>0</v>
      </c>
      <c r="I10" s="315">
        <v>1211.7670000000001</v>
      </c>
      <c r="J10" s="315">
        <v>409.90899999999999</v>
      </c>
      <c r="K10" s="315">
        <v>813.48900000000003</v>
      </c>
      <c r="L10" s="315">
        <v>54.95</v>
      </c>
      <c r="M10" s="315">
        <f>SUMIF(D$9:L$9,"&gt;0",D10:L10)</f>
        <v>5691.2889999999998</v>
      </c>
      <c r="N10" s="315">
        <v>5124.9030000000002</v>
      </c>
      <c r="O10" s="315">
        <v>1191.1020000000001</v>
      </c>
      <c r="P10" s="315">
        <v>1018.879</v>
      </c>
      <c r="Q10" s="315">
        <v>0</v>
      </c>
      <c r="R10" s="315">
        <v>6766.4009999999998</v>
      </c>
      <c r="S10" s="315">
        <v>0</v>
      </c>
      <c r="T10" s="315">
        <v>59.994999999999997</v>
      </c>
      <c r="U10" s="315">
        <v>159.97399999999999</v>
      </c>
      <c r="V10" s="315">
        <v>0</v>
      </c>
      <c r="W10" s="315">
        <f>SUMIF(N$9:V$9,"&gt;0",N10:V10)</f>
        <v>14321.254000000001</v>
      </c>
      <c r="X10" s="315">
        <v>394.82600000000002</v>
      </c>
      <c r="Y10" s="315">
        <v>1010.069</v>
      </c>
      <c r="Z10" s="315">
        <v>0</v>
      </c>
      <c r="AA10" s="315">
        <v>5</v>
      </c>
      <c r="AB10" s="315">
        <v>1988.452</v>
      </c>
      <c r="AC10" s="315">
        <v>0</v>
      </c>
      <c r="AD10" s="315">
        <v>0</v>
      </c>
      <c r="AE10" s="315">
        <v>0</v>
      </c>
      <c r="AF10" s="315">
        <v>0</v>
      </c>
      <c r="AG10" s="315">
        <v>245.98500000000001</v>
      </c>
      <c r="AH10" s="315">
        <v>0</v>
      </c>
      <c r="AI10" s="315">
        <v>1264.989</v>
      </c>
      <c r="AJ10" s="315">
        <v>0</v>
      </c>
      <c r="AK10" s="315">
        <v>0</v>
      </c>
      <c r="AL10" s="315">
        <v>24.013000000000002</v>
      </c>
      <c r="AM10" s="315">
        <v>263.904</v>
      </c>
      <c r="AN10" s="315">
        <v>795.44</v>
      </c>
      <c r="AO10" s="315">
        <v>72.915000000000006</v>
      </c>
      <c r="AP10" s="315">
        <v>0</v>
      </c>
      <c r="AQ10" s="315">
        <v>94.882999999999996</v>
      </c>
      <c r="AR10" s="315">
        <v>2431.8429999999998</v>
      </c>
      <c r="AS10" s="315">
        <v>1466.5</v>
      </c>
      <c r="AT10" s="315">
        <f>SUMIF(X$9:AS$9,"&gt;0",X10:AS10)</f>
        <v>10058.819</v>
      </c>
      <c r="AU10" s="315">
        <f>SUMIF(D$9:AS$9,"&gt;0",D10:AS10)</f>
        <v>30071.362000000001</v>
      </c>
      <c r="AV10" s="314">
        <v>1</v>
      </c>
    </row>
    <row r="11" spans="1:48" ht="15" customHeight="1" x14ac:dyDescent="0.25">
      <c r="A11" s="143"/>
      <c r="B11" s="317">
        <v>2</v>
      </c>
      <c r="C11" s="316" t="s">
        <v>215</v>
      </c>
      <c r="D11" s="315">
        <v>0</v>
      </c>
      <c r="E11" s="315">
        <v>2200.8209999999999</v>
      </c>
      <c r="F11" s="315">
        <v>679.73400000000004</v>
      </c>
      <c r="G11" s="315">
        <v>193.011</v>
      </c>
      <c r="H11" s="315">
        <v>0</v>
      </c>
      <c r="I11" s="315">
        <v>1210.567</v>
      </c>
      <c r="J11" s="315">
        <v>409.80900000000003</v>
      </c>
      <c r="K11" s="315">
        <v>808.41099999999994</v>
      </c>
      <c r="L11" s="315">
        <v>54.95</v>
      </c>
      <c r="M11" s="315">
        <f>SUMIF(D$9:L$9,"&gt;0",D11:L11)</f>
        <v>5557.3029999999999</v>
      </c>
      <c r="N11" s="315">
        <v>5112.5590000000002</v>
      </c>
      <c r="O11" s="315">
        <v>1186.2560000000001</v>
      </c>
      <c r="P11" s="315">
        <v>1065.4290000000001</v>
      </c>
      <c r="Q11" s="315">
        <v>0</v>
      </c>
      <c r="R11" s="315">
        <v>6752.8509999999997</v>
      </c>
      <c r="S11" s="315">
        <v>0</v>
      </c>
      <c r="T11" s="315">
        <v>59.984999999999999</v>
      </c>
      <c r="U11" s="315">
        <v>159.934</v>
      </c>
      <c r="V11" s="315">
        <v>0</v>
      </c>
      <c r="W11" s="315">
        <f>SUMIF(N$9:V$9,"&gt;0",N11:V11)</f>
        <v>14337.014000000001</v>
      </c>
      <c r="X11" s="315">
        <v>394.64600000000002</v>
      </c>
      <c r="Y11" s="315">
        <v>1004.7190000000001</v>
      </c>
      <c r="Z11" s="315">
        <v>0</v>
      </c>
      <c r="AA11" s="315">
        <v>5</v>
      </c>
      <c r="AB11" s="315">
        <v>1991.258</v>
      </c>
      <c r="AC11" s="315">
        <v>0</v>
      </c>
      <c r="AD11" s="315">
        <v>0</v>
      </c>
      <c r="AE11" s="315">
        <v>0</v>
      </c>
      <c r="AF11" s="315">
        <v>0</v>
      </c>
      <c r="AG11" s="315">
        <v>245.965</v>
      </c>
      <c r="AH11" s="315">
        <v>0</v>
      </c>
      <c r="AI11" s="315">
        <v>1259.183</v>
      </c>
      <c r="AJ11" s="315">
        <v>0</v>
      </c>
      <c r="AK11" s="315">
        <v>0</v>
      </c>
      <c r="AL11" s="315">
        <v>23.992999999999999</v>
      </c>
      <c r="AM11" s="315">
        <v>263.80399999999997</v>
      </c>
      <c r="AN11" s="315">
        <v>793.14</v>
      </c>
      <c r="AO11" s="315">
        <v>72.814999999999998</v>
      </c>
      <c r="AP11" s="315">
        <v>0</v>
      </c>
      <c r="AQ11" s="315">
        <v>94.783000000000001</v>
      </c>
      <c r="AR11" s="315">
        <v>2375.3240000000001</v>
      </c>
      <c r="AS11" s="315">
        <v>1458.396</v>
      </c>
      <c r="AT11" s="315">
        <f>SUMIF(X$9:AS$9,"&gt;0",X11:AS11)</f>
        <v>9983.0260000000017</v>
      </c>
      <c r="AU11" s="315">
        <f>SUMIF(D$9:AS$9,"&gt;0",D11:AS11)</f>
        <v>29877.343000000004</v>
      </c>
      <c r="AV11" s="314">
        <v>2</v>
      </c>
    </row>
    <row r="12" spans="1:48" ht="15" customHeight="1" x14ac:dyDescent="0.25">
      <c r="A12" s="143"/>
      <c r="B12" s="317">
        <v>3</v>
      </c>
      <c r="C12" s="316" t="s">
        <v>215</v>
      </c>
      <c r="D12" s="315">
        <v>0</v>
      </c>
      <c r="E12" s="315">
        <v>2314.569</v>
      </c>
      <c r="F12" s="315">
        <v>679.58399999999995</v>
      </c>
      <c r="G12" s="315">
        <v>193.001</v>
      </c>
      <c r="H12" s="315">
        <v>0</v>
      </c>
      <c r="I12" s="315">
        <v>1215.567</v>
      </c>
      <c r="J12" s="315">
        <v>409.709</v>
      </c>
      <c r="K12" s="315">
        <v>808.62699999999995</v>
      </c>
      <c r="L12" s="315">
        <v>54.95</v>
      </c>
      <c r="M12" s="315">
        <f>SUMIF(D$9:L$9,"&gt;0",D12:L12)</f>
        <v>5676.0069999999987</v>
      </c>
      <c r="N12" s="315">
        <v>5125.5659999999998</v>
      </c>
      <c r="O12" s="315">
        <v>1177.6780000000001</v>
      </c>
      <c r="P12" s="315">
        <v>1064.279</v>
      </c>
      <c r="Q12" s="315">
        <v>0</v>
      </c>
      <c r="R12" s="315">
        <v>6739.3010000000004</v>
      </c>
      <c r="S12" s="315">
        <v>0</v>
      </c>
      <c r="T12" s="315">
        <v>59.975000000000001</v>
      </c>
      <c r="U12" s="315">
        <v>159.89400000000001</v>
      </c>
      <c r="V12" s="315">
        <v>0</v>
      </c>
      <c r="W12" s="315">
        <f>SUMIF(N$9:V$9,"&gt;0",N12:V12)</f>
        <v>14326.693000000001</v>
      </c>
      <c r="X12" s="315">
        <v>386.29700000000003</v>
      </c>
      <c r="Y12" s="315">
        <v>990.76900000000001</v>
      </c>
      <c r="Z12" s="315">
        <v>0</v>
      </c>
      <c r="AA12" s="315">
        <v>5</v>
      </c>
      <c r="AB12" s="315">
        <v>1978.991</v>
      </c>
      <c r="AC12" s="315">
        <v>0</v>
      </c>
      <c r="AD12" s="315">
        <v>0</v>
      </c>
      <c r="AE12" s="315">
        <v>0</v>
      </c>
      <c r="AF12" s="315">
        <v>0</v>
      </c>
      <c r="AG12" s="315">
        <v>248.845</v>
      </c>
      <c r="AH12" s="315">
        <v>0</v>
      </c>
      <c r="AI12" s="315">
        <v>1242.489</v>
      </c>
      <c r="AJ12" s="315">
        <v>0</v>
      </c>
      <c r="AK12" s="315">
        <v>0</v>
      </c>
      <c r="AL12" s="315">
        <v>23.972999999999999</v>
      </c>
      <c r="AM12" s="315">
        <v>263.70400000000001</v>
      </c>
      <c r="AN12" s="315">
        <v>801.44</v>
      </c>
      <c r="AO12" s="315">
        <v>72.715000000000003</v>
      </c>
      <c r="AP12" s="315">
        <v>0</v>
      </c>
      <c r="AQ12" s="315">
        <v>94.683000000000007</v>
      </c>
      <c r="AR12" s="315">
        <v>2438.8000000000002</v>
      </c>
      <c r="AS12" s="315">
        <v>1447.979</v>
      </c>
      <c r="AT12" s="315">
        <f>SUMIF(X$9:AS$9,"&gt;0",X12:AS12)</f>
        <v>9995.6849999999995</v>
      </c>
      <c r="AU12" s="315">
        <f>SUMIF(D$9:AS$9,"&gt;0",D12:AS12)</f>
        <v>29998.385000000002</v>
      </c>
      <c r="AV12" s="314">
        <v>3</v>
      </c>
    </row>
    <row r="13" spans="1:48" ht="15" customHeight="1" x14ac:dyDescent="0.25">
      <c r="A13" s="143"/>
      <c r="B13" s="317">
        <v>4</v>
      </c>
      <c r="C13" s="316" t="s">
        <v>215</v>
      </c>
      <c r="D13" s="315">
        <v>0</v>
      </c>
      <c r="E13" s="315">
        <v>2307.8690000000001</v>
      </c>
      <c r="F13" s="315">
        <v>679.43399999999997</v>
      </c>
      <c r="G13" s="315">
        <v>192.99100000000001</v>
      </c>
      <c r="H13" s="315">
        <v>0</v>
      </c>
      <c r="I13" s="315">
        <v>1215.367</v>
      </c>
      <c r="J13" s="315">
        <v>409.15100000000001</v>
      </c>
      <c r="K13" s="315">
        <v>803.29700000000003</v>
      </c>
      <c r="L13" s="315">
        <v>54.95</v>
      </c>
      <c r="M13" s="315">
        <f>SUMIF(D$9:L$9,"&gt;0",D13:L13)</f>
        <v>5663.0590000000002</v>
      </c>
      <c r="N13" s="315">
        <v>5110.0929999999998</v>
      </c>
      <c r="O13" s="315">
        <v>1172.4760000000001</v>
      </c>
      <c r="P13" s="315">
        <v>1063.1289999999999</v>
      </c>
      <c r="Q13" s="315">
        <v>0</v>
      </c>
      <c r="R13" s="315">
        <v>5776.1239999999998</v>
      </c>
      <c r="S13" s="315">
        <v>0</v>
      </c>
      <c r="T13" s="315">
        <v>59.965000000000003</v>
      </c>
      <c r="U13" s="315">
        <v>159.85400000000001</v>
      </c>
      <c r="V13" s="315">
        <v>0</v>
      </c>
      <c r="W13" s="315">
        <f>SUMIF(N$9:V$9,"&gt;0",N13:V13)</f>
        <v>13341.641</v>
      </c>
      <c r="X13" s="315">
        <v>394.286</v>
      </c>
      <c r="Y13" s="315">
        <v>990.31899999999996</v>
      </c>
      <c r="Z13" s="315">
        <v>0</v>
      </c>
      <c r="AA13" s="315">
        <v>5</v>
      </c>
      <c r="AB13" s="315">
        <v>1962.77</v>
      </c>
      <c r="AC13" s="315">
        <v>0</v>
      </c>
      <c r="AD13" s="315">
        <v>0</v>
      </c>
      <c r="AE13" s="315">
        <v>0</v>
      </c>
      <c r="AF13" s="315">
        <v>0</v>
      </c>
      <c r="AG13" s="315">
        <v>241.72499999999999</v>
      </c>
      <c r="AH13" s="315">
        <v>0</v>
      </c>
      <c r="AI13" s="315">
        <v>1240.489</v>
      </c>
      <c r="AJ13" s="315">
        <v>0</v>
      </c>
      <c r="AK13" s="315">
        <v>0</v>
      </c>
      <c r="AL13" s="315">
        <v>23.952999999999999</v>
      </c>
      <c r="AM13" s="315">
        <v>260.30399999999997</v>
      </c>
      <c r="AN13" s="315">
        <v>781.62900000000002</v>
      </c>
      <c r="AO13" s="315">
        <v>72.614999999999995</v>
      </c>
      <c r="AP13" s="315">
        <v>0</v>
      </c>
      <c r="AQ13" s="315">
        <v>94.582999999999998</v>
      </c>
      <c r="AR13" s="315">
        <v>2428.7829999999999</v>
      </c>
      <c r="AS13" s="315">
        <v>1431.9490000000001</v>
      </c>
      <c r="AT13" s="315">
        <f>SUMIF(X$9:AS$9,"&gt;0",X13:AS13)</f>
        <v>9928.4050000000007</v>
      </c>
      <c r="AU13" s="315">
        <f>SUMIF(D$9:AS$9,"&gt;0",D13:AS13)</f>
        <v>28933.105000000003</v>
      </c>
      <c r="AV13" s="314">
        <v>4</v>
      </c>
    </row>
    <row r="14" spans="1:48" ht="15" customHeight="1" x14ac:dyDescent="0.25">
      <c r="A14" s="143"/>
      <c r="B14" s="317">
        <v>5</v>
      </c>
      <c r="C14" s="316" t="s">
        <v>215</v>
      </c>
      <c r="D14" s="315">
        <v>0</v>
      </c>
      <c r="E14" s="315">
        <v>2301.1689999999999</v>
      </c>
      <c r="F14" s="315">
        <v>679.28399999999999</v>
      </c>
      <c r="G14" s="315">
        <v>192.98099999999999</v>
      </c>
      <c r="H14" s="315">
        <v>0</v>
      </c>
      <c r="I14" s="315">
        <v>1251.567</v>
      </c>
      <c r="J14" s="315">
        <v>412.30900000000003</v>
      </c>
      <c r="K14" s="315">
        <v>818.08900000000006</v>
      </c>
      <c r="L14" s="315">
        <v>54.95</v>
      </c>
      <c r="M14" s="315">
        <f>SUMIF(D$9:L$9,"&gt;0",D14:L14)</f>
        <v>5710.3490000000002</v>
      </c>
      <c r="N14" s="315">
        <v>5103.0050000000001</v>
      </c>
      <c r="O14" s="315">
        <v>1165.586</v>
      </c>
      <c r="P14" s="315">
        <v>1061.979</v>
      </c>
      <c r="Q14" s="315">
        <v>0</v>
      </c>
      <c r="R14" s="315">
        <v>6712.201</v>
      </c>
      <c r="S14" s="315">
        <v>0</v>
      </c>
      <c r="T14" s="315">
        <v>59.954999999999998</v>
      </c>
      <c r="U14" s="315">
        <v>159.81399999999999</v>
      </c>
      <c r="V14" s="315">
        <v>0</v>
      </c>
      <c r="W14" s="315">
        <f>SUMIF(N$9:V$9,"&gt;0",N14:V14)</f>
        <v>14262.54</v>
      </c>
      <c r="X14" s="315">
        <v>394.10599999999999</v>
      </c>
      <c r="Y14" s="315">
        <v>994.76900000000001</v>
      </c>
      <c r="Z14" s="315">
        <v>0</v>
      </c>
      <c r="AA14" s="315">
        <v>5</v>
      </c>
      <c r="AB14" s="315">
        <v>1952.8050000000001</v>
      </c>
      <c r="AC14" s="315">
        <v>0</v>
      </c>
      <c r="AD14" s="315">
        <v>0</v>
      </c>
      <c r="AE14" s="315">
        <v>0</v>
      </c>
      <c r="AF14" s="315">
        <v>0</v>
      </c>
      <c r="AG14" s="315">
        <v>238.80500000000001</v>
      </c>
      <c r="AH14" s="315">
        <v>0</v>
      </c>
      <c r="AI14" s="315">
        <v>1235.24</v>
      </c>
      <c r="AJ14" s="315">
        <v>0</v>
      </c>
      <c r="AK14" s="315">
        <v>0</v>
      </c>
      <c r="AL14" s="315">
        <v>23.933</v>
      </c>
      <c r="AM14" s="315">
        <v>260.20400000000001</v>
      </c>
      <c r="AN14" s="315">
        <v>794.37300000000005</v>
      </c>
      <c r="AO14" s="315">
        <v>72.515000000000001</v>
      </c>
      <c r="AP14" s="315">
        <v>0</v>
      </c>
      <c r="AQ14" s="315">
        <v>87.834999999999994</v>
      </c>
      <c r="AR14" s="315">
        <v>2418.3420000000001</v>
      </c>
      <c r="AS14" s="315">
        <v>1430.7190000000001</v>
      </c>
      <c r="AT14" s="315">
        <f>SUMIF(X$9:AS$9,"&gt;0",X14:AS14)</f>
        <v>9908.6460000000006</v>
      </c>
      <c r="AU14" s="315">
        <f>SUMIF(D$9:AS$9,"&gt;0",D14:AS14)</f>
        <v>29881.535000000003</v>
      </c>
      <c r="AV14" s="314">
        <v>5</v>
      </c>
    </row>
    <row r="15" spans="1:48" ht="15" customHeight="1" x14ac:dyDescent="0.25">
      <c r="A15" s="143"/>
      <c r="B15" s="317">
        <v>6</v>
      </c>
      <c r="C15" s="316" t="s">
        <v>215</v>
      </c>
      <c r="D15" s="315">
        <v>0</v>
      </c>
      <c r="E15" s="315">
        <v>2294.4690000000001</v>
      </c>
      <c r="F15" s="315">
        <v>679.13400000000001</v>
      </c>
      <c r="G15" s="315">
        <v>192.971</v>
      </c>
      <c r="H15" s="315">
        <v>0</v>
      </c>
      <c r="I15" s="315">
        <v>1248.7460000000001</v>
      </c>
      <c r="J15" s="315">
        <v>412.209</v>
      </c>
      <c r="K15" s="315">
        <v>817.58900000000006</v>
      </c>
      <c r="L15" s="315">
        <v>54.95</v>
      </c>
      <c r="M15" s="315">
        <f>SUMIF(D$9:L$9,"&gt;0",D15:L15)</f>
        <v>5700.0679999999993</v>
      </c>
      <c r="N15" s="315">
        <v>5090.2160000000003</v>
      </c>
      <c r="O15" s="315">
        <v>1158.6959999999999</v>
      </c>
      <c r="P15" s="315">
        <v>1060.829</v>
      </c>
      <c r="Q15" s="315">
        <v>0</v>
      </c>
      <c r="R15" s="315">
        <v>6698.6509999999998</v>
      </c>
      <c r="S15" s="315">
        <v>0</v>
      </c>
      <c r="T15" s="315">
        <v>59.945</v>
      </c>
      <c r="U15" s="315">
        <v>159.774</v>
      </c>
      <c r="V15" s="315">
        <v>0</v>
      </c>
      <c r="W15" s="315">
        <f>SUMIF(N$9:V$9,"&gt;0",N15:V15)</f>
        <v>14228.110999999999</v>
      </c>
      <c r="X15" s="315">
        <v>393.92599999999999</v>
      </c>
      <c r="Y15" s="315">
        <v>994.31899999999996</v>
      </c>
      <c r="Z15" s="315">
        <v>0</v>
      </c>
      <c r="AA15" s="315">
        <v>5</v>
      </c>
      <c r="AB15" s="315">
        <v>1944.8610000000001</v>
      </c>
      <c r="AC15" s="315">
        <v>0</v>
      </c>
      <c r="AD15" s="315">
        <v>0</v>
      </c>
      <c r="AE15" s="315">
        <v>0</v>
      </c>
      <c r="AF15" s="315">
        <v>0</v>
      </c>
      <c r="AG15" s="315">
        <v>238.785</v>
      </c>
      <c r="AH15" s="315">
        <v>0</v>
      </c>
      <c r="AI15" s="315">
        <v>1236.489</v>
      </c>
      <c r="AJ15" s="315">
        <v>0</v>
      </c>
      <c r="AK15" s="315">
        <v>0</v>
      </c>
      <c r="AL15" s="315">
        <v>23.913</v>
      </c>
      <c r="AM15" s="315">
        <v>260.10399999999998</v>
      </c>
      <c r="AN15" s="315">
        <v>794.64</v>
      </c>
      <c r="AO15" s="315">
        <v>72.415000000000006</v>
      </c>
      <c r="AP15" s="315">
        <v>0</v>
      </c>
      <c r="AQ15" s="315">
        <v>94.382999999999996</v>
      </c>
      <c r="AR15" s="315">
        <v>2417.4929999999999</v>
      </c>
      <c r="AS15" s="315">
        <v>1429.489</v>
      </c>
      <c r="AT15" s="315">
        <f>SUMIF(X$9:AS$9,"&gt;0",X15:AS15)</f>
        <v>9905.8169999999991</v>
      </c>
      <c r="AU15" s="315">
        <f>SUMIF(D$9:AS$9,"&gt;0",D15:AS15)</f>
        <v>29833.996000000003</v>
      </c>
      <c r="AV15" s="314">
        <v>6</v>
      </c>
    </row>
    <row r="16" spans="1:48" ht="15" customHeight="1" x14ac:dyDescent="0.25">
      <c r="A16" s="143"/>
      <c r="B16" s="317">
        <v>7</v>
      </c>
      <c r="C16" s="316" t="s">
        <v>215</v>
      </c>
      <c r="D16" s="315">
        <v>0</v>
      </c>
      <c r="E16" s="315">
        <v>2287.7689999999998</v>
      </c>
      <c r="F16" s="315">
        <v>678.98400000000004</v>
      </c>
      <c r="G16" s="315">
        <v>192.96100000000001</v>
      </c>
      <c r="H16" s="315">
        <v>0</v>
      </c>
      <c r="I16" s="315">
        <v>1249.1669999999999</v>
      </c>
      <c r="J16" s="315">
        <v>412.10899999999998</v>
      </c>
      <c r="K16" s="315">
        <v>817.08900000000006</v>
      </c>
      <c r="L16" s="315">
        <v>54.95</v>
      </c>
      <c r="M16" s="315">
        <f>SUMIF(D$9:L$9,"&gt;0",D16:L16)</f>
        <v>5693.0289999999995</v>
      </c>
      <c r="N16" s="315">
        <v>5089.5249999999996</v>
      </c>
      <c r="O16" s="315">
        <v>1151.2929999999999</v>
      </c>
      <c r="P16" s="315">
        <v>1039.2449999999999</v>
      </c>
      <c r="Q16" s="315">
        <v>0</v>
      </c>
      <c r="R16" s="315">
        <v>7030.3010000000004</v>
      </c>
      <c r="S16" s="315">
        <v>0</v>
      </c>
      <c r="T16" s="315">
        <v>59.935000000000002</v>
      </c>
      <c r="U16" s="315">
        <v>159.73400000000001</v>
      </c>
      <c r="V16" s="315">
        <v>0</v>
      </c>
      <c r="W16" s="315">
        <f>SUMIF(N$9:V$9,"&gt;0",N16:V16)</f>
        <v>14530.032999999999</v>
      </c>
      <c r="X16" s="315">
        <v>393.74599999999998</v>
      </c>
      <c r="Y16" s="315">
        <v>993.86900000000003</v>
      </c>
      <c r="Z16" s="315">
        <v>0</v>
      </c>
      <c r="AA16" s="315">
        <v>5</v>
      </c>
      <c r="AB16" s="315">
        <v>1951.3050000000001</v>
      </c>
      <c r="AC16" s="315">
        <v>0</v>
      </c>
      <c r="AD16" s="315">
        <v>0</v>
      </c>
      <c r="AE16" s="315">
        <v>0</v>
      </c>
      <c r="AF16" s="315">
        <v>0</v>
      </c>
      <c r="AG16" s="315">
        <v>235.86500000000001</v>
      </c>
      <c r="AH16" s="315">
        <v>0</v>
      </c>
      <c r="AI16" s="315">
        <v>1234.489</v>
      </c>
      <c r="AJ16" s="315">
        <v>0</v>
      </c>
      <c r="AK16" s="315">
        <v>0</v>
      </c>
      <c r="AL16" s="315">
        <v>23.893000000000001</v>
      </c>
      <c r="AM16" s="315">
        <v>260.00400000000002</v>
      </c>
      <c r="AN16" s="315">
        <v>796.64</v>
      </c>
      <c r="AO16" s="315">
        <v>72.314999999999998</v>
      </c>
      <c r="AP16" s="315">
        <v>0</v>
      </c>
      <c r="AQ16" s="315">
        <v>94.283000000000001</v>
      </c>
      <c r="AR16" s="315">
        <v>2414.2429999999999</v>
      </c>
      <c r="AS16" s="315">
        <v>1428.259</v>
      </c>
      <c r="AT16" s="315">
        <f>SUMIF(X$9:AS$9,"&gt;0",X16:AS16)</f>
        <v>9903.9110000000001</v>
      </c>
      <c r="AU16" s="315">
        <f>SUMIF(D$9:AS$9,"&gt;0",D16:AS16)</f>
        <v>30126.972999999998</v>
      </c>
      <c r="AV16" s="314">
        <v>7</v>
      </c>
    </row>
    <row r="17" spans="1:48" ht="15" customHeight="1" x14ac:dyDescent="0.25">
      <c r="A17" s="143"/>
      <c r="B17" s="317">
        <v>8</v>
      </c>
      <c r="C17" s="316" t="s">
        <v>215</v>
      </c>
      <c r="D17" s="315">
        <v>0</v>
      </c>
      <c r="E17" s="315">
        <v>2281.069</v>
      </c>
      <c r="F17" s="315">
        <v>678.83399999999995</v>
      </c>
      <c r="G17" s="315">
        <v>192.95099999999999</v>
      </c>
      <c r="H17" s="315">
        <v>0</v>
      </c>
      <c r="I17" s="315">
        <v>1247.9670000000001</v>
      </c>
      <c r="J17" s="315">
        <v>407.65199999999999</v>
      </c>
      <c r="K17" s="315">
        <v>761.673</v>
      </c>
      <c r="L17" s="315">
        <v>54.95</v>
      </c>
      <c r="M17" s="315">
        <f>SUMIF(D$9:L$9,"&gt;0",D17:L17)</f>
        <v>5625.0959999999995</v>
      </c>
      <c r="N17" s="315">
        <v>5081.0159999999996</v>
      </c>
      <c r="O17" s="315">
        <v>1144.9159999999999</v>
      </c>
      <c r="P17" s="315">
        <v>1038.318</v>
      </c>
      <c r="Q17" s="315">
        <v>0</v>
      </c>
      <c r="R17" s="315">
        <v>7030.3789999999999</v>
      </c>
      <c r="S17" s="315">
        <v>0</v>
      </c>
      <c r="T17" s="315">
        <v>59.924999999999997</v>
      </c>
      <c r="U17" s="315">
        <v>159.69399999999999</v>
      </c>
      <c r="V17" s="315">
        <v>0</v>
      </c>
      <c r="W17" s="315">
        <f>SUMIF(N$9:V$9,"&gt;0",N17:V17)</f>
        <v>14514.248</v>
      </c>
      <c r="X17" s="315">
        <v>393.56599999999997</v>
      </c>
      <c r="Y17" s="315">
        <v>993.41899999999998</v>
      </c>
      <c r="Z17" s="315">
        <v>0</v>
      </c>
      <c r="AA17" s="315">
        <v>5</v>
      </c>
      <c r="AB17" s="315">
        <v>1951.105</v>
      </c>
      <c r="AC17" s="315">
        <v>0</v>
      </c>
      <c r="AD17" s="315">
        <v>0</v>
      </c>
      <c r="AE17" s="315">
        <v>0</v>
      </c>
      <c r="AF17" s="315">
        <v>0</v>
      </c>
      <c r="AG17" s="315">
        <v>238.745</v>
      </c>
      <c r="AH17" s="315">
        <v>0</v>
      </c>
      <c r="AI17" s="315">
        <v>1232.489</v>
      </c>
      <c r="AJ17" s="315">
        <v>0</v>
      </c>
      <c r="AK17" s="315">
        <v>0</v>
      </c>
      <c r="AL17" s="315">
        <v>23.873000000000001</v>
      </c>
      <c r="AM17" s="315">
        <v>259.904</v>
      </c>
      <c r="AN17" s="315">
        <v>791.87599999999998</v>
      </c>
      <c r="AO17" s="315">
        <v>72.215000000000003</v>
      </c>
      <c r="AP17" s="315">
        <v>0</v>
      </c>
      <c r="AQ17" s="315">
        <v>94.183000000000007</v>
      </c>
      <c r="AR17" s="315">
        <v>2429.8519999999999</v>
      </c>
      <c r="AS17" s="315">
        <v>1467.029</v>
      </c>
      <c r="AT17" s="315">
        <f>SUMIF(X$9:AS$9,"&gt;0",X17:AS17)</f>
        <v>9953.2560000000012</v>
      </c>
      <c r="AU17" s="315">
        <f>SUMIF(D$9:AS$9,"&gt;0",D17:AS17)</f>
        <v>30092.599999999995</v>
      </c>
      <c r="AV17" s="314">
        <v>8</v>
      </c>
    </row>
    <row r="18" spans="1:48" ht="15" customHeight="1" x14ac:dyDescent="0.25">
      <c r="A18" s="143"/>
      <c r="B18" s="317">
        <v>9</v>
      </c>
      <c r="C18" s="316" t="s">
        <v>215</v>
      </c>
      <c r="D18" s="315">
        <v>0</v>
      </c>
      <c r="E18" s="315">
        <v>2274.3690000000001</v>
      </c>
      <c r="F18" s="315">
        <v>678.68399999999997</v>
      </c>
      <c r="G18" s="315">
        <v>192.941</v>
      </c>
      <c r="H18" s="315">
        <v>0</v>
      </c>
      <c r="I18" s="315">
        <v>1245.3800000000001</v>
      </c>
      <c r="J18" s="315">
        <v>411.90899999999999</v>
      </c>
      <c r="K18" s="315">
        <v>816.08900000000006</v>
      </c>
      <c r="L18" s="315">
        <v>54.95</v>
      </c>
      <c r="M18" s="315">
        <f>SUMIF(D$9:L$9,"&gt;0",D18:L18)</f>
        <v>5674.3219999999992</v>
      </c>
      <c r="N18" s="315">
        <v>5088.9709999999995</v>
      </c>
      <c r="O18" s="315">
        <v>1138.0260000000001</v>
      </c>
      <c r="P18" s="315">
        <v>1034.279</v>
      </c>
      <c r="Q18" s="315">
        <v>0</v>
      </c>
      <c r="R18" s="315">
        <v>7030.4009999999998</v>
      </c>
      <c r="S18" s="315">
        <v>0</v>
      </c>
      <c r="T18" s="315">
        <v>59.914999999999999</v>
      </c>
      <c r="U18" s="315">
        <v>159.654</v>
      </c>
      <c r="V18" s="315">
        <v>0</v>
      </c>
      <c r="W18" s="315">
        <f>SUMIF(N$9:V$9,"&gt;0",N18:V18)</f>
        <v>14511.246000000001</v>
      </c>
      <c r="X18" s="315">
        <v>392.97699999999998</v>
      </c>
      <c r="Y18" s="315">
        <v>992.96900000000005</v>
      </c>
      <c r="Z18" s="315">
        <v>0</v>
      </c>
      <c r="AA18" s="315">
        <v>5</v>
      </c>
      <c r="AB18" s="315">
        <v>1946.2170000000001</v>
      </c>
      <c r="AC18" s="315">
        <v>0</v>
      </c>
      <c r="AD18" s="315">
        <v>0</v>
      </c>
      <c r="AE18" s="315">
        <v>0</v>
      </c>
      <c r="AF18" s="315">
        <v>0</v>
      </c>
      <c r="AG18" s="315">
        <v>242.125</v>
      </c>
      <c r="AH18" s="315">
        <v>0</v>
      </c>
      <c r="AI18" s="315">
        <v>1168.404</v>
      </c>
      <c r="AJ18" s="315">
        <v>0</v>
      </c>
      <c r="AK18" s="315">
        <v>0</v>
      </c>
      <c r="AL18" s="315">
        <v>23.853000000000002</v>
      </c>
      <c r="AM18" s="315">
        <v>226.81</v>
      </c>
      <c r="AN18" s="315">
        <v>789.92700000000002</v>
      </c>
      <c r="AO18" s="315">
        <v>71.992000000000004</v>
      </c>
      <c r="AP18" s="315">
        <v>0</v>
      </c>
      <c r="AQ18" s="315">
        <v>94.082999999999998</v>
      </c>
      <c r="AR18" s="315">
        <v>2424.692</v>
      </c>
      <c r="AS18" s="315">
        <v>1470.6289999999999</v>
      </c>
      <c r="AT18" s="315">
        <f>SUMIF(X$9:AS$9,"&gt;0",X18:AS18)</f>
        <v>9849.6779999999999</v>
      </c>
      <c r="AU18" s="315">
        <f>SUMIF(D$9:AS$9,"&gt;0",D18:AS18)</f>
        <v>30035.245999999992</v>
      </c>
      <c r="AV18" s="314">
        <v>9</v>
      </c>
    </row>
    <row r="19" spans="1:48" ht="15" customHeight="1" x14ac:dyDescent="0.25">
      <c r="A19" s="143"/>
      <c r="B19" s="317">
        <v>10</v>
      </c>
      <c r="C19" s="316" t="s">
        <v>215</v>
      </c>
      <c r="D19" s="315">
        <v>0</v>
      </c>
      <c r="E19" s="315">
        <v>2267.6689999999999</v>
      </c>
      <c r="F19" s="315">
        <v>678.53399999999999</v>
      </c>
      <c r="G19" s="315">
        <v>191.36600000000001</v>
      </c>
      <c r="H19" s="315">
        <v>0</v>
      </c>
      <c r="I19" s="315">
        <v>296.13799999999998</v>
      </c>
      <c r="J19" s="315">
        <v>385.22899999999998</v>
      </c>
      <c r="K19" s="315">
        <v>806.30799999999999</v>
      </c>
      <c r="L19" s="315">
        <v>28.483000000000001</v>
      </c>
      <c r="M19" s="315">
        <f>SUMIF(D$9:L$9,"&gt;0",D19:L19)</f>
        <v>4653.7269999999999</v>
      </c>
      <c r="N19" s="315">
        <v>5025.4030000000002</v>
      </c>
      <c r="O19" s="315">
        <v>1117.7149999999999</v>
      </c>
      <c r="P19" s="315">
        <v>1018.564</v>
      </c>
      <c r="Q19" s="315">
        <v>0</v>
      </c>
      <c r="R19" s="315">
        <v>7030.5209999999997</v>
      </c>
      <c r="S19" s="315">
        <v>0</v>
      </c>
      <c r="T19" s="315">
        <v>59.905000000000001</v>
      </c>
      <c r="U19" s="315">
        <v>159.614</v>
      </c>
      <c r="V19" s="315">
        <v>0</v>
      </c>
      <c r="W19" s="315">
        <f>SUMIF(N$9:V$9,"&gt;0",N19:V19)</f>
        <v>14411.722000000002</v>
      </c>
      <c r="X19" s="315">
        <v>393.20600000000002</v>
      </c>
      <c r="Y19" s="315">
        <v>992.51900000000001</v>
      </c>
      <c r="Z19" s="315">
        <v>0</v>
      </c>
      <c r="AA19" s="315">
        <v>5</v>
      </c>
      <c r="AB19" s="315">
        <v>1957.4849999999999</v>
      </c>
      <c r="AC19" s="315">
        <v>0</v>
      </c>
      <c r="AD19" s="315">
        <v>0</v>
      </c>
      <c r="AE19" s="315">
        <v>0</v>
      </c>
      <c r="AF19" s="315">
        <v>0</v>
      </c>
      <c r="AG19" s="315">
        <v>242.10499999999999</v>
      </c>
      <c r="AH19" s="315">
        <v>0</v>
      </c>
      <c r="AI19" s="315">
        <v>1228.489</v>
      </c>
      <c r="AJ19" s="315">
        <v>0</v>
      </c>
      <c r="AK19" s="315">
        <v>0</v>
      </c>
      <c r="AL19" s="315">
        <v>23.832999999999998</v>
      </c>
      <c r="AM19" s="315">
        <v>259.70400000000001</v>
      </c>
      <c r="AN19" s="315">
        <v>795.26199999999994</v>
      </c>
      <c r="AO19" s="315">
        <v>72.015000000000001</v>
      </c>
      <c r="AP19" s="315">
        <v>0</v>
      </c>
      <c r="AQ19" s="315">
        <v>95.683000000000007</v>
      </c>
      <c r="AR19" s="315">
        <v>2408.8620000000001</v>
      </c>
      <c r="AS19" s="315">
        <v>1479.673</v>
      </c>
      <c r="AT19" s="315">
        <f>SUMIF(X$9:AS$9,"&gt;0",X19:AS19)</f>
        <v>9953.8360000000011</v>
      </c>
      <c r="AU19" s="315">
        <f>SUMIF(D$9:AS$9,"&gt;0",D19:AS19)</f>
        <v>29019.285</v>
      </c>
      <c r="AV19" s="314">
        <v>10</v>
      </c>
    </row>
    <row r="20" spans="1:48" ht="15" customHeight="1" x14ac:dyDescent="0.25">
      <c r="A20" s="143"/>
      <c r="B20" s="317">
        <v>11</v>
      </c>
      <c r="C20" s="316" t="s">
        <v>215</v>
      </c>
      <c r="D20" s="315">
        <v>0</v>
      </c>
      <c r="E20" s="315">
        <v>2275.2040000000002</v>
      </c>
      <c r="F20" s="315">
        <v>678.38400000000001</v>
      </c>
      <c r="G20" s="315">
        <v>186.12200000000001</v>
      </c>
      <c r="H20" s="315">
        <v>0</v>
      </c>
      <c r="I20" s="315">
        <v>1249.249</v>
      </c>
      <c r="J20" s="315">
        <v>411.709</v>
      </c>
      <c r="K20" s="315">
        <v>808.48900000000003</v>
      </c>
      <c r="L20" s="315">
        <v>54.95</v>
      </c>
      <c r="M20" s="315">
        <f>SUMIF(D$9:L$9,"&gt;0",D20:L20)</f>
        <v>5664.1069999999991</v>
      </c>
      <c r="N20" s="315">
        <v>5095.0290000000005</v>
      </c>
      <c r="O20" s="315">
        <v>1226.9459999999999</v>
      </c>
      <c r="P20" s="315">
        <v>1031.979</v>
      </c>
      <c r="Q20" s="315">
        <v>0</v>
      </c>
      <c r="R20" s="315">
        <v>7030.5010000000002</v>
      </c>
      <c r="S20" s="315">
        <v>0</v>
      </c>
      <c r="T20" s="315">
        <v>59.895000000000003</v>
      </c>
      <c r="U20" s="315">
        <v>159.57400000000001</v>
      </c>
      <c r="V20" s="315">
        <v>0</v>
      </c>
      <c r="W20" s="315">
        <f>SUMIF(N$9:V$9,"&gt;0",N20:V20)</f>
        <v>14603.924000000003</v>
      </c>
      <c r="X20" s="315">
        <v>393.02600000000001</v>
      </c>
      <c r="Y20" s="315">
        <v>992.06899999999996</v>
      </c>
      <c r="Z20" s="315">
        <v>0</v>
      </c>
      <c r="AA20" s="315">
        <v>5</v>
      </c>
      <c r="AB20" s="315">
        <v>1950.34</v>
      </c>
      <c r="AC20" s="315">
        <v>0</v>
      </c>
      <c r="AD20" s="315">
        <v>0</v>
      </c>
      <c r="AE20" s="315">
        <v>0</v>
      </c>
      <c r="AF20" s="315">
        <v>0</v>
      </c>
      <c r="AG20" s="315">
        <v>235.53200000000001</v>
      </c>
      <c r="AH20" s="315">
        <v>0</v>
      </c>
      <c r="AI20" s="315">
        <v>1226.489</v>
      </c>
      <c r="AJ20" s="315">
        <v>0</v>
      </c>
      <c r="AK20" s="315">
        <v>0</v>
      </c>
      <c r="AL20" s="315">
        <v>23.812999999999999</v>
      </c>
      <c r="AM20" s="315">
        <v>259.60399999999998</v>
      </c>
      <c r="AN20" s="315">
        <v>795.14</v>
      </c>
      <c r="AO20" s="315">
        <v>71.915000000000006</v>
      </c>
      <c r="AP20" s="315">
        <v>0</v>
      </c>
      <c r="AQ20" s="315">
        <v>92.183000000000007</v>
      </c>
      <c r="AR20" s="315">
        <v>2399.8670000000002</v>
      </c>
      <c r="AS20" s="315">
        <v>1487.326</v>
      </c>
      <c r="AT20" s="315">
        <f>SUMIF(X$9:AS$9,"&gt;0",X20:AS20)</f>
        <v>9932.3040000000001</v>
      </c>
      <c r="AU20" s="315">
        <f>SUMIF(D$9:AS$9,"&gt;0",D20:AS20)</f>
        <v>30200.334999999999</v>
      </c>
      <c r="AV20" s="314">
        <v>11</v>
      </c>
    </row>
    <row r="21" spans="1:48" ht="15" customHeight="1" x14ac:dyDescent="0.25">
      <c r="A21" s="143"/>
      <c r="B21" s="317">
        <v>12</v>
      </c>
      <c r="C21" s="316" t="s">
        <v>215</v>
      </c>
      <c r="D21" s="315">
        <v>0</v>
      </c>
      <c r="E21" s="315">
        <v>2251.73</v>
      </c>
      <c r="F21" s="315">
        <v>678.23400000000004</v>
      </c>
      <c r="G21" s="315">
        <v>192.911</v>
      </c>
      <c r="H21" s="315">
        <v>0</v>
      </c>
      <c r="I21" s="315">
        <v>1260.567</v>
      </c>
      <c r="J21" s="315">
        <v>411.60899999999998</v>
      </c>
      <c r="K21" s="315">
        <v>782.44</v>
      </c>
      <c r="L21" s="315">
        <v>54.95</v>
      </c>
      <c r="M21" s="315">
        <f>SUMIF(D$9:L$9,"&gt;0",D21:L21)</f>
        <v>5632.4409999999998</v>
      </c>
      <c r="N21" s="315">
        <v>5081.5590000000002</v>
      </c>
      <c r="O21" s="315">
        <v>1215.327</v>
      </c>
      <c r="P21" s="315">
        <v>1051.829</v>
      </c>
      <c r="Q21" s="315">
        <v>0</v>
      </c>
      <c r="R21" s="315">
        <v>7017.3509999999997</v>
      </c>
      <c r="S21" s="315">
        <v>0</v>
      </c>
      <c r="T21" s="315">
        <v>59.884999999999998</v>
      </c>
      <c r="U21" s="315">
        <v>164.53399999999999</v>
      </c>
      <c r="V21" s="315">
        <v>0</v>
      </c>
      <c r="W21" s="315">
        <f>SUMIF(N$9:V$9,"&gt;0",N21:V21)</f>
        <v>14590.484999999999</v>
      </c>
      <c r="X21" s="315">
        <v>392.846</v>
      </c>
      <c r="Y21" s="315">
        <v>991.61900000000003</v>
      </c>
      <c r="Z21" s="315">
        <v>0</v>
      </c>
      <c r="AA21" s="315">
        <v>5</v>
      </c>
      <c r="AB21" s="315">
        <v>1961.5229999999999</v>
      </c>
      <c r="AC21" s="315">
        <v>0</v>
      </c>
      <c r="AD21" s="315">
        <v>0</v>
      </c>
      <c r="AE21" s="315">
        <v>0</v>
      </c>
      <c r="AF21" s="315">
        <v>0</v>
      </c>
      <c r="AG21" s="315">
        <v>245.76499999999999</v>
      </c>
      <c r="AH21" s="315">
        <v>0</v>
      </c>
      <c r="AI21" s="315">
        <v>1222.3309999999999</v>
      </c>
      <c r="AJ21" s="315">
        <v>0</v>
      </c>
      <c r="AK21" s="315">
        <v>0</v>
      </c>
      <c r="AL21" s="315">
        <v>23.792999999999999</v>
      </c>
      <c r="AM21" s="315">
        <v>259.50400000000002</v>
      </c>
      <c r="AN21" s="315">
        <v>790.31500000000005</v>
      </c>
      <c r="AO21" s="315">
        <v>71.814999999999998</v>
      </c>
      <c r="AP21" s="315">
        <v>0</v>
      </c>
      <c r="AQ21" s="315">
        <v>92.082999999999998</v>
      </c>
      <c r="AR21" s="315">
        <v>2397.4180000000001</v>
      </c>
      <c r="AS21" s="315">
        <v>1486.096</v>
      </c>
      <c r="AT21" s="315">
        <f>SUMIF(X$9:AS$9,"&gt;0",X21:AS21)</f>
        <v>9940.1079999999984</v>
      </c>
      <c r="AU21" s="315">
        <f>SUMIF(D$9:AS$9,"&gt;0",D21:AS21)</f>
        <v>30163.033999999996</v>
      </c>
      <c r="AV21" s="314">
        <v>12</v>
      </c>
    </row>
    <row r="22" spans="1:48" ht="15" customHeight="1" x14ac:dyDescent="0.25">
      <c r="A22" s="143"/>
      <c r="B22" s="317">
        <v>13</v>
      </c>
      <c r="C22" s="316" t="s">
        <v>215</v>
      </c>
      <c r="D22" s="315">
        <v>0</v>
      </c>
      <c r="E22" s="315">
        <v>2252.538</v>
      </c>
      <c r="F22" s="315">
        <v>678.08399999999995</v>
      </c>
      <c r="G22" s="315">
        <v>192.90100000000001</v>
      </c>
      <c r="H22" s="315">
        <v>0</v>
      </c>
      <c r="I22" s="315">
        <v>1259.367</v>
      </c>
      <c r="J22" s="315">
        <v>411.50900000000001</v>
      </c>
      <c r="K22" s="315">
        <v>799.54300000000001</v>
      </c>
      <c r="L22" s="315">
        <v>54.95</v>
      </c>
      <c r="M22" s="315">
        <f>SUMIF(D$9:L$9,"&gt;0",D22:L22)</f>
        <v>5648.8919999999989</v>
      </c>
      <c r="N22" s="315">
        <v>5072.4939999999997</v>
      </c>
      <c r="O22" s="315">
        <v>1213.1659999999999</v>
      </c>
      <c r="P22" s="315">
        <v>1064.479</v>
      </c>
      <c r="Q22" s="315">
        <v>0</v>
      </c>
      <c r="R22" s="315">
        <v>7003.8010000000004</v>
      </c>
      <c r="S22" s="315">
        <v>0</v>
      </c>
      <c r="T22" s="315">
        <v>59.875</v>
      </c>
      <c r="U22" s="315">
        <v>164.494</v>
      </c>
      <c r="V22" s="315">
        <v>0</v>
      </c>
      <c r="W22" s="315">
        <f>SUMIF(N$9:V$9,"&gt;0",N22:V22)</f>
        <v>14578.309000000001</v>
      </c>
      <c r="X22" s="315">
        <v>392.666</v>
      </c>
      <c r="Y22" s="315">
        <v>999.76900000000001</v>
      </c>
      <c r="Z22" s="315">
        <v>0</v>
      </c>
      <c r="AA22" s="315">
        <v>5</v>
      </c>
      <c r="AB22" s="315">
        <v>1973.0050000000001</v>
      </c>
      <c r="AC22" s="315">
        <v>0</v>
      </c>
      <c r="AD22" s="315">
        <v>0</v>
      </c>
      <c r="AE22" s="315">
        <v>0</v>
      </c>
      <c r="AF22" s="315">
        <v>0</v>
      </c>
      <c r="AG22" s="315">
        <v>245.745</v>
      </c>
      <c r="AH22" s="315">
        <v>0</v>
      </c>
      <c r="AI22" s="315">
        <v>1227.8889999999999</v>
      </c>
      <c r="AJ22" s="315">
        <v>0</v>
      </c>
      <c r="AK22" s="315">
        <v>0</v>
      </c>
      <c r="AL22" s="315">
        <v>23.773</v>
      </c>
      <c r="AM22" s="315">
        <v>259.404</v>
      </c>
      <c r="AN22" s="315">
        <v>790.54</v>
      </c>
      <c r="AO22" s="315">
        <v>71.715000000000003</v>
      </c>
      <c r="AP22" s="315">
        <v>0</v>
      </c>
      <c r="AQ22" s="315">
        <v>91.983000000000004</v>
      </c>
      <c r="AR22" s="315">
        <v>2401.98</v>
      </c>
      <c r="AS22" s="315">
        <v>1484.557</v>
      </c>
      <c r="AT22" s="315">
        <f>SUMIF(X$9:AS$9,"&gt;0",X22:AS22)</f>
        <v>9968.0260000000017</v>
      </c>
      <c r="AU22" s="315">
        <f>SUMIF(D$9:AS$9,"&gt;0",D22:AS22)</f>
        <v>30195.226999999999</v>
      </c>
      <c r="AV22" s="314">
        <v>13</v>
      </c>
    </row>
    <row r="23" spans="1:48" ht="15" customHeight="1" x14ac:dyDescent="0.25">
      <c r="A23" s="143"/>
      <c r="B23" s="317">
        <v>14</v>
      </c>
      <c r="C23" s="316" t="s">
        <v>215</v>
      </c>
      <c r="D23" s="315">
        <v>0</v>
      </c>
      <c r="E23" s="315">
        <v>2263.7689999999998</v>
      </c>
      <c r="F23" s="315">
        <v>677.93399999999997</v>
      </c>
      <c r="G23" s="315">
        <v>192.89099999999999</v>
      </c>
      <c r="H23" s="315">
        <v>0</v>
      </c>
      <c r="I23" s="315">
        <v>1258.1669999999999</v>
      </c>
      <c r="J23" s="315">
        <v>411.40899999999999</v>
      </c>
      <c r="K23" s="315">
        <v>806.98900000000003</v>
      </c>
      <c r="L23" s="315">
        <v>54.95</v>
      </c>
      <c r="M23" s="315">
        <f>SUMIF(D$9:L$9,"&gt;0",D23:L23)</f>
        <v>5666.1089999999995</v>
      </c>
      <c r="N23" s="315">
        <v>5061.9629999999997</v>
      </c>
      <c r="O23" s="315">
        <v>1204.2159999999999</v>
      </c>
      <c r="P23" s="315">
        <v>1055.6289999999999</v>
      </c>
      <c r="Q23" s="315">
        <v>0</v>
      </c>
      <c r="R23" s="315">
        <v>6990.2510000000002</v>
      </c>
      <c r="S23" s="315">
        <v>0</v>
      </c>
      <c r="T23" s="315">
        <v>59.865000000000002</v>
      </c>
      <c r="U23" s="315">
        <v>164.45400000000001</v>
      </c>
      <c r="V23" s="315">
        <v>0</v>
      </c>
      <c r="W23" s="315">
        <f>SUMIF(N$9:V$9,"&gt;0",N23:V23)</f>
        <v>14536.378000000001</v>
      </c>
      <c r="X23" s="315">
        <v>392.48599999999999</v>
      </c>
      <c r="Y23" s="315">
        <v>1004.2190000000001</v>
      </c>
      <c r="Z23" s="315">
        <v>0</v>
      </c>
      <c r="AA23" s="315">
        <v>5</v>
      </c>
      <c r="AB23" s="315">
        <v>1970.105</v>
      </c>
      <c r="AC23" s="315">
        <v>0</v>
      </c>
      <c r="AD23" s="315">
        <v>0</v>
      </c>
      <c r="AE23" s="315">
        <v>0</v>
      </c>
      <c r="AF23" s="315">
        <v>0</v>
      </c>
      <c r="AG23" s="315">
        <v>245.72499999999999</v>
      </c>
      <c r="AH23" s="315">
        <v>0</v>
      </c>
      <c r="AI23" s="315">
        <v>1225.8889999999999</v>
      </c>
      <c r="AJ23" s="315">
        <v>0</v>
      </c>
      <c r="AK23" s="315">
        <v>0</v>
      </c>
      <c r="AL23" s="315">
        <v>23.753</v>
      </c>
      <c r="AM23" s="315">
        <v>262.60399999999998</v>
      </c>
      <c r="AN23" s="315">
        <v>789.88900000000001</v>
      </c>
      <c r="AO23" s="315">
        <v>71.614999999999995</v>
      </c>
      <c r="AP23" s="315">
        <v>0</v>
      </c>
      <c r="AQ23" s="315">
        <v>91.882999999999996</v>
      </c>
      <c r="AR23" s="315">
        <v>2401.393</v>
      </c>
      <c r="AS23" s="315">
        <v>1483.636</v>
      </c>
      <c r="AT23" s="315">
        <f>SUMIF(X$9:AS$9,"&gt;0",X23:AS23)</f>
        <v>9968.1970000000001</v>
      </c>
      <c r="AU23" s="315">
        <f>SUMIF(D$9:AS$9,"&gt;0",D23:AS23)</f>
        <v>30170.684000000005</v>
      </c>
      <c r="AV23" s="314">
        <v>14</v>
      </c>
    </row>
    <row r="24" spans="1:48" ht="15" customHeight="1" x14ac:dyDescent="0.25">
      <c r="A24" s="143"/>
      <c r="B24" s="317">
        <v>15</v>
      </c>
      <c r="C24" s="316" t="s">
        <v>215</v>
      </c>
      <c r="D24" s="315">
        <v>0</v>
      </c>
      <c r="E24" s="315">
        <v>2195.9169999999999</v>
      </c>
      <c r="F24" s="315">
        <v>672.08399999999995</v>
      </c>
      <c r="G24" s="315">
        <v>197.381</v>
      </c>
      <c r="H24" s="315">
        <v>0</v>
      </c>
      <c r="I24" s="315">
        <v>1250.367</v>
      </c>
      <c r="J24" s="315">
        <v>407.209</v>
      </c>
      <c r="K24" s="315">
        <v>801.31100000000004</v>
      </c>
      <c r="L24" s="315">
        <v>54.95</v>
      </c>
      <c r="M24" s="315">
        <f>SUMIF(D$9:L$9,"&gt;0",D24:L24)</f>
        <v>5579.2189999999991</v>
      </c>
      <c r="N24" s="315">
        <v>5058.2259999999997</v>
      </c>
      <c r="O24" s="315">
        <v>1199.0709999999999</v>
      </c>
      <c r="P24" s="315">
        <v>1054.479</v>
      </c>
      <c r="Q24" s="315">
        <v>0</v>
      </c>
      <c r="R24" s="315">
        <v>6976.701</v>
      </c>
      <c r="S24" s="315">
        <v>0</v>
      </c>
      <c r="T24" s="315">
        <v>59.854999999999997</v>
      </c>
      <c r="U24" s="315">
        <v>161.41399999999999</v>
      </c>
      <c r="V24" s="315">
        <v>0</v>
      </c>
      <c r="W24" s="315">
        <f>SUMIF(N$9:V$9,"&gt;0",N24:V24)</f>
        <v>14509.745999999999</v>
      </c>
      <c r="X24" s="315">
        <v>392.30599999999998</v>
      </c>
      <c r="Y24" s="315">
        <v>1003.769</v>
      </c>
      <c r="Z24" s="315">
        <v>120</v>
      </c>
      <c r="AA24" s="315">
        <v>5</v>
      </c>
      <c r="AB24" s="315">
        <v>1959.1590000000001</v>
      </c>
      <c r="AC24" s="315">
        <v>0</v>
      </c>
      <c r="AD24" s="315">
        <v>0</v>
      </c>
      <c r="AE24" s="315">
        <v>0</v>
      </c>
      <c r="AF24" s="315">
        <v>0</v>
      </c>
      <c r="AG24" s="315">
        <v>238.30500000000001</v>
      </c>
      <c r="AH24" s="315">
        <v>0</v>
      </c>
      <c r="AI24" s="315">
        <v>1232.8889999999999</v>
      </c>
      <c r="AJ24" s="315">
        <v>0</v>
      </c>
      <c r="AK24" s="315">
        <v>0</v>
      </c>
      <c r="AL24" s="315">
        <v>30.733000000000001</v>
      </c>
      <c r="AM24" s="315">
        <v>262.50400000000002</v>
      </c>
      <c r="AN24" s="315">
        <v>787.44</v>
      </c>
      <c r="AO24" s="315">
        <v>71.260000000000005</v>
      </c>
      <c r="AP24" s="315">
        <v>0</v>
      </c>
      <c r="AQ24" s="315">
        <v>91.783000000000001</v>
      </c>
      <c r="AR24" s="315">
        <v>2394.8429999999998</v>
      </c>
      <c r="AS24" s="315">
        <v>1482.0709999999999</v>
      </c>
      <c r="AT24" s="315">
        <f>SUMIF(X$9:AS$9,"&gt;0",X24:AS24)</f>
        <v>10072.062</v>
      </c>
      <c r="AU24" s="315">
        <f>SUMIF(D$9:AS$9,"&gt;0",D24:AS24)</f>
        <v>30161.026999999998</v>
      </c>
      <c r="AV24" s="314">
        <v>15</v>
      </c>
    </row>
    <row r="25" spans="1:48" ht="15" customHeight="1" x14ac:dyDescent="0.25">
      <c r="A25" s="143"/>
      <c r="B25" s="317">
        <v>16</v>
      </c>
      <c r="C25" s="316" t="s">
        <v>215</v>
      </c>
      <c r="D25" s="315">
        <v>0</v>
      </c>
      <c r="E25" s="315">
        <v>2199.8519999999999</v>
      </c>
      <c r="F25" s="315">
        <v>671.93399999999997</v>
      </c>
      <c r="G25" s="315">
        <v>197.37100000000001</v>
      </c>
      <c r="H25" s="315">
        <v>0</v>
      </c>
      <c r="I25" s="315">
        <v>1249.1669999999999</v>
      </c>
      <c r="J25" s="315">
        <v>407.10899999999998</v>
      </c>
      <c r="K25" s="315">
        <v>797.08900000000006</v>
      </c>
      <c r="L25" s="315">
        <v>54.95</v>
      </c>
      <c r="M25" s="315">
        <f>SUMIF(D$9:L$9,"&gt;0",D25:L25)</f>
        <v>5577.4720000000007</v>
      </c>
      <c r="N25" s="315">
        <v>5047.8159999999998</v>
      </c>
      <c r="O25" s="315">
        <v>1189.847</v>
      </c>
      <c r="P25" s="315">
        <v>1053.329</v>
      </c>
      <c r="Q25" s="315">
        <v>0</v>
      </c>
      <c r="R25" s="315">
        <v>6950.7510000000002</v>
      </c>
      <c r="S25" s="315">
        <v>0</v>
      </c>
      <c r="T25" s="315">
        <v>59.844999999999999</v>
      </c>
      <c r="U25" s="315">
        <v>160.17400000000001</v>
      </c>
      <c r="V25" s="315">
        <v>0</v>
      </c>
      <c r="W25" s="315">
        <f>SUMIF(N$9:V$9,"&gt;0",N25:V25)</f>
        <v>14461.761999999999</v>
      </c>
      <c r="X25" s="315">
        <v>392.12599999999998</v>
      </c>
      <c r="Y25" s="315">
        <v>1003.319</v>
      </c>
      <c r="Z25" s="315">
        <v>120</v>
      </c>
      <c r="AA25" s="315">
        <v>5</v>
      </c>
      <c r="AB25" s="315">
        <v>1960.32</v>
      </c>
      <c r="AC25" s="315">
        <v>0</v>
      </c>
      <c r="AD25" s="315">
        <v>0</v>
      </c>
      <c r="AE25" s="315">
        <v>0</v>
      </c>
      <c r="AF25" s="315">
        <v>0</v>
      </c>
      <c r="AG25" s="315">
        <v>238.285</v>
      </c>
      <c r="AH25" s="315">
        <v>0</v>
      </c>
      <c r="AI25" s="315">
        <v>1228.4369999999999</v>
      </c>
      <c r="AJ25" s="315">
        <v>0</v>
      </c>
      <c r="AK25" s="315">
        <v>0</v>
      </c>
      <c r="AL25" s="315">
        <v>30.713000000000001</v>
      </c>
      <c r="AM25" s="315">
        <v>262.404</v>
      </c>
      <c r="AN25" s="315">
        <v>754.21400000000006</v>
      </c>
      <c r="AO25" s="315">
        <v>70.948999999999998</v>
      </c>
      <c r="AP25" s="315">
        <v>0</v>
      </c>
      <c r="AQ25" s="315">
        <v>91.683000000000007</v>
      </c>
      <c r="AR25" s="315">
        <v>2386.4609999999998</v>
      </c>
      <c r="AS25" s="315">
        <v>1481.1759999999999</v>
      </c>
      <c r="AT25" s="315">
        <f>SUMIF(X$9:AS$9,"&gt;0",X25:AS25)</f>
        <v>10025.086999999998</v>
      </c>
      <c r="AU25" s="315">
        <f>SUMIF(D$9:AS$9,"&gt;0",D25:AS25)</f>
        <v>30064.320999999996</v>
      </c>
      <c r="AV25" s="314">
        <v>16</v>
      </c>
    </row>
    <row r="26" spans="1:48" ht="15" customHeight="1" x14ac:dyDescent="0.25">
      <c r="A26" s="143"/>
      <c r="B26" s="317">
        <v>17</v>
      </c>
      <c r="C26" s="316" t="s">
        <v>215</v>
      </c>
      <c r="D26" s="315">
        <v>0</v>
      </c>
      <c r="E26" s="315">
        <v>2232.2689999999998</v>
      </c>
      <c r="F26" s="315">
        <v>671.78399999999999</v>
      </c>
      <c r="G26" s="315">
        <v>186.43</v>
      </c>
      <c r="H26" s="315">
        <v>0</v>
      </c>
      <c r="I26" s="315">
        <v>1247.9670000000001</v>
      </c>
      <c r="J26" s="315">
        <v>407.00900000000001</v>
      </c>
      <c r="K26" s="315">
        <v>799.18899999999996</v>
      </c>
      <c r="L26" s="315">
        <v>54.95</v>
      </c>
      <c r="M26" s="315">
        <f>SUMIF(D$9:L$9,"&gt;0",D26:L26)</f>
        <v>5599.598</v>
      </c>
      <c r="N26" s="315">
        <v>5033.1419999999998</v>
      </c>
      <c r="O26" s="315">
        <v>1235.3050000000001</v>
      </c>
      <c r="P26" s="315">
        <v>1052.1790000000001</v>
      </c>
      <c r="Q26" s="315">
        <v>0</v>
      </c>
      <c r="R26" s="315">
        <v>6937.201</v>
      </c>
      <c r="S26" s="315">
        <v>0</v>
      </c>
      <c r="T26" s="315">
        <v>59.835000000000001</v>
      </c>
      <c r="U26" s="315">
        <v>160.13399999999999</v>
      </c>
      <c r="V26" s="315">
        <v>0</v>
      </c>
      <c r="W26" s="315">
        <f>SUMIF(N$9:V$9,"&gt;0",N26:V26)</f>
        <v>14477.796</v>
      </c>
      <c r="X26" s="315">
        <v>285.363</v>
      </c>
      <c r="Y26" s="315">
        <v>1002.869</v>
      </c>
      <c r="Z26" s="315">
        <v>120</v>
      </c>
      <c r="AA26" s="315">
        <v>5</v>
      </c>
      <c r="AB26" s="315">
        <v>1967.444</v>
      </c>
      <c r="AC26" s="315">
        <v>0</v>
      </c>
      <c r="AD26" s="315">
        <v>0</v>
      </c>
      <c r="AE26" s="315">
        <v>0</v>
      </c>
      <c r="AF26" s="315">
        <v>0</v>
      </c>
      <c r="AG26" s="315">
        <v>241.18</v>
      </c>
      <c r="AH26" s="315">
        <v>0</v>
      </c>
      <c r="AI26" s="315">
        <v>1215.789</v>
      </c>
      <c r="AJ26" s="315">
        <v>0</v>
      </c>
      <c r="AK26" s="315">
        <v>0</v>
      </c>
      <c r="AL26" s="315">
        <v>30.693000000000001</v>
      </c>
      <c r="AM26" s="315">
        <v>262.30399999999997</v>
      </c>
      <c r="AN26" s="315">
        <v>795.54</v>
      </c>
      <c r="AO26" s="315">
        <v>71.314999999999998</v>
      </c>
      <c r="AP26" s="315">
        <v>0</v>
      </c>
      <c r="AQ26" s="315">
        <v>92.183000000000007</v>
      </c>
      <c r="AR26" s="315">
        <v>2391.2429999999999</v>
      </c>
      <c r="AS26" s="315">
        <v>1299.588</v>
      </c>
      <c r="AT26" s="315">
        <f>SUMIF(X$9:AS$9,"&gt;0",X26:AS26)</f>
        <v>9780.5109999999986</v>
      </c>
      <c r="AU26" s="315">
        <f>SUMIF(D$9:AS$9,"&gt;0",D26:AS26)</f>
        <v>29857.904999999995</v>
      </c>
      <c r="AV26" s="314">
        <v>17</v>
      </c>
    </row>
    <row r="27" spans="1:48" ht="15" customHeight="1" x14ac:dyDescent="0.25">
      <c r="A27" s="143"/>
      <c r="B27" s="317">
        <v>18</v>
      </c>
      <c r="C27" s="316" t="s">
        <v>215</v>
      </c>
      <c r="D27" s="315">
        <v>0</v>
      </c>
      <c r="E27" s="315">
        <v>2230.6689999999999</v>
      </c>
      <c r="F27" s="315">
        <v>671.63400000000001</v>
      </c>
      <c r="G27" s="315">
        <v>192.851</v>
      </c>
      <c r="H27" s="315">
        <v>0</v>
      </c>
      <c r="I27" s="315">
        <v>1245.567</v>
      </c>
      <c r="J27" s="315">
        <v>406.90899999999999</v>
      </c>
      <c r="K27" s="315">
        <v>798.68899999999996</v>
      </c>
      <c r="L27" s="315">
        <v>54.95</v>
      </c>
      <c r="M27" s="315">
        <f>SUMIF(D$9:L$9,"&gt;0",D27:L27)</f>
        <v>5601.2689999999993</v>
      </c>
      <c r="N27" s="315">
        <v>5055.6490000000003</v>
      </c>
      <c r="O27" s="315">
        <v>1228.7159999999999</v>
      </c>
      <c r="P27" s="315">
        <v>1040.5029999999999</v>
      </c>
      <c r="Q27" s="315">
        <v>0</v>
      </c>
      <c r="R27" s="315">
        <v>6923.6509999999998</v>
      </c>
      <c r="S27" s="315">
        <v>0</v>
      </c>
      <c r="T27" s="315">
        <v>59.825000000000003</v>
      </c>
      <c r="U27" s="315">
        <v>160.09399999999999</v>
      </c>
      <c r="V27" s="315">
        <v>0</v>
      </c>
      <c r="W27" s="315">
        <f>SUMIF(N$9:V$9,"&gt;0",N27:V27)</f>
        <v>14468.438</v>
      </c>
      <c r="X27" s="315">
        <v>373.892</v>
      </c>
      <c r="Y27" s="315">
        <v>1008.279</v>
      </c>
      <c r="Z27" s="315">
        <v>120</v>
      </c>
      <c r="AA27" s="315">
        <v>5</v>
      </c>
      <c r="AB27" s="315">
        <v>1971.19</v>
      </c>
      <c r="AC27" s="315">
        <v>0</v>
      </c>
      <c r="AD27" s="315">
        <v>0</v>
      </c>
      <c r="AE27" s="315">
        <v>0</v>
      </c>
      <c r="AF27" s="315">
        <v>0</v>
      </c>
      <c r="AG27" s="315">
        <v>241.94499999999999</v>
      </c>
      <c r="AH27" s="315">
        <v>0</v>
      </c>
      <c r="AI27" s="315">
        <v>1213.789</v>
      </c>
      <c r="AJ27" s="315">
        <v>0</v>
      </c>
      <c r="AK27" s="315">
        <v>0</v>
      </c>
      <c r="AL27" s="315">
        <v>30.672999999999998</v>
      </c>
      <c r="AM27" s="315">
        <v>262.20400000000001</v>
      </c>
      <c r="AN27" s="315">
        <v>792.41399999999999</v>
      </c>
      <c r="AO27" s="315">
        <v>70.819000000000003</v>
      </c>
      <c r="AP27" s="315">
        <v>0</v>
      </c>
      <c r="AQ27" s="315">
        <v>91.073999999999998</v>
      </c>
      <c r="AR27" s="315">
        <v>2379.665</v>
      </c>
      <c r="AS27" s="315">
        <v>1478.7159999999999</v>
      </c>
      <c r="AT27" s="315">
        <f>SUMIF(X$9:AS$9,"&gt;0",X27:AS27)</f>
        <v>10039.66</v>
      </c>
      <c r="AU27" s="315">
        <f>SUMIF(D$9:AS$9,"&gt;0",D27:AS27)</f>
        <v>30109.367000000002</v>
      </c>
      <c r="AV27" s="314">
        <v>18</v>
      </c>
    </row>
    <row r="28" spans="1:48" ht="15" customHeight="1" x14ac:dyDescent="0.25">
      <c r="A28" s="143"/>
      <c r="B28" s="317">
        <v>19</v>
      </c>
      <c r="C28" s="316" t="s">
        <v>215</v>
      </c>
      <c r="D28" s="315">
        <v>0</v>
      </c>
      <c r="E28" s="315">
        <v>2234.4690000000001</v>
      </c>
      <c r="F28" s="315">
        <v>671.48400000000004</v>
      </c>
      <c r="G28" s="315">
        <v>183.84100000000001</v>
      </c>
      <c r="H28" s="315">
        <v>0</v>
      </c>
      <c r="I28" s="315">
        <v>1244.367</v>
      </c>
      <c r="J28" s="315">
        <v>406.80900000000003</v>
      </c>
      <c r="K28" s="315">
        <v>798.18899999999996</v>
      </c>
      <c r="L28" s="315">
        <v>54.95</v>
      </c>
      <c r="M28" s="315">
        <f>SUMIF(D$9:L$9,"&gt;0",D28:L28)</f>
        <v>5594.1090000000004</v>
      </c>
      <c r="N28" s="315">
        <v>5066.4920000000002</v>
      </c>
      <c r="O28" s="315">
        <v>1218.154</v>
      </c>
      <c r="P28" s="315">
        <v>1049.8789999999999</v>
      </c>
      <c r="Q28" s="315">
        <v>0</v>
      </c>
      <c r="R28" s="315">
        <v>6910.1009999999997</v>
      </c>
      <c r="S28" s="315">
        <v>0</v>
      </c>
      <c r="T28" s="315">
        <v>59.814999999999998</v>
      </c>
      <c r="U28" s="315">
        <v>160.054</v>
      </c>
      <c r="V28" s="315">
        <v>0</v>
      </c>
      <c r="W28" s="315">
        <f>SUMIF(N$9:V$9,"&gt;0",N28:V28)</f>
        <v>14464.495000000001</v>
      </c>
      <c r="X28" s="315">
        <v>391.58600000000001</v>
      </c>
      <c r="Y28" s="315">
        <v>1017.069</v>
      </c>
      <c r="Z28" s="315">
        <v>120</v>
      </c>
      <c r="AA28" s="315">
        <v>5</v>
      </c>
      <c r="AB28" s="315">
        <v>2009.89</v>
      </c>
      <c r="AC28" s="315">
        <v>0</v>
      </c>
      <c r="AD28" s="315">
        <v>0</v>
      </c>
      <c r="AE28" s="315">
        <v>0</v>
      </c>
      <c r="AF28" s="315">
        <v>0</v>
      </c>
      <c r="AG28" s="315">
        <v>241.125</v>
      </c>
      <c r="AH28" s="315">
        <v>0</v>
      </c>
      <c r="AI28" s="315">
        <v>1211.789</v>
      </c>
      <c r="AJ28" s="315">
        <v>0</v>
      </c>
      <c r="AK28" s="315">
        <v>0</v>
      </c>
      <c r="AL28" s="315">
        <v>30.652999999999999</v>
      </c>
      <c r="AM28" s="315">
        <v>262.10399999999998</v>
      </c>
      <c r="AN28" s="315">
        <v>796.24</v>
      </c>
      <c r="AO28" s="315">
        <v>71.114999999999995</v>
      </c>
      <c r="AP28" s="315">
        <v>0</v>
      </c>
      <c r="AQ28" s="315">
        <v>91.983000000000004</v>
      </c>
      <c r="AR28" s="315">
        <v>2384.6120000000001</v>
      </c>
      <c r="AS28" s="315">
        <v>1462.675</v>
      </c>
      <c r="AT28" s="315">
        <f>SUMIF(X$9:AS$9,"&gt;0",X28:AS28)</f>
        <v>10095.841</v>
      </c>
      <c r="AU28" s="315">
        <f>SUMIF(D$9:AS$9,"&gt;0",D28:AS28)</f>
        <v>30154.445</v>
      </c>
      <c r="AV28" s="314">
        <v>19</v>
      </c>
    </row>
    <row r="29" spans="1:48" ht="15" customHeight="1" x14ac:dyDescent="0.25">
      <c r="A29" s="143"/>
      <c r="B29" s="317">
        <v>20</v>
      </c>
      <c r="C29" s="316" t="s">
        <v>215</v>
      </c>
      <c r="D29" s="315">
        <v>0</v>
      </c>
      <c r="E29" s="315">
        <v>2264.0360000000001</v>
      </c>
      <c r="F29" s="315">
        <v>671.33399999999995</v>
      </c>
      <c r="G29" s="315">
        <v>183.83099999999999</v>
      </c>
      <c r="H29" s="315">
        <v>0</v>
      </c>
      <c r="I29" s="315">
        <v>1242.7639999999999</v>
      </c>
      <c r="J29" s="315">
        <v>406.709</v>
      </c>
      <c r="K29" s="315">
        <v>797.68899999999996</v>
      </c>
      <c r="L29" s="315">
        <v>54.95</v>
      </c>
      <c r="M29" s="315">
        <f>SUMIF(D$9:L$9,"&gt;0",D29:L29)</f>
        <v>5621.3130000000001</v>
      </c>
      <c r="N29" s="315">
        <v>5095.7749999999996</v>
      </c>
      <c r="O29" s="315">
        <v>1264.7619999999999</v>
      </c>
      <c r="P29" s="315">
        <v>1085.529</v>
      </c>
      <c r="Q29" s="315">
        <v>0</v>
      </c>
      <c r="R29" s="315">
        <v>6896.5510000000004</v>
      </c>
      <c r="S29" s="315">
        <v>0</v>
      </c>
      <c r="T29" s="315">
        <v>59.805</v>
      </c>
      <c r="U29" s="315">
        <v>160.01400000000001</v>
      </c>
      <c r="V29" s="315">
        <v>0</v>
      </c>
      <c r="W29" s="315">
        <f>SUMIF(N$9:V$9,"&gt;0",N29:V29)</f>
        <v>14562.435999999998</v>
      </c>
      <c r="X29" s="315">
        <v>391.40600000000001</v>
      </c>
      <c r="Y29" s="315">
        <v>1023.619</v>
      </c>
      <c r="Z29" s="315">
        <v>120</v>
      </c>
      <c r="AA29" s="315">
        <v>5</v>
      </c>
      <c r="AB29" s="315">
        <v>2007.59</v>
      </c>
      <c r="AC29" s="315">
        <v>0</v>
      </c>
      <c r="AD29" s="315">
        <v>0</v>
      </c>
      <c r="AE29" s="315">
        <v>0</v>
      </c>
      <c r="AF29" s="315">
        <v>0</v>
      </c>
      <c r="AG29" s="315">
        <v>241.10499999999999</v>
      </c>
      <c r="AH29" s="315">
        <v>0</v>
      </c>
      <c r="AI29" s="315">
        <v>1209.789</v>
      </c>
      <c r="AJ29" s="315">
        <v>0</v>
      </c>
      <c r="AK29" s="315">
        <v>0</v>
      </c>
      <c r="AL29" s="315">
        <v>30.632999999999999</v>
      </c>
      <c r="AM29" s="315">
        <v>262.00400000000002</v>
      </c>
      <c r="AN29" s="315">
        <v>795.64</v>
      </c>
      <c r="AO29" s="315">
        <v>71.015000000000001</v>
      </c>
      <c r="AP29" s="315">
        <v>0</v>
      </c>
      <c r="AQ29" s="315">
        <v>91.882999999999996</v>
      </c>
      <c r="AR29" s="315">
        <v>2383.076</v>
      </c>
      <c r="AS29" s="315">
        <v>1482.7460000000001</v>
      </c>
      <c r="AT29" s="315">
        <f>SUMIF(X$9:AS$9,"&gt;0",X29:AS29)</f>
        <v>10115.506000000001</v>
      </c>
      <c r="AU29" s="315">
        <f>SUMIF(D$9:AS$9,"&gt;0",D29:AS29)</f>
        <v>30299.255000000001</v>
      </c>
      <c r="AV29" s="314">
        <v>20</v>
      </c>
    </row>
    <row r="30" spans="1:48" ht="15" customHeight="1" x14ac:dyDescent="0.25">
      <c r="A30" s="143"/>
      <c r="B30" s="317">
        <v>21</v>
      </c>
      <c r="C30" s="316" t="s">
        <v>215</v>
      </c>
      <c r="D30" s="315">
        <v>0</v>
      </c>
      <c r="E30" s="315">
        <v>2331.069</v>
      </c>
      <c r="F30" s="315">
        <v>671.18399999999997</v>
      </c>
      <c r="G30" s="315">
        <v>183.821</v>
      </c>
      <c r="H30" s="315">
        <v>0</v>
      </c>
      <c r="I30" s="315">
        <v>1241.9670000000001</v>
      </c>
      <c r="J30" s="315">
        <v>406.60899999999998</v>
      </c>
      <c r="K30" s="315">
        <v>800.18899999999996</v>
      </c>
      <c r="L30" s="315">
        <v>54.95</v>
      </c>
      <c r="M30" s="315">
        <f>SUMIF(D$9:L$9,"&gt;0",D30:L30)</f>
        <v>5689.7889999999998</v>
      </c>
      <c r="N30" s="315">
        <v>5107.2950000000001</v>
      </c>
      <c r="O30" s="315">
        <v>1261.346</v>
      </c>
      <c r="P30" s="315">
        <v>1084.3789999999999</v>
      </c>
      <c r="Q30" s="315">
        <v>0</v>
      </c>
      <c r="R30" s="315">
        <v>6883.0010000000002</v>
      </c>
      <c r="S30" s="315">
        <v>0</v>
      </c>
      <c r="T30" s="315">
        <v>59.795000000000002</v>
      </c>
      <c r="U30" s="315">
        <v>159.97399999999999</v>
      </c>
      <c r="V30" s="315">
        <v>0</v>
      </c>
      <c r="W30" s="315">
        <f>SUMIF(N$9:V$9,"&gt;0",N30:V30)</f>
        <v>14555.79</v>
      </c>
      <c r="X30" s="315">
        <v>391.226</v>
      </c>
      <c r="Y30" s="315">
        <v>1023.169</v>
      </c>
      <c r="Z30" s="315">
        <v>120</v>
      </c>
      <c r="AA30" s="315">
        <v>5</v>
      </c>
      <c r="AB30" s="315">
        <v>2007.19</v>
      </c>
      <c r="AC30" s="315">
        <v>0</v>
      </c>
      <c r="AD30" s="315">
        <v>0</v>
      </c>
      <c r="AE30" s="315">
        <v>0</v>
      </c>
      <c r="AF30" s="315">
        <v>0</v>
      </c>
      <c r="AG30" s="315">
        <v>241.08500000000001</v>
      </c>
      <c r="AH30" s="315">
        <v>0</v>
      </c>
      <c r="AI30" s="315">
        <v>1207.789</v>
      </c>
      <c r="AJ30" s="315">
        <v>0</v>
      </c>
      <c r="AK30" s="315">
        <v>0</v>
      </c>
      <c r="AL30" s="315">
        <v>30.613</v>
      </c>
      <c r="AM30" s="315">
        <v>261.904</v>
      </c>
      <c r="AN30" s="315">
        <v>798.04</v>
      </c>
      <c r="AO30" s="315">
        <v>70.915000000000006</v>
      </c>
      <c r="AP30" s="315">
        <v>0</v>
      </c>
      <c r="AQ30" s="315">
        <v>91.783000000000001</v>
      </c>
      <c r="AR30" s="315">
        <v>2378.6610000000001</v>
      </c>
      <c r="AS30" s="315">
        <v>1482.0260000000001</v>
      </c>
      <c r="AT30" s="315">
        <f>SUMIF(X$9:AS$9,"&gt;0",X30:AS30)</f>
        <v>10109.401</v>
      </c>
      <c r="AU30" s="315">
        <f>SUMIF(D$9:AS$9,"&gt;0",D30:AS30)</f>
        <v>30354.979999999996</v>
      </c>
      <c r="AV30" s="314">
        <v>21</v>
      </c>
    </row>
    <row r="31" spans="1:48" ht="15" customHeight="1" x14ac:dyDescent="0.25">
      <c r="A31" s="143"/>
      <c r="B31" s="317">
        <v>22</v>
      </c>
      <c r="C31" s="316" t="s">
        <v>215</v>
      </c>
      <c r="D31" s="315">
        <v>0</v>
      </c>
      <c r="E31" s="315">
        <v>2319.4560000000001</v>
      </c>
      <c r="F31" s="315">
        <v>671.03399999999999</v>
      </c>
      <c r="G31" s="315">
        <v>183.81100000000001</v>
      </c>
      <c r="H31" s="315">
        <v>0</v>
      </c>
      <c r="I31" s="315">
        <v>1240.7670000000001</v>
      </c>
      <c r="J31" s="315">
        <v>406.50900000000001</v>
      </c>
      <c r="K31" s="315">
        <v>797.90099999999995</v>
      </c>
      <c r="L31" s="315">
        <v>54.95</v>
      </c>
      <c r="M31" s="315">
        <f>SUMIF(D$9:L$9,"&gt;0",D31:L31)</f>
        <v>5674.4279999999999</v>
      </c>
      <c r="N31" s="315">
        <v>5137.116</v>
      </c>
      <c r="O31" s="315">
        <v>1254.4559999999999</v>
      </c>
      <c r="P31" s="315">
        <v>1076.4880000000001</v>
      </c>
      <c r="Q31" s="315">
        <v>0</v>
      </c>
      <c r="R31" s="315">
        <v>6869.451</v>
      </c>
      <c r="S31" s="315">
        <v>0</v>
      </c>
      <c r="T31" s="315">
        <v>59.784999999999997</v>
      </c>
      <c r="U31" s="315">
        <v>159.934</v>
      </c>
      <c r="V31" s="315">
        <v>0</v>
      </c>
      <c r="W31" s="315">
        <f>SUMIF(N$9:V$9,"&gt;0",N31:V31)</f>
        <v>14557.23</v>
      </c>
      <c r="X31" s="315">
        <v>391.04599999999999</v>
      </c>
      <c r="Y31" s="315">
        <v>1022.7190000000001</v>
      </c>
      <c r="Z31" s="315">
        <v>120</v>
      </c>
      <c r="AA31" s="315">
        <v>5</v>
      </c>
      <c r="AB31" s="315">
        <v>2003.307</v>
      </c>
      <c r="AC31" s="315">
        <v>0</v>
      </c>
      <c r="AD31" s="315">
        <v>0</v>
      </c>
      <c r="AE31" s="315">
        <v>0</v>
      </c>
      <c r="AF31" s="315">
        <v>0</v>
      </c>
      <c r="AG31" s="315">
        <v>248.465</v>
      </c>
      <c r="AH31" s="315">
        <v>0</v>
      </c>
      <c r="AI31" s="315">
        <v>1205.789</v>
      </c>
      <c r="AJ31" s="315">
        <v>0</v>
      </c>
      <c r="AK31" s="315">
        <v>0</v>
      </c>
      <c r="AL31" s="315">
        <v>30.593</v>
      </c>
      <c r="AM31" s="315">
        <v>261.80399999999997</v>
      </c>
      <c r="AN31" s="315">
        <v>784.23099999999999</v>
      </c>
      <c r="AO31" s="315">
        <v>70.814999999999998</v>
      </c>
      <c r="AP31" s="315">
        <v>0</v>
      </c>
      <c r="AQ31" s="315">
        <v>91.683000000000007</v>
      </c>
      <c r="AR31" s="315">
        <v>2368.288</v>
      </c>
      <c r="AS31" s="315">
        <v>1480.6990000000001</v>
      </c>
      <c r="AT31" s="315">
        <f>SUMIF(X$9:AS$9,"&gt;0",X31:AS31)</f>
        <v>10084.439</v>
      </c>
      <c r="AU31" s="315">
        <f>SUMIF(D$9:AS$9,"&gt;0",D31:AS31)</f>
        <v>30316.097000000002</v>
      </c>
      <c r="AV31" s="314">
        <v>22</v>
      </c>
    </row>
    <row r="32" spans="1:48" ht="15" customHeight="1" x14ac:dyDescent="0.25">
      <c r="A32" s="143"/>
      <c r="B32" s="317">
        <v>23</v>
      </c>
      <c r="C32" s="316" t="s">
        <v>215</v>
      </c>
      <c r="D32" s="315">
        <v>0</v>
      </c>
      <c r="E32" s="315">
        <v>2319.9690000000001</v>
      </c>
      <c r="F32" s="315">
        <v>670.88400000000001</v>
      </c>
      <c r="G32" s="315">
        <v>183.80099999999999</v>
      </c>
      <c r="H32" s="315">
        <v>0</v>
      </c>
      <c r="I32" s="315">
        <v>1259.567</v>
      </c>
      <c r="J32" s="315">
        <v>406.40899999999999</v>
      </c>
      <c r="K32" s="315">
        <v>792.81</v>
      </c>
      <c r="L32" s="315">
        <v>54.95</v>
      </c>
      <c r="M32" s="315">
        <f>SUMIF(D$9:L$9,"&gt;0",D32:L32)</f>
        <v>5688.3899999999985</v>
      </c>
      <c r="N32" s="315">
        <v>5134.8729999999996</v>
      </c>
      <c r="O32" s="315">
        <v>1247.566</v>
      </c>
      <c r="P32" s="315">
        <v>1066.3789999999999</v>
      </c>
      <c r="Q32" s="315">
        <v>0</v>
      </c>
      <c r="R32" s="315">
        <v>6868.3010000000004</v>
      </c>
      <c r="S32" s="315">
        <v>0</v>
      </c>
      <c r="T32" s="315">
        <v>59.774999999999999</v>
      </c>
      <c r="U32" s="315">
        <v>161.09399999999999</v>
      </c>
      <c r="V32" s="315">
        <v>0</v>
      </c>
      <c r="W32" s="315">
        <f>SUMIF(N$9:V$9,"&gt;0",N32:V32)</f>
        <v>14537.987999999998</v>
      </c>
      <c r="X32" s="315">
        <v>390.86599999999999</v>
      </c>
      <c r="Y32" s="315">
        <v>1022.269</v>
      </c>
      <c r="Z32" s="315">
        <v>120</v>
      </c>
      <c r="AA32" s="315">
        <v>5</v>
      </c>
      <c r="AB32" s="315">
        <v>2003.2439999999999</v>
      </c>
      <c r="AC32" s="315">
        <v>0</v>
      </c>
      <c r="AD32" s="315">
        <v>0</v>
      </c>
      <c r="AE32" s="315">
        <v>0</v>
      </c>
      <c r="AF32" s="315">
        <v>0</v>
      </c>
      <c r="AG32" s="315">
        <v>248.44499999999999</v>
      </c>
      <c r="AH32" s="315">
        <v>0</v>
      </c>
      <c r="AI32" s="315">
        <v>1203.789</v>
      </c>
      <c r="AJ32" s="315">
        <v>0</v>
      </c>
      <c r="AK32" s="315">
        <v>0</v>
      </c>
      <c r="AL32" s="315">
        <v>30.573</v>
      </c>
      <c r="AM32" s="315">
        <v>261.70400000000001</v>
      </c>
      <c r="AN32" s="315">
        <v>790.53499999999997</v>
      </c>
      <c r="AO32" s="315">
        <v>70.709000000000003</v>
      </c>
      <c r="AP32" s="315">
        <v>0</v>
      </c>
      <c r="AQ32" s="315">
        <v>91.582999999999998</v>
      </c>
      <c r="AR32" s="315">
        <v>2373.8429999999998</v>
      </c>
      <c r="AS32" s="315">
        <v>1459.2280000000001</v>
      </c>
      <c r="AT32" s="315">
        <f>SUMIF(X$9:AS$9,"&gt;0",X32:AS32)</f>
        <v>10071.788</v>
      </c>
      <c r="AU32" s="315">
        <f>SUMIF(D$9:AS$9,"&gt;0",D32:AS32)</f>
        <v>30298.165999999997</v>
      </c>
      <c r="AV32" s="314">
        <v>23</v>
      </c>
    </row>
    <row r="33" spans="1:48" ht="15" customHeight="1" x14ac:dyDescent="0.25">
      <c r="A33" s="143"/>
      <c r="B33" s="317">
        <v>24</v>
      </c>
      <c r="C33" s="316" t="s">
        <v>215</v>
      </c>
      <c r="D33" s="315">
        <v>0</v>
      </c>
      <c r="E33" s="315">
        <v>2353.2689999999998</v>
      </c>
      <c r="F33" s="315">
        <v>670.73400000000004</v>
      </c>
      <c r="G33" s="315">
        <v>183.791</v>
      </c>
      <c r="H33" s="315">
        <v>0</v>
      </c>
      <c r="I33" s="315">
        <v>1258.367</v>
      </c>
      <c r="J33" s="315">
        <v>406.30900000000003</v>
      </c>
      <c r="K33" s="315">
        <v>758.30499999999995</v>
      </c>
      <c r="L33" s="315">
        <v>54.95</v>
      </c>
      <c r="M33" s="315">
        <f>SUMIF(D$9:L$9,"&gt;0",D33:L33)</f>
        <v>5685.7250000000004</v>
      </c>
      <c r="N33" s="315">
        <v>5126.9359999999997</v>
      </c>
      <c r="O33" s="315">
        <v>1240.6759999999999</v>
      </c>
      <c r="P33" s="315">
        <v>1065.229</v>
      </c>
      <c r="Q33" s="315">
        <v>0</v>
      </c>
      <c r="R33" s="315">
        <v>6854.7510000000002</v>
      </c>
      <c r="S33" s="315">
        <v>0</v>
      </c>
      <c r="T33" s="315">
        <v>59.765000000000001</v>
      </c>
      <c r="U33" s="315">
        <v>161.054</v>
      </c>
      <c r="V33" s="315">
        <v>0</v>
      </c>
      <c r="W33" s="315">
        <f>SUMIF(N$9:V$9,"&gt;0",N33:V33)</f>
        <v>14508.411</v>
      </c>
      <c r="X33" s="315">
        <v>387.108</v>
      </c>
      <c r="Y33" s="315">
        <v>1021.819</v>
      </c>
      <c r="Z33" s="315">
        <v>120</v>
      </c>
      <c r="AA33" s="315">
        <v>5</v>
      </c>
      <c r="AB33" s="315">
        <v>2006.905</v>
      </c>
      <c r="AC33" s="315">
        <v>0</v>
      </c>
      <c r="AD33" s="315">
        <v>0</v>
      </c>
      <c r="AE33" s="315">
        <v>0</v>
      </c>
      <c r="AF33" s="315">
        <v>0</v>
      </c>
      <c r="AG33" s="315">
        <v>248.42500000000001</v>
      </c>
      <c r="AH33" s="315">
        <v>0</v>
      </c>
      <c r="AI33" s="315">
        <v>1201.789</v>
      </c>
      <c r="AJ33" s="315">
        <v>0</v>
      </c>
      <c r="AK33" s="315">
        <v>0</v>
      </c>
      <c r="AL33" s="315">
        <v>30.553000000000001</v>
      </c>
      <c r="AM33" s="315">
        <v>261.60399999999998</v>
      </c>
      <c r="AN33" s="315">
        <v>791.84</v>
      </c>
      <c r="AO33" s="315">
        <v>70.614999999999995</v>
      </c>
      <c r="AP33" s="315">
        <v>0</v>
      </c>
      <c r="AQ33" s="315">
        <v>91.483000000000004</v>
      </c>
      <c r="AR33" s="315">
        <v>2362.2249999999999</v>
      </c>
      <c r="AS33" s="315">
        <v>1478.336</v>
      </c>
      <c r="AT33" s="315">
        <f>SUMIF(X$9:AS$9,"&gt;0",X33:AS33)</f>
        <v>10077.701999999999</v>
      </c>
      <c r="AU33" s="315">
        <f>SUMIF(D$9:AS$9,"&gt;0",D33:AS33)</f>
        <v>30271.837999999996</v>
      </c>
      <c r="AV33" s="314">
        <v>24</v>
      </c>
    </row>
    <row r="34" spans="1:48" ht="15" customHeight="1" x14ac:dyDescent="0.25">
      <c r="A34" s="143"/>
      <c r="B34" s="317">
        <v>25</v>
      </c>
      <c r="C34" s="316" t="s">
        <v>215</v>
      </c>
      <c r="D34" s="315">
        <v>0</v>
      </c>
      <c r="E34" s="315">
        <v>2355.0390000000002</v>
      </c>
      <c r="F34" s="315">
        <v>676.28399999999999</v>
      </c>
      <c r="G34" s="315">
        <v>179.28100000000001</v>
      </c>
      <c r="H34" s="315">
        <v>0</v>
      </c>
      <c r="I34" s="315">
        <v>1276.567</v>
      </c>
      <c r="J34" s="315">
        <v>410.30900000000003</v>
      </c>
      <c r="K34" s="315">
        <v>798.18899999999996</v>
      </c>
      <c r="L34" s="315">
        <v>54.95</v>
      </c>
      <c r="M34" s="315">
        <f>SUMIF(D$9:L$9,"&gt;0",D34:L34)</f>
        <v>5750.6190000000006</v>
      </c>
      <c r="N34" s="315">
        <v>5097.9189999999999</v>
      </c>
      <c r="O34" s="315">
        <v>1288.7860000000001</v>
      </c>
      <c r="P34" s="315">
        <v>1061.05</v>
      </c>
      <c r="Q34" s="315">
        <v>0</v>
      </c>
      <c r="R34" s="315">
        <v>6841.201</v>
      </c>
      <c r="S34" s="315">
        <v>0</v>
      </c>
      <c r="T34" s="315">
        <v>59.755000000000003</v>
      </c>
      <c r="U34" s="315">
        <v>161.01400000000001</v>
      </c>
      <c r="V34" s="315">
        <v>0</v>
      </c>
      <c r="W34" s="315">
        <f>SUMIF(N$9:V$9,"&gt;0",N34:V34)</f>
        <v>14509.724999999999</v>
      </c>
      <c r="X34" s="315">
        <v>390.50599999999997</v>
      </c>
      <c r="Y34" s="315">
        <v>1023.369</v>
      </c>
      <c r="Z34" s="315">
        <v>120</v>
      </c>
      <c r="AA34" s="315">
        <v>5</v>
      </c>
      <c r="AB34" s="315">
        <v>1994.394</v>
      </c>
      <c r="AC34" s="315">
        <v>0</v>
      </c>
      <c r="AD34" s="315">
        <v>0</v>
      </c>
      <c r="AE34" s="315">
        <v>0</v>
      </c>
      <c r="AF34" s="315">
        <v>0</v>
      </c>
      <c r="AG34" s="315">
        <v>248.405</v>
      </c>
      <c r="AH34" s="315">
        <v>0</v>
      </c>
      <c r="AI34" s="315">
        <v>1199.789</v>
      </c>
      <c r="AJ34" s="315">
        <v>0</v>
      </c>
      <c r="AK34" s="315">
        <v>0</v>
      </c>
      <c r="AL34" s="315">
        <v>30.533000000000001</v>
      </c>
      <c r="AM34" s="315">
        <v>261.50400000000002</v>
      </c>
      <c r="AN34" s="315">
        <v>791.447</v>
      </c>
      <c r="AO34" s="315">
        <v>70.515000000000001</v>
      </c>
      <c r="AP34" s="315">
        <v>0</v>
      </c>
      <c r="AQ34" s="315">
        <v>91.382999999999996</v>
      </c>
      <c r="AR34" s="315">
        <v>2363.5160000000001</v>
      </c>
      <c r="AS34" s="315">
        <v>1478.4069999999999</v>
      </c>
      <c r="AT34" s="315">
        <f>SUMIF(X$9:AS$9,"&gt;0",X34:AS34)</f>
        <v>10068.768</v>
      </c>
      <c r="AU34" s="315">
        <f>SUMIF(D$9:AS$9,"&gt;0",D34:AS34)</f>
        <v>30329.112000000001</v>
      </c>
      <c r="AV34" s="314">
        <v>25</v>
      </c>
    </row>
    <row r="35" spans="1:48" ht="15" customHeight="1" x14ac:dyDescent="0.25">
      <c r="A35" s="143"/>
      <c r="B35" s="317">
        <v>26</v>
      </c>
      <c r="C35" s="316" t="s">
        <v>215</v>
      </c>
      <c r="D35" s="315">
        <v>0</v>
      </c>
      <c r="E35" s="315">
        <v>2338.4690000000001</v>
      </c>
      <c r="F35" s="315">
        <v>676.13400000000001</v>
      </c>
      <c r="G35" s="315">
        <v>192.77099999999999</v>
      </c>
      <c r="H35" s="315">
        <v>0</v>
      </c>
      <c r="I35" s="315">
        <v>1275.367</v>
      </c>
      <c r="J35" s="315">
        <v>410.209</v>
      </c>
      <c r="K35" s="315">
        <v>792.68399999999997</v>
      </c>
      <c r="L35" s="315">
        <v>54.95</v>
      </c>
      <c r="M35" s="315">
        <f>SUMIF(D$9:L$9,"&gt;0",D35:L35)</f>
        <v>5740.5839999999998</v>
      </c>
      <c r="N35" s="315">
        <v>5106.9489999999996</v>
      </c>
      <c r="O35" s="315">
        <v>1327.896</v>
      </c>
      <c r="P35" s="315">
        <v>1075.329</v>
      </c>
      <c r="Q35" s="315">
        <v>0</v>
      </c>
      <c r="R35" s="315">
        <v>6827.6509999999998</v>
      </c>
      <c r="S35" s="315">
        <v>0</v>
      </c>
      <c r="T35" s="315">
        <v>59.744999999999997</v>
      </c>
      <c r="U35" s="315">
        <v>160.97399999999999</v>
      </c>
      <c r="V35" s="315">
        <v>0</v>
      </c>
      <c r="W35" s="315">
        <f>SUMIF(N$9:V$9,"&gt;0",N35:V35)</f>
        <v>14558.544</v>
      </c>
      <c r="X35" s="315">
        <v>390.32600000000002</v>
      </c>
      <c r="Y35" s="315">
        <v>1015.703</v>
      </c>
      <c r="Z35" s="315">
        <v>120</v>
      </c>
      <c r="AA35" s="315">
        <v>5</v>
      </c>
      <c r="AB35" s="315">
        <v>2006.7049999999999</v>
      </c>
      <c r="AC35" s="315">
        <v>0</v>
      </c>
      <c r="AD35" s="315">
        <v>0</v>
      </c>
      <c r="AE35" s="315">
        <v>0</v>
      </c>
      <c r="AF35" s="315">
        <v>0</v>
      </c>
      <c r="AG35" s="315">
        <v>248.38499999999999</v>
      </c>
      <c r="AH35" s="315">
        <v>0</v>
      </c>
      <c r="AI35" s="315">
        <v>1197.789</v>
      </c>
      <c r="AJ35" s="315">
        <v>0</v>
      </c>
      <c r="AK35" s="315">
        <v>0</v>
      </c>
      <c r="AL35" s="315">
        <v>30.513000000000002</v>
      </c>
      <c r="AM35" s="315">
        <v>261.404</v>
      </c>
      <c r="AN35" s="315">
        <v>793.54</v>
      </c>
      <c r="AO35" s="315">
        <v>70.415000000000006</v>
      </c>
      <c r="AP35" s="315">
        <v>0</v>
      </c>
      <c r="AQ35" s="315">
        <v>91.283000000000001</v>
      </c>
      <c r="AR35" s="315">
        <v>2362.7280000000001</v>
      </c>
      <c r="AS35" s="315">
        <v>1479.876</v>
      </c>
      <c r="AT35" s="315">
        <f>SUMIF(X$9:AS$9,"&gt;0",X35:AS35)</f>
        <v>10073.666999999999</v>
      </c>
      <c r="AU35" s="315">
        <f>SUMIF(D$9:AS$9,"&gt;0",D35:AS35)</f>
        <v>30372.794999999998</v>
      </c>
      <c r="AV35" s="314">
        <v>26</v>
      </c>
    </row>
    <row r="36" spans="1:48" ht="15" customHeight="1" x14ac:dyDescent="0.25">
      <c r="A36" s="143"/>
      <c r="B36" s="317">
        <v>27</v>
      </c>
      <c r="C36" s="316" t="s">
        <v>215</v>
      </c>
      <c r="D36" s="315">
        <v>0</v>
      </c>
      <c r="E36" s="315">
        <v>2411.7689999999998</v>
      </c>
      <c r="F36" s="315">
        <v>675.98400000000004</v>
      </c>
      <c r="G36" s="315">
        <v>192.761</v>
      </c>
      <c r="H36" s="315">
        <v>0</v>
      </c>
      <c r="I36" s="315">
        <v>1274.1669999999999</v>
      </c>
      <c r="J36" s="315">
        <v>410.10899999999998</v>
      </c>
      <c r="K36" s="315">
        <v>795.40099999999995</v>
      </c>
      <c r="L36" s="315">
        <v>54.95</v>
      </c>
      <c r="M36" s="315">
        <f>SUMIF(D$9:L$9,"&gt;0",D36:L36)</f>
        <v>5815.1409999999996</v>
      </c>
      <c r="N36" s="315">
        <v>5140.4120000000003</v>
      </c>
      <c r="O36" s="315">
        <v>1328.0060000000001</v>
      </c>
      <c r="P36" s="315">
        <v>1074.1790000000001</v>
      </c>
      <c r="Q36" s="315">
        <v>0</v>
      </c>
      <c r="R36" s="315">
        <v>7029.3010000000004</v>
      </c>
      <c r="S36" s="315">
        <v>0</v>
      </c>
      <c r="T36" s="315">
        <v>59.734999999999999</v>
      </c>
      <c r="U36" s="315">
        <v>160.934</v>
      </c>
      <c r="V36" s="315">
        <v>0</v>
      </c>
      <c r="W36" s="315">
        <f>SUMIF(N$9:V$9,"&gt;0",N36:V36)</f>
        <v>14792.567000000001</v>
      </c>
      <c r="X36" s="315">
        <v>390.14600000000002</v>
      </c>
      <c r="Y36" s="315">
        <v>1017.769</v>
      </c>
      <c r="Z36" s="315">
        <v>120</v>
      </c>
      <c r="AA36" s="315">
        <v>5</v>
      </c>
      <c r="AB36" s="315">
        <v>2011.105</v>
      </c>
      <c r="AC36" s="315">
        <v>0</v>
      </c>
      <c r="AD36" s="315">
        <v>0</v>
      </c>
      <c r="AE36" s="315">
        <v>0</v>
      </c>
      <c r="AF36" s="315">
        <v>0</v>
      </c>
      <c r="AG36" s="315">
        <v>248.36500000000001</v>
      </c>
      <c r="AH36" s="315">
        <v>0</v>
      </c>
      <c r="AI36" s="315">
        <v>1195.789</v>
      </c>
      <c r="AJ36" s="315">
        <v>0</v>
      </c>
      <c r="AK36" s="315">
        <v>0</v>
      </c>
      <c r="AL36" s="315">
        <v>30.492999999999999</v>
      </c>
      <c r="AM36" s="315">
        <v>261.30399999999997</v>
      </c>
      <c r="AN36" s="315">
        <v>792.94</v>
      </c>
      <c r="AO36" s="315">
        <v>90.314999999999998</v>
      </c>
      <c r="AP36" s="315">
        <v>0</v>
      </c>
      <c r="AQ36" s="315">
        <v>91.183000000000007</v>
      </c>
      <c r="AR36" s="315">
        <v>2382.8429999999998</v>
      </c>
      <c r="AS36" s="315">
        <v>1478.646</v>
      </c>
      <c r="AT36" s="315">
        <f>SUMIF(X$9:AS$9,"&gt;0",X36:AS36)</f>
        <v>10115.898000000001</v>
      </c>
      <c r="AU36" s="315">
        <f>SUMIF(D$9:AS$9,"&gt;0",D36:AS36)</f>
        <v>30723.606000000003</v>
      </c>
      <c r="AV36" s="314">
        <v>27</v>
      </c>
    </row>
    <row r="37" spans="1:48" ht="15" customHeight="1" x14ac:dyDescent="0.25">
      <c r="A37" s="143"/>
      <c r="B37" s="317">
        <v>28</v>
      </c>
      <c r="C37" s="316" t="s">
        <v>215</v>
      </c>
      <c r="D37" s="315">
        <v>0</v>
      </c>
      <c r="E37" s="315">
        <v>2457.569</v>
      </c>
      <c r="F37" s="315">
        <v>675.83399999999995</v>
      </c>
      <c r="G37" s="315">
        <v>183.751</v>
      </c>
      <c r="H37" s="315">
        <v>0</v>
      </c>
      <c r="I37" s="315">
        <v>1266.7670000000001</v>
      </c>
      <c r="J37" s="315">
        <v>410.00900000000001</v>
      </c>
      <c r="K37" s="315">
        <v>796.68899999999996</v>
      </c>
      <c r="L37" s="315">
        <v>54.95</v>
      </c>
      <c r="M37" s="315">
        <f>SUMIF(D$9:L$9,"&gt;0",D37:L37)</f>
        <v>5845.5690000000004</v>
      </c>
      <c r="N37" s="315">
        <v>5130.527</v>
      </c>
      <c r="O37" s="315">
        <v>1321.0640000000001</v>
      </c>
      <c r="P37" s="315">
        <v>1073.029</v>
      </c>
      <c r="Q37" s="315">
        <v>0</v>
      </c>
      <c r="R37" s="315">
        <v>7029.3509999999997</v>
      </c>
      <c r="S37" s="315">
        <v>0</v>
      </c>
      <c r="T37" s="315">
        <v>59.725000000000001</v>
      </c>
      <c r="U37" s="315">
        <v>160.89400000000001</v>
      </c>
      <c r="V37" s="315">
        <v>0</v>
      </c>
      <c r="W37" s="315">
        <f>SUMIF(N$9:V$9,"&gt;0",N37:V37)</f>
        <v>14774.590000000002</v>
      </c>
      <c r="X37" s="315">
        <v>389.96600000000001</v>
      </c>
      <c r="Y37" s="315">
        <v>1022.2190000000001</v>
      </c>
      <c r="Z37" s="315">
        <v>120</v>
      </c>
      <c r="AA37" s="315">
        <v>5</v>
      </c>
      <c r="AB37" s="315">
        <v>2009.3050000000001</v>
      </c>
      <c r="AC37" s="315">
        <v>0</v>
      </c>
      <c r="AD37" s="315">
        <v>0</v>
      </c>
      <c r="AE37" s="315">
        <v>0</v>
      </c>
      <c r="AF37" s="315">
        <v>0</v>
      </c>
      <c r="AG37" s="315">
        <v>248.345</v>
      </c>
      <c r="AH37" s="315">
        <v>0</v>
      </c>
      <c r="AI37" s="315">
        <v>1193.789</v>
      </c>
      <c r="AJ37" s="315">
        <v>0</v>
      </c>
      <c r="AK37" s="315">
        <v>0</v>
      </c>
      <c r="AL37" s="315">
        <v>30.472999999999999</v>
      </c>
      <c r="AM37" s="315">
        <v>261.20400000000001</v>
      </c>
      <c r="AN37" s="315">
        <v>795.34</v>
      </c>
      <c r="AO37" s="315">
        <v>90.215000000000003</v>
      </c>
      <c r="AP37" s="315">
        <v>0</v>
      </c>
      <c r="AQ37" s="315">
        <v>92.783000000000001</v>
      </c>
      <c r="AR37" s="315">
        <v>2399.5929999999998</v>
      </c>
      <c r="AS37" s="315">
        <v>1468.616</v>
      </c>
      <c r="AT37" s="315">
        <f>SUMIF(X$9:AS$9,"&gt;0",X37:AS37)</f>
        <v>10126.848</v>
      </c>
      <c r="AU37" s="315">
        <f>SUMIF(D$9:AS$9,"&gt;0",D37:AS37)</f>
        <v>30747.007000000005</v>
      </c>
      <c r="AV37" s="314">
        <v>28</v>
      </c>
    </row>
    <row r="38" spans="1:48" ht="15" customHeight="1" x14ac:dyDescent="0.25">
      <c r="A38" s="143"/>
      <c r="B38" s="317">
        <v>29</v>
      </c>
      <c r="C38" s="316" t="s">
        <v>215</v>
      </c>
      <c r="D38" s="315">
        <v>0</v>
      </c>
      <c r="E38" s="315">
        <v>2455.8690000000001</v>
      </c>
      <c r="F38" s="315">
        <v>675.68399999999997</v>
      </c>
      <c r="G38" s="315">
        <v>183.74100000000001</v>
      </c>
      <c r="H38" s="315">
        <v>0</v>
      </c>
      <c r="I38" s="315">
        <v>1265.567</v>
      </c>
      <c r="J38" s="315">
        <v>409.90899999999999</v>
      </c>
      <c r="K38" s="315">
        <v>796.07100000000003</v>
      </c>
      <c r="L38" s="315">
        <v>54.95</v>
      </c>
      <c r="M38" s="315">
        <f>SUMIF(D$9:L$9,"&gt;0",D38:L38)</f>
        <v>5841.7909999999993</v>
      </c>
      <c r="N38" s="315">
        <v>5137.6750000000002</v>
      </c>
      <c r="O38" s="315">
        <v>1292.326</v>
      </c>
      <c r="P38" s="315">
        <v>1130.279</v>
      </c>
      <c r="Q38" s="315">
        <v>0</v>
      </c>
      <c r="R38" s="315">
        <v>7029.4009999999998</v>
      </c>
      <c r="S38" s="315">
        <v>0</v>
      </c>
      <c r="T38" s="315">
        <v>59.715000000000003</v>
      </c>
      <c r="U38" s="315">
        <v>160.85400000000001</v>
      </c>
      <c r="V38" s="315">
        <v>0</v>
      </c>
      <c r="W38" s="315">
        <f>SUMIF(N$9:V$9,"&gt;0",N38:V38)</f>
        <v>14810.25</v>
      </c>
      <c r="X38" s="315">
        <v>389.786</v>
      </c>
      <c r="Y38" s="315">
        <v>1021.769</v>
      </c>
      <c r="Z38" s="315">
        <v>120</v>
      </c>
      <c r="AA38" s="315">
        <v>5</v>
      </c>
      <c r="AB38" s="315">
        <v>2016.605</v>
      </c>
      <c r="AC38" s="315">
        <v>0</v>
      </c>
      <c r="AD38" s="315">
        <v>0</v>
      </c>
      <c r="AE38" s="315">
        <v>0</v>
      </c>
      <c r="AF38" s="315">
        <v>0</v>
      </c>
      <c r="AG38" s="315">
        <v>240.92500000000001</v>
      </c>
      <c r="AH38" s="315">
        <v>0</v>
      </c>
      <c r="AI38" s="315">
        <v>1191.789</v>
      </c>
      <c r="AJ38" s="315">
        <v>0</v>
      </c>
      <c r="AK38" s="315">
        <v>0</v>
      </c>
      <c r="AL38" s="315">
        <v>30.452999999999999</v>
      </c>
      <c r="AM38" s="315">
        <v>261.10399999999998</v>
      </c>
      <c r="AN38" s="315">
        <v>802.14</v>
      </c>
      <c r="AO38" s="315">
        <v>90.114999999999995</v>
      </c>
      <c r="AP38" s="315">
        <v>0</v>
      </c>
      <c r="AQ38" s="315">
        <v>92.683000000000007</v>
      </c>
      <c r="AR38" s="315">
        <v>2387.527</v>
      </c>
      <c r="AS38" s="315">
        <v>1467.386</v>
      </c>
      <c r="AT38" s="315">
        <f>SUMIF(X$9:AS$9,"&gt;0",X38:AS38)</f>
        <v>10117.282000000001</v>
      </c>
      <c r="AU38" s="315">
        <f>SUMIF(D$9:AS$9,"&gt;0",D38:AS38)</f>
        <v>30769.323000000004</v>
      </c>
      <c r="AV38" s="314">
        <v>29</v>
      </c>
    </row>
    <row r="39" spans="1:48" ht="15" customHeight="1" thickBot="1" x14ac:dyDescent="0.3">
      <c r="A39" s="143"/>
      <c r="B39" s="317">
        <v>30</v>
      </c>
      <c r="C39" s="316" t="s">
        <v>215</v>
      </c>
      <c r="D39" s="315">
        <v>0</v>
      </c>
      <c r="E39" s="315">
        <v>2457.1689999999999</v>
      </c>
      <c r="F39" s="315">
        <v>675.53399999999999</v>
      </c>
      <c r="G39" s="315">
        <v>192.73099999999999</v>
      </c>
      <c r="H39" s="315">
        <v>0</v>
      </c>
      <c r="I39" s="315">
        <v>1305.567</v>
      </c>
      <c r="J39" s="315">
        <v>409.80900000000003</v>
      </c>
      <c r="K39" s="315">
        <v>796.90099999999995</v>
      </c>
      <c r="L39" s="315">
        <v>54.95</v>
      </c>
      <c r="M39" s="315">
        <f>SUMIF(D$9:L$9,"&gt;0",D39:L39)</f>
        <v>5892.6610000000001</v>
      </c>
      <c r="N39" s="315">
        <v>5206.0159999999996</v>
      </c>
      <c r="O39" s="315">
        <v>1315.4359999999999</v>
      </c>
      <c r="P39" s="315">
        <v>1112.4290000000001</v>
      </c>
      <c r="Q39" s="315">
        <v>0</v>
      </c>
      <c r="R39" s="315">
        <v>7029.451</v>
      </c>
      <c r="S39" s="315">
        <v>0</v>
      </c>
      <c r="T39" s="315">
        <v>59.704999999999998</v>
      </c>
      <c r="U39" s="315">
        <v>160.81399999999999</v>
      </c>
      <c r="V39" s="315">
        <v>0</v>
      </c>
      <c r="W39" s="315">
        <f>SUMIF(N$9:V$9,"&gt;0",N39:V39)</f>
        <v>14883.850999999999</v>
      </c>
      <c r="X39" s="315">
        <v>384.30599999999998</v>
      </c>
      <c r="Y39" s="315">
        <v>1021.319</v>
      </c>
      <c r="Z39" s="315">
        <v>120</v>
      </c>
      <c r="AA39" s="315">
        <v>5</v>
      </c>
      <c r="AB39" s="315">
        <v>2016.405</v>
      </c>
      <c r="AC39" s="315">
        <v>0</v>
      </c>
      <c r="AD39" s="315">
        <v>0</v>
      </c>
      <c r="AE39" s="315">
        <v>0</v>
      </c>
      <c r="AF39" s="315">
        <v>0</v>
      </c>
      <c r="AG39" s="315">
        <v>248.30500000000001</v>
      </c>
      <c r="AH39" s="315">
        <v>0</v>
      </c>
      <c r="AI39" s="315">
        <v>1172.6890000000001</v>
      </c>
      <c r="AJ39" s="315">
        <v>0</v>
      </c>
      <c r="AK39" s="315">
        <v>0</v>
      </c>
      <c r="AL39" s="315">
        <v>30.433</v>
      </c>
      <c r="AM39" s="315">
        <v>249.70400000000001</v>
      </c>
      <c r="AN39" s="315">
        <v>802.44</v>
      </c>
      <c r="AO39" s="315">
        <v>101.11499999999999</v>
      </c>
      <c r="AP39" s="315">
        <v>0</v>
      </c>
      <c r="AQ39" s="315">
        <v>92.582999999999998</v>
      </c>
      <c r="AR39" s="315">
        <v>2395.1930000000002</v>
      </c>
      <c r="AS39" s="315">
        <v>1464.6559999999999</v>
      </c>
      <c r="AT39" s="315">
        <f>SUMIF(X$9:AS$9,"&gt;0",X39:AS39)</f>
        <v>10104.147999999997</v>
      </c>
      <c r="AU39" s="315">
        <f>SUMIF(D$9:AS$9,"&gt;0",D39:AS39)</f>
        <v>30880.659999999996</v>
      </c>
      <c r="AV39" s="314">
        <v>30</v>
      </c>
    </row>
    <row r="40" spans="1:48" ht="15" customHeight="1" x14ac:dyDescent="0.25">
      <c r="A40" s="143"/>
      <c r="B40" s="313" t="s">
        <v>348</v>
      </c>
      <c r="C40" s="312" t="s">
        <v>345</v>
      </c>
      <c r="D40" s="311">
        <f>SUM(D$10:D39)/1000</f>
        <v>0</v>
      </c>
      <c r="E40" s="311">
        <f>SUM(E$10:E39)/1000</f>
        <v>69.058141999999989</v>
      </c>
      <c r="F40" s="311">
        <f>SUM(F$10:F39)/1000</f>
        <v>20.274269999999998</v>
      </c>
      <c r="G40" s="311">
        <f>SUM(G$10:G39)/1000</f>
        <v>5.6949850000000009</v>
      </c>
      <c r="H40" s="311">
        <f>SUM(H$10:H39)/1000</f>
        <v>0</v>
      </c>
      <c r="I40" s="311">
        <f>SUM(I$10:I39)/1000</f>
        <v>36.564452000000003</v>
      </c>
      <c r="J40" s="311">
        <f>SUM(J$10:J39)/1000</f>
        <v>12.254174999999998</v>
      </c>
      <c r="K40" s="311">
        <f>SUM(K$10:K39)/1000</f>
        <v>23.985418000000006</v>
      </c>
      <c r="L40" s="311">
        <f>SUM(L$10:L39)/1000</f>
        <v>1.6220330000000007</v>
      </c>
      <c r="M40" s="311">
        <f>SUM(M$10:M39)/1000</f>
        <v>169.45347499999994</v>
      </c>
      <c r="N40" s="311">
        <f>SUM(N$10:N39)/1000</f>
        <v>152.94512</v>
      </c>
      <c r="O40" s="311">
        <f>SUM(O$10:O39)/1000</f>
        <v>36.676811999999998</v>
      </c>
      <c r="P40" s="311">
        <f>SUM(P$10:P39)/1000</f>
        <v>31.823513999999999</v>
      </c>
      <c r="Q40" s="311">
        <f>SUM(Q$10:Q39)/1000</f>
        <v>0</v>
      </c>
      <c r="R40" s="311">
        <f>SUM(R$10:R39)/1000</f>
        <v>206.46585100000001</v>
      </c>
      <c r="S40" s="311">
        <f>SUM(S$10:S39)/1000</f>
        <v>0</v>
      </c>
      <c r="T40" s="311">
        <f>SUM(T$10:T39)/1000</f>
        <v>1.7955000000000003</v>
      </c>
      <c r="U40" s="311">
        <f>SUM(U$10:U39)/1000</f>
        <v>4.820420000000003</v>
      </c>
      <c r="V40" s="311">
        <f>SUM(V$10:V39)/1000</f>
        <v>0</v>
      </c>
      <c r="W40" s="311">
        <f>SUM(W$10:W39)/1000</f>
        <v>434.52721699999995</v>
      </c>
      <c r="X40" s="311">
        <f>SUM(X$10:X39)/1000</f>
        <v>11.624566999999999</v>
      </c>
      <c r="Y40" s="311">
        <f>SUM(Y$10:Y39)/1000</f>
        <v>30.216463999999998</v>
      </c>
      <c r="Z40" s="311">
        <f>SUM(Z$10:Z39)/1000</f>
        <v>1.92</v>
      </c>
      <c r="AA40" s="311">
        <f>SUM(AA$10:AA39)/1000</f>
        <v>0.15</v>
      </c>
      <c r="AB40" s="311">
        <f>SUM(AB$10:AB39)/1000</f>
        <v>59.430980000000012</v>
      </c>
      <c r="AC40" s="311">
        <f>SUM(AC$10:AC39)/1000</f>
        <v>0</v>
      </c>
      <c r="AD40" s="311">
        <f>SUM(AD$10:AD39)/1000</f>
        <v>0</v>
      </c>
      <c r="AE40" s="311">
        <f>SUM(AE$10:AE39)/1000</f>
        <v>0</v>
      </c>
      <c r="AF40" s="311">
        <f>SUM(AF$10:AF39)/1000</f>
        <v>0</v>
      </c>
      <c r="AG40" s="311">
        <f>SUM(AG$10:AG39)/1000</f>
        <v>7.3028120000000003</v>
      </c>
      <c r="AH40" s="311">
        <f>SUM(AH$10:AH39)/1000</f>
        <v>0</v>
      </c>
      <c r="AI40" s="311">
        <f>SUM(AI$10:AI39)/1000</f>
        <v>36.528619999999997</v>
      </c>
      <c r="AJ40" s="311">
        <f>SUM(AJ$10:AJ39)/1000</f>
        <v>0</v>
      </c>
      <c r="AK40" s="311">
        <f>SUM(AK$10:AK39)/1000</f>
        <v>0</v>
      </c>
      <c r="AL40" s="311">
        <f>SUM(AL$10:AL39)/1000</f>
        <v>0.82369000000000003</v>
      </c>
      <c r="AM40" s="311">
        <f>SUM(AM$10:AM39)/1000</f>
        <v>7.7963259999999996</v>
      </c>
      <c r="AN40" s="311">
        <f>SUM(AN$10:AN39)/1000</f>
        <v>23.764231999999996</v>
      </c>
      <c r="AO40" s="311">
        <f>SUM(AO$10:AO39)/1000</f>
        <v>2.2338040000000001</v>
      </c>
      <c r="AP40" s="311">
        <f>SUM(AP$10:AP39)/1000</f>
        <v>0</v>
      </c>
      <c r="AQ40" s="311">
        <f>SUM(AQ$10:AQ39)/1000</f>
        <v>2.7765329999999997</v>
      </c>
      <c r="AR40" s="311">
        <f>SUM(AR$10:AR39)/1000</f>
        <v>71.883209000000022</v>
      </c>
      <c r="AS40" s="311">
        <f>SUM(AS$10:AS39)/1000</f>
        <v>43.877085000000008</v>
      </c>
      <c r="AT40" s="311">
        <f>SUM(AT$10:AT39)/1000</f>
        <v>300.32832199999996</v>
      </c>
      <c r="AU40" s="311">
        <f>SUM(AU$10:AU39)/1000</f>
        <v>904.30901399999982</v>
      </c>
      <c r="AV40" s="143"/>
    </row>
    <row r="41" spans="1:48" ht="15" customHeight="1" x14ac:dyDescent="0.25">
      <c r="A41" s="143"/>
      <c r="B41" s="144"/>
      <c r="C41" s="144"/>
      <c r="D41" s="169"/>
      <c r="E41" s="169"/>
      <c r="F41" s="169"/>
      <c r="G41" s="169"/>
      <c r="H41" s="169"/>
      <c r="I41" s="169"/>
      <c r="J41" s="169"/>
      <c r="K41" s="169"/>
      <c r="L41" s="169"/>
      <c r="M41" s="302"/>
      <c r="N41" s="169"/>
      <c r="O41" s="169"/>
      <c r="P41" s="169"/>
      <c r="Q41" s="169"/>
      <c r="R41" s="169"/>
      <c r="S41" s="169"/>
      <c r="T41" s="169"/>
      <c r="U41" s="169"/>
      <c r="V41" s="169"/>
      <c r="W41" s="302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302"/>
      <c r="AU41" s="302"/>
      <c r="AV41" s="143"/>
    </row>
    <row r="42" spans="1:48" ht="15" customHeight="1" x14ac:dyDescent="0.25">
      <c r="A42" s="143"/>
      <c r="B42" s="310" t="s">
        <v>347</v>
      </c>
      <c r="C42" s="309" t="s">
        <v>345</v>
      </c>
      <c r="D42" s="307">
        <v>0</v>
      </c>
      <c r="E42" s="307">
        <v>66.768000000000001</v>
      </c>
      <c r="F42" s="307">
        <v>18.823</v>
      </c>
      <c r="G42" s="307">
        <v>6.2080000000000002</v>
      </c>
      <c r="H42" s="308"/>
      <c r="I42" s="307">
        <v>33.677999999999997</v>
      </c>
      <c r="J42" s="307">
        <v>0.252</v>
      </c>
      <c r="K42" s="307">
        <v>25.922999999999998</v>
      </c>
      <c r="L42" s="307">
        <v>1.2609999999999999</v>
      </c>
      <c r="M42" s="307">
        <f>SUMIF(D$9:L$9,"&gt;-1",D42:L42)</f>
        <v>152.91299999999998</v>
      </c>
      <c r="N42" s="307">
        <v>135.78700000000001</v>
      </c>
      <c r="O42" s="307">
        <v>29.315000000000001</v>
      </c>
      <c r="P42" s="307">
        <v>30.664000000000001</v>
      </c>
      <c r="Q42" s="307">
        <v>0</v>
      </c>
      <c r="R42" s="307">
        <v>164.13200000000001</v>
      </c>
      <c r="S42" s="307">
        <v>0</v>
      </c>
      <c r="T42" s="307">
        <v>1.677</v>
      </c>
      <c r="U42" s="307">
        <v>5.1909999999999998</v>
      </c>
      <c r="V42" s="307">
        <v>0</v>
      </c>
      <c r="W42" s="307">
        <f>SUMIF(N$9:V$9,"&gt;-1",N42:V42)</f>
        <v>366.76600000000002</v>
      </c>
      <c r="X42" s="307">
        <v>8.8209999999999997</v>
      </c>
      <c r="Y42" s="307">
        <v>27.390999999999998</v>
      </c>
      <c r="Z42" s="307">
        <v>3.3279999999999998</v>
      </c>
      <c r="AA42" s="307">
        <v>13.666</v>
      </c>
      <c r="AB42" s="307">
        <v>53.723999999999997</v>
      </c>
      <c r="AC42" s="308"/>
      <c r="AD42" s="308"/>
      <c r="AE42" s="308"/>
      <c r="AF42" s="307">
        <v>8.1000000000000003E-2</v>
      </c>
      <c r="AG42" s="307">
        <v>8.7560000000000002</v>
      </c>
      <c r="AH42" s="307">
        <v>0</v>
      </c>
      <c r="AI42" s="307">
        <v>41.662999999999997</v>
      </c>
      <c r="AJ42" s="308"/>
      <c r="AK42" s="308"/>
      <c r="AL42" s="307">
        <v>0.34100000000000003</v>
      </c>
      <c r="AM42" s="307">
        <v>6.7880000000000003</v>
      </c>
      <c r="AN42" s="307">
        <v>27.462</v>
      </c>
      <c r="AO42" s="307">
        <v>2.6110000000000002</v>
      </c>
      <c r="AP42" s="308"/>
      <c r="AQ42" s="307">
        <v>3.11</v>
      </c>
      <c r="AR42" s="307">
        <v>77.075000000000003</v>
      </c>
      <c r="AS42" s="307">
        <v>45.527999999999999</v>
      </c>
      <c r="AT42" s="307">
        <f>SUMIF(X$9:AS$9,"&gt;-1",X42:AS42)</f>
        <v>320.34500000000003</v>
      </c>
      <c r="AU42" s="307">
        <f>SUMIF(D$9:AS$9,"&gt;-1",D42:AS42)</f>
        <v>840.02400000000011</v>
      </c>
      <c r="AV42" s="143"/>
    </row>
    <row r="43" spans="1:48" ht="15" customHeight="1" x14ac:dyDescent="0.25">
      <c r="A43" s="143"/>
      <c r="B43" s="303"/>
      <c r="C43" s="303"/>
      <c r="D43" s="144"/>
      <c r="E43" s="144"/>
      <c r="F43" s="144"/>
      <c r="G43" s="144"/>
      <c r="H43" s="144"/>
      <c r="I43" s="144"/>
      <c r="J43" s="144"/>
      <c r="K43" s="144"/>
      <c r="L43" s="144"/>
      <c r="M43" s="302"/>
      <c r="N43" s="144"/>
      <c r="O43" s="144"/>
      <c r="P43" s="144"/>
      <c r="Q43" s="144"/>
      <c r="R43" s="144"/>
      <c r="S43" s="144"/>
      <c r="T43" s="144"/>
      <c r="U43" s="144"/>
      <c r="V43" s="144"/>
      <c r="W43" s="302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302"/>
      <c r="AU43" s="302"/>
      <c r="AV43" s="143"/>
    </row>
    <row r="44" spans="1:48" ht="15" customHeight="1" x14ac:dyDescent="0.25">
      <c r="A44" s="143"/>
      <c r="B44" s="306" t="s">
        <v>346</v>
      </c>
      <c r="C44" s="305" t="s">
        <v>345</v>
      </c>
      <c r="D44" s="304">
        <f>IF(D42="",0,D40-D42)</f>
        <v>0</v>
      </c>
      <c r="E44" s="304">
        <f>IF(E42="",0,E40-E42)</f>
        <v>2.2901419999999888</v>
      </c>
      <c r="F44" s="304">
        <f>IF(F42="",0,F40-F42)</f>
        <v>1.4512699999999974</v>
      </c>
      <c r="G44" s="304">
        <f>IF(G42="",0,G40-G42)</f>
        <v>-0.51301499999999933</v>
      </c>
      <c r="H44" s="304">
        <f>IF(H42="",0,H40-H42)</f>
        <v>0</v>
      </c>
      <c r="I44" s="304">
        <f>IF(I42="",0,I40-I42)</f>
        <v>2.8864520000000056</v>
      </c>
      <c r="J44" s="304">
        <f>IF(J42="",0,J40-J42)</f>
        <v>12.002174999999998</v>
      </c>
      <c r="K44" s="304">
        <f>IF(K42="",0,K40-K42)</f>
        <v>-1.9375819999999919</v>
      </c>
      <c r="L44" s="304">
        <f>IF(L42="",0,L40-L42)</f>
        <v>0.36103300000000083</v>
      </c>
      <c r="M44" s="304">
        <f>IF(M42="",0,M40-M42)</f>
        <v>16.540474999999958</v>
      </c>
      <c r="N44" s="304">
        <f>IF(N42="",0,N40-N42)</f>
        <v>17.158119999999997</v>
      </c>
      <c r="O44" s="304">
        <f>IF(O42="",0,O40-O42)</f>
        <v>7.3618119999999969</v>
      </c>
      <c r="P44" s="304">
        <f>IF(P42="",0,P40-P42)</f>
        <v>1.1595139999999979</v>
      </c>
      <c r="Q44" s="304">
        <f>IF(Q42="",0,Q40-Q42)</f>
        <v>0</v>
      </c>
      <c r="R44" s="304">
        <f>IF(R42="",0,R40-R42)</f>
        <v>42.33385100000001</v>
      </c>
      <c r="S44" s="304">
        <f>IF(S42="",0,S40-S42)</f>
        <v>0</v>
      </c>
      <c r="T44" s="304">
        <f>IF(T42="",0,T40-T42)</f>
        <v>0.11850000000000027</v>
      </c>
      <c r="U44" s="304">
        <f>IF(U42="",0,U40-U42)</f>
        <v>-0.3705799999999968</v>
      </c>
      <c r="V44" s="304">
        <f>IF(V42="",0,V40-V42)</f>
        <v>0</v>
      </c>
      <c r="W44" s="304">
        <f>IF(W42="",0,W40-W42)</f>
        <v>67.761216999999931</v>
      </c>
      <c r="X44" s="304">
        <f>IF(X42="",0,X40-X42)</f>
        <v>2.8035669999999993</v>
      </c>
      <c r="Y44" s="304">
        <f>IF(Y42="",0,Y40-Y42)</f>
        <v>2.8254640000000002</v>
      </c>
      <c r="Z44" s="304">
        <f>IF(Z42="",0,Z40-Z42)</f>
        <v>-1.4079999999999999</v>
      </c>
      <c r="AA44" s="304">
        <f>IF(AA42="",0,AA40-AA42)</f>
        <v>-13.516</v>
      </c>
      <c r="AB44" s="304">
        <f>IF(AB42="",0,AB40-AB42)</f>
        <v>5.7069800000000157</v>
      </c>
      <c r="AC44" s="304">
        <f>IF(AC42="",0,AC40-AC42)</f>
        <v>0</v>
      </c>
      <c r="AD44" s="304">
        <f>IF(AD42="",0,AD40-AD42)</f>
        <v>0</v>
      </c>
      <c r="AE44" s="304">
        <f>IF(AE42="",0,AE40-AE42)</f>
        <v>0</v>
      </c>
      <c r="AF44" s="304">
        <f>IF(AF42="",0,AF40-AF42)</f>
        <v>-8.1000000000000003E-2</v>
      </c>
      <c r="AG44" s="304">
        <f>IF(AG42="",0,AG40-AG42)</f>
        <v>-1.4531879999999999</v>
      </c>
      <c r="AH44" s="304">
        <f>IF(AH42="",0,AH40-AH42)</f>
        <v>0</v>
      </c>
      <c r="AI44" s="304">
        <f>IF(AI42="",0,AI40-AI42)</f>
        <v>-5.1343800000000002</v>
      </c>
      <c r="AJ44" s="304">
        <f>IF(AJ42="",0,AJ40-AJ42)</f>
        <v>0</v>
      </c>
      <c r="AK44" s="304">
        <f>IF(AK42="",0,AK40-AK42)</f>
        <v>0</v>
      </c>
      <c r="AL44" s="304">
        <f>IF(AL42="",0,AL40-AL42)</f>
        <v>0.48269000000000001</v>
      </c>
      <c r="AM44" s="304">
        <f>IF(AM42="",0,AM40-AM42)</f>
        <v>1.0083259999999994</v>
      </c>
      <c r="AN44" s="304">
        <f>IF(AN42="",0,AN40-AN42)</f>
        <v>-3.6977680000000035</v>
      </c>
      <c r="AO44" s="304">
        <f>IF(AO42="",0,AO40-AO42)</f>
        <v>-0.37719600000000009</v>
      </c>
      <c r="AP44" s="304">
        <f>IF(AP42="",0,AP40-AP42)</f>
        <v>0</v>
      </c>
      <c r="AQ44" s="304">
        <f>IF(AQ42="",0,AQ40-AQ42)</f>
        <v>-0.33346700000000018</v>
      </c>
      <c r="AR44" s="304">
        <f>IF(AR42="",0,AR40-AR42)</f>
        <v>-5.1917909999999807</v>
      </c>
      <c r="AS44" s="304">
        <f>IF(AS42="",0,AS40-AS42)</f>
        <v>-1.6509149999999906</v>
      </c>
      <c r="AT44" s="304">
        <f>IF(AT42="",0,AT40-AT42)</f>
        <v>-20.01667800000007</v>
      </c>
      <c r="AU44" s="304">
        <f>AU40-AU42</f>
        <v>64.285013999999705</v>
      </c>
      <c r="AV44" s="143"/>
    </row>
    <row r="45" spans="1:48" ht="15" customHeight="1" x14ac:dyDescent="0.25">
      <c r="A45" s="143"/>
      <c r="B45" s="303"/>
      <c r="C45" s="303"/>
      <c r="D45" s="144"/>
      <c r="E45" s="144"/>
      <c r="F45" s="144"/>
      <c r="G45" s="144"/>
      <c r="H45" s="144"/>
      <c r="I45" s="144"/>
      <c r="J45" s="144"/>
      <c r="K45" s="144"/>
      <c r="L45" s="144"/>
      <c r="M45" s="302"/>
      <c r="N45" s="144"/>
      <c r="O45" s="144"/>
      <c r="P45" s="144"/>
      <c r="Q45" s="144"/>
      <c r="R45" s="144"/>
      <c r="S45" s="144"/>
      <c r="T45" s="144"/>
      <c r="U45" s="144"/>
      <c r="V45" s="144"/>
      <c r="W45" s="302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302"/>
      <c r="AU45" s="302"/>
      <c r="AV45" s="143"/>
    </row>
    <row r="46" spans="1:48" ht="15" customHeight="1" x14ac:dyDescent="0.25">
      <c r="A46" s="143"/>
      <c r="B46" s="301" t="s">
        <v>344</v>
      </c>
      <c r="C46" s="300" t="s">
        <v>343</v>
      </c>
      <c r="D46" s="299"/>
      <c r="E46" s="298">
        <v>201</v>
      </c>
      <c r="F46" s="298">
        <v>4.5</v>
      </c>
      <c r="G46" s="298">
        <v>0.3</v>
      </c>
      <c r="H46" s="299"/>
      <c r="I46" s="298">
        <v>36</v>
      </c>
      <c r="J46" s="298">
        <v>3</v>
      </c>
      <c r="K46" s="298">
        <v>15</v>
      </c>
      <c r="L46" s="298">
        <v>0</v>
      </c>
      <c r="M46" s="298">
        <f>SUMIF(D$9:L$9,"&gt;0",D46:L46)</f>
        <v>259.8</v>
      </c>
      <c r="N46" s="298">
        <v>283.5</v>
      </c>
      <c r="O46" s="298">
        <v>206.7</v>
      </c>
      <c r="P46" s="298">
        <v>34.5</v>
      </c>
      <c r="Q46" s="298">
        <v>0</v>
      </c>
      <c r="R46" s="298">
        <v>406.5</v>
      </c>
      <c r="S46" s="299"/>
      <c r="T46" s="298">
        <v>0.3</v>
      </c>
      <c r="U46" s="298">
        <v>1.2</v>
      </c>
      <c r="V46" s="299"/>
      <c r="W46" s="298">
        <f>SUMIF(N$9:V$9,"&gt;0",N46:V46)</f>
        <v>932.7</v>
      </c>
      <c r="X46" s="298">
        <v>5.4</v>
      </c>
      <c r="Y46" s="298">
        <v>13.5</v>
      </c>
      <c r="Z46" s="299"/>
      <c r="AA46" s="299"/>
      <c r="AB46" s="298">
        <v>6</v>
      </c>
      <c r="AC46" s="299"/>
      <c r="AD46" s="299"/>
      <c r="AE46" s="299"/>
      <c r="AF46" s="299"/>
      <c r="AG46" s="298">
        <v>0.6</v>
      </c>
      <c r="AH46" s="299"/>
      <c r="AI46" s="298">
        <v>60</v>
      </c>
      <c r="AJ46" s="299"/>
      <c r="AK46" s="299"/>
      <c r="AL46" s="298">
        <v>0.6</v>
      </c>
      <c r="AM46" s="298">
        <v>3</v>
      </c>
      <c r="AN46" s="298">
        <v>18</v>
      </c>
      <c r="AO46" s="298">
        <v>3</v>
      </c>
      <c r="AP46" s="299"/>
      <c r="AQ46" s="298">
        <v>3</v>
      </c>
      <c r="AR46" s="298">
        <v>97.5</v>
      </c>
      <c r="AS46" s="298">
        <v>36.9</v>
      </c>
      <c r="AT46" s="298">
        <f>SUMIF(X$9:AS$9,"&gt;0",X46:AS46)</f>
        <v>247.5</v>
      </c>
      <c r="AU46" s="298">
        <f>SUMIF(D$9:AS$9,"&gt;0",D46:AS46)</f>
        <v>1440</v>
      </c>
      <c r="AV46" s="143"/>
    </row>
    <row r="47" spans="1:48" ht="15" customHeight="1" x14ac:dyDescent="0.25">
      <c r="A47" s="143"/>
      <c r="B47" s="143"/>
      <c r="C47" s="143"/>
      <c r="D47" s="143"/>
      <c r="E47" s="144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</row>
    <row r="48" spans="1:48" ht="15" customHeight="1" x14ac:dyDescent="0.25">
      <c r="A48" s="143"/>
      <c r="B48" s="297" t="s">
        <v>342</v>
      </c>
      <c r="C48" s="284" t="s">
        <v>2</v>
      </c>
      <c r="D48" s="284" t="s">
        <v>2</v>
      </c>
      <c r="E48" s="284" t="s">
        <v>2</v>
      </c>
      <c r="F48" s="284" t="s">
        <v>2</v>
      </c>
      <c r="G48" s="284" t="s">
        <v>2</v>
      </c>
      <c r="H48" s="284" t="s">
        <v>2</v>
      </c>
      <c r="I48" s="284" t="s">
        <v>2</v>
      </c>
      <c r="J48" s="284" t="s">
        <v>2</v>
      </c>
      <c r="K48" s="284" t="s">
        <v>2</v>
      </c>
      <c r="L48" s="284" t="s">
        <v>2</v>
      </c>
      <c r="M48" s="284" t="s">
        <v>2</v>
      </c>
      <c r="N48" s="284" t="s">
        <v>2</v>
      </c>
      <c r="O48" s="284" t="s">
        <v>2</v>
      </c>
      <c r="P48" s="284" t="s">
        <v>2</v>
      </c>
      <c r="Q48" s="284" t="s">
        <v>2</v>
      </c>
      <c r="R48" s="284" t="s">
        <v>2</v>
      </c>
      <c r="S48" s="284" t="s">
        <v>2</v>
      </c>
      <c r="T48" s="284" t="s">
        <v>2</v>
      </c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</row>
  </sheetData>
  <mergeCells count="13">
    <mergeCell ref="F1:L1"/>
    <mergeCell ref="C2:K2"/>
    <mergeCell ref="C3:D3"/>
    <mergeCell ref="B5:B7"/>
    <mergeCell ref="C5:C7"/>
    <mergeCell ref="D5:L5"/>
    <mergeCell ref="AU5:AU7"/>
    <mergeCell ref="B48:T48"/>
    <mergeCell ref="M5:M7"/>
    <mergeCell ref="N5:V5"/>
    <mergeCell ref="W5:W7"/>
    <mergeCell ref="X5:AS5"/>
    <mergeCell ref="AT5:AT7"/>
  </mergeCells>
  <pageMargins left="0" right="0" top="0" bottom="0" header="0" footer="0"/>
  <pageSetup paperSize="8" scale="50" orientation="landscape" horizontalDpi="200" verticalDpi="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44"/>
  <sheetViews>
    <sheetView topLeftCell="A28" zoomScale="75" workbookViewId="0">
      <selection activeCell="O99" sqref="O99"/>
    </sheetView>
  </sheetViews>
  <sheetFormatPr defaultRowHeight="15" x14ac:dyDescent="0.25"/>
  <cols>
    <col min="1" max="1" width="8.5703125" style="142" customWidth="1"/>
    <col min="2" max="2" width="56.140625" style="142" customWidth="1"/>
    <col min="3" max="3" width="5.85546875" style="142" customWidth="1"/>
    <col min="4" max="4" width="9.85546875" style="142" customWidth="1"/>
    <col min="5" max="7" width="10.85546875" style="142" customWidth="1"/>
    <col min="8" max="10" width="10.42578125" style="142" customWidth="1"/>
    <col min="11" max="12" width="9.7109375" style="142" customWidth="1"/>
    <col min="13" max="17" width="11.5703125" style="142" customWidth="1"/>
    <col min="18" max="19" width="12.140625" style="142" customWidth="1"/>
    <col min="20" max="20" width="26.42578125" style="142" customWidth="1"/>
    <col min="21" max="21" width="0.42578125" style="142" customWidth="1"/>
    <col min="22" max="24" width="0.5703125" style="142" customWidth="1"/>
    <col min="25" max="16384" width="9.140625" style="142"/>
  </cols>
  <sheetData>
    <row r="1" spans="1:24" ht="23.1" customHeight="1" x14ac:dyDescent="0.25">
      <c r="A1" s="291" t="s">
        <v>4</v>
      </c>
      <c r="B1" s="284" t="s">
        <v>2</v>
      </c>
      <c r="C1" s="284" t="s">
        <v>2</v>
      </c>
      <c r="D1" s="284" t="s">
        <v>2</v>
      </c>
      <c r="E1" s="284" t="s">
        <v>2</v>
      </c>
      <c r="F1" s="284" t="s">
        <v>2</v>
      </c>
      <c r="G1" s="284" t="s">
        <v>2</v>
      </c>
      <c r="H1" s="284" t="s">
        <v>2</v>
      </c>
      <c r="I1" s="284" t="s">
        <v>2</v>
      </c>
      <c r="J1" s="284" t="s">
        <v>2</v>
      </c>
      <c r="K1" s="284" t="s">
        <v>2</v>
      </c>
      <c r="L1" s="284" t="s">
        <v>2</v>
      </c>
      <c r="M1" s="284" t="s">
        <v>2</v>
      </c>
      <c r="N1" s="284" t="s">
        <v>2</v>
      </c>
      <c r="O1" s="284" t="s">
        <v>2</v>
      </c>
      <c r="P1" s="284" t="s">
        <v>2</v>
      </c>
      <c r="Q1" s="284" t="s">
        <v>2</v>
      </c>
      <c r="R1" s="284" t="s">
        <v>2</v>
      </c>
      <c r="S1" s="284" t="s">
        <v>2</v>
      </c>
      <c r="T1" s="169" t="s">
        <v>340</v>
      </c>
      <c r="U1" s="143"/>
      <c r="V1" s="143"/>
      <c r="W1" s="143"/>
      <c r="X1" s="143"/>
    </row>
    <row r="2" spans="1:24" ht="21" customHeight="1" x14ac:dyDescent="0.25">
      <c r="A2" s="285" t="s">
        <v>339</v>
      </c>
      <c r="B2" s="284" t="s">
        <v>2</v>
      </c>
      <c r="C2" s="284" t="s">
        <v>2</v>
      </c>
      <c r="D2" s="284" t="s">
        <v>2</v>
      </c>
      <c r="E2" s="284" t="s">
        <v>2</v>
      </c>
      <c r="F2" s="284" t="s">
        <v>2</v>
      </c>
      <c r="G2" s="284" t="s">
        <v>2</v>
      </c>
      <c r="H2" s="284" t="s">
        <v>2</v>
      </c>
      <c r="I2" s="284" t="s">
        <v>2</v>
      </c>
      <c r="J2" s="284" t="s">
        <v>2</v>
      </c>
      <c r="K2" s="284" t="s">
        <v>2</v>
      </c>
      <c r="L2" s="284" t="s">
        <v>2</v>
      </c>
      <c r="M2" s="284" t="s">
        <v>2</v>
      </c>
      <c r="N2" s="284" t="s">
        <v>2</v>
      </c>
      <c r="O2" s="284" t="s">
        <v>2</v>
      </c>
      <c r="P2" s="284" t="s">
        <v>2</v>
      </c>
      <c r="Q2" s="284" t="s">
        <v>2</v>
      </c>
      <c r="R2" s="284" t="s">
        <v>2</v>
      </c>
      <c r="S2" s="284" t="s">
        <v>2</v>
      </c>
      <c r="T2" s="144"/>
      <c r="U2" s="143"/>
      <c r="V2" s="143"/>
      <c r="W2" s="143"/>
      <c r="X2" s="143"/>
    </row>
    <row r="3" spans="1:24" ht="27.95" customHeight="1" x14ac:dyDescent="0.25">
      <c r="A3" s="285" t="s">
        <v>338</v>
      </c>
      <c r="B3" s="284" t="s">
        <v>2</v>
      </c>
      <c r="C3" s="284" t="s">
        <v>2</v>
      </c>
      <c r="D3" s="284" t="s">
        <v>2</v>
      </c>
      <c r="E3" s="284" t="s">
        <v>2</v>
      </c>
      <c r="F3" s="284" t="s">
        <v>2</v>
      </c>
      <c r="G3" s="284" t="s">
        <v>2</v>
      </c>
      <c r="H3" s="284" t="s">
        <v>2</v>
      </c>
      <c r="I3" s="284" t="s">
        <v>2</v>
      </c>
      <c r="J3" s="284" t="s">
        <v>2</v>
      </c>
      <c r="K3" s="284" t="s">
        <v>2</v>
      </c>
      <c r="L3" s="284" t="s">
        <v>2</v>
      </c>
      <c r="M3" s="284" t="s">
        <v>2</v>
      </c>
      <c r="N3" s="284" t="s">
        <v>2</v>
      </c>
      <c r="O3" s="284" t="s">
        <v>2</v>
      </c>
      <c r="P3" s="284" t="s">
        <v>2</v>
      </c>
      <c r="Q3" s="284" t="s">
        <v>2</v>
      </c>
      <c r="R3" s="284" t="s">
        <v>2</v>
      </c>
      <c r="S3" s="284" t="s">
        <v>2</v>
      </c>
      <c r="T3" s="144"/>
      <c r="U3" s="144"/>
      <c r="V3" s="143"/>
      <c r="W3" s="143"/>
      <c r="X3" s="143"/>
    </row>
    <row r="4" spans="1:24" ht="15" customHeight="1" x14ac:dyDescent="0.25">
      <c r="A4" s="283" t="s">
        <v>334</v>
      </c>
      <c r="B4" s="282" t="s">
        <v>333</v>
      </c>
      <c r="C4" s="282" t="s">
        <v>332</v>
      </c>
      <c r="D4" s="165" t="s">
        <v>2</v>
      </c>
      <c r="E4" s="281" t="s">
        <v>331</v>
      </c>
      <c r="F4" s="274" t="s">
        <v>2</v>
      </c>
      <c r="G4" s="274" t="s">
        <v>2</v>
      </c>
      <c r="H4" s="274" t="s">
        <v>2</v>
      </c>
      <c r="I4" s="274" t="s">
        <v>2</v>
      </c>
      <c r="J4" s="274" t="s">
        <v>2</v>
      </c>
      <c r="K4" s="282" t="s">
        <v>329</v>
      </c>
      <c r="L4" s="165" t="s">
        <v>2</v>
      </c>
      <c r="M4" s="281" t="s">
        <v>330</v>
      </c>
      <c r="N4" s="274" t="s">
        <v>2</v>
      </c>
      <c r="O4" s="274" t="s">
        <v>2</v>
      </c>
      <c r="P4" s="274" t="s">
        <v>2</v>
      </c>
      <c r="Q4" s="274" t="s">
        <v>2</v>
      </c>
      <c r="R4" s="282" t="s">
        <v>329</v>
      </c>
      <c r="S4" s="165" t="s">
        <v>2</v>
      </c>
      <c r="T4" s="281" t="s">
        <v>328</v>
      </c>
      <c r="U4" s="144"/>
      <c r="V4" s="143"/>
      <c r="W4" s="143"/>
      <c r="X4" s="143"/>
    </row>
    <row r="5" spans="1:24" ht="15" customHeight="1" x14ac:dyDescent="0.25">
      <c r="A5" s="163" t="s">
        <v>2</v>
      </c>
      <c r="B5" s="165" t="s">
        <v>2</v>
      </c>
      <c r="C5" s="165" t="s">
        <v>2</v>
      </c>
      <c r="D5" s="165" t="s">
        <v>2</v>
      </c>
      <c r="E5" s="280" t="s">
        <v>326</v>
      </c>
      <c r="F5" s="276" t="s">
        <v>2</v>
      </c>
      <c r="G5" s="276" t="s">
        <v>2</v>
      </c>
      <c r="H5" s="279" t="s">
        <v>325</v>
      </c>
      <c r="I5" s="278" t="s">
        <v>2</v>
      </c>
      <c r="J5" s="278" t="s">
        <v>2</v>
      </c>
      <c r="K5" s="275" t="s">
        <v>324</v>
      </c>
      <c r="L5" s="275" t="s">
        <v>323</v>
      </c>
      <c r="M5" s="280" t="s">
        <v>327</v>
      </c>
      <c r="N5" s="279" t="s">
        <v>326</v>
      </c>
      <c r="O5" s="278" t="s">
        <v>2</v>
      </c>
      <c r="P5" s="279" t="s">
        <v>325</v>
      </c>
      <c r="Q5" s="278" t="s">
        <v>2</v>
      </c>
      <c r="R5" s="275" t="s">
        <v>324</v>
      </c>
      <c r="S5" s="275" t="s">
        <v>323</v>
      </c>
      <c r="T5" s="274" t="s">
        <v>2</v>
      </c>
      <c r="U5" s="144"/>
      <c r="V5" s="143"/>
      <c r="W5" s="143"/>
      <c r="X5" s="143"/>
    </row>
    <row r="6" spans="1:24" ht="15" customHeight="1" x14ac:dyDescent="0.25">
      <c r="A6" s="163" t="s">
        <v>2</v>
      </c>
      <c r="B6" s="165" t="s">
        <v>2</v>
      </c>
      <c r="C6" s="275" t="s">
        <v>322</v>
      </c>
      <c r="D6" s="275" t="s">
        <v>215</v>
      </c>
      <c r="E6" s="277" t="s">
        <v>322</v>
      </c>
      <c r="F6" s="275" t="s">
        <v>223</v>
      </c>
      <c r="G6" s="275" t="s">
        <v>215</v>
      </c>
      <c r="H6" s="275" t="s">
        <v>224</v>
      </c>
      <c r="I6" s="275" t="s">
        <v>223</v>
      </c>
      <c r="J6" s="275" t="s">
        <v>215</v>
      </c>
      <c r="K6" s="275" t="s">
        <v>215</v>
      </c>
      <c r="L6" s="275" t="s">
        <v>215</v>
      </c>
      <c r="M6" s="276" t="s">
        <v>2</v>
      </c>
      <c r="N6" s="275" t="s">
        <v>321</v>
      </c>
      <c r="O6" s="275" t="s">
        <v>320</v>
      </c>
      <c r="P6" s="275" t="s">
        <v>321</v>
      </c>
      <c r="Q6" s="275" t="s">
        <v>320</v>
      </c>
      <c r="R6" s="275" t="s">
        <v>320</v>
      </c>
      <c r="S6" s="275" t="s">
        <v>320</v>
      </c>
      <c r="T6" s="274" t="s">
        <v>2</v>
      </c>
      <c r="U6" s="144"/>
      <c r="V6" s="143"/>
      <c r="W6" s="143"/>
      <c r="X6" s="143"/>
    </row>
    <row r="7" spans="1:24" ht="15" customHeight="1" thickBot="1" x14ac:dyDescent="0.3">
      <c r="A7" s="273">
        <v>1</v>
      </c>
      <c r="B7" s="272" t="s">
        <v>6</v>
      </c>
      <c r="C7" s="270"/>
      <c r="D7" s="266">
        <v>26386.702000000001</v>
      </c>
      <c r="E7" s="271"/>
      <c r="F7" s="268">
        <v>397073.81900000002</v>
      </c>
      <c r="G7" s="267">
        <v>30554.841</v>
      </c>
      <c r="H7" s="270"/>
      <c r="I7" s="268">
        <v>394756.71899999998</v>
      </c>
      <c r="J7" s="267">
        <f>G7</f>
        <v>30554.841</v>
      </c>
      <c r="K7" s="266">
        <f>IF(U7="0",(IF(D7="",(IF(J7&lt;&gt;"",J7,"")),(IF(J7="",0-D7,J7-D7)))),"")</f>
        <v>4168.1389999999992</v>
      </c>
      <c r="L7" s="266">
        <f>IF(U7="0",(IF(G7="",(IF(J7&lt;&gt;"",J7,"")),(IF(J7="",0-G7,J7-G7)))),"")</f>
        <v>0</v>
      </c>
      <c r="M7" s="269">
        <v>817987.75</v>
      </c>
      <c r="N7" s="268">
        <v>12309288.402000001</v>
      </c>
      <c r="O7" s="267">
        <v>947200.05900000001</v>
      </c>
      <c r="P7" s="268">
        <v>12237458.301999999</v>
      </c>
      <c r="Q7" s="267">
        <f>O7</f>
        <v>947200.05900000001</v>
      </c>
      <c r="R7" s="266">
        <f>IF(U7="0",(IF(M7="",(IF(Q7&lt;&gt;"",Q7,"")),(IF(Q7="",0-M7,Q7-M7)))),"")</f>
        <v>129212.30900000001</v>
      </c>
      <c r="S7" s="266">
        <f>IF(U7="0",(IF(O7="",(IF(Q7&lt;&gt;"",Q7,"")),(IF(Q7="",O7,Q7-O7)))),"")</f>
        <v>0</v>
      </c>
      <c r="T7" s="265"/>
      <c r="U7" s="169" t="s">
        <v>335</v>
      </c>
      <c r="V7" s="143"/>
      <c r="W7" s="143"/>
      <c r="X7" s="143"/>
    </row>
    <row r="8" spans="1:24" ht="15" customHeight="1" x14ac:dyDescent="0.25">
      <c r="A8" s="264">
        <v>2</v>
      </c>
      <c r="B8" s="263" t="s">
        <v>319</v>
      </c>
      <c r="C8" s="259">
        <f>SUMIF(B9:B30,"Основные ГТМ",C9:C30)+SUMIF(B9:B30,"Работа с фондом",C9:C30)+SUMIF(B9:B30,"Сокращение потенциала простоя",C9:C30)+SUMIF(B9:B30,"Прочая добыча (отраб.скв, амбары, стравливание…)",C9:C30)</f>
        <v>37</v>
      </c>
      <c r="D8" s="259">
        <f>SUMIF(B9:B30,"Основные ГТМ",D9:D30)+SUMIF(B9:B30,"Работа с фондом",D9:D30)+SUMIF(B9:B30,"Сокращение потенциала простоя",D9:D30)+SUMIF(B9:B30,"Прочая добыча (отраб.скв, амбары, стравливание…)",D9:D30)</f>
        <v>1183.8</v>
      </c>
      <c r="E8" s="262">
        <f>SUMIF(B9:B30,"Основные ГТМ",E9:E30)+SUMIF(B9:B30,"Работа с фондом",E9:E30)+SUMIF(B9:B30,"Сокращение потенциала простоя",E9:E30)+SUMIF(B9:B30,"Прочая добыча (отраб.скв, амбары, стравливание…)",E9:E30)</f>
        <v>93</v>
      </c>
      <c r="F8" s="261">
        <f>SUMIF(B9:B30,"Основные ГТМ",F9:F30)+SUMIF(B9:B30,"Работа с фондом",F9:F30)+SUMIF(B9:B30,"Сокращение потенциала простоя",F9:F30)+SUMIF(B9:B30,"Прочая добыча (отраб.скв, амбары, стравливание…)",F9:F30)</f>
        <v>13546</v>
      </c>
      <c r="G8" s="260">
        <f>SUMIF(B9:B30,"Основные ГТМ",G9:G30)+SUMIF(B9:B30,"Работа с фондом",G9:G30)+SUMIF(B9:B30,"Сокращение потенциала простоя",G9:G30)+SUMIF(B9:B30,"Прочая добыча (отраб.скв, амбары, стравливание…)",G9:G30)</f>
        <v>2064.9</v>
      </c>
      <c r="H8" s="259">
        <f>IF(U8="0",(SUMIF(B9:B30,"Основные ГТМ",H9:H30)+SUMIF(B9:B30,"Работа с фондом",H9:H30)+SUMIF(B9:B30,"Сокращение потенциала простоя",H9:H30)+SUMIF(B9:B30,"Прочая добыча (отраб.скв, амбары, стравливание…)",H9:H30)),"")</f>
        <v>120</v>
      </c>
      <c r="I8" s="261">
        <f>IF(U8="0",(SUMIF(B9:B30,"Основные ГТМ",I9:I30)+SUMIF(B9:B30,"Работа с фондом",I9:I30)+SUMIF(B9:B30,"Сокращение потенциала простоя",I9:I30)+SUMIF(B9:B30,"Прочая добыча (отраб.скв, амбары, стравливание…)",I9:I30)),"")</f>
        <v>9076.4229999999989</v>
      </c>
      <c r="J8" s="260">
        <f>IF(U8="0",(SUMIF(B9:B30,"Основные ГТМ",J9:J30)+SUMIF(B9:B30,"Работа с фондом",J9:J30)+SUMIF(B9:B30,"Сокращение потенциала простоя",J9:J30)+SUMIF(B9:B30,"Прочая добыча (отраб.скв, амбары, стравливание…)",J9:J30)),"")</f>
        <v>1330.665</v>
      </c>
      <c r="K8" s="259">
        <f>IF(U8="0",(SUMIF(B9:B30,"Основные ГТМ",K9:K30)+SUMIF(B9:B30,"Работа с фондом",K9:K30)+SUMIF(B9:B30,"Сокращение потенциала простоя",K9:K30)+SUMIF(B9:B30,"Прочая добыча (отраб.скв, амбары, стравливание…)",K9:K30)),"")</f>
        <v>146.86500000000004</v>
      </c>
      <c r="L8" s="259">
        <f ca="1">IF(U8="0",(SUMIF(B9:B30,"Основные ГТМ",L9:L12)+SUMIF(B9:B30,"Работа с фондом",L9:L30)+SUMIF(B9:B30,"Сокращение потенциала простоя",L9:L30)+SUMIF(B9:B30,"Прочая добыча (отраб.скв, амбары, стравливание…)",L9:L30)),"")</f>
        <v>-734.2349999999999</v>
      </c>
      <c r="M8" s="262">
        <f>SUMIF(B9:B30,"Основные ГТМ",M9:M30)+SUMIF(B9:B30,"Работа с фондом",M9:M30)+SUMIF(B9:B30,"Сокращение потенциала простоя",M9:M30)+SUMIF(B9:B30,"Прочая добыча (отраб.скв, амбары, стравливание…)",M9:M30)</f>
        <v>11092.672</v>
      </c>
      <c r="N8" s="261">
        <f>SUMIF(B9:B30,"Основные ГТМ",N9:N30)+SUMIF(B9:B30,"Работа с фондом",N9:N30)+SUMIF(B9:B30,"Сокращение потенциала простоя",N9:N30)+SUMIF(B9:B30,"Прочая добыча (отраб.скв, амбары, стравливание…)",N9:N30)</f>
        <v>137489</v>
      </c>
      <c r="O8" s="260">
        <f>SUMIF(B9:B30,"Основные ГТМ",O9:O30)+SUMIF(B9:B30,"Работа с фондом",O9:O30)+SUMIF(B9:B30,"Сокращение потенциала простоя",O9:O30)+SUMIF(B9:B30,"Прочая добыча (отраб.скв, амбары, стравливание…)",O9:O30)</f>
        <v>31936</v>
      </c>
      <c r="P8" s="261">
        <f>IF(U8="0",(SUMIF(B9:B30,"Основные ГТМ",P9:P30)+SUMIF(B9:B30,"Работа с фондом",P9:P30)+SUMIF(B9:B30,"Сокращение потенциала простоя",P9:P30)+SUMIF(B9:B30,"Прочая добыча (отраб.скв, амбары, стравливание…)",P9:P30)),"")</f>
        <v>114800.61800000002</v>
      </c>
      <c r="Q8" s="260">
        <f>IF(U8="0",(SUMIF(B9:B30,"Основные ГТМ",Q9:Q30)+SUMIF(B9:B30,"Работа с фондом",Q9:Q30)+SUMIF(B9:B30,"Сокращение потенциала простоя",Q9:Q30)+SUMIF(B9:B30,"Прочая добыча (отраб.скв, амбары, стравливание…)",Q9:Q30)),"")</f>
        <v>20687.309999999918</v>
      </c>
      <c r="R8" s="259">
        <f>IF(U8="0",(SUMIF(B9:B30,"Основные ГТМ",R9:R30)+SUMIF(B9:B30,"Работа с фондом",R9:R30)+SUMIF(B9:B30,"Сокращение потенциала простоя",R9:R30)+SUMIF(B9:B30,"Прочая добыча (отраб.скв, амбары, стравливание…)",R9:R30)),"")</f>
        <v>7981.9240000000009</v>
      </c>
      <c r="S8" s="259">
        <f>IF(U8="0",(SUMIF(B9:B30,"Основные ГТМ",S9:S30)+SUMIF(B9:B30,"Работа с фондом",S9:S30)+SUMIF(B9:B30,"Сокращение потенциала простоя",S9:S30)+SUMIF(B9:B30,"Прочая добыча (отраб.скв, амбары, стравливание…)",S9:S30)),"")</f>
        <v>-11248.690000000079</v>
      </c>
      <c r="T8" s="258"/>
      <c r="U8" s="169" t="s">
        <v>335</v>
      </c>
      <c r="V8" s="143"/>
      <c r="W8" s="143"/>
      <c r="X8" s="143"/>
    </row>
    <row r="9" spans="1:24" ht="15" customHeight="1" x14ac:dyDescent="0.25">
      <c r="A9" s="237" t="s">
        <v>318</v>
      </c>
      <c r="B9" s="236" t="s">
        <v>317</v>
      </c>
      <c r="C9" s="217">
        <f>SUBTOTAL(9,C10:C22)-IF(B9="Работа с фондом",SUMIF(B10:B22,"      ограничение добычи (ОПЕК)",C10:C22),0)</f>
        <v>37</v>
      </c>
      <c r="D9" s="217">
        <f>SUBTOTAL(9,D10:D22)-IF(B9="Работа с фондом",SUMIF(B10:B22,"      ограничение добычи (ОПЕК)",D10:D22),0)</f>
        <v>1183.8</v>
      </c>
      <c r="E9" s="231">
        <f>SUBTOTAL(9,E10:E22)-IF(B9="Работа с фондом",SUMIF(B10:B22,"      ограничение добычи (ОПЕК)",E10:E22),0)</f>
        <v>47</v>
      </c>
      <c r="F9" s="219">
        <f>SUBTOTAL(9,F10:F22)-IF(B9="Работа с фондом",SUMIF(B10:B22,"      ограничение добычи (ОПЕК)",F10:F22),0)</f>
        <v>8005</v>
      </c>
      <c r="G9" s="218">
        <f>SUBTOTAL(9,G10:G22)-IF(B9="Работа с фондом",SUMIF(B10:B22,"      ограничение добычи (ОПЕК)",G10:G22),0)</f>
        <v>1956</v>
      </c>
      <c r="H9" s="217">
        <f>IF(U9="0",(SUBTOTAL(9,H10:H22)-IF(B9="Работа с фондом",SUMIF(B10:B22,"      ограничение добычи (ОПЕК)",H10:H22),0)),"")</f>
        <v>37</v>
      </c>
      <c r="I9" s="219">
        <f>IF(U9="0",(SUBTOTAL(9,I10:I22)-IF(B9="Работа с фондом",SUMIF(B10:B22,"      ограничение добычи (ОПЕК)",I10:I22),0)),"")</f>
        <v>4849.8320000000003</v>
      </c>
      <c r="J9" s="218">
        <f>IF(U9="0",(SUBTOTAL(9,J10:J22)-IF(B9="Работа с фондом",SUMIF(B10:B22,"      ограничение добычи (ОПЕК)",J10:J22),0)),"")</f>
        <v>1169.864</v>
      </c>
      <c r="K9" s="289">
        <f>IF(U9="0",(SUBTOTAL(9,K10:K22)-IF(B9="Работа с фондом",SUMIF(B10:B22,"      ограничение добычи (ОПЕК)",K10:K22),0)),"")</f>
        <v>-13.936000000000012</v>
      </c>
      <c r="L9" s="289">
        <f>IF(U9="0",(SUBTOTAL(9,L10:L22)-IF(B9="Работа с фондом",SUMIF(B10:B22,"      ограничение добычи (ОПЕК)",L10:L22),0)),"")</f>
        <v>-786.13599999999997</v>
      </c>
      <c r="M9" s="231">
        <f>SUBTOTAL(9,M10:M22)-IF(B9="Работа с фондом",SUMIF(B10:B22,"      ограничение добычи (ОПЕК)",M10:M22),0)</f>
        <v>11092.672</v>
      </c>
      <c r="N9" s="219">
        <f>SUBTOTAL(9,N10:N22)-IF(B9="Работа с фондом",SUMIF(B10:B22,"      ограничение добычи (ОПЕК)",N10:N22),0)</f>
        <v>81515</v>
      </c>
      <c r="O9" s="218">
        <f>SUBTOTAL(9,O10:O22)-IF(B9="Работа с фондом",SUMIF(B10:B22,"      ограничение добычи (ОПЕК)",O10:O22),0)</f>
        <v>25276</v>
      </c>
      <c r="P9" s="219">
        <f>IF(U9="0",(SUBTOTAL(9,P10:P22)-IF(B9="Работа с фондом",SUMIF(B10:B22,"      ограничение добычи (ОПЕК)",P10:P22),0)),"")</f>
        <v>68065.77</v>
      </c>
      <c r="Q9" s="218">
        <f>IF(U9="0",(SUBTOTAL(9,Q10:Q22)-IF(B9="Работа с фондом",SUMIF(B10:B22,"      ограничение добычи (ОПЕК)",Q10:Q22),0)),"")</f>
        <v>17333.687999999998</v>
      </c>
      <c r="R9" s="217">
        <f>IF(U9="0",(SUBTOTAL(9,R10:R22)-IF(B9="Работа с фондом",SUMIF(B10:B22,"      ограничение добычи (ОПЕК)",R10:R22),0)),"")</f>
        <v>6241.0160000000005</v>
      </c>
      <c r="S9" s="217">
        <f>IF(U9="0",(SUBTOTAL(9,S10:S22)-IF(B9="Работа с фондом",SUMIF(B10:B22,"      ограничение добычи (ОПЕК)",S10:S22),0)),"")</f>
        <v>-7942.3119999999999</v>
      </c>
      <c r="T9" s="216"/>
      <c r="U9" s="169" t="s">
        <v>335</v>
      </c>
      <c r="V9" s="143"/>
      <c r="W9" s="143"/>
      <c r="X9" s="143"/>
    </row>
    <row r="10" spans="1:24" ht="14.1" customHeight="1" x14ac:dyDescent="0.25">
      <c r="A10" s="225" t="s">
        <v>316</v>
      </c>
      <c r="B10" s="211" t="s">
        <v>28</v>
      </c>
      <c r="C10" s="158">
        <v>16</v>
      </c>
      <c r="D10" s="158">
        <v>865</v>
      </c>
      <c r="E10" s="226">
        <v>22</v>
      </c>
      <c r="F10" s="207">
        <v>5230</v>
      </c>
      <c r="G10" s="206">
        <v>1580</v>
      </c>
      <c r="H10" s="158">
        <v>16</v>
      </c>
      <c r="I10" s="207">
        <v>2797.7779999999998</v>
      </c>
      <c r="J10" s="292">
        <f>775+75</f>
        <v>850</v>
      </c>
      <c r="K10" s="287">
        <f>IF(U10="0",(IF(D10="",(IF(J10&lt;&gt;"",J10,"")),(IF(J10="",0-D10,J10-D10)))),"")</f>
        <v>-15</v>
      </c>
      <c r="L10" s="287">
        <f>IF(U10="0",(IF(G10="",(IF(J10&lt;&gt;"",J10,"")),(IF(J10="",0-G10,J10-G10)))),"")</f>
        <v>-730</v>
      </c>
      <c r="M10" s="226">
        <v>8386.1080000000002</v>
      </c>
      <c r="N10" s="207">
        <v>53340</v>
      </c>
      <c r="O10" s="206">
        <v>20600</v>
      </c>
      <c r="P10" s="207">
        <v>35760.006000000001</v>
      </c>
      <c r="Q10" s="206">
        <v>12325</v>
      </c>
      <c r="R10" s="158">
        <f>IF(U10="0",(IF(M10="",(IF(Q10&lt;&gt;"",Q10,"")),(IF(Q10="",0-M10,Q10-M10)))),"")</f>
        <v>3938.8919999999998</v>
      </c>
      <c r="S10" s="158">
        <f>IF(U10="0",(IF(O10="",(IF(Q10&lt;&gt;"",Q10,"")),(IF(Q10="",0-O10,Q10-O10)))),"")</f>
        <v>-8275</v>
      </c>
      <c r="T10" s="205"/>
      <c r="U10" s="169" t="s">
        <v>335</v>
      </c>
      <c r="V10" s="143"/>
      <c r="W10" s="143"/>
      <c r="X10" s="143"/>
    </row>
    <row r="11" spans="1:24" ht="14.1" customHeight="1" x14ac:dyDescent="0.25">
      <c r="A11" s="225" t="s">
        <v>315</v>
      </c>
      <c r="B11" s="211" t="s">
        <v>314</v>
      </c>
      <c r="C11" s="158"/>
      <c r="D11" s="158"/>
      <c r="E11" s="226"/>
      <c r="F11" s="207"/>
      <c r="G11" s="206"/>
      <c r="H11" s="158"/>
      <c r="I11" s="207"/>
      <c r="J11" s="206"/>
      <c r="K11" s="158" t="str">
        <f>IF(U11="0",(IF(D11="",(IF(J11&lt;&gt;"",J11,"")),(IF(J11="",0-D11,J11-D11)))),"")</f>
        <v/>
      </c>
      <c r="L11" s="158" t="str">
        <f>IF(U11="0",(IF(G11="",(IF(J11&lt;&gt;"",J11,"")),(IF(J11="",0-G11,J11-G11)))),"")</f>
        <v/>
      </c>
      <c r="M11" s="226"/>
      <c r="N11" s="207"/>
      <c r="O11" s="206"/>
      <c r="P11" s="207"/>
      <c r="Q11" s="206"/>
      <c r="R11" s="158" t="str">
        <f>IF(U11="0",(IF(M11="",(IF(Q11&lt;&gt;"",Q11,"")),(IF(Q11="",0-M11,Q11-M11)))),"")</f>
        <v/>
      </c>
      <c r="S11" s="158" t="str">
        <f>IF(U11="0",(IF(O11="",(IF(Q11&lt;&gt;"",Q11,"")),(IF(Q11="",0-O11,Q11-O11)))),"")</f>
        <v/>
      </c>
      <c r="T11" s="205"/>
      <c r="U11" s="169" t="s">
        <v>335</v>
      </c>
      <c r="V11" s="143"/>
      <c r="W11" s="143"/>
      <c r="X11" s="143"/>
    </row>
    <row r="12" spans="1:24" ht="14.1" customHeight="1" x14ac:dyDescent="0.25">
      <c r="A12" s="225" t="s">
        <v>313</v>
      </c>
      <c r="B12" s="211" t="s">
        <v>312</v>
      </c>
      <c r="C12" s="158"/>
      <c r="D12" s="158"/>
      <c r="E12" s="226"/>
      <c r="F12" s="207"/>
      <c r="G12" s="206"/>
      <c r="H12" s="158"/>
      <c r="I12" s="207"/>
      <c r="J12" s="206"/>
      <c r="K12" s="158" t="str">
        <f>IF(U12="0",(IF(D12="",(IF(J12&lt;&gt;"",J12,"")),(IF(J12="",0-D12,J12-D12)))),"")</f>
        <v/>
      </c>
      <c r="L12" s="158" t="str">
        <f>IF(U12="0",(IF(G12="",(IF(J12&lt;&gt;"",J12,"")),(IF(J12="",0-G12,J12-G12)))),"")</f>
        <v/>
      </c>
      <c r="M12" s="226"/>
      <c r="N12" s="207"/>
      <c r="O12" s="206"/>
      <c r="P12" s="207"/>
      <c r="Q12" s="206"/>
      <c r="R12" s="158" t="str">
        <f>IF(U12="0",(IF(M12="",(IF(Q12&lt;&gt;"",Q12,"")),(IF(Q12="",0-M12,Q12-M12)))),"")</f>
        <v/>
      </c>
      <c r="S12" s="158" t="str">
        <f>IF(U12="0",(IF(O12="",(IF(Q12&lt;&gt;"",Q12,"")),(IF(Q12="",0-O12,Q12-O12)))),"")</f>
        <v/>
      </c>
      <c r="T12" s="205"/>
      <c r="U12" s="169" t="s">
        <v>335</v>
      </c>
      <c r="V12" s="143"/>
      <c r="W12" s="143"/>
      <c r="X12" s="143"/>
    </row>
    <row r="13" spans="1:24" ht="14.1" customHeight="1" x14ac:dyDescent="0.25">
      <c r="A13" s="225" t="s">
        <v>311</v>
      </c>
      <c r="B13" s="211" t="s">
        <v>29</v>
      </c>
      <c r="C13" s="158">
        <v>2</v>
      </c>
      <c r="D13" s="158">
        <v>11.9</v>
      </c>
      <c r="E13" s="226">
        <v>3</v>
      </c>
      <c r="F13" s="207">
        <v>139</v>
      </c>
      <c r="G13" s="206">
        <v>18</v>
      </c>
      <c r="H13" s="158">
        <v>2</v>
      </c>
      <c r="I13" s="207">
        <v>64.438000000000002</v>
      </c>
      <c r="J13" s="206">
        <v>12</v>
      </c>
      <c r="K13" s="158">
        <f>IF(U13="0",(IF(D13="",(IF(J13&lt;&gt;"",J13,"")),(IF(J13="",0-D13,J13-D13)))),"")</f>
        <v>9.9999999999999645E-2</v>
      </c>
      <c r="L13" s="158">
        <f>IF(U13="0",(IF(G13="",(IF(J13&lt;&gt;"",J13,"")),(IF(J13="",0-G13,J13-G13)))),"")</f>
        <v>-6</v>
      </c>
      <c r="M13" s="226">
        <v>105.95</v>
      </c>
      <c r="N13" s="207">
        <v>1757</v>
      </c>
      <c r="O13" s="206">
        <v>252</v>
      </c>
      <c r="P13" s="207">
        <v>1615.6759999999999</v>
      </c>
      <c r="Q13" s="206">
        <v>312</v>
      </c>
      <c r="R13" s="158">
        <f>IF(U13="0",(IF(M13="",(IF(Q13&lt;&gt;"",Q13,"")),(IF(Q13="",0-M13,Q13-M13)))),"")</f>
        <v>206.05</v>
      </c>
      <c r="S13" s="158">
        <f>IF(U13="0",(IF(O13="",(IF(Q13&lt;&gt;"",Q13,"")),(IF(Q13="",0-O13,Q13-O13)))),"")</f>
        <v>60</v>
      </c>
      <c r="T13" s="205"/>
      <c r="U13" s="169" t="s">
        <v>335</v>
      </c>
      <c r="V13" s="143"/>
      <c r="W13" s="143"/>
      <c r="X13" s="143"/>
    </row>
    <row r="14" spans="1:24" ht="14.1" customHeight="1" x14ac:dyDescent="0.25">
      <c r="A14" s="225" t="s">
        <v>310</v>
      </c>
      <c r="B14" s="211" t="s">
        <v>30</v>
      </c>
      <c r="C14" s="158">
        <v>13</v>
      </c>
      <c r="D14" s="158">
        <v>280.8</v>
      </c>
      <c r="E14" s="226">
        <v>18</v>
      </c>
      <c r="F14" s="207">
        <v>1815</v>
      </c>
      <c r="G14" s="206">
        <v>338</v>
      </c>
      <c r="H14" s="158">
        <v>15</v>
      </c>
      <c r="I14" s="207">
        <v>1341.616</v>
      </c>
      <c r="J14" s="292">
        <f>276+11</f>
        <v>287</v>
      </c>
      <c r="K14" s="287">
        <f>IF(U14="0",(IF(D14="",(IF(J14&lt;&gt;"",J14,"")),(IF(J14="",0-D14,J14-D14)))),"")</f>
        <v>6.1999999999999886</v>
      </c>
      <c r="L14" s="287">
        <f>IF(U14="0",(IF(G14="",(IF(J14&lt;&gt;"",J14,"")),(IF(J14="",0-G14,J14-G14)))),"")</f>
        <v>-51</v>
      </c>
      <c r="M14" s="226">
        <v>2447.1509999999998</v>
      </c>
      <c r="N14" s="207">
        <v>22441</v>
      </c>
      <c r="O14" s="206">
        <v>4324</v>
      </c>
      <c r="P14" s="207">
        <v>21444.088</v>
      </c>
      <c r="Q14" s="206">
        <v>4472</v>
      </c>
      <c r="R14" s="158">
        <f>IF(U14="0",(IF(M14="",(IF(Q14&lt;&gt;"",Q14,"")),(IF(Q14="",0-M14,Q14-M14)))),"")</f>
        <v>2024.8490000000002</v>
      </c>
      <c r="S14" s="158">
        <f>IF(U14="0",(IF(O14="",(IF(Q14&lt;&gt;"",Q14,"")),(IF(Q14="",0-O14,Q14-O14)))),"")</f>
        <v>148</v>
      </c>
      <c r="T14" s="205"/>
      <c r="U14" s="169" t="s">
        <v>335</v>
      </c>
      <c r="V14" s="143"/>
      <c r="W14" s="143"/>
      <c r="X14" s="143"/>
    </row>
    <row r="15" spans="1:24" ht="14.1" customHeight="1" x14ac:dyDescent="0.25">
      <c r="A15" s="225" t="s">
        <v>309</v>
      </c>
      <c r="B15" s="211" t="s">
        <v>308</v>
      </c>
      <c r="C15" s="158"/>
      <c r="D15" s="158"/>
      <c r="E15" s="226"/>
      <c r="F15" s="207"/>
      <c r="G15" s="206"/>
      <c r="H15" s="158"/>
      <c r="I15" s="207"/>
      <c r="J15" s="206"/>
      <c r="K15" s="158" t="str">
        <f>IF(U15="0",(IF(D15="",(IF(J15&lt;&gt;"",J15,"")),(IF(J15="",0-D15,J15-D15)))),"")</f>
        <v/>
      </c>
      <c r="L15" s="158" t="str">
        <f>IF(U15="0",(IF(G15="",(IF(J15&lt;&gt;"",J15,"")),(IF(J15="",0-G15,J15-G15)))),"")</f>
        <v/>
      </c>
      <c r="M15" s="226"/>
      <c r="N15" s="207"/>
      <c r="O15" s="206"/>
      <c r="P15" s="207"/>
      <c r="Q15" s="206"/>
      <c r="R15" s="158" t="str">
        <f>IF(U15="0",(IF(M15="",(IF(Q15&lt;&gt;"",Q15,"")),(IF(Q15="",0-M15,Q15-M15)))),"")</f>
        <v/>
      </c>
      <c r="S15" s="158" t="str">
        <f>IF(U15="0",(IF(O15="",(IF(Q15&lt;&gt;"",Q15,"")),(IF(Q15="",0-O15,Q15-O15)))),"")</f>
        <v/>
      </c>
      <c r="T15" s="205"/>
      <c r="U15" s="169" t="s">
        <v>335</v>
      </c>
      <c r="V15" s="143"/>
      <c r="W15" s="143"/>
      <c r="X15" s="143"/>
    </row>
    <row r="16" spans="1:24" ht="14.1" customHeight="1" x14ac:dyDescent="0.25">
      <c r="A16" s="225" t="s">
        <v>307</v>
      </c>
      <c r="B16" s="211" t="s">
        <v>306</v>
      </c>
      <c r="C16" s="158"/>
      <c r="D16" s="158"/>
      <c r="E16" s="226"/>
      <c r="F16" s="207"/>
      <c r="G16" s="206"/>
      <c r="H16" s="158"/>
      <c r="I16" s="207"/>
      <c r="J16" s="206"/>
      <c r="K16" s="158" t="str">
        <f>IF(U16="0",(IF(D16="",(IF(J16&lt;&gt;"",J16,"")),(IF(J16="",0-D16,J16-D16)))),"")</f>
        <v/>
      </c>
      <c r="L16" s="158" t="str">
        <f>IF(U16="0",(IF(G16="",(IF(J16&lt;&gt;"",J16,"")),(IF(J16="",0-G16,J16-G16)))),"")</f>
        <v/>
      </c>
      <c r="M16" s="226"/>
      <c r="N16" s="207"/>
      <c r="O16" s="206"/>
      <c r="P16" s="207"/>
      <c r="Q16" s="206"/>
      <c r="R16" s="158" t="str">
        <f>IF(U16="0",(IF(M16="",(IF(Q16&lt;&gt;"",Q16,"")),(IF(Q16="",0-M16,Q16-M16)))),"")</f>
        <v/>
      </c>
      <c r="S16" s="158" t="str">
        <f>IF(U16="0",(IF(O16="",(IF(Q16&lt;&gt;"",Q16,"")),(IF(Q16="",0-O16,Q16-O16)))),"")</f>
        <v/>
      </c>
      <c r="T16" s="205"/>
      <c r="U16" s="169" t="s">
        <v>335</v>
      </c>
      <c r="V16" s="143"/>
      <c r="W16" s="143"/>
      <c r="X16" s="143"/>
    </row>
    <row r="17" spans="1:24" ht="14.1" customHeight="1" x14ac:dyDescent="0.25">
      <c r="A17" s="225" t="s">
        <v>305</v>
      </c>
      <c r="B17" s="211" t="s">
        <v>304</v>
      </c>
      <c r="C17" s="158"/>
      <c r="D17" s="158"/>
      <c r="E17" s="226"/>
      <c r="F17" s="207"/>
      <c r="G17" s="206"/>
      <c r="H17" s="158"/>
      <c r="I17" s="207"/>
      <c r="J17" s="206"/>
      <c r="K17" s="158" t="str">
        <f>IF(U17="0",(IF(D17="",(IF(J17&lt;&gt;"",J17,"")),(IF(J17="",0-D17,J17-D17)))),"")</f>
        <v/>
      </c>
      <c r="L17" s="158" t="str">
        <f>IF(U17="0",(IF(G17="",(IF(J17&lt;&gt;"",J17,"")),(IF(J17="",0-G17,J17-G17)))),"")</f>
        <v/>
      </c>
      <c r="M17" s="226"/>
      <c r="N17" s="207"/>
      <c r="O17" s="206"/>
      <c r="P17" s="207"/>
      <c r="Q17" s="206"/>
      <c r="R17" s="158" t="str">
        <f>IF(U17="0",(IF(M17="",(IF(Q17&lt;&gt;"",Q17,"")),(IF(Q17="",0-M17,Q17-M17)))),"")</f>
        <v/>
      </c>
      <c r="S17" s="158" t="str">
        <f>IF(U17="0",(IF(O17="",(IF(Q17&lt;&gt;"",Q17,"")),(IF(Q17="",0-O17,Q17-O17)))),"")</f>
        <v/>
      </c>
      <c r="T17" s="205"/>
      <c r="U17" s="169" t="s">
        <v>335</v>
      </c>
      <c r="V17" s="143"/>
      <c r="W17" s="143"/>
      <c r="X17" s="143"/>
    </row>
    <row r="18" spans="1:24" ht="14.1" customHeight="1" x14ac:dyDescent="0.25">
      <c r="A18" s="225" t="s">
        <v>303</v>
      </c>
      <c r="B18" s="211" t="s">
        <v>31</v>
      </c>
      <c r="C18" s="158">
        <v>6</v>
      </c>
      <c r="D18" s="158">
        <v>26.1</v>
      </c>
      <c r="E18" s="226">
        <v>4</v>
      </c>
      <c r="F18" s="207">
        <v>821</v>
      </c>
      <c r="G18" s="206">
        <v>20</v>
      </c>
      <c r="H18" s="158">
        <v>4</v>
      </c>
      <c r="I18" s="207">
        <v>646</v>
      </c>
      <c r="J18" s="206">
        <v>20.864000000000001</v>
      </c>
      <c r="K18" s="287">
        <f>IF(U18="0",(IF(D18="",(IF(J18&lt;&gt;"",J18,"")),(IF(J18="",0-D18,J18-D18)))),"")</f>
        <v>-5.2360000000000007</v>
      </c>
      <c r="L18" s="158">
        <f>IF(U18="0",(IF(G18="",(IF(J18&lt;&gt;"",J18,"")),(IF(J18="",0-G18,J18-G18)))),"")</f>
        <v>0.86400000000000077</v>
      </c>
      <c r="M18" s="226">
        <v>153.46299999999999</v>
      </c>
      <c r="N18" s="207">
        <v>3977</v>
      </c>
      <c r="O18" s="206">
        <v>100</v>
      </c>
      <c r="P18" s="207">
        <v>9246</v>
      </c>
      <c r="Q18" s="206">
        <v>224.68799999999999</v>
      </c>
      <c r="R18" s="158">
        <f>IF(U18="0",(IF(M18="",(IF(Q18&lt;&gt;"",Q18,"")),(IF(Q18="",0-M18,Q18-M18)))),"")</f>
        <v>71.224999999999994</v>
      </c>
      <c r="S18" s="158">
        <f>IF(U18="0",(IF(O18="",(IF(Q18&lt;&gt;"",Q18,"")),(IF(Q18="",0-O18,Q18-O18)))),"")</f>
        <v>124.68799999999999</v>
      </c>
      <c r="T18" s="205"/>
      <c r="U18" s="169" t="s">
        <v>335</v>
      </c>
      <c r="V18" s="143"/>
      <c r="W18" s="143"/>
      <c r="X18" s="143"/>
    </row>
    <row r="19" spans="1:24" ht="14.1" customHeight="1" x14ac:dyDescent="0.25">
      <c r="A19" s="225" t="s">
        <v>302</v>
      </c>
      <c r="B19" s="211" t="s">
        <v>301</v>
      </c>
      <c r="C19" s="158"/>
      <c r="D19" s="158"/>
      <c r="E19" s="226"/>
      <c r="F19" s="207"/>
      <c r="G19" s="206"/>
      <c r="H19" s="158"/>
      <c r="I19" s="207"/>
      <c r="J19" s="206"/>
      <c r="K19" s="158" t="str">
        <f>IF(U19="0",(IF(D19="",(IF(J19&lt;&gt;"",J19,"")),(IF(J19="",0-D19,J19-D19)))),"")</f>
        <v/>
      </c>
      <c r="L19" s="158" t="str">
        <f>IF(U19="0",(IF(G19="",(IF(J19&lt;&gt;"",J19,"")),(IF(J19="",0-G19,J19-G19)))),"")</f>
        <v/>
      </c>
      <c r="M19" s="226"/>
      <c r="N19" s="207"/>
      <c r="O19" s="206"/>
      <c r="P19" s="207"/>
      <c r="Q19" s="206"/>
      <c r="R19" s="158" t="str">
        <f>IF(U19="0",(IF(M19="",(IF(Q19&lt;&gt;"",Q19,"")),(IF(Q19="",0-M19,Q19-M19)))),"")</f>
        <v/>
      </c>
      <c r="S19" s="158" t="str">
        <f>IF(U19="0",(IF(O19="",(IF(Q19&lt;&gt;"",Q19,"")),(IF(Q19="",0-O19,Q19-O19)))),"")</f>
        <v/>
      </c>
      <c r="T19" s="205"/>
      <c r="U19" s="169" t="s">
        <v>335</v>
      </c>
      <c r="V19" s="143"/>
      <c r="W19" s="143"/>
      <c r="X19" s="143"/>
    </row>
    <row r="20" spans="1:24" ht="14.1" customHeight="1" x14ac:dyDescent="0.25">
      <c r="A20" s="225" t="s">
        <v>300</v>
      </c>
      <c r="B20" s="211" t="s">
        <v>299</v>
      </c>
      <c r="C20" s="158"/>
      <c r="D20" s="158"/>
      <c r="E20" s="226"/>
      <c r="F20" s="207"/>
      <c r="G20" s="206"/>
      <c r="H20" s="158"/>
      <c r="I20" s="207"/>
      <c r="J20" s="206"/>
      <c r="K20" s="158" t="str">
        <f>IF(U20="0",(IF(D20="",(IF(J20&lt;&gt;"",J20,"")),(IF(J20="",0-D20,J20-D20)))),"")</f>
        <v/>
      </c>
      <c r="L20" s="158" t="str">
        <f>IF(U20="0",(IF(G20="",(IF(J20&lt;&gt;"",J20,"")),(IF(J20="",0-G20,J20-G20)))),"")</f>
        <v/>
      </c>
      <c r="M20" s="226"/>
      <c r="N20" s="207"/>
      <c r="O20" s="206"/>
      <c r="P20" s="207"/>
      <c r="Q20" s="206"/>
      <c r="R20" s="158" t="str">
        <f>IF(U20="0",(IF(M20="",(IF(Q20&lt;&gt;"",Q20,"")),(IF(Q20="",0-M20,Q20-M20)))),"")</f>
        <v/>
      </c>
      <c r="S20" s="158" t="str">
        <f>IF(U20="0",(IF(O20="",(IF(Q20&lt;&gt;"",Q20,"")),(IF(Q20="",0-O20,Q20-O20)))),"")</f>
        <v/>
      </c>
      <c r="T20" s="205"/>
      <c r="U20" s="169" t="s">
        <v>335</v>
      </c>
      <c r="V20" s="143"/>
      <c r="W20" s="143"/>
      <c r="X20" s="143"/>
    </row>
    <row r="21" spans="1:24" ht="14.1" customHeight="1" x14ac:dyDescent="0.25">
      <c r="A21" s="225" t="s">
        <v>298</v>
      </c>
      <c r="B21" s="211" t="s">
        <v>297</v>
      </c>
      <c r="C21" s="158"/>
      <c r="D21" s="158"/>
      <c r="E21" s="226"/>
      <c r="F21" s="207"/>
      <c r="G21" s="206"/>
      <c r="H21" s="158"/>
      <c r="I21" s="207"/>
      <c r="J21" s="206"/>
      <c r="K21" s="158" t="str">
        <f>IF(U21="0",(IF(D21="",(IF(J21&lt;&gt;"",J21,"")),(IF(J21="",0-D21,J21-D21)))),"")</f>
        <v/>
      </c>
      <c r="L21" s="158" t="str">
        <f>IF(U21="0",(IF(G21="",(IF(J21&lt;&gt;"",J21,"")),(IF(J21="",0-G21,J21-G21)))),"")</f>
        <v/>
      </c>
      <c r="M21" s="226"/>
      <c r="N21" s="207"/>
      <c r="O21" s="206"/>
      <c r="P21" s="207"/>
      <c r="Q21" s="206"/>
      <c r="R21" s="158" t="str">
        <f>IF(U21="0",(IF(M21="",(IF(Q21&lt;&gt;"",Q21,"")),(IF(Q21="",0-M21,Q21-M21)))),"")</f>
        <v/>
      </c>
      <c r="S21" s="158" t="str">
        <f>IF(U21="0",(IF(O21="",(IF(Q21&lt;&gt;"",Q21,"")),(IF(Q21="",0-O21,Q21-O21)))),"")</f>
        <v/>
      </c>
      <c r="T21" s="205"/>
      <c r="U21" s="169" t="s">
        <v>335</v>
      </c>
      <c r="V21" s="143"/>
      <c r="W21" s="143"/>
      <c r="X21" s="143"/>
    </row>
    <row r="22" spans="1:24" ht="14.1" customHeight="1" x14ac:dyDescent="0.25">
      <c r="A22" s="225" t="s">
        <v>296</v>
      </c>
      <c r="B22" s="211" t="s">
        <v>295</v>
      </c>
      <c r="C22" s="158"/>
      <c r="D22" s="158"/>
      <c r="E22" s="226"/>
      <c r="F22" s="207"/>
      <c r="G22" s="206"/>
      <c r="H22" s="158"/>
      <c r="I22" s="207"/>
      <c r="J22" s="206"/>
      <c r="K22" s="158" t="str">
        <f>IF(U22="0",(IF(D22="",(IF(J22&lt;&gt;"",J22,"")),(IF(J22="",0-D22,J22-D22)))),"")</f>
        <v/>
      </c>
      <c r="L22" s="158" t="str">
        <f>IF(U22="0",(IF(G22="",(IF(J22&lt;&gt;"",J22,"")),(IF(J22="",0-G22,J22-G22)))),"")</f>
        <v/>
      </c>
      <c r="M22" s="226"/>
      <c r="N22" s="207"/>
      <c r="O22" s="206"/>
      <c r="P22" s="207"/>
      <c r="Q22" s="206"/>
      <c r="R22" s="158" t="str">
        <f>IF(U22="0",(IF(M22="",(IF(Q22&lt;&gt;"",Q22,"")),(IF(Q22="",0-M22,Q22-M22)))),"")</f>
        <v/>
      </c>
      <c r="S22" s="158" t="str">
        <f>IF(U22="0",(IF(O22="",(IF(Q22&lt;&gt;"",Q22,"")),(IF(Q22="",0-O22,Q22-O22)))),"")</f>
        <v/>
      </c>
      <c r="T22" s="205"/>
      <c r="U22" s="169" t="s">
        <v>335</v>
      </c>
      <c r="V22" s="143"/>
      <c r="W22" s="143"/>
      <c r="X22" s="143"/>
    </row>
    <row r="23" spans="1:24" ht="15" customHeight="1" x14ac:dyDescent="0.25">
      <c r="A23" s="237" t="s">
        <v>294</v>
      </c>
      <c r="B23" s="236" t="s">
        <v>293</v>
      </c>
      <c r="C23" s="217">
        <f>SUBTOTAL(9,C24:C28)-IF(B23="Работа с фондом",SUMIF(B24:B28,"      ограничение добычи (ОПЕК)",C24:C28),0)</f>
        <v>0</v>
      </c>
      <c r="D23" s="217">
        <f>SUBTOTAL(9,D24:D28)-IF(B23="Работа с фондом",SUMIF(B24:B28,"      ограничение добычи (ОПЕК)",D24:D28),0)</f>
        <v>0</v>
      </c>
      <c r="E23" s="231">
        <f>SUBTOTAL(9,E24:E28)-IF(B23="Работа с фондом",SUMIF(B24:B28,"      ограничение добычи (ОПЕК)",E24:E28),0)</f>
        <v>46</v>
      </c>
      <c r="F23" s="219">
        <f>SUBTOTAL(9,F24:F28)-IF(B23="Работа с фондом",SUMIF(B24:B28,"      ограничение добычи (ОПЕК)",F24:F28),0)</f>
        <v>5541</v>
      </c>
      <c r="G23" s="218">
        <f>SUBTOTAL(9,G24:G28)-IF(B23="Работа с фондом",SUMIF(B24:B28,"      ограничение добычи (ОПЕК)",G24:G28),0)</f>
        <v>108.89999999999998</v>
      </c>
      <c r="H23" s="217">
        <f>IF(U23="0",(SUBTOTAL(9,H24:H28)-IF(B23="Работа с фондом",SUMIF(B24:B28,"      ограничение добычи (ОПЕК)",H24:H28),0)),"")</f>
        <v>83</v>
      </c>
      <c r="I23" s="219">
        <f>IF(U23="0",(SUBTOTAL(9,I24:I28)-IF(B23="Работа с фондом",SUMIF(B24:B28,"      ограничение добычи (ОПЕК)",I24:I28),0)),"")</f>
        <v>4226.5909999999994</v>
      </c>
      <c r="J23" s="218">
        <f>IF(U23="0",(SUBTOTAL(9,J24:J28)-IF(B23="Работа с фондом",SUMIF(B24:B28,"      ограничение добычи (ОПЕК)",J24:J28),0)),"")</f>
        <v>160.80100000000004</v>
      </c>
      <c r="K23" s="217">
        <f>IF(U23="0",(SUBTOTAL(9,K24:K28)-IF(B23="Работа с фондом",SUMIF(B24:B28,"      ограничение добычи (ОПЕК)",K24:K28),0)),"")</f>
        <v>160.80100000000004</v>
      </c>
      <c r="L23" s="217">
        <f>IF(U23="0",(SUBTOTAL(9,L24:L28)-IF(B23="Работа с фондом",SUMIF(B24:B28,"      ограничение добычи (ОПЕК)",L24:L28),0)),"")</f>
        <v>51.90100000000001</v>
      </c>
      <c r="M23" s="231">
        <f>SUBTOTAL(9,M24:M28)-IF(B23="Работа с фондом",SUMIF(B24:B28,"      ограничение добычи (ОПЕК)",M24:M28),0)</f>
        <v>0</v>
      </c>
      <c r="N23" s="219">
        <f>SUBTOTAL(9,N24:N28)-IF(B23="Работа с фондом",SUMIF(B24:B28,"      ограничение добычи (ОПЕК)",N24:N28),0)</f>
        <v>55974</v>
      </c>
      <c r="O23" s="218">
        <f>SUBTOTAL(9,O24:O28)-IF(B23="Работа с фондом",SUMIF(B24:B28,"      ограничение добычи (ОПЕК)",O24:O28),0)</f>
        <v>6660</v>
      </c>
      <c r="P23" s="219">
        <f>IF(U23="0",(SUBTOTAL(9,P24:P28)-IF(B23="Работа с фондом",SUMIF(B24:B28,"      ограничение добычи (ОПЕК)",P24:P28),0)),"")</f>
        <v>46734.848000000005</v>
      </c>
      <c r="Q23" s="218">
        <f>IF(U23="0",(SUBTOTAL(9,Q24:Q28)-IF(B23="Работа с фондом",SUMIF(B24:B28,"      ограничение добычи (ОПЕК)",Q24:Q28),0)),"")</f>
        <v>1740.9079999999999</v>
      </c>
      <c r="R23" s="217">
        <f>IF(U23="0",(SUBTOTAL(9,R24:R28)-IF(B23="Работа с фондом",SUMIF(B24:B28,"      ограничение добычи (ОПЕК)",R24:R28),0)),"")</f>
        <v>1740.9079999999999</v>
      </c>
      <c r="S23" s="289">
        <f>IF(U23="0",(SUBTOTAL(9,S24:S28)-IF(B23="Работа с фондом",SUMIF(B24:B28,"      ограничение добычи (ОПЕК)",S24:S28),0)),"")</f>
        <v>-4919.0919999999996</v>
      </c>
      <c r="T23" s="216"/>
      <c r="U23" s="169" t="s">
        <v>335</v>
      </c>
      <c r="V23" s="143"/>
      <c r="W23" s="143"/>
      <c r="X23" s="143"/>
    </row>
    <row r="24" spans="1:24" ht="14.1" customHeight="1" x14ac:dyDescent="0.25">
      <c r="A24" s="225" t="s">
        <v>292</v>
      </c>
      <c r="B24" s="211" t="s">
        <v>13</v>
      </c>
      <c r="C24" s="158"/>
      <c r="D24" s="158"/>
      <c r="E24" s="226">
        <v>3</v>
      </c>
      <c r="F24" s="207">
        <v>929</v>
      </c>
      <c r="G24" s="206">
        <v>20</v>
      </c>
      <c r="H24" s="158">
        <v>4</v>
      </c>
      <c r="I24" s="207">
        <v>678.68799999999999</v>
      </c>
      <c r="J24" s="292">
        <f>20.9+0.1</f>
        <v>21</v>
      </c>
      <c r="K24" s="158">
        <f>IF(U24="0",(IF(D24="",(IF(J24&lt;&gt;"",J24,"")),(IF(J24="",0-D24,J24-D24)))),"")</f>
        <v>21</v>
      </c>
      <c r="L24" s="158">
        <f>IF(U24="0",(IF(G24="",(IF(J24&lt;&gt;"",J24,"")),(IF(J24="",0-G24,J24-G24)))),"")</f>
        <v>1</v>
      </c>
      <c r="M24" s="226"/>
      <c r="N24" s="207">
        <v>15869</v>
      </c>
      <c r="O24" s="206">
        <v>308</v>
      </c>
      <c r="P24" s="207">
        <v>7840.6009999999997</v>
      </c>
      <c r="Q24" s="206">
        <v>230.6</v>
      </c>
      <c r="R24" s="158">
        <f>IF(U24="0",(IF(M24="",(IF(Q24&lt;&gt;"",Q24,"")),(IF(Q24="",0-M24,Q24-M24)))),"")</f>
        <v>230.6</v>
      </c>
      <c r="S24" s="287">
        <f>IF(U24="0",(IF(O24="",(IF(Q24&lt;&gt;"",Q24,"")),(IF(Q24="",0-O24,Q24-O24)))),"")</f>
        <v>-77.400000000000006</v>
      </c>
      <c r="T24" s="205"/>
      <c r="U24" s="169" t="s">
        <v>335</v>
      </c>
      <c r="V24" s="143"/>
      <c r="W24" s="143"/>
      <c r="X24" s="143"/>
    </row>
    <row r="25" spans="1:24" ht="14.1" customHeight="1" x14ac:dyDescent="0.25">
      <c r="A25" s="225" t="s">
        <v>291</v>
      </c>
      <c r="B25" s="211" t="s">
        <v>290</v>
      </c>
      <c r="C25" s="158"/>
      <c r="D25" s="158"/>
      <c r="E25" s="226"/>
      <c r="F25" s="207"/>
      <c r="G25" s="206"/>
      <c r="H25" s="158"/>
      <c r="I25" s="207"/>
      <c r="J25" s="206"/>
      <c r="K25" s="158" t="str">
        <f>IF(U25="0",(IF(D25="",(IF(J25&lt;&gt;"",J25,"")),(IF(J25="",0-D25,J25-D25)))),"")</f>
        <v/>
      </c>
      <c r="L25" s="158" t="str">
        <f>IF(U25="0",(IF(G25="",(IF(J25&lt;&gt;"",J25,"")),(IF(J25="",0-G25,J25-G25)))),"")</f>
        <v/>
      </c>
      <c r="M25" s="226"/>
      <c r="N25" s="207"/>
      <c r="O25" s="206"/>
      <c r="P25" s="207"/>
      <c r="Q25" s="206"/>
      <c r="R25" s="158" t="str">
        <f>IF(U25="0",(IF(M25="",(IF(Q25&lt;&gt;"",Q25,"")),(IF(Q25="",0-M25,Q25-M25)))),"")</f>
        <v/>
      </c>
      <c r="S25" s="158" t="str">
        <f>IF(U25="0",(IF(O25="",(IF(Q25&lt;&gt;"",Q25,"")),(IF(Q25="",0-O25,Q25-O25)))),"")</f>
        <v/>
      </c>
      <c r="T25" s="205"/>
      <c r="U25" s="169" t="s">
        <v>335</v>
      </c>
      <c r="V25" s="143"/>
      <c r="W25" s="143"/>
      <c r="X25" s="143"/>
    </row>
    <row r="26" spans="1:24" ht="14.1" customHeight="1" x14ac:dyDescent="0.25">
      <c r="A26" s="225" t="s">
        <v>289</v>
      </c>
      <c r="B26" s="211" t="s">
        <v>14</v>
      </c>
      <c r="C26" s="158"/>
      <c r="D26" s="158"/>
      <c r="E26" s="226">
        <v>4</v>
      </c>
      <c r="F26" s="207">
        <v>0</v>
      </c>
      <c r="G26" s="206">
        <v>170</v>
      </c>
      <c r="H26" s="158">
        <v>59</v>
      </c>
      <c r="I26" s="207">
        <v>0</v>
      </c>
      <c r="J26" s="292">
        <f>559.912-450-75-11</f>
        <v>23.912000000000035</v>
      </c>
      <c r="K26" s="158">
        <f>IF(U26="0",(IF(D26="",(IF(J26&lt;&gt;"",J26,"")),(IF(J26="",0-D26,J26-D26)))),"")</f>
        <v>23.912000000000035</v>
      </c>
      <c r="L26" s="158">
        <f>IF(U26="0",(IF(G26="",(IF(J26&lt;&gt;"",J26,"")),(IF(J26="",0-G26,J26-G26)))),"")</f>
        <v>-146.08799999999997</v>
      </c>
      <c r="M26" s="226"/>
      <c r="N26" s="207">
        <v>0</v>
      </c>
      <c r="O26" s="206">
        <v>4284</v>
      </c>
      <c r="P26" s="207"/>
      <c r="Q26" s="206">
        <v>24</v>
      </c>
      <c r="R26" s="158">
        <f>IF(U26="0",(IF(M26="",(IF(Q26&lt;&gt;"",Q26,"")),(IF(Q26="",0-M26,Q26-M26)))),"")</f>
        <v>24</v>
      </c>
      <c r="S26" s="158">
        <f>IF(U26="0",(IF(O26="",(IF(Q26&lt;&gt;"",Q26,"")),(IF(Q26="",0-O26,Q26-O26)))),"")</f>
        <v>-4260</v>
      </c>
      <c r="T26" s="205"/>
      <c r="U26" s="169" t="s">
        <v>335</v>
      </c>
      <c r="V26" s="143"/>
      <c r="W26" s="143"/>
      <c r="X26" s="143"/>
    </row>
    <row r="27" spans="1:24" ht="14.1" customHeight="1" x14ac:dyDescent="0.25">
      <c r="A27" s="225" t="s">
        <v>288</v>
      </c>
      <c r="B27" s="211" t="s">
        <v>287</v>
      </c>
      <c r="C27" s="158"/>
      <c r="D27" s="158"/>
      <c r="E27" s="226">
        <v>39</v>
      </c>
      <c r="F27" s="207">
        <v>4612</v>
      </c>
      <c r="G27" s="206">
        <v>214.9</v>
      </c>
      <c r="H27" s="158">
        <v>20</v>
      </c>
      <c r="I27" s="207">
        <v>3547.9029999999998</v>
      </c>
      <c r="J27" s="292">
        <f>112.789+3.1</f>
        <v>115.889</v>
      </c>
      <c r="K27" s="158">
        <f>IF(U27="0",(IF(D27="",(IF(J27&lt;&gt;"",J27,"")),(IF(J27="",0-D27,J27-D27)))),"")</f>
        <v>115.889</v>
      </c>
      <c r="L27" s="287">
        <f>IF(U27="0",(IF(G27="",(IF(J27&lt;&gt;"",J27,"")),(IF(J27="",0-G27,J27-G27)))),"")</f>
        <v>-99.01100000000001</v>
      </c>
      <c r="M27" s="226"/>
      <c r="N27" s="207">
        <v>40105</v>
      </c>
      <c r="O27" s="206">
        <v>2068</v>
      </c>
      <c r="P27" s="207">
        <v>38894.247000000003</v>
      </c>
      <c r="Q27" s="206">
        <v>1486.308</v>
      </c>
      <c r="R27" s="158">
        <f>IF(U27="0",(IF(M27="",(IF(Q27&lt;&gt;"",Q27,"")),(IF(Q27="",0-M27,Q27-M27)))),"")</f>
        <v>1486.308</v>
      </c>
      <c r="S27" s="287">
        <f>IF(U27="0",(IF(O27="",(IF(Q27&lt;&gt;"",Q27,"")),(IF(Q27="",0-O27,Q27-O27)))),"")</f>
        <v>-581.69200000000001</v>
      </c>
      <c r="T27" s="205"/>
      <c r="U27" s="169" t="s">
        <v>335</v>
      </c>
      <c r="V27" s="143"/>
      <c r="W27" s="143"/>
      <c r="X27" s="143"/>
    </row>
    <row r="28" spans="1:24" ht="14.1" customHeight="1" x14ac:dyDescent="0.25">
      <c r="A28" s="225" t="s">
        <v>2</v>
      </c>
      <c r="B28" s="211" t="s">
        <v>249</v>
      </c>
      <c r="C28" s="158"/>
      <c r="D28" s="158"/>
      <c r="E28" s="226"/>
      <c r="F28" s="207"/>
      <c r="G28" s="206">
        <v>-296</v>
      </c>
      <c r="H28" s="158"/>
      <c r="I28" s="207"/>
      <c r="J28" s="206"/>
      <c r="K28" s="158" t="str">
        <f>IF(U28="0",(IF(D28="",(IF(J28&lt;&gt;"",J28,"")),(IF(J28="",0-D28,J28-D28)))),"")</f>
        <v/>
      </c>
      <c r="L28" s="158">
        <f>IF(U28="0",(IF(G28="",(IF(J28&lt;&gt;"",J28,"")),(IF(J28="",0-G28,J28-G28)))),"")</f>
        <v>296</v>
      </c>
      <c r="M28" s="226"/>
      <c r="N28" s="207"/>
      <c r="O28" s="206"/>
      <c r="P28" s="207"/>
      <c r="Q28" s="206"/>
      <c r="R28" s="158" t="str">
        <f>IF(U28="0",(IF(M28="",(IF(Q28&lt;&gt;"",Q28,"")),(IF(Q28="",0-M28,Q28-M28)))),"")</f>
        <v/>
      </c>
      <c r="S28" s="158" t="str">
        <f>IF(U28="0",(IF(O28="",(IF(Q28&lt;&gt;"",Q28,"")),(IF(Q28="",0-O28,Q28-O28)))),"")</f>
        <v/>
      </c>
      <c r="T28" s="205"/>
      <c r="U28" s="169" t="s">
        <v>335</v>
      </c>
      <c r="V28" s="143"/>
      <c r="W28" s="143"/>
      <c r="X28" s="143"/>
    </row>
    <row r="29" spans="1:24" ht="15" customHeight="1" x14ac:dyDescent="0.25">
      <c r="A29" s="223" t="s">
        <v>286</v>
      </c>
      <c r="B29" s="222" t="s">
        <v>285</v>
      </c>
      <c r="C29" s="253"/>
      <c r="D29" s="253"/>
      <c r="E29" s="256">
        <v>0</v>
      </c>
      <c r="F29" s="255">
        <v>0</v>
      </c>
      <c r="G29" s="254">
        <v>0</v>
      </c>
      <c r="H29" s="253">
        <v>0</v>
      </c>
      <c r="I29" s="255">
        <v>0</v>
      </c>
      <c r="J29" s="254">
        <v>0</v>
      </c>
      <c r="K29" s="257"/>
      <c r="L29" s="253">
        <f>IF(U29="0",(IF(G29="",(IF(J29&lt;&gt;"",J29,"")),(IF(J29="",0-G29,J29-G29)))),"")</f>
        <v>0</v>
      </c>
      <c r="M29" s="256"/>
      <c r="N29" s="255">
        <v>0</v>
      </c>
      <c r="O29" s="254">
        <v>0</v>
      </c>
      <c r="P29" s="255">
        <v>0</v>
      </c>
      <c r="Q29" s="254">
        <v>0</v>
      </c>
      <c r="R29" s="253" t="s">
        <v>2</v>
      </c>
      <c r="S29" s="253">
        <f>IF(U29="0",(IF(O29="",(IF(Q29&lt;&gt;"",Q29,"")),(IF(Q29="",0-O29,Q29-O29)))),"")</f>
        <v>0</v>
      </c>
      <c r="T29" s="252"/>
      <c r="U29" s="169" t="s">
        <v>335</v>
      </c>
      <c r="V29" s="143"/>
      <c r="W29" s="143"/>
      <c r="X29" s="143"/>
    </row>
    <row r="30" spans="1:24" ht="14.1" customHeight="1" x14ac:dyDescent="0.25">
      <c r="A30" s="223" t="s">
        <v>284</v>
      </c>
      <c r="B30" s="222" t="s">
        <v>283</v>
      </c>
      <c r="C30" s="221"/>
      <c r="D30" s="221"/>
      <c r="E30" s="220"/>
      <c r="F30" s="221"/>
      <c r="G30" s="221"/>
      <c r="H30" s="221"/>
      <c r="I30" s="221"/>
      <c r="J30" s="221"/>
      <c r="K30" s="221"/>
      <c r="L30" s="221"/>
      <c r="M30" s="220"/>
      <c r="N30" s="219">
        <v>0</v>
      </c>
      <c r="O30" s="218"/>
      <c r="P30" s="219">
        <v>0</v>
      </c>
      <c r="Q30" s="218">
        <v>1612.7139999999199</v>
      </c>
      <c r="R30" s="217"/>
      <c r="S30" s="217">
        <f>IF(U30="0",(IF(O30="",(IF(Q30&lt;&gt;"",Q30,"")),(IF(Q30="",0-O30,Q30-O30)))),"")</f>
        <v>1612.7139999999199</v>
      </c>
      <c r="T30" s="216"/>
      <c r="U30" s="169" t="s">
        <v>335</v>
      </c>
      <c r="V30" s="143"/>
      <c r="W30" s="143"/>
      <c r="X30" s="143"/>
    </row>
    <row r="31" spans="1:24" ht="14.1" customHeight="1" x14ac:dyDescent="0.25">
      <c r="A31" s="251"/>
      <c r="B31" s="250"/>
      <c r="C31" s="249"/>
      <c r="D31" s="249"/>
      <c r="E31" s="247"/>
      <c r="F31" s="248"/>
      <c r="G31" s="248"/>
      <c r="H31" s="248"/>
      <c r="I31" s="248"/>
      <c r="J31" s="248"/>
      <c r="K31" s="248"/>
      <c r="L31" s="248"/>
      <c r="M31" s="247"/>
      <c r="N31" s="248"/>
      <c r="O31" s="248"/>
      <c r="P31" s="248"/>
      <c r="Q31" s="248"/>
      <c r="R31" s="248"/>
      <c r="S31" s="248"/>
      <c r="T31" s="247"/>
      <c r="U31" s="144"/>
      <c r="V31" s="143"/>
      <c r="W31" s="143"/>
      <c r="X31" s="143"/>
    </row>
    <row r="32" spans="1:24" ht="14.1" customHeight="1" thickBot="1" x14ac:dyDescent="0.3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3"/>
      <c r="W32" s="143"/>
      <c r="X32" s="143"/>
    </row>
    <row r="33" spans="1:24" ht="15" customHeight="1" x14ac:dyDescent="0.25">
      <c r="A33" s="246">
        <v>3</v>
      </c>
      <c r="B33" s="245" t="s">
        <v>282</v>
      </c>
      <c r="C33" s="243"/>
      <c r="D33" s="243"/>
      <c r="E33" s="244">
        <f>SUMIF(B34:B59,"Падение по базовому фонду, ГТМ",E34:E59)+SUMIF(B34:B59,"От технологических причин, в т.ч:",E34:E59)</f>
        <v>43</v>
      </c>
      <c r="F33" s="241">
        <f>SUMIF(B34:B59,"Падение по базовому фонду, ГТМ",F34:F59)+SUMIF(B34:B59,"От технологических причин, в т.ч:",F34:F59)</f>
        <v>2243.1289999999999</v>
      </c>
      <c r="G33" s="240">
        <f>SUMIF(B34:B59,"Падение по базовому фонду, ГТМ",G34:G59)+SUMIF(B34:B59,"От технологических причин, в т.ч:",G34:G59)</f>
        <v>1779.8820000000001</v>
      </c>
      <c r="H33" s="239">
        <f>IF(U33="0",(SUMIF(B34:B59,"Падение по базовому фонду, ГТМ",H34:H59)+SUMIF(B34:B59,"От технологических причин, в т.ч:",H34:H59)),"")</f>
        <v>18</v>
      </c>
      <c r="I33" s="241">
        <f>IF(U33="0",(SUMIF(B34:B59,"Падение по базовому фонду, ГТМ",I34:I59)+SUMIF(B34:B59,"От технологических причин, в т.ч:",I34:I59)),"")</f>
        <v>3207.9520000000002</v>
      </c>
      <c r="J33" s="240">
        <f>IF(U33="0",(SUMIF(B34:B59,"Падение по базовому фонду, ГТМ",J34:J59)+SUMIF(B34:B59,"От технологических причин, в т.ч:",J34:J59)),"")</f>
        <v>1757.672</v>
      </c>
      <c r="K33" s="243"/>
      <c r="L33" s="290">
        <f>IF(U33="0",(SUMIF(B34:B59,"Падение по базовому фонду, ГТМ",L34:L59)+SUMIF(B34:B59,"От технологических причин, в т.ч:",L34:L59)),"")</f>
        <v>-22.209999999999987</v>
      </c>
      <c r="M33" s="242">
        <v>2089.4780000000001</v>
      </c>
      <c r="N33" s="241">
        <f>SUMIF(B34:B61,"Падение по базовому фонду, ГТМ",N34:N61)+SUMIF(B34:B61,"От технологических причин, в т.ч:",N34:N61)</f>
        <v>108642.90500000001</v>
      </c>
      <c r="O33" s="240">
        <f>SUMIF(B34:B61,"Падение по базовому фонду, ГТМ",O34:O61)+SUMIF(B34:B61,"От технологических причин, в т.ч:",O34:O61)</f>
        <v>37330.967000000004</v>
      </c>
      <c r="P33" s="241">
        <f>IF(U33="0",(SUMIF(B34:B61,"Падение по базовому фонду, ГТМ",P34:P61)+SUMIF(B34:B61,"От технологических причин, в т.ч:",P34:P61)),"")</f>
        <v>190128.77800000002</v>
      </c>
      <c r="Q33" s="240">
        <f>IF(U33="0",(SUMIF(B34:B61,"Падение по базовому фонду, ГТМ",Q34:Q61)+SUMIF(B34:B61,"От технологических причин, в т.ч:",Q34:Q61)),"")</f>
        <v>35040.895000000004</v>
      </c>
      <c r="R33" s="239"/>
      <c r="S33" s="290">
        <f>IF(U33="0",(SUMIF(B34:B61,"Падение по базовому фонду, ГТМ",S34:S61)+SUMIF(B34:B61,"От технологических причин, в т.ч:",S34:S61)),"")</f>
        <v>-2290.0720000000001</v>
      </c>
      <c r="T33" s="238"/>
      <c r="U33" s="169" t="s">
        <v>335</v>
      </c>
      <c r="V33" s="143"/>
      <c r="W33" s="143"/>
      <c r="X33" s="143"/>
    </row>
    <row r="34" spans="1:24" ht="15" customHeight="1" x14ac:dyDescent="0.25">
      <c r="A34" s="237" t="s">
        <v>281</v>
      </c>
      <c r="B34" s="236" t="s">
        <v>280</v>
      </c>
      <c r="C34" s="221"/>
      <c r="D34" s="221"/>
      <c r="E34" s="220"/>
      <c r="F34" s="219">
        <f>SUBTOTAL(9,F35:F42)</f>
        <v>0</v>
      </c>
      <c r="G34" s="218">
        <f>SUBTOTAL(9,G35:G42)</f>
        <v>1550</v>
      </c>
      <c r="H34" s="221"/>
      <c r="I34" s="219">
        <f>IF(U34="0",(SUBTOTAL(9,I35:I42)),"")</f>
        <v>0</v>
      </c>
      <c r="J34" s="218">
        <f>IF(U34="0",(SUBTOTAL(9,J35:J42)),"")</f>
        <v>1550</v>
      </c>
      <c r="K34" s="221"/>
      <c r="L34" s="289">
        <f>IF(U34="0",(SUBTOTAL(9,L35:L42)),"")</f>
        <v>0</v>
      </c>
      <c r="M34" s="220">
        <v>0</v>
      </c>
      <c r="N34" s="219">
        <f>SUBTOTAL(9,N35:N42)</f>
        <v>0</v>
      </c>
      <c r="O34" s="218">
        <f>SUBTOTAL(9,O35:O42)</f>
        <v>24800</v>
      </c>
      <c r="P34" s="219">
        <f>IF(U34="0",(SUBTOTAL(9,P35:P42)),"")</f>
        <v>0</v>
      </c>
      <c r="Q34" s="218">
        <f>IF(U34="0",(SUBTOTAL(9,Q35:Q42)),"")</f>
        <v>24800</v>
      </c>
      <c r="R34" s="217"/>
      <c r="S34" s="217">
        <f>IF(U34="0",(SUBTOTAL(9,S35:S42)),"")</f>
        <v>0</v>
      </c>
      <c r="T34" s="216"/>
      <c r="U34" s="169" t="s">
        <v>335</v>
      </c>
      <c r="V34" s="143"/>
      <c r="W34" s="143"/>
      <c r="X34" s="143"/>
    </row>
    <row r="35" spans="1:24" ht="15" customHeight="1" x14ac:dyDescent="0.25">
      <c r="A35" s="225" t="s">
        <v>279</v>
      </c>
      <c r="B35" s="211" t="s">
        <v>278</v>
      </c>
      <c r="C35" s="151"/>
      <c r="D35" s="151"/>
      <c r="E35" s="228"/>
      <c r="F35" s="215">
        <f>SUBTOTAL(9,F36:F37)</f>
        <v>0</v>
      </c>
      <c r="G35" s="214">
        <f>SUBTOTAL(9,G36:G37)</f>
        <v>1550</v>
      </c>
      <c r="H35" s="229"/>
      <c r="I35" s="215">
        <f>IF(U35="0",(SUBTOTAL(9,I36:I37)),"")</f>
        <v>0</v>
      </c>
      <c r="J35" s="214">
        <f>IF(U35="0",(SUBTOTAL(9,J36:J37)),"")</f>
        <v>1550</v>
      </c>
      <c r="K35" s="229"/>
      <c r="L35" s="149">
        <f>IF(U35="0",(SUBTOTAL(9,L36:L37)),"")</f>
        <v>0</v>
      </c>
      <c r="M35" s="228">
        <v>0</v>
      </c>
      <c r="N35" s="215">
        <f>SUBTOTAL(9,N36:N37)</f>
        <v>0</v>
      </c>
      <c r="O35" s="214">
        <f>SUBTOTAL(9,O36:O37)</f>
        <v>24800</v>
      </c>
      <c r="P35" s="215">
        <f>IF(U35="0",(SUBTOTAL(9,P36:P37)),"")</f>
        <v>0</v>
      </c>
      <c r="Q35" s="214">
        <f>IF(U35="0",(SUBTOTAL(9,Q36:Q37)),"")</f>
        <v>24800</v>
      </c>
      <c r="R35" s="149"/>
      <c r="S35" s="149">
        <f>IF(U35="0",(SUBTOTAL(9,S36:S37)),"")</f>
        <v>0</v>
      </c>
      <c r="T35" s="227"/>
      <c r="U35" s="169" t="s">
        <v>335</v>
      </c>
      <c r="V35" s="143"/>
      <c r="W35" s="143"/>
      <c r="X35" s="143"/>
    </row>
    <row r="36" spans="1:24" ht="15" customHeight="1" x14ac:dyDescent="0.25">
      <c r="A36" s="225" t="s">
        <v>277</v>
      </c>
      <c r="B36" s="213" t="s">
        <v>276</v>
      </c>
      <c r="C36" s="151"/>
      <c r="D36" s="151"/>
      <c r="E36" s="235" t="s">
        <v>337</v>
      </c>
      <c r="F36" s="207">
        <v>0</v>
      </c>
      <c r="G36" s="206">
        <v>1208.69</v>
      </c>
      <c r="H36" s="234" t="s">
        <v>337</v>
      </c>
      <c r="I36" s="207">
        <v>0</v>
      </c>
      <c r="J36" s="206">
        <v>1208.69</v>
      </c>
      <c r="K36" s="151"/>
      <c r="L36" s="158">
        <f>IF(U36="0",(IF(G36="",(IF(J36&lt;&gt;"",J36,"")),(IF(J36="",0-G36,J36-G36)))),"")</f>
        <v>0</v>
      </c>
      <c r="M36" s="208"/>
      <c r="N36" s="207">
        <v>0</v>
      </c>
      <c r="O36" s="206">
        <v>19339.04</v>
      </c>
      <c r="P36" s="207">
        <v>0</v>
      </c>
      <c r="Q36" s="206">
        <v>19339.04</v>
      </c>
      <c r="R36" s="158"/>
      <c r="S36" s="158">
        <f>IF(U36="0",(IF(O36="",(IF(Q36&lt;&gt;"",Q36,"")),(IF(Q36="",0-O36,Q36-O36)))),"")</f>
        <v>0</v>
      </c>
      <c r="T36" s="205"/>
      <c r="U36" s="169" t="s">
        <v>335</v>
      </c>
      <c r="V36" s="143"/>
      <c r="W36" s="143"/>
      <c r="X36" s="143"/>
    </row>
    <row r="37" spans="1:24" ht="15" customHeight="1" x14ac:dyDescent="0.25">
      <c r="A37" s="225" t="s">
        <v>274</v>
      </c>
      <c r="B37" s="213" t="s">
        <v>273</v>
      </c>
      <c r="C37" s="151"/>
      <c r="D37" s="151"/>
      <c r="E37" s="235" t="s">
        <v>336</v>
      </c>
      <c r="F37" s="207">
        <v>0</v>
      </c>
      <c r="G37" s="206">
        <v>341.31</v>
      </c>
      <c r="H37" s="234" t="s">
        <v>336</v>
      </c>
      <c r="I37" s="207">
        <v>0</v>
      </c>
      <c r="J37" s="206">
        <v>341.31</v>
      </c>
      <c r="K37" s="151"/>
      <c r="L37" s="158">
        <f>IF(U37="0",(IF(G37="",(IF(J37&lt;&gt;"",J37,"")),(IF(J37="",0-G37,J37-G37)))),"")</f>
        <v>0</v>
      </c>
      <c r="M37" s="208"/>
      <c r="N37" s="207">
        <v>0</v>
      </c>
      <c r="O37" s="206">
        <v>5460.96</v>
      </c>
      <c r="P37" s="207">
        <v>0</v>
      </c>
      <c r="Q37" s="206">
        <v>5460.96</v>
      </c>
      <c r="R37" s="158"/>
      <c r="S37" s="158">
        <f>IF(U37="0",(IF(O37="",(IF(Q37&lt;&gt;"",Q37,"")),(IF(Q37="",0-O37,Q37-O37)))),"")</f>
        <v>0</v>
      </c>
      <c r="T37" s="205"/>
      <c r="U37" s="169" t="s">
        <v>335</v>
      </c>
      <c r="V37" s="143"/>
      <c r="W37" s="143"/>
      <c r="X37" s="143"/>
    </row>
    <row r="38" spans="1:24" ht="15" customHeight="1" x14ac:dyDescent="0.25">
      <c r="A38" s="225" t="s">
        <v>271</v>
      </c>
      <c r="B38" s="211" t="s">
        <v>270</v>
      </c>
      <c r="C38" s="151"/>
      <c r="D38" s="151"/>
      <c r="E38" s="228"/>
      <c r="F38" s="215">
        <f>SUBTOTAL(9,F39:F40)</f>
        <v>0</v>
      </c>
      <c r="G38" s="214">
        <f>SUBTOTAL(9,G39:G40)</f>
        <v>0</v>
      </c>
      <c r="H38" s="229"/>
      <c r="I38" s="215">
        <f>IF(U38="0",(SUBTOTAL(9,I39:I40)),"")</f>
        <v>0</v>
      </c>
      <c r="J38" s="214">
        <f>IF(U38="0",(SUBTOTAL(9,J39:J40)),"")</f>
        <v>0</v>
      </c>
      <c r="K38" s="229"/>
      <c r="L38" s="149">
        <f>IF(U38="0",(SUBTOTAL(9,L39:L40)),"")</f>
        <v>0</v>
      </c>
      <c r="M38" s="228">
        <v>0</v>
      </c>
      <c r="N38" s="215">
        <f>SUBTOTAL(9,N39:N40)</f>
        <v>0</v>
      </c>
      <c r="O38" s="214">
        <f>SUBTOTAL(9,O39:O40)</f>
        <v>0</v>
      </c>
      <c r="P38" s="215">
        <f>IF(U38="0",(SUBTOTAL(9,P39:P40)),"")</f>
        <v>0</v>
      </c>
      <c r="Q38" s="214">
        <f>IF(U38="0",(SUBTOTAL(9,Q39:Q40)),"")</f>
        <v>0</v>
      </c>
      <c r="R38" s="149"/>
      <c r="S38" s="149">
        <f>IF(U38="0",(SUBTOTAL(9,S39:S40)),"")</f>
        <v>0</v>
      </c>
      <c r="T38" s="227"/>
      <c r="U38" s="169" t="s">
        <v>335</v>
      </c>
      <c r="V38" s="143"/>
      <c r="W38" s="143"/>
      <c r="X38" s="143"/>
    </row>
    <row r="39" spans="1:24" ht="15" customHeight="1" x14ac:dyDescent="0.25">
      <c r="A39" s="225" t="s">
        <v>269</v>
      </c>
      <c r="B39" s="213" t="s">
        <v>268</v>
      </c>
      <c r="C39" s="151"/>
      <c r="D39" s="151"/>
      <c r="E39" s="208"/>
      <c r="F39" s="207"/>
      <c r="G39" s="206"/>
      <c r="H39" s="151"/>
      <c r="I39" s="207"/>
      <c r="J39" s="206"/>
      <c r="K39" s="151"/>
      <c r="L39" s="158" t="str">
        <f>IF(U39="0",(IF(G39="",(IF(J39&lt;&gt;"",J39,"")),(IF(J39="",0-G39,J39-G39)))),"")</f>
        <v/>
      </c>
      <c r="M39" s="208"/>
      <c r="N39" s="207"/>
      <c r="O39" s="206"/>
      <c r="P39" s="207"/>
      <c r="Q39" s="206"/>
      <c r="R39" s="158"/>
      <c r="S39" s="158" t="str">
        <f>IF(U39="0",(IF(O39="",(IF(Q39&lt;&gt;"",Q39,"")),(IF(Q39="",0-O39,Q39-O39)))),"")</f>
        <v/>
      </c>
      <c r="T39" s="205"/>
      <c r="U39" s="169" t="s">
        <v>335</v>
      </c>
      <c r="V39" s="143"/>
      <c r="W39" s="143"/>
      <c r="X39" s="143"/>
    </row>
    <row r="40" spans="1:24" ht="15" customHeight="1" x14ac:dyDescent="0.25">
      <c r="A40" s="225" t="s">
        <v>267</v>
      </c>
      <c r="B40" s="213" t="s">
        <v>266</v>
      </c>
      <c r="C40" s="151"/>
      <c r="D40" s="151"/>
      <c r="E40" s="208"/>
      <c r="F40" s="207"/>
      <c r="G40" s="206"/>
      <c r="H40" s="151"/>
      <c r="I40" s="207"/>
      <c r="J40" s="206"/>
      <c r="K40" s="151"/>
      <c r="L40" s="158" t="str">
        <f>IF(U40="0",(IF(G40="",(IF(J40&lt;&gt;"",J40,"")),(IF(J40="",0-G40,J40-G40)))),"")</f>
        <v/>
      </c>
      <c r="M40" s="208"/>
      <c r="N40" s="207"/>
      <c r="O40" s="206"/>
      <c r="P40" s="207"/>
      <c r="Q40" s="206"/>
      <c r="R40" s="158"/>
      <c r="S40" s="158" t="str">
        <f>IF(U40="0",(IF(O40="",(IF(Q40&lt;&gt;"",Q40,"")),(IF(Q40="",0-O40,Q40-O40)))),"")</f>
        <v/>
      </c>
      <c r="T40" s="205"/>
      <c r="U40" s="169" t="s">
        <v>335</v>
      </c>
      <c r="V40" s="143"/>
      <c r="W40" s="143"/>
      <c r="X40" s="143"/>
    </row>
    <row r="41" spans="1:24" ht="15" customHeight="1" x14ac:dyDescent="0.25">
      <c r="A41" s="225" t="s">
        <v>265</v>
      </c>
      <c r="B41" s="211" t="s">
        <v>264</v>
      </c>
      <c r="C41" s="151"/>
      <c r="D41" s="151"/>
      <c r="E41" s="228"/>
      <c r="F41" s="215">
        <f>SUBTOTAL(9,F42:F42)</f>
        <v>0</v>
      </c>
      <c r="G41" s="214">
        <f>SUBTOTAL(9,G42:G42)</f>
        <v>0</v>
      </c>
      <c r="H41" s="229"/>
      <c r="I41" s="215">
        <f>IF(U41="0",(SUBTOTAL(9,I42:I42)),"")</f>
        <v>0</v>
      </c>
      <c r="J41" s="214">
        <f>IF(U41="0",(SUBTOTAL(9,J42:J42)),"")</f>
        <v>0</v>
      </c>
      <c r="K41" s="229"/>
      <c r="L41" s="288">
        <f>IF(U41="0",(SUBTOTAL(9,L42:L42)),"")</f>
        <v>0</v>
      </c>
      <c r="M41" s="228">
        <v>0</v>
      </c>
      <c r="N41" s="215">
        <f>SUBTOTAL(9,N42:N42)</f>
        <v>0</v>
      </c>
      <c r="O41" s="214">
        <f>SUBTOTAL(9,O42:O42)</f>
        <v>0</v>
      </c>
      <c r="P41" s="215">
        <f>IF(U41="0",(SUBTOTAL(9,P42:P42)),"")</f>
        <v>0</v>
      </c>
      <c r="Q41" s="214">
        <f>IF(U41="0",(SUBTOTAL(9,Q42:Q42)),"")</f>
        <v>0</v>
      </c>
      <c r="R41" s="149"/>
      <c r="S41" s="149">
        <f>IF(U41="0",(SUBTOTAL(9,S42:S42)),"")</f>
        <v>0</v>
      </c>
      <c r="T41" s="227"/>
      <c r="U41" s="169" t="s">
        <v>335</v>
      </c>
      <c r="V41" s="143"/>
      <c r="W41" s="143"/>
      <c r="X41" s="143"/>
    </row>
    <row r="42" spans="1:24" ht="15" customHeight="1" x14ac:dyDescent="0.25">
      <c r="A42" s="225" t="s">
        <v>263</v>
      </c>
      <c r="B42" s="213" t="s">
        <v>262</v>
      </c>
      <c r="C42" s="151"/>
      <c r="D42" s="151"/>
      <c r="E42" s="208"/>
      <c r="F42" s="207"/>
      <c r="G42" s="206"/>
      <c r="H42" s="151"/>
      <c r="I42" s="207"/>
      <c r="J42" s="294"/>
      <c r="K42" s="151"/>
      <c r="L42" s="287" t="str">
        <f>IF(U42="0",(IF(G42="",(IF(J42&lt;&gt;"",J42,"")),(IF(J42="",0-G42,J42-G42)))),"")</f>
        <v/>
      </c>
      <c r="M42" s="208"/>
      <c r="N42" s="207"/>
      <c r="O42" s="206"/>
      <c r="P42" s="207"/>
      <c r="Q42" s="206"/>
      <c r="R42" s="158"/>
      <c r="S42" s="158" t="str">
        <f>IF(U42="0",(IF(O42="",(IF(Q42&lt;&gt;"",Q42,"")),(IF(Q42="",0-O42,Q42-O42)))),"")</f>
        <v/>
      </c>
      <c r="T42" s="205"/>
      <c r="U42" s="169" t="s">
        <v>335</v>
      </c>
      <c r="V42" s="143"/>
      <c r="W42" s="143"/>
      <c r="X42" s="143"/>
    </row>
    <row r="43" spans="1:24" ht="15" customHeight="1" x14ac:dyDescent="0.25">
      <c r="A43" s="233" t="s">
        <v>261</v>
      </c>
      <c r="B43" s="232" t="s">
        <v>260</v>
      </c>
      <c r="C43" s="221"/>
      <c r="D43" s="221"/>
      <c r="E43" s="231">
        <f>SUMIF(B44:B59,"Рост потенциала простоя",E44:E59)+SUMIF(B44:B59,"Остановка по распоряжению, в т.ч.:",E44:E59)+SUMIF(B44:B59,"Остановка нерентабельного фонда",E44:E59)+SUMIF(B44:B59,"Остановка для перевода в ППД",E44:E59)+SUMIF(B44:B59,"Прочие потери",E44:E59)+SUMIF(B44:B59,"Потери нефти по ОТМ",E44:E59)+SUMIF(B44:B59,"Ост. дебит от ЗБС, Углуб., ПВЛГ/ПНЛГ",E44:E59)</f>
        <v>43</v>
      </c>
      <c r="F43" s="219">
        <f>SUMIF(B44:B59,"Рост потенциала простоя",F44:F59)+SUMIF(B44:B59,"Остановка по распоряжению, в т.ч.:",F44:F59)+SUMIF(B44:B59,"Остановка нерентабельного фонда",F44:F59)+SUMIF(B44:B59,"Остановка для перевода в ППД",F44:F59)+SUMIF(B44:B59,"Прочие потери",F44:F59)+SUMIF(B44:B59,"Потери нефти по ОТМ",F44:F59)+SUMIF(B44:B59,"Ост. дебит от ЗБС, Углуб., ПВЛГ/ПНЛГ",F44:F59)</f>
        <v>2243.1289999999999</v>
      </c>
      <c r="G43" s="218">
        <f>SUMIF(B44:B59,"Рост потенциала простоя",G44:G59)+SUMIF(B44:B59,"Остановка по распоряжению, в т.ч.:",G44:G59)+SUMIF(B44:B59,"Остановка нерентабельного фонда",G44:G59)+SUMIF(B44:B59,"Остановка для перевода в ППД",G44:G59)+SUMIF(B44:B59,"Прочие потери",G44:G59)+SUMIF(B44:B59,"Потери нефти по ОТМ",G44:G59)+SUMIF(B44:B59,"Ост. дебит от ЗБС, Углуб., ПВЛГ/ПНЛГ",G44:G59)</f>
        <v>229.88200000000001</v>
      </c>
      <c r="H43" s="217">
        <f>IF(U43="0",(SUMIF(B44:B59,"Рост потенциала простоя",H44:H59)+SUMIF(B44:B59,"Остановка по распоряжению, в т.ч.:",H44:H59)+SUMIF(B44:B59,"Остановка нерентабельного фонда",H44:H59)+SUMIF(B44:B59,"Остановка для перевода в ППД",H44:H59)+SUMIF(B44:B59,"Прочие потери",H44:H59)+SUMIF(B44:B59,"Потери нефти по ОТМ",H44:H59)+SUMIF(B44:B59,"Ост. дебит от ЗБС, Углуб., ПВЛГ/ПНЛГ",H44:H59)),"")</f>
        <v>18</v>
      </c>
      <c r="I43" s="219">
        <f>IF(U43="0",(SUMIF(B44:B59,"Рост потенциала простоя",I44:I59)+SUMIF(B44:B59,"Остановка по распоряжению, в т.ч.:",I44:I59)+SUMIF(B44:B59,"Остановка нерентабельного фонда",I44:I59)+SUMIF(B44:B59,"Остановка для перевода в ППД",I44:I59)+SUMIF(B44:B59,"Прочие потери",I44:I59)+SUMIF(B44:B59,"Потери нефти по ОТМ",I44:I59)+SUMIF(B44:B59,"Ост. дебит от ЗБС, Углуб., ПВЛГ/ПНЛГ",I44:I59)),"")</f>
        <v>3207.9520000000002</v>
      </c>
      <c r="J43" s="218">
        <f>IF(U43="0",(SUMIF(B44:B59,"Рост потенциала простоя",J44:J59)+SUMIF(B44:B59,"Остановка по распоряжению, в т.ч.:",J44:J59)+SUMIF(B44:B59,"Остановка нерентабельного фонда",J44:J59)+SUMIF(B44:B59,"Остановка для перевода в ППД",J44:J59)+SUMIF(B44:B59,"Прочие потери",J44:J59)+SUMIF(B44:B59,"Потери нефти по ОТМ",J44:J59)+SUMIF(B44:B59,"Ост. дебит от ЗБС, Углуб., ПВЛГ/ПНЛГ",J44:J59)),"")</f>
        <v>207.67200000000003</v>
      </c>
      <c r="K43" s="221"/>
      <c r="L43" s="289">
        <f>IF(U43="0",(SUMIF(B44:B59,"Рост потенциала простоя",L44:L59)+SUMIF(B44:B59,"Остановка по распоряжению, в т.ч.:",L44:L59)+SUMIF(B44:B59,"Остановка нерентабельного фонда",L44:L59)+SUMIF(B44:B59,"Остановка для перевода в ППД",L44:L59)+SUMIF(B44:B59,"Прочие потери",L44:L59)+SUMIF(B44:B59,"Потери нефти по ОТМ",L44:L59)+SUMIF(B44:B59,"Ост. дебит от ЗБС, Углуб., ПВЛГ/ПНЛГ",L44:L59)),"")</f>
        <v>-22.209999999999987</v>
      </c>
      <c r="M43" s="220">
        <v>2089.4780000000001</v>
      </c>
      <c r="N43" s="219">
        <f>SUMIF(B44:B61,"Рост потенциала простоя",N44:N61)+SUMIF(B44:B61,"Остановка по распоряжению, в т.ч.:",N44:N61)+SUMIF(B44:B61,"Остановка нерентабельного фонда",N44:N61)+SUMIF(B44:B61,"Остановка для перевода в ППД",N44:N61)+SUMIF(B44:B61,"Прочие потери",N44:N61)+SUMIF(B44:B61,"Потери нефти по ОТМ",N44:N61)+SUMIF(B44:B61,"Ост. дебит от ЗБС, Углуб., ПВЛГ/ПНЛГ",N44:N61)</f>
        <v>108642.90500000001</v>
      </c>
      <c r="O43" s="218">
        <f>SUMIF(B44:B61,"Рост потенциала простоя",O44:O61)+SUMIF(B44:B61,"Остановка по распоряжению, в т.ч.:",O44:O61)+SUMIF(B44:B61,"Остановка нерентабельного фонда",O44:O61)+SUMIF(B44:B61,"Остановка для перевода в ППД",O44:O61)+SUMIF(B44:B61,"Прочие потери",O44:O61)+SUMIF(B44:B61,"Потери нефти по ОТМ",O44:O61)+SUMIF(B44:B61,"Ост. дебит от ЗБС, Углуб., ПВЛГ/ПНЛГ",O44:O61)</f>
        <v>12530.967000000001</v>
      </c>
      <c r="P43" s="219">
        <f>IF(U43="0",(SUMIF(B44:B61,"Рост потенциала простоя",P44:P61)+SUMIF(B44:B61,"Остановка по распоряжению, в т.ч.:",P44:P61)+SUMIF(B44:B61,"Остановка нерентабельного фонда",P44:P61)+SUMIF(B44:B61,"Остановка для перевода в ППД",P44:P61)+SUMIF(B44:B61,"Прочие потери",P44:P61)+SUMIF(B44:B61,"Потери нефти по ОТМ",P44:P61)+SUMIF(B44:B61,"Ост. дебит от ЗБС, Углуб., ПВЛГ/ПНЛГ",P44:P61)),"")</f>
        <v>190128.77800000002</v>
      </c>
      <c r="Q43" s="218">
        <f>IF(U43="0",(SUMIF(B44:B61,"Рост потенциала простоя",Q44:Q61)+SUMIF(B44:B61,"Остановка по распоряжению, в т.ч.:",Q44:Q61)+SUMIF(B44:B61,"Остановка нерентабельного фонда",Q44:Q61)+SUMIF(B44:B61,"Остановка для перевода в ППД",Q44:Q61)+SUMIF(B44:B61,"Прочие потери",Q44:Q61)+SUMIF(B44:B61,"Потери нефти по ОТМ",Q44:Q61)+SUMIF(B44:B61,"Ост. дебит от ЗБС, Углуб., ПВЛГ/ПНЛГ",Q44:Q61)),"")</f>
        <v>10240.895</v>
      </c>
      <c r="R43" s="217"/>
      <c r="S43" s="289">
        <f>IF(U43="0",(SUMIF(B44:B61,"Рост потенциала простоя",S44:S61)+SUMIF(B44:B61,"Остановка по распоряжению, в т.ч.:",S44:S61)+SUMIF(B44:B61,"Остановка нерентабельного фонда",S44:S61)+SUMIF(B44:B61,"Остановка для перевода в ППД",S44:S61)+SUMIF(B44:B61,"Прочие потери",S44:S61)+SUMIF(B44:B61,"Потери нефти по ОТМ",S44:S61)+SUMIF(B44:B61,"Ост. дебит от ЗБС, Углуб., ПВЛГ/ПНЛГ",S44:S61)),"")</f>
        <v>-2290.0720000000001</v>
      </c>
      <c r="T43" s="216"/>
      <c r="U43" s="169" t="s">
        <v>335</v>
      </c>
      <c r="V43" s="143"/>
      <c r="W43" s="143"/>
      <c r="X43" s="143"/>
    </row>
    <row r="44" spans="1:24" ht="15" customHeight="1" x14ac:dyDescent="0.25">
      <c r="A44" s="225" t="s">
        <v>259</v>
      </c>
      <c r="B44" s="224" t="s">
        <v>258</v>
      </c>
      <c r="C44" s="151"/>
      <c r="D44" s="151"/>
      <c r="E44" s="230">
        <v>36</v>
      </c>
      <c r="F44" s="215">
        <v>2008.674</v>
      </c>
      <c r="G44" s="214">
        <v>187.98099999999999</v>
      </c>
      <c r="H44" s="149">
        <v>14</v>
      </c>
      <c r="I44" s="215">
        <v>2696.4050000000002</v>
      </c>
      <c r="J44" s="214">
        <v>189.56200000000001</v>
      </c>
      <c r="K44" s="229"/>
      <c r="L44" s="149">
        <f>IF(U44="0",(IF(G44="",(IF(J44&lt;&gt;"",J44,"")),(IF(J44="",0-G44,J44-G44)))),"")</f>
        <v>1.5810000000000173</v>
      </c>
      <c r="M44" s="228"/>
      <c r="N44" s="215">
        <v>34371.008000000002</v>
      </c>
      <c r="O44" s="214">
        <v>4662.3770000000004</v>
      </c>
      <c r="P44" s="215">
        <v>105419.617</v>
      </c>
      <c r="Q44" s="214">
        <v>5333</v>
      </c>
      <c r="R44" s="149"/>
      <c r="S44" s="149">
        <f>IF(U44="0",(IF(O44="",(IF(Q44&lt;&gt;"",Q44,"")),(IF(Q44="",0-O44,Q44-O44)))),"")</f>
        <v>670.62299999999959</v>
      </c>
      <c r="T44" s="227"/>
      <c r="U44" s="169" t="s">
        <v>335</v>
      </c>
      <c r="V44" s="143"/>
      <c r="W44" s="143"/>
      <c r="X44" s="143"/>
    </row>
    <row r="45" spans="1:24" ht="15" customHeight="1" x14ac:dyDescent="0.25">
      <c r="A45" s="225" t="s">
        <v>257</v>
      </c>
      <c r="B45" s="211" t="s">
        <v>256</v>
      </c>
      <c r="C45" s="151"/>
      <c r="D45" s="151"/>
      <c r="E45" s="226"/>
      <c r="F45" s="207"/>
      <c r="G45" s="206"/>
      <c r="H45" s="158"/>
      <c r="I45" s="207"/>
      <c r="J45" s="206"/>
      <c r="K45" s="151"/>
      <c r="L45" s="158" t="str">
        <f>IF(U45="0",(IF(G45="",(IF(J45&lt;&gt;"",J45,"")),(IF(J45="",0-G45,J45-G45)))),"")</f>
        <v/>
      </c>
      <c r="M45" s="208"/>
      <c r="N45" s="207"/>
      <c r="O45" s="206"/>
      <c r="P45" s="207"/>
      <c r="Q45" s="206"/>
      <c r="R45" s="158"/>
      <c r="S45" s="158" t="str">
        <f>IF(U45="0",(IF(O45="",(IF(Q45&lt;&gt;"",Q45,"")),(IF(Q45="",0-O45,Q45-O45)))),"")</f>
        <v/>
      </c>
      <c r="T45" s="205"/>
      <c r="U45" s="169" t="s">
        <v>335</v>
      </c>
      <c r="V45" s="143"/>
      <c r="W45" s="143"/>
      <c r="X45" s="143"/>
    </row>
    <row r="46" spans="1:24" ht="15" customHeight="1" x14ac:dyDescent="0.25">
      <c r="A46" s="225" t="s">
        <v>255</v>
      </c>
      <c r="B46" s="211" t="s">
        <v>254</v>
      </c>
      <c r="C46" s="151"/>
      <c r="D46" s="151"/>
      <c r="E46" s="226">
        <v>15</v>
      </c>
      <c r="F46" s="207">
        <v>1693</v>
      </c>
      <c r="G46" s="206">
        <v>57.1</v>
      </c>
      <c r="H46" s="158">
        <v>8</v>
      </c>
      <c r="I46" s="207">
        <v>325.81</v>
      </c>
      <c r="J46" s="206">
        <v>23.963000000000001</v>
      </c>
      <c r="K46" s="151"/>
      <c r="L46" s="287">
        <f>IF(U46="0",(IF(G46="",(IF(J46&lt;&gt;"",J46,"")),(IF(J46="",0-G46,J46-G46)))),"")</f>
        <v>-33.137</v>
      </c>
      <c r="M46" s="208"/>
      <c r="N46" s="207">
        <v>8000</v>
      </c>
      <c r="O46" s="206">
        <v>337.4</v>
      </c>
      <c r="P46" s="207">
        <v>9323.5409999999993</v>
      </c>
      <c r="Q46" s="206">
        <v>850.13499999999999</v>
      </c>
      <c r="R46" s="158"/>
      <c r="S46" s="158">
        <f>IF(U46="0",(IF(O46="",(IF(Q46&lt;&gt;"",Q46,"")),(IF(Q46="",0-O46,Q46-O46)))),"")</f>
        <v>512.73500000000001</v>
      </c>
      <c r="T46" s="205"/>
      <c r="U46" s="169" t="s">
        <v>335</v>
      </c>
      <c r="V46" s="143"/>
      <c r="W46" s="143"/>
      <c r="X46" s="143"/>
    </row>
    <row r="47" spans="1:24" ht="15" customHeight="1" x14ac:dyDescent="0.25">
      <c r="A47" s="225" t="s">
        <v>253</v>
      </c>
      <c r="B47" s="211" t="s">
        <v>252</v>
      </c>
      <c r="C47" s="151"/>
      <c r="D47" s="151"/>
      <c r="E47" s="226"/>
      <c r="F47" s="207"/>
      <c r="G47" s="206"/>
      <c r="H47" s="158">
        <v>1</v>
      </c>
      <c r="I47" s="207">
        <v>67.263000000000005</v>
      </c>
      <c r="J47" s="206">
        <v>0.86399999999999999</v>
      </c>
      <c r="K47" s="151"/>
      <c r="L47" s="158">
        <f>IF(U47="0",(IF(G47="",(IF(J47&lt;&gt;"",J47,"")),(IF(J47="",0-G47,J47-G47)))),"")</f>
        <v>0.86399999999999999</v>
      </c>
      <c r="M47" s="208"/>
      <c r="N47" s="207"/>
      <c r="O47" s="206"/>
      <c r="P47" s="207">
        <v>1143.471</v>
      </c>
      <c r="Q47" s="206">
        <v>14.688000000000001</v>
      </c>
      <c r="R47" s="158"/>
      <c r="S47" s="158">
        <f>IF(U47="0",(IF(O47="",(IF(Q47&lt;&gt;"",Q47,"")),(IF(Q47="",0-O47,Q47-O47)))),"")</f>
        <v>14.688000000000001</v>
      </c>
      <c r="T47" s="205"/>
      <c r="U47" s="169" t="s">
        <v>335</v>
      </c>
      <c r="V47" s="143"/>
      <c r="W47" s="143"/>
      <c r="X47" s="143"/>
    </row>
    <row r="48" spans="1:24" ht="15" customHeight="1" x14ac:dyDescent="0.25">
      <c r="A48" s="225" t="s">
        <v>251</v>
      </c>
      <c r="B48" s="211" t="s">
        <v>250</v>
      </c>
      <c r="C48" s="151"/>
      <c r="D48" s="151"/>
      <c r="E48" s="226"/>
      <c r="F48" s="207"/>
      <c r="G48" s="206"/>
      <c r="H48" s="158">
        <v>1</v>
      </c>
      <c r="I48" s="207">
        <v>349.31200000000001</v>
      </c>
      <c r="J48" s="206">
        <v>1.94</v>
      </c>
      <c r="K48" s="151"/>
      <c r="L48" s="158">
        <f>IF(U48="0",(IF(G48="",(IF(J48&lt;&gt;"",J48,"")),(IF(J48="",0-G48,J48-G48)))),"")</f>
        <v>1.94</v>
      </c>
      <c r="M48" s="208"/>
      <c r="N48" s="207"/>
      <c r="O48" s="206"/>
      <c r="P48" s="207">
        <v>6287.616</v>
      </c>
      <c r="Q48" s="206">
        <v>34.92</v>
      </c>
      <c r="R48" s="158"/>
      <c r="S48" s="158">
        <f>IF(U48="0",(IF(O48="",(IF(Q48&lt;&gt;"",Q48,"")),(IF(Q48="",0-O48,Q48-O48)))),"")</f>
        <v>34.92</v>
      </c>
      <c r="T48" s="205"/>
      <c r="U48" s="169" t="s">
        <v>335</v>
      </c>
      <c r="V48" s="143"/>
      <c r="W48" s="143"/>
      <c r="X48" s="143"/>
    </row>
    <row r="49" spans="1:27" ht="15" customHeight="1" x14ac:dyDescent="0.25">
      <c r="A49" s="225" t="s">
        <v>2</v>
      </c>
      <c r="B49" s="211" t="s">
        <v>249</v>
      </c>
      <c r="C49" s="151"/>
      <c r="D49" s="151"/>
      <c r="E49" s="226"/>
      <c r="F49" s="207"/>
      <c r="G49" s="206"/>
      <c r="H49" s="158"/>
      <c r="I49" s="207"/>
      <c r="J49" s="206"/>
      <c r="K49" s="151"/>
      <c r="L49" s="158" t="str">
        <f>IF(U49="0",(IF(G49="",(IF(J49&lt;&gt;"",J49,"")),(IF(J49="",0-G49,J49-G49)))),"")</f>
        <v/>
      </c>
      <c r="M49" s="208"/>
      <c r="N49" s="207"/>
      <c r="O49" s="206"/>
      <c r="P49" s="207"/>
      <c r="Q49" s="206"/>
      <c r="R49" s="158"/>
      <c r="S49" s="158" t="str">
        <f>IF(U49="0",(IF(O49="",(IF(Q49&lt;&gt;"",Q49,"")),(IF(Q49="",0-O49,Q49-O49)))),"")</f>
        <v/>
      </c>
      <c r="T49" s="205"/>
      <c r="U49" s="169" t="s">
        <v>335</v>
      </c>
      <c r="V49" s="143"/>
      <c r="W49" s="143"/>
      <c r="X49" s="143"/>
    </row>
    <row r="50" spans="1:27" ht="15" customHeight="1" x14ac:dyDescent="0.25">
      <c r="A50" s="225" t="s">
        <v>248</v>
      </c>
      <c r="B50" s="211" t="s">
        <v>217</v>
      </c>
      <c r="C50" s="151"/>
      <c r="D50" s="151"/>
      <c r="E50" s="226"/>
      <c r="F50" s="207"/>
      <c r="G50" s="206"/>
      <c r="H50" s="158"/>
      <c r="I50" s="207"/>
      <c r="J50" s="206"/>
      <c r="K50" s="151"/>
      <c r="L50" s="158" t="str">
        <f>IF(U50="0",(IF(G50="",(IF(J50&lt;&gt;"",J50,"")),(IF(J50="",0-G50,J50-G50)))),"")</f>
        <v/>
      </c>
      <c r="M50" s="208"/>
      <c r="N50" s="207"/>
      <c r="O50" s="206"/>
      <c r="P50" s="207"/>
      <c r="Q50" s="206"/>
      <c r="R50" s="158"/>
      <c r="S50" s="158" t="str">
        <f>IF(U50="0",(IF(O50="",(IF(Q50&lt;&gt;"",Q50,"")),(IF(Q50="",0-O50,Q50-O50)))),"")</f>
        <v/>
      </c>
      <c r="T50" s="205"/>
      <c r="U50" s="169" t="s">
        <v>335</v>
      </c>
      <c r="V50" s="143"/>
      <c r="W50" s="143"/>
      <c r="X50" s="143"/>
    </row>
    <row r="51" spans="1:27" ht="15" customHeight="1" x14ac:dyDescent="0.25">
      <c r="A51" s="225" t="s">
        <v>247</v>
      </c>
      <c r="B51" s="224" t="s">
        <v>246</v>
      </c>
      <c r="C51" s="151"/>
      <c r="D51" s="151"/>
      <c r="E51" s="226">
        <v>7</v>
      </c>
      <c r="F51" s="207">
        <v>234.45500000000001</v>
      </c>
      <c r="G51" s="206">
        <v>41.901000000000003</v>
      </c>
      <c r="H51" s="158">
        <v>2</v>
      </c>
      <c r="I51" s="207">
        <v>94.971999999999994</v>
      </c>
      <c r="J51" s="206">
        <v>15.305999999999999</v>
      </c>
      <c r="K51" s="151"/>
      <c r="L51" s="287">
        <f>IF(U51="0",(IF(G51="",(IF(J51&lt;&gt;"",J51,"")),(IF(J51="",0-G51,J51-G51)))),"")</f>
        <v>-26.595000000000006</v>
      </c>
      <c r="M51" s="208"/>
      <c r="N51" s="207">
        <v>2397.4549999999999</v>
      </c>
      <c r="O51" s="206">
        <v>163.70099999999999</v>
      </c>
      <c r="P51" s="207">
        <v>1942.4559999999999</v>
      </c>
      <c r="Q51" s="206">
        <v>248.828</v>
      </c>
      <c r="R51" s="158"/>
      <c r="S51" s="158">
        <f>IF(U51="0",(IF(O51="",(IF(Q51&lt;&gt;"",Q51,"")),(IF(Q51="",0-O51,Q51-O51)))),"")</f>
        <v>85.12700000000001</v>
      </c>
      <c r="T51" s="205"/>
      <c r="U51" s="169" t="s">
        <v>335</v>
      </c>
      <c r="V51" s="143"/>
      <c r="W51" s="143"/>
      <c r="X51" s="143"/>
    </row>
    <row r="52" spans="1:27" ht="15" customHeight="1" x14ac:dyDescent="0.25">
      <c r="A52" s="225" t="s">
        <v>245</v>
      </c>
      <c r="B52" s="224" t="s">
        <v>23</v>
      </c>
      <c r="C52" s="151"/>
      <c r="D52" s="151"/>
      <c r="E52" s="208"/>
      <c r="F52" s="207"/>
      <c r="G52" s="206"/>
      <c r="H52" s="151"/>
      <c r="I52" s="207"/>
      <c r="J52" s="206"/>
      <c r="K52" s="151"/>
      <c r="L52" s="158" t="str">
        <f>IF(U52="0",(IF(G52="",(IF(J52&lt;&gt;"",J52,"")),(IF(J52="",0-G52,J52-G52)))),"")</f>
        <v/>
      </c>
      <c r="M52" s="208"/>
      <c r="N52" s="207">
        <v>0</v>
      </c>
      <c r="O52" s="206">
        <v>3095.43</v>
      </c>
      <c r="P52" s="207"/>
      <c r="Q52" s="206"/>
      <c r="R52" s="158"/>
      <c r="S52" s="287">
        <f>IF(U52="0",(IF(O52="",(IF(Q52&lt;&gt;"",Q52,"")),(IF(Q52="",0-O52,Q52-O52)))),"")</f>
        <v>-3095.43</v>
      </c>
      <c r="T52" s="205"/>
      <c r="U52" s="169" t="s">
        <v>335</v>
      </c>
      <c r="V52" s="143"/>
      <c r="W52" s="143"/>
      <c r="X52" s="143"/>
      <c r="Y52" s="293"/>
    </row>
    <row r="53" spans="1:27" ht="15" customHeight="1" x14ac:dyDescent="0.25">
      <c r="A53" s="223" t="s">
        <v>244</v>
      </c>
      <c r="B53" s="222" t="s">
        <v>25</v>
      </c>
      <c r="C53" s="221"/>
      <c r="D53" s="221"/>
      <c r="E53" s="220"/>
      <c r="F53" s="221"/>
      <c r="G53" s="221"/>
      <c r="H53" s="221"/>
      <c r="I53" s="221"/>
      <c r="J53" s="221"/>
      <c r="K53" s="221"/>
      <c r="L53" s="221"/>
      <c r="M53" s="220">
        <v>2089.4780000000001</v>
      </c>
      <c r="N53" s="219">
        <f>SUBTOTAL(9,N54:N60)</f>
        <v>71874.44200000001</v>
      </c>
      <c r="O53" s="218">
        <f>SUBTOTAL(9,O54:O61)</f>
        <v>4609.4589999999998</v>
      </c>
      <c r="P53" s="219">
        <f>IF(U53="0",(SUBTOTAL(9,P54:P61)),"")</f>
        <v>75335.618000000017</v>
      </c>
      <c r="Q53" s="218">
        <f>IF(U53="0",(SUBTOTAL(9,Q54:Q61)),"")</f>
        <v>4609.4589999999998</v>
      </c>
      <c r="R53" s="217"/>
      <c r="S53" s="217">
        <f>IF(U53="0",(SUBTOTAL(9,S54:S61)),"")</f>
        <v>0</v>
      </c>
      <c r="T53" s="216"/>
      <c r="U53" s="169" t="s">
        <v>335</v>
      </c>
      <c r="V53" s="143"/>
      <c r="W53" s="143"/>
      <c r="X53" s="143"/>
    </row>
    <row r="54" spans="1:27" ht="15" customHeight="1" x14ac:dyDescent="0.25">
      <c r="A54" s="212" t="s">
        <v>243</v>
      </c>
      <c r="B54" s="211" t="s">
        <v>242</v>
      </c>
      <c r="C54" s="151"/>
      <c r="D54" s="151"/>
      <c r="E54" s="208"/>
      <c r="F54" s="210"/>
      <c r="G54" s="209"/>
      <c r="H54" s="151"/>
      <c r="I54" s="210"/>
      <c r="J54" s="209"/>
      <c r="K54" s="151"/>
      <c r="L54" s="151"/>
      <c r="M54" s="208">
        <v>257.12700000000001</v>
      </c>
      <c r="N54" s="207">
        <v>4265</v>
      </c>
      <c r="O54" s="206">
        <v>267.39999999999998</v>
      </c>
      <c r="P54" s="207">
        <v>4265</v>
      </c>
      <c r="Q54" s="206">
        <v>267.39999999999998</v>
      </c>
      <c r="R54" s="158"/>
      <c r="S54" s="158">
        <f>IF(U54="0",(IF(O54="",(IF(Q54&lt;&gt;"",Q54,"")),(IF(Q54="",0-O54,Q54-O54)))),"")</f>
        <v>0</v>
      </c>
      <c r="T54" s="205"/>
      <c r="U54" s="169" t="s">
        <v>335</v>
      </c>
      <c r="V54" s="143"/>
      <c r="W54" s="143"/>
      <c r="X54" s="143"/>
    </row>
    <row r="55" spans="1:27" ht="15" customHeight="1" x14ac:dyDescent="0.25">
      <c r="A55" s="212" t="s">
        <v>241</v>
      </c>
      <c r="B55" s="211" t="s">
        <v>240</v>
      </c>
      <c r="C55" s="151"/>
      <c r="D55" s="151"/>
      <c r="E55" s="208"/>
      <c r="F55" s="151"/>
      <c r="G55" s="151"/>
      <c r="H55" s="151"/>
      <c r="I55" s="151"/>
      <c r="J55" s="151"/>
      <c r="K55" s="151"/>
      <c r="L55" s="151"/>
      <c r="M55" s="208">
        <v>158.333</v>
      </c>
      <c r="N55" s="215">
        <f>SUBTOTAL(9,N56:N57)</f>
        <v>49759.838000000003</v>
      </c>
      <c r="O55" s="214">
        <f>SUBTOTAL(9,O56:O57)</f>
        <v>1632.11</v>
      </c>
      <c r="P55" s="215">
        <f>SUBTOTAL(9,P56:P57)</f>
        <v>49759.838000000003</v>
      </c>
      <c r="Q55" s="214">
        <f>SUBTOTAL(9,Q56:Q57)</f>
        <v>1632.11</v>
      </c>
      <c r="R55" s="149"/>
      <c r="S55" s="288">
        <f>IF(U55="0",(SUBTOTAL(9,S56:S57)),"")</f>
        <v>0</v>
      </c>
      <c r="T55" s="205"/>
      <c r="U55" s="169" t="s">
        <v>335</v>
      </c>
      <c r="V55" s="143"/>
      <c r="W55" s="143"/>
      <c r="X55" s="143"/>
    </row>
    <row r="56" spans="1:27" ht="15" customHeight="1" x14ac:dyDescent="0.25">
      <c r="A56" s="212"/>
      <c r="B56" s="213" t="s">
        <v>239</v>
      </c>
      <c r="C56" s="151"/>
      <c r="D56" s="151"/>
      <c r="E56" s="208"/>
      <c r="F56" s="210"/>
      <c r="G56" s="209"/>
      <c r="H56" s="151"/>
      <c r="I56" s="210"/>
      <c r="J56" s="209"/>
      <c r="K56" s="151"/>
      <c r="L56" s="151"/>
      <c r="M56" s="208">
        <v>158.333</v>
      </c>
      <c r="N56" s="207">
        <v>49759.838000000003</v>
      </c>
      <c r="O56" s="206">
        <v>1632.11</v>
      </c>
      <c r="P56" s="207">
        <v>49759.838000000003</v>
      </c>
      <c r="Q56" s="206">
        <v>1632.11</v>
      </c>
      <c r="R56" s="158"/>
      <c r="S56" s="287">
        <f>IF(U56="0",(IF(O56="",(IF(Q56&lt;&gt;"",Q56,"")),(IF(Q56="",0-O56,Q56-O56)))),"")</f>
        <v>0</v>
      </c>
      <c r="T56" s="205"/>
      <c r="U56" s="169" t="s">
        <v>335</v>
      </c>
      <c r="V56" s="143"/>
      <c r="W56" s="143"/>
      <c r="X56" s="143"/>
    </row>
    <row r="57" spans="1:27" ht="15" customHeight="1" x14ac:dyDescent="0.25">
      <c r="A57" s="212"/>
      <c r="B57" s="213" t="s">
        <v>238</v>
      </c>
      <c r="C57" s="151"/>
      <c r="D57" s="151"/>
      <c r="E57" s="208"/>
      <c r="F57" s="210"/>
      <c r="G57" s="209"/>
      <c r="H57" s="151"/>
      <c r="I57" s="210"/>
      <c r="J57" s="209"/>
      <c r="K57" s="151"/>
      <c r="L57" s="151"/>
      <c r="M57" s="208"/>
      <c r="N57" s="207"/>
      <c r="O57" s="206"/>
      <c r="P57" s="207"/>
      <c r="Q57" s="206"/>
      <c r="R57" s="158"/>
      <c r="S57" s="158" t="str">
        <f>IF(U57="0",(IF(O57="",(IF(Q57&lt;&gt;"",Q57,"")),(IF(Q57="",0-O57,Q57-O57)))),"")</f>
        <v/>
      </c>
      <c r="T57" s="205"/>
      <c r="U57" s="169" t="s">
        <v>335</v>
      </c>
      <c r="V57" s="143"/>
      <c r="W57" s="143"/>
      <c r="X57" s="143"/>
    </row>
    <row r="58" spans="1:27" ht="15" customHeight="1" x14ac:dyDescent="0.25">
      <c r="A58" s="212" t="s">
        <v>237</v>
      </c>
      <c r="B58" s="211" t="s">
        <v>236</v>
      </c>
      <c r="C58" s="151"/>
      <c r="D58" s="151"/>
      <c r="E58" s="208"/>
      <c r="F58" s="151"/>
      <c r="G58" s="151"/>
      <c r="H58" s="151"/>
      <c r="I58" s="151"/>
      <c r="J58" s="151"/>
      <c r="K58" s="151"/>
      <c r="L58" s="151"/>
      <c r="M58" s="208">
        <v>429.18299999999999</v>
      </c>
      <c r="N58" s="215">
        <f>SUBTOTAL(9,N59:N60)</f>
        <v>17849.603999999999</v>
      </c>
      <c r="O58" s="214">
        <f>SUBTOTAL(9,O59:O60)</f>
        <v>2485.998</v>
      </c>
      <c r="P58" s="215">
        <f>SUBTOTAL(9,P59:P60)</f>
        <v>17849.603999999999</v>
      </c>
      <c r="Q58" s="214">
        <f>SUBTOTAL(9,Q59:Q60)</f>
        <v>2485.998</v>
      </c>
      <c r="R58" s="149"/>
      <c r="S58" s="288">
        <f>IF(U58="0",(SUBTOTAL(9,S59:S60)),"")</f>
        <v>0</v>
      </c>
      <c r="T58" s="205"/>
      <c r="U58" s="169" t="s">
        <v>335</v>
      </c>
      <c r="V58" s="143"/>
      <c r="W58" s="143"/>
      <c r="X58" s="143"/>
    </row>
    <row r="59" spans="1:27" ht="15" customHeight="1" x14ac:dyDescent="0.25">
      <c r="A59" s="212"/>
      <c r="B59" s="213" t="s">
        <v>235</v>
      </c>
      <c r="C59" s="151"/>
      <c r="D59" s="151"/>
      <c r="E59" s="208"/>
      <c r="F59" s="210"/>
      <c r="G59" s="209"/>
      <c r="H59" s="151"/>
      <c r="I59" s="210"/>
      <c r="J59" s="209"/>
      <c r="K59" s="151"/>
      <c r="L59" s="151"/>
      <c r="M59" s="208">
        <v>429.18299999999999</v>
      </c>
      <c r="N59" s="207">
        <v>17849.603999999999</v>
      </c>
      <c r="O59" s="206">
        <v>2485.998</v>
      </c>
      <c r="P59" s="207">
        <v>17849.603999999999</v>
      </c>
      <c r="Q59" s="206">
        <v>2485.998</v>
      </c>
      <c r="R59" s="158"/>
      <c r="S59" s="287">
        <f>IF(U59="0",(IF(O59="",(IF(Q59&lt;&gt;"",Q59,"")),(IF(Q59="",0-O59,Q59-O59)))),"")</f>
        <v>0</v>
      </c>
      <c r="T59" s="205"/>
      <c r="U59" s="169" t="s">
        <v>335</v>
      </c>
      <c r="V59" s="143"/>
      <c r="W59" s="143"/>
      <c r="X59" s="143"/>
    </row>
    <row r="60" spans="1:27" ht="15" customHeight="1" x14ac:dyDescent="0.25">
      <c r="A60" s="212"/>
      <c r="B60" s="213" t="s">
        <v>234</v>
      </c>
      <c r="C60" s="151"/>
      <c r="D60" s="151"/>
      <c r="E60" s="208"/>
      <c r="F60" s="210"/>
      <c r="G60" s="209"/>
      <c r="H60" s="151"/>
      <c r="I60" s="210"/>
      <c r="J60" s="209"/>
      <c r="K60" s="151"/>
      <c r="L60" s="151"/>
      <c r="M60" s="208"/>
      <c r="N60" s="207"/>
      <c r="O60" s="206"/>
      <c r="P60" s="207"/>
      <c r="Q60" s="206"/>
      <c r="R60" s="158"/>
      <c r="S60" s="158" t="str">
        <f>IF(U60="0",(IF(O60="",(IF(Q60&lt;&gt;"",Q60,"")),(IF(Q60="",0-O60,Q60-O60)))),"")</f>
        <v/>
      </c>
      <c r="T60" s="205"/>
      <c r="U60" s="169" t="s">
        <v>335</v>
      </c>
      <c r="V60" s="143"/>
      <c r="W60" s="143"/>
      <c r="X60" s="143"/>
    </row>
    <row r="61" spans="1:27" ht="15" customHeight="1" thickBot="1" x14ac:dyDescent="0.3">
      <c r="A61" s="212" t="s">
        <v>233</v>
      </c>
      <c r="B61" s="211" t="s">
        <v>232</v>
      </c>
      <c r="C61" s="151"/>
      <c r="D61" s="151"/>
      <c r="E61" s="208"/>
      <c r="F61" s="210"/>
      <c r="G61" s="209"/>
      <c r="H61" s="151"/>
      <c r="I61" s="210"/>
      <c r="J61" s="209"/>
      <c r="K61" s="151"/>
      <c r="L61" s="151"/>
      <c r="M61" s="208">
        <v>1244.835</v>
      </c>
      <c r="N61" s="207">
        <v>3461.1759999999999</v>
      </c>
      <c r="O61" s="206">
        <v>223.95099999999999</v>
      </c>
      <c r="P61" s="207">
        <v>3461.1759999999999</v>
      </c>
      <c r="Q61" s="206">
        <v>223.95099999999999</v>
      </c>
      <c r="R61" s="158"/>
      <c r="S61" s="158">
        <f>IF(U61="0",(IF(O61="",(IF(Q61&lt;&gt;"",Q61,"")),(IF(Q61="",0-O61,Q61-O61)))),"")</f>
        <v>0</v>
      </c>
      <c r="T61" s="205"/>
      <c r="U61" s="169" t="s">
        <v>335</v>
      </c>
      <c r="V61" s="143"/>
      <c r="W61" s="143"/>
      <c r="X61" s="143"/>
    </row>
    <row r="62" spans="1:27" ht="15" customHeight="1" x14ac:dyDescent="0.25">
      <c r="A62" s="204">
        <v>4</v>
      </c>
      <c r="B62" s="203" t="s">
        <v>231</v>
      </c>
      <c r="C62" s="201"/>
      <c r="D62" s="197">
        <v>27091.394</v>
      </c>
      <c r="E62" s="202"/>
      <c r="F62" s="199">
        <f>F7+SUMIF(B7:B61,"Прирост добычи нефти, в том числе:",F7:F61)-SUMIF(B7:B61,"Потери добычи нефти, в том числе:",F7:F61)</f>
        <v>408376.69</v>
      </c>
      <c r="G62" s="198">
        <f>G7+SUMIF(B7:B61,"Прирост добычи нефти, в том числе:",G7:G61)-SUMIF(B7:B61,"Потери добычи нефти, в том числе:",G7:G61)</f>
        <v>30839.859</v>
      </c>
      <c r="H62" s="201"/>
      <c r="I62" s="199">
        <f>IF(U61="0",(I7+SUMIF(B7:B61,"Прирост добычи нефти, в том числе:",I7:I61)-SUMIF(B7:B61,"Потери добычи нефти, в том числе:",I7:I61)),"")</f>
        <v>400625.19</v>
      </c>
      <c r="J62" s="198">
        <f>IF(U61="0",(J7+SUMIF(B7:B61,"Прирост добычи нефти, в том числе:",J7:J61)-SUMIF(B7:B61,"Потери добычи нефти, в том числе:",J7:J61)),"")</f>
        <v>30127.834000000003</v>
      </c>
      <c r="K62" s="201"/>
      <c r="L62" s="197">
        <f>IF(U62="0",(J62-G62),"")</f>
        <v>-712.02499999999782</v>
      </c>
      <c r="M62" s="200">
        <v>814871.48400000005</v>
      </c>
      <c r="N62" s="199">
        <f>N7+SUMIF(B7:B61,"Прирост добычи нефти, в том числе:",N7:N61)-SUMIF(B7:B61,"Потери добычи нефти, в том числе:",N7:N61)</f>
        <v>12338134.497000001</v>
      </c>
      <c r="O62" s="198">
        <f>O7+SUMIF(B7:B61,"Прирост добычи нефти, в том числе:",O7:O61)-SUMIF(B7:B61,"Потери добычи нефти, в том числе:",O7:O61)</f>
        <v>941805.09199999995</v>
      </c>
      <c r="P62" s="199">
        <f>IF(U62="0",(P7+SUMIF(B7:B61,"Прирост добычи нефти, в том числе:",P7:P61)-SUMIF(B7:B61,"Потери добычи нефти, в том числе:",P7:P61)),"")</f>
        <v>12162130.141999999</v>
      </c>
      <c r="Q62" s="198">
        <f>IF(U62="0",(Q7+SUMIF(B7:B61,"Прирост добычи нефти, в том числе:",Q7:Q61)-SUMIF(B7:B61,"Потери добычи нефти, в том числе:",Q7:Q61)),"")</f>
        <v>932846.47399999993</v>
      </c>
      <c r="R62" s="197"/>
      <c r="S62" s="197">
        <f>IF(U62="0",(Q62-O62),"")</f>
        <v>-8958.6180000000168</v>
      </c>
      <c r="T62" s="196"/>
      <c r="U62" s="169" t="s">
        <v>335</v>
      </c>
      <c r="V62" s="143"/>
      <c r="W62" s="143"/>
      <c r="X62" s="143"/>
      <c r="AA62" s="295">
        <v>932846.47399999993</v>
      </c>
    </row>
    <row r="63" spans="1:27" ht="15" customHeight="1" x14ac:dyDescent="0.25">
      <c r="A63" s="195">
        <v>31</v>
      </c>
      <c r="B63" s="194" t="s">
        <v>230</v>
      </c>
      <c r="C63" s="187"/>
      <c r="D63" s="191">
        <v>26286.177</v>
      </c>
      <c r="E63" s="190"/>
      <c r="F63" s="193">
        <f>N62/A63</f>
        <v>398004.33861290326</v>
      </c>
      <c r="G63" s="192">
        <f>O62/A63</f>
        <v>30380.809419354839</v>
      </c>
      <c r="H63" s="187"/>
      <c r="I63" s="193">
        <f>IF(U63="0",(P62/A63),"")</f>
        <v>392326.77877419355</v>
      </c>
      <c r="J63" s="192">
        <f>IF(U63="0",(Q62/A63),"")</f>
        <v>30091.821741935481</v>
      </c>
      <c r="K63" s="187"/>
      <c r="L63" s="191">
        <f>IF(U63="0",(J63-G63),"")</f>
        <v>-288.98767741935808</v>
      </c>
      <c r="M63" s="190"/>
      <c r="N63" s="189"/>
      <c r="O63" s="188"/>
      <c r="P63" s="189"/>
      <c r="Q63" s="188"/>
      <c r="R63" s="187"/>
      <c r="S63" s="187"/>
      <c r="T63" s="186"/>
      <c r="U63" s="169" t="s">
        <v>335</v>
      </c>
      <c r="V63" s="143"/>
      <c r="W63" s="143"/>
      <c r="X63" s="143"/>
      <c r="AA63" s="296">
        <f>AA62-Q62</f>
        <v>0</v>
      </c>
    </row>
    <row r="64" spans="1:27" ht="15" customHeight="1" x14ac:dyDescent="0.25">
      <c r="A64" s="185"/>
      <c r="B64" s="184"/>
      <c r="C64" s="183"/>
      <c r="D64" s="183"/>
      <c r="E64" s="182"/>
      <c r="F64" s="181"/>
      <c r="G64" s="180"/>
      <c r="H64" s="179"/>
      <c r="I64" s="181"/>
      <c r="J64" s="180"/>
      <c r="K64" s="179"/>
      <c r="L64" s="179"/>
      <c r="M64" s="182"/>
      <c r="N64" s="181"/>
      <c r="O64" s="180"/>
      <c r="P64" s="181"/>
      <c r="Q64" s="180"/>
      <c r="R64" s="179"/>
      <c r="S64" s="179"/>
      <c r="T64" s="178"/>
      <c r="U64" s="169" t="s">
        <v>335</v>
      </c>
      <c r="V64" s="143"/>
      <c r="W64" s="143"/>
      <c r="X64" s="143"/>
    </row>
    <row r="65" spans="1:24" ht="15" customHeight="1" x14ac:dyDescent="0.25">
      <c r="A65" s="177"/>
      <c r="B65" s="176" t="s">
        <v>229</v>
      </c>
      <c r="C65" s="175"/>
      <c r="D65" s="175"/>
      <c r="E65" s="174"/>
      <c r="F65" s="171"/>
      <c r="G65" s="286">
        <f>G63-D63</f>
        <v>4094.6324193548389</v>
      </c>
      <c r="H65" s="171"/>
      <c r="I65" s="171"/>
      <c r="J65" s="172">
        <f>IF(U65="0",(J63-D63),"")</f>
        <v>3805.6447419354809</v>
      </c>
      <c r="K65" s="171"/>
      <c r="L65" s="171"/>
      <c r="M65" s="174"/>
      <c r="N65" s="171"/>
      <c r="O65" s="286">
        <f>O62-M62</f>
        <v>126933.60799999989</v>
      </c>
      <c r="P65" s="173"/>
      <c r="Q65" s="172">
        <f>IF(U65="0",(Q62-M62),"")</f>
        <v>117974.98999999987</v>
      </c>
      <c r="R65" s="171"/>
      <c r="S65" s="171"/>
      <c r="T65" s="170"/>
      <c r="U65" s="169" t="s">
        <v>335</v>
      </c>
      <c r="V65" s="143"/>
      <c r="W65" s="143"/>
      <c r="X65" s="143"/>
    </row>
    <row r="66" spans="1:24" ht="15" customHeight="1" x14ac:dyDescent="0.25">
      <c r="A66" s="147"/>
      <c r="B66" s="167"/>
      <c r="C66" s="145"/>
      <c r="D66" s="145"/>
      <c r="E66" s="154"/>
      <c r="F66" s="144"/>
      <c r="G66" s="144"/>
      <c r="H66" s="144"/>
      <c r="I66" s="144"/>
      <c r="J66" s="146"/>
      <c r="K66" s="144"/>
      <c r="L66" s="146"/>
      <c r="M66" s="157"/>
      <c r="N66" s="144"/>
      <c r="O66" s="168"/>
      <c r="P66" s="144"/>
      <c r="Q66" s="168"/>
      <c r="R66" s="144"/>
      <c r="S66" s="168"/>
      <c r="T66" s="144"/>
      <c r="U66" s="144"/>
      <c r="V66" s="143"/>
      <c r="W66" s="143"/>
      <c r="X66" s="143"/>
    </row>
    <row r="67" spans="1:24" ht="15" customHeight="1" x14ac:dyDescent="0.25">
      <c r="A67" s="147"/>
      <c r="B67" s="167"/>
      <c r="C67" s="145"/>
      <c r="D67" s="145"/>
      <c r="E67" s="164" t="s">
        <v>227</v>
      </c>
      <c r="F67" s="163" t="s">
        <v>2</v>
      </c>
      <c r="G67" s="163" t="s">
        <v>2</v>
      </c>
      <c r="H67" s="166" t="s">
        <v>226</v>
      </c>
      <c r="I67" s="165" t="s">
        <v>2</v>
      </c>
      <c r="J67" s="165" t="s">
        <v>2</v>
      </c>
      <c r="K67" s="144"/>
      <c r="L67" s="145"/>
      <c r="M67" s="157"/>
      <c r="N67" s="144"/>
      <c r="O67" s="164" t="s">
        <v>225</v>
      </c>
      <c r="P67" s="163" t="s">
        <v>2</v>
      </c>
      <c r="Q67" s="163" t="s">
        <v>2</v>
      </c>
      <c r="R67" s="144"/>
      <c r="S67" s="145"/>
      <c r="T67" s="144"/>
      <c r="U67" s="144"/>
      <c r="V67" s="143"/>
      <c r="W67" s="143"/>
      <c r="X67" s="143"/>
    </row>
    <row r="68" spans="1:24" ht="15" customHeight="1" x14ac:dyDescent="0.25">
      <c r="A68" s="145"/>
      <c r="B68" s="162"/>
      <c r="C68" s="145"/>
      <c r="D68" s="145"/>
      <c r="E68" s="161" t="s">
        <v>224</v>
      </c>
      <c r="F68" s="160" t="s">
        <v>223</v>
      </c>
      <c r="G68" s="160" t="s">
        <v>215</v>
      </c>
      <c r="H68" s="160" t="s">
        <v>224</v>
      </c>
      <c r="I68" s="160" t="s">
        <v>223</v>
      </c>
      <c r="J68" s="160" t="s">
        <v>215</v>
      </c>
      <c r="K68" s="144"/>
      <c r="L68" s="145"/>
      <c r="M68" s="157"/>
      <c r="N68" s="144"/>
      <c r="O68" s="161" t="s">
        <v>224</v>
      </c>
      <c r="P68" s="160" t="s">
        <v>223</v>
      </c>
      <c r="Q68" s="160" t="s">
        <v>215</v>
      </c>
      <c r="R68" s="144"/>
      <c r="S68" s="145"/>
      <c r="T68" s="144"/>
      <c r="U68" s="144"/>
      <c r="V68" s="143"/>
      <c r="W68" s="143"/>
      <c r="X68" s="143"/>
    </row>
    <row r="69" spans="1:24" ht="15" customHeight="1" x14ac:dyDescent="0.25">
      <c r="A69" s="156" t="s">
        <v>222</v>
      </c>
      <c r="B69" s="155" t="s">
        <v>221</v>
      </c>
      <c r="C69" s="145"/>
      <c r="D69" s="145"/>
      <c r="E69" s="159">
        <v>74</v>
      </c>
      <c r="F69" s="158">
        <v>8931.0102939097105</v>
      </c>
      <c r="G69" s="158">
        <v>676.10016228612199</v>
      </c>
      <c r="H69" s="158"/>
      <c r="I69" s="158">
        <v>10189.082918190899</v>
      </c>
      <c r="J69" s="158">
        <v>838.865871499788</v>
      </c>
      <c r="K69" s="144"/>
      <c r="L69" s="145"/>
      <c r="M69" s="157"/>
      <c r="N69" s="144"/>
      <c r="O69" s="159">
        <v>179</v>
      </c>
      <c r="P69" s="158">
        <v>10647.5532949224</v>
      </c>
      <c r="Q69" s="158">
        <v>673.68477240017103</v>
      </c>
      <c r="R69" s="144"/>
      <c r="S69" s="145"/>
      <c r="T69" s="144"/>
      <c r="U69" s="144"/>
      <c r="V69" s="143"/>
      <c r="W69" s="143"/>
      <c r="X69" s="143"/>
    </row>
    <row r="70" spans="1:24" ht="15" customHeight="1" x14ac:dyDescent="0.25">
      <c r="A70" s="156" t="s">
        <v>220</v>
      </c>
      <c r="B70" s="155" t="s">
        <v>219</v>
      </c>
      <c r="C70" s="147"/>
      <c r="D70" s="147"/>
      <c r="E70" s="152"/>
      <c r="F70" s="151"/>
      <c r="G70" s="151"/>
      <c r="H70" s="151"/>
      <c r="I70" s="151"/>
      <c r="J70" s="151"/>
      <c r="K70" s="144"/>
      <c r="L70" s="145"/>
      <c r="M70" s="157"/>
      <c r="N70" s="144"/>
      <c r="O70" s="152"/>
      <c r="P70" s="151"/>
      <c r="Q70" s="151"/>
      <c r="R70" s="144"/>
      <c r="S70" s="145"/>
      <c r="T70" s="144"/>
      <c r="U70" s="144"/>
      <c r="V70" s="143"/>
      <c r="W70" s="143"/>
      <c r="X70" s="143"/>
    </row>
    <row r="71" spans="1:24" ht="15" customHeight="1" x14ac:dyDescent="0.25">
      <c r="A71" s="156" t="s">
        <v>218</v>
      </c>
      <c r="B71" s="155" t="s">
        <v>217</v>
      </c>
      <c r="C71" s="154"/>
      <c r="D71" s="153"/>
      <c r="E71" s="152"/>
      <c r="F71" s="151"/>
      <c r="G71" s="151"/>
      <c r="H71" s="151"/>
      <c r="I71" s="151"/>
      <c r="J71" s="151"/>
      <c r="K71" s="144"/>
      <c r="L71" s="145"/>
      <c r="M71" s="146"/>
      <c r="N71" s="144"/>
      <c r="O71" s="152"/>
      <c r="P71" s="151"/>
      <c r="Q71" s="151"/>
      <c r="R71" s="144"/>
      <c r="S71" s="145"/>
      <c r="T71" s="144"/>
      <c r="U71" s="144"/>
      <c r="V71" s="143"/>
      <c r="W71" s="143"/>
      <c r="X71" s="143"/>
    </row>
    <row r="72" spans="1:24" ht="15" customHeight="1" x14ac:dyDescent="0.25">
      <c r="A72" s="148"/>
      <c r="B72" s="147" t="s">
        <v>216</v>
      </c>
      <c r="C72" s="145"/>
      <c r="D72" s="145"/>
      <c r="E72" s="150">
        <f>SUM(E69:E71)</f>
        <v>74</v>
      </c>
      <c r="F72" s="149">
        <v>8931.0102939097105</v>
      </c>
      <c r="G72" s="149">
        <f>SUM(G69:G71)</f>
        <v>676.10016228612199</v>
      </c>
      <c r="H72" s="149">
        <f>SUM(H69:H71)</f>
        <v>0</v>
      </c>
      <c r="I72" s="149">
        <v>10189.082918190899</v>
      </c>
      <c r="J72" s="149">
        <f>SUM(J69:J71)</f>
        <v>838.865871499788</v>
      </c>
      <c r="K72" s="144"/>
      <c r="L72" s="145"/>
      <c r="M72" s="145"/>
      <c r="N72" s="144"/>
      <c r="O72" s="150">
        <f>SUM(O69:O71)</f>
        <v>179</v>
      </c>
      <c r="P72" s="149">
        <v>10647.5532949224</v>
      </c>
      <c r="Q72" s="149">
        <f>SUM(Q69:Q71)</f>
        <v>673.68477240017103</v>
      </c>
      <c r="R72" s="144"/>
      <c r="S72" s="145"/>
      <c r="T72" s="144"/>
      <c r="U72" s="144"/>
      <c r="V72" s="143"/>
      <c r="W72" s="143"/>
      <c r="X72" s="143"/>
    </row>
    <row r="73" spans="1:24" ht="15" customHeight="1" x14ac:dyDescent="0.25">
      <c r="A73" s="148"/>
      <c r="B73" s="147"/>
      <c r="C73" s="145"/>
      <c r="D73" s="145"/>
      <c r="E73" s="146"/>
      <c r="F73" s="144"/>
      <c r="G73" s="146"/>
      <c r="H73" s="146"/>
      <c r="I73" s="144"/>
      <c r="J73" s="146"/>
      <c r="K73" s="144"/>
      <c r="L73" s="145"/>
      <c r="M73" s="145"/>
      <c r="N73" s="144"/>
      <c r="O73" s="146"/>
      <c r="P73" s="144"/>
      <c r="Q73" s="146"/>
      <c r="R73" s="144"/>
      <c r="S73" s="145"/>
      <c r="T73" s="144"/>
      <c r="U73" s="144"/>
      <c r="V73" s="143"/>
      <c r="W73" s="143"/>
      <c r="X73" s="143"/>
    </row>
    <row r="74" spans="1:24" ht="27.95" customHeight="1" x14ac:dyDescent="0.25">
      <c r="A74" s="285" t="s">
        <v>3</v>
      </c>
      <c r="B74" s="284" t="s">
        <v>2</v>
      </c>
      <c r="C74" s="284" t="s">
        <v>2</v>
      </c>
      <c r="D74" s="284" t="s">
        <v>2</v>
      </c>
      <c r="E74" s="284" t="s">
        <v>2</v>
      </c>
      <c r="F74" s="284" t="s">
        <v>2</v>
      </c>
      <c r="G74" s="284" t="s">
        <v>2</v>
      </c>
      <c r="H74" s="284" t="s">
        <v>2</v>
      </c>
      <c r="I74" s="284" t="s">
        <v>2</v>
      </c>
      <c r="J74" s="284" t="s">
        <v>2</v>
      </c>
      <c r="K74" s="284" t="s">
        <v>2</v>
      </c>
      <c r="L74" s="284" t="s">
        <v>2</v>
      </c>
      <c r="M74" s="284" t="s">
        <v>2</v>
      </c>
      <c r="N74" s="284" t="s">
        <v>2</v>
      </c>
      <c r="O74" s="284" t="s">
        <v>2</v>
      </c>
      <c r="P74" s="284" t="s">
        <v>2</v>
      </c>
      <c r="Q74" s="284" t="s">
        <v>2</v>
      </c>
      <c r="R74" s="284" t="s">
        <v>2</v>
      </c>
      <c r="S74" s="284" t="s">
        <v>2</v>
      </c>
      <c r="T74" s="144"/>
      <c r="U74" s="144"/>
      <c r="V74" s="143"/>
      <c r="W74" s="143"/>
      <c r="X74" s="143"/>
    </row>
    <row r="75" spans="1:24" ht="15" customHeight="1" x14ac:dyDescent="0.25">
      <c r="A75" s="283" t="s">
        <v>334</v>
      </c>
      <c r="B75" s="282" t="s">
        <v>333</v>
      </c>
      <c r="C75" s="282" t="s">
        <v>332</v>
      </c>
      <c r="D75" s="165" t="s">
        <v>2</v>
      </c>
      <c r="E75" s="281" t="s">
        <v>331</v>
      </c>
      <c r="F75" s="274" t="s">
        <v>2</v>
      </c>
      <c r="G75" s="274" t="s">
        <v>2</v>
      </c>
      <c r="H75" s="274" t="s">
        <v>2</v>
      </c>
      <c r="I75" s="274" t="s">
        <v>2</v>
      </c>
      <c r="J75" s="274" t="s">
        <v>2</v>
      </c>
      <c r="K75" s="282" t="s">
        <v>329</v>
      </c>
      <c r="L75" s="165" t="s">
        <v>2</v>
      </c>
      <c r="M75" s="281" t="s">
        <v>330</v>
      </c>
      <c r="N75" s="274" t="s">
        <v>2</v>
      </c>
      <c r="O75" s="274" t="s">
        <v>2</v>
      </c>
      <c r="P75" s="274" t="s">
        <v>2</v>
      </c>
      <c r="Q75" s="274" t="s">
        <v>2</v>
      </c>
      <c r="R75" s="282" t="s">
        <v>329</v>
      </c>
      <c r="S75" s="165" t="s">
        <v>2</v>
      </c>
      <c r="T75" s="281" t="s">
        <v>328</v>
      </c>
      <c r="U75" s="144"/>
      <c r="V75" s="143"/>
      <c r="W75" s="143"/>
      <c r="X75" s="143"/>
    </row>
    <row r="76" spans="1:24" ht="15" customHeight="1" x14ac:dyDescent="0.25">
      <c r="A76" s="163" t="s">
        <v>2</v>
      </c>
      <c r="B76" s="165" t="s">
        <v>2</v>
      </c>
      <c r="C76" s="165" t="s">
        <v>2</v>
      </c>
      <c r="D76" s="165" t="s">
        <v>2</v>
      </c>
      <c r="E76" s="280" t="s">
        <v>326</v>
      </c>
      <c r="F76" s="276" t="s">
        <v>2</v>
      </c>
      <c r="G76" s="276" t="s">
        <v>2</v>
      </c>
      <c r="H76" s="279" t="s">
        <v>325</v>
      </c>
      <c r="I76" s="278" t="s">
        <v>2</v>
      </c>
      <c r="J76" s="278" t="s">
        <v>2</v>
      </c>
      <c r="K76" s="275" t="s">
        <v>324</v>
      </c>
      <c r="L76" s="275" t="s">
        <v>323</v>
      </c>
      <c r="M76" s="280" t="s">
        <v>327</v>
      </c>
      <c r="N76" s="279" t="s">
        <v>326</v>
      </c>
      <c r="O76" s="278" t="s">
        <v>2</v>
      </c>
      <c r="P76" s="279" t="s">
        <v>325</v>
      </c>
      <c r="Q76" s="278" t="s">
        <v>2</v>
      </c>
      <c r="R76" s="275" t="s">
        <v>324</v>
      </c>
      <c r="S76" s="275" t="s">
        <v>323</v>
      </c>
      <c r="T76" s="274" t="s">
        <v>2</v>
      </c>
      <c r="U76" s="144"/>
      <c r="V76" s="143"/>
      <c r="W76" s="143"/>
      <c r="X76" s="143"/>
    </row>
    <row r="77" spans="1:24" ht="15" customHeight="1" x14ac:dyDescent="0.25">
      <c r="A77" s="163" t="s">
        <v>2</v>
      </c>
      <c r="B77" s="165" t="s">
        <v>2</v>
      </c>
      <c r="C77" s="275" t="s">
        <v>322</v>
      </c>
      <c r="D77" s="275" t="s">
        <v>215</v>
      </c>
      <c r="E77" s="277" t="s">
        <v>322</v>
      </c>
      <c r="F77" s="275" t="s">
        <v>223</v>
      </c>
      <c r="G77" s="275" t="s">
        <v>215</v>
      </c>
      <c r="H77" s="275" t="s">
        <v>224</v>
      </c>
      <c r="I77" s="275" t="s">
        <v>223</v>
      </c>
      <c r="J77" s="275" t="s">
        <v>215</v>
      </c>
      <c r="K77" s="275" t="s">
        <v>215</v>
      </c>
      <c r="L77" s="275" t="s">
        <v>215</v>
      </c>
      <c r="M77" s="276" t="s">
        <v>2</v>
      </c>
      <c r="N77" s="275" t="s">
        <v>321</v>
      </c>
      <c r="O77" s="275" t="s">
        <v>320</v>
      </c>
      <c r="P77" s="275" t="s">
        <v>321</v>
      </c>
      <c r="Q77" s="275" t="s">
        <v>320</v>
      </c>
      <c r="R77" s="275" t="s">
        <v>320</v>
      </c>
      <c r="S77" s="275" t="s">
        <v>320</v>
      </c>
      <c r="T77" s="274" t="s">
        <v>2</v>
      </c>
      <c r="U77" s="144"/>
      <c r="V77" s="143"/>
      <c r="W77" s="143"/>
      <c r="X77" s="143"/>
    </row>
    <row r="78" spans="1:24" ht="15" customHeight="1" thickBot="1" x14ac:dyDescent="0.3">
      <c r="A78" s="273">
        <v>1</v>
      </c>
      <c r="B78" s="272" t="s">
        <v>6</v>
      </c>
      <c r="C78" s="270"/>
      <c r="D78" s="266">
        <v>27091.394</v>
      </c>
      <c r="E78" s="271"/>
      <c r="F78" s="268">
        <v>400589.74200000003</v>
      </c>
      <c r="G78" s="267">
        <v>30128.021000000001</v>
      </c>
      <c r="H78" s="270"/>
      <c r="I78" s="268"/>
      <c r="J78" s="267"/>
      <c r="K78" s="266"/>
      <c r="L78" s="266"/>
      <c r="M78" s="269">
        <v>812741.821</v>
      </c>
      <c r="N78" s="268">
        <v>12017692.257999999</v>
      </c>
      <c r="O78" s="267">
        <v>903840.61800000002</v>
      </c>
      <c r="P78" s="268"/>
      <c r="Q78" s="267"/>
      <c r="R78" s="266"/>
      <c r="S78" s="266"/>
      <c r="T78" s="265"/>
      <c r="U78" s="169" t="s">
        <v>228</v>
      </c>
      <c r="V78" s="143"/>
      <c r="W78" s="143"/>
      <c r="X78" s="143"/>
    </row>
    <row r="79" spans="1:24" ht="15" customHeight="1" x14ac:dyDescent="0.25">
      <c r="A79" s="264">
        <v>2</v>
      </c>
      <c r="B79" s="263" t="s">
        <v>319</v>
      </c>
      <c r="C79" s="259">
        <f>SUMIF(B80:B101,"Основные ГТМ",C80:C101)+SUMIF(B80:B101,"Работа с фондом",C80:C101)+SUMIF(B80:B101,"Сокращение потенциала простоя",C80:C101)+SUMIF(B80:B101,"Прочая добыча (отраб.скв, амбары, стравливание…)",C80:C101)</f>
        <v>42</v>
      </c>
      <c r="D79" s="259">
        <f>SUMIF(B80:B101,"Основные ГТМ",D80:D101)+SUMIF(B80:B101,"Работа с фондом",D80:D101)+SUMIF(B80:B101,"Сокращение потенциала простоя",D80:D101)+SUMIF(B80:B101,"Прочая добыча (отраб.скв, амбары, стравливание…)",D80:D101)</f>
        <v>1320.35</v>
      </c>
      <c r="E79" s="262">
        <f>SUMIF(B80:B101,"Основные ГТМ",E80:E101)+SUMIF(B80:B101,"Работа с фондом",E80:E101)+SUMIF(B80:B101,"Сокращение потенциала простоя",E80:E101)+SUMIF(B80:B101,"Прочая добыча (отраб.скв, амбары, стравливание…)",E80:E101)</f>
        <v>86</v>
      </c>
      <c r="F79" s="261">
        <f>SUMIF(B80:B101,"Основные ГТМ",F80:F101)+SUMIF(B80:B101,"Работа с фондом",F80:F101)+SUMIF(B80:B101,"Сокращение потенциала простоя",F80:F101)+SUMIF(B80:B101,"Прочая добыча (отраб.скв, амбары, стравливание…)",F80:F101)</f>
        <v>11092</v>
      </c>
      <c r="G79" s="260">
        <f>SUMIF(B80:B101,"Основные ГТМ",G80:G101)+SUMIF(B80:B101,"Работа с фондом",G80:G101)+SUMIF(B80:B101,"Сокращение потенциала простоя",G80:G101)+SUMIF(B80:B101,"Прочая добыча (отраб.скв, амбары, стравливание…)",G80:G101)</f>
        <v>2364.1</v>
      </c>
      <c r="H79" s="259" t="str">
        <f>IF(U79="0",(SUMIF(B80:B101,"Основные ГТМ",H80:H101)+SUMIF(B80:B101,"Работа с фондом",H80:H101)+SUMIF(B80:B101,"Сокращение потенциала простоя",H80:H101)+SUMIF(B80:B101,"Прочая добыча (отраб.скв, амбары, стравливание…)",H80:H101)),"")</f>
        <v/>
      </c>
      <c r="I79" s="261" t="str">
        <f>IF(U79="0",(SUMIF(B80:B101,"Основные ГТМ",I80:I101)+SUMIF(B80:B101,"Работа с фондом",I80:I101)+SUMIF(B80:B101,"Сокращение потенциала простоя",I80:I101)+SUMIF(B80:B101,"Прочая добыча (отраб.скв, амбары, стравливание…)",I80:I101)),"")</f>
        <v/>
      </c>
      <c r="J79" s="260" t="str">
        <f>IF(U79="0",(SUMIF(B80:B101,"Основные ГТМ",J80:J101)+SUMIF(B80:B101,"Работа с фондом",J80:J101)+SUMIF(B80:B101,"Сокращение потенциала простоя",J80:J101)+SUMIF(B80:B101,"Прочая добыча (отраб.скв, амбары, стравливание…)",J80:J101)),"")</f>
        <v/>
      </c>
      <c r="K79" s="259" t="str">
        <f>IF(U79="0",(SUMIF(B80:B101,"Основные ГТМ",K80:K101)+SUMIF(B80:B101,"Работа с фондом",K80:K101)+SUMIF(B80:B101,"Сокращение потенциала простоя",K80:K101)+SUMIF(B80:B101,"Прочая добыча (отраб.скв, амбары, стравливание…)",K80:K101)),"")</f>
        <v/>
      </c>
      <c r="L79" s="259" t="str">
        <f>IF(U79="0",(SUMIF(B80:B101,"Основные ГТМ",L80:L83)+SUMIF(B80:B101,"Работа с фондом",L80:L101)+SUMIF(B80:B101,"Сокращение потенциала простоя",L80:L101)+SUMIF(B80:B101,"Прочая добыча (отраб.скв, амбары, стравливание…)",L80:L101)),"")</f>
        <v/>
      </c>
      <c r="M79" s="262">
        <f>SUMIF(B80:B101,"Основные ГТМ",M80:M101)+SUMIF(B80:B101,"Работа с фондом",M80:M101)+SUMIF(B80:B101,"Сокращение потенциала простоя",M80:M101)+SUMIF(B80:B101,"Прочая добыча (отраб.скв, амбары, стравливание…)",M80:M101)</f>
        <v>12455.463</v>
      </c>
      <c r="N79" s="261">
        <f>SUMIF(B80:B101,"Основные ГТМ",N80:N101)+SUMIF(B80:B101,"Работа с фондом",N80:N101)+SUMIF(B80:B101,"Сокращение потенциала простоя",N80:N101)+SUMIF(B80:B101,"Прочая добыча (отраб.скв, амбары, стравливание…)",N80:N101)</f>
        <v>129305</v>
      </c>
      <c r="O79" s="260">
        <f>SUMIF(B80:B101,"Основные ГТМ",O80:O101)+SUMIF(B80:B101,"Работа с фондом",O80:O101)+SUMIF(B80:B101,"Сокращение потенциала простоя",O80:O101)+SUMIF(B80:B101,"Прочая добыча (отраб.скв, амбары, стравливание…)",O80:O101)</f>
        <v>31093.5</v>
      </c>
      <c r="P79" s="261" t="str">
        <f>IF(U79="0",(SUMIF(B80:B101,"Основные ГТМ",P80:P101)+SUMIF(B80:B101,"Работа с фондом",P80:P101)+SUMIF(B80:B101,"Сокращение потенциала простоя",P80:P101)+SUMIF(B80:B101,"Прочая добыча (отраб.скв, амбары, стравливание…)",P80:P101)),"")</f>
        <v/>
      </c>
      <c r="Q79" s="260" t="str">
        <f>IF(U79="0",(SUMIF(B80:B101,"Основные ГТМ",Q80:Q101)+SUMIF(B80:B101,"Работа с фондом",Q80:Q101)+SUMIF(B80:B101,"Сокращение потенциала простоя",Q80:Q101)+SUMIF(B80:B101,"Прочая добыча (отраб.скв, амбары, стравливание…)",Q80:Q101)),"")</f>
        <v/>
      </c>
      <c r="R79" s="259" t="str">
        <f>IF(U79="0",(SUMIF(B80:B101,"Основные ГТМ",R80:R101)+SUMIF(B80:B101,"Работа с фондом",R80:R101)+SUMIF(B80:B101,"Сокращение потенциала простоя",R80:R101)+SUMIF(B80:B101,"Прочая добыча (отраб.скв, амбары, стравливание…)",R80:R101)),"")</f>
        <v/>
      </c>
      <c r="S79" s="259" t="str">
        <f>IF(U79="0",(SUMIF(B80:B101,"Основные ГТМ",S80:S101)+SUMIF(B80:B101,"Работа с фондом",S80:S101)+SUMIF(B80:B101,"Сокращение потенциала простоя",S80:S101)+SUMIF(B80:B101,"Прочая добыча (отраб.скв, амбары, стравливание…)",S80:S101)),"")</f>
        <v/>
      </c>
      <c r="T79" s="258"/>
      <c r="U79" s="169" t="s">
        <v>228</v>
      </c>
      <c r="V79" s="143"/>
      <c r="W79" s="143"/>
      <c r="X79" s="143"/>
    </row>
    <row r="80" spans="1:24" ht="15" customHeight="1" x14ac:dyDescent="0.25">
      <c r="A80" s="237" t="s">
        <v>318</v>
      </c>
      <c r="B80" s="236" t="s">
        <v>317</v>
      </c>
      <c r="C80" s="217">
        <f>SUBTOTAL(9,C81:C93)-IF(B80="Работа с фондом",SUMIF(B81:B93,"      ограничение добычи (ОПЕК)",C81:C93),0)</f>
        <v>42</v>
      </c>
      <c r="D80" s="217">
        <f>SUBTOTAL(9,D81:D93)-IF(B80="Работа с фондом",SUMIF(B81:B93,"      ограничение добычи (ОПЕК)",D81:D93),0)</f>
        <v>1320.35</v>
      </c>
      <c r="E80" s="231">
        <f>SUBTOTAL(9,E81:E93)-IF(B80="Работа с фондом",SUMIF(B81:B93,"      ограничение добычи (ОПЕК)",E81:E93),0)</f>
        <v>52</v>
      </c>
      <c r="F80" s="219">
        <f>SUBTOTAL(9,F81:F93)-IF(B80="Работа с фондом",SUMIF(B81:B93,"      ограничение добычи (ОПЕК)",F81:F93),0)</f>
        <v>8726</v>
      </c>
      <c r="G80" s="218">
        <f>SUBTOTAL(9,G81:G93)-IF(B80="Работа с фондом",SUMIF(B81:B93,"      ограничение добычи (ОПЕК)",G81:G93),0)</f>
        <v>2342</v>
      </c>
      <c r="H80" s="217"/>
      <c r="I80" s="219"/>
      <c r="J80" s="218"/>
      <c r="K80" s="217"/>
      <c r="L80" s="217"/>
      <c r="M80" s="231">
        <f>SUBTOTAL(9,M81:M93)-IF(B80="Работа с фондом",SUMIF(B81:B93,"      ограничение добычи (ОПЕК)",M81:M93),0)</f>
        <v>12455.463</v>
      </c>
      <c r="N80" s="219">
        <f>SUBTOTAL(9,N81:N93)-IF(B80="Работа с фондом",SUMIF(B81:B93,"      ограничение добычи (ОПЕК)",N81:N93),0)</f>
        <v>102066</v>
      </c>
      <c r="O80" s="218">
        <f>SUBTOTAL(9,O81:O93)-IF(B80="Работа с фондом",SUMIF(B81:B93,"      ограничение добычи (ОПЕК)",O81:O93),0)</f>
        <v>28432</v>
      </c>
      <c r="P80" s="219"/>
      <c r="Q80" s="218"/>
      <c r="R80" s="217"/>
      <c r="S80" s="217"/>
      <c r="T80" s="216"/>
      <c r="U80" s="169" t="s">
        <v>228</v>
      </c>
      <c r="V80" s="143"/>
      <c r="W80" s="143"/>
      <c r="X80" s="143"/>
    </row>
    <row r="81" spans="1:24" ht="14.1" customHeight="1" x14ac:dyDescent="0.25">
      <c r="A81" s="225" t="s">
        <v>316</v>
      </c>
      <c r="B81" s="211" t="s">
        <v>28</v>
      </c>
      <c r="C81" s="158">
        <v>18</v>
      </c>
      <c r="D81" s="158">
        <v>962</v>
      </c>
      <c r="E81" s="226">
        <v>23</v>
      </c>
      <c r="F81" s="207">
        <v>5390</v>
      </c>
      <c r="G81" s="206">
        <v>1810</v>
      </c>
      <c r="H81" s="158"/>
      <c r="I81" s="207"/>
      <c r="J81" s="206"/>
      <c r="K81" s="158"/>
      <c r="L81" s="158"/>
      <c r="M81" s="226">
        <v>9369.8449999999993</v>
      </c>
      <c r="N81" s="207">
        <v>57550</v>
      </c>
      <c r="O81" s="206">
        <v>20990</v>
      </c>
      <c r="P81" s="207"/>
      <c r="Q81" s="206"/>
      <c r="R81" s="158"/>
      <c r="S81" s="158"/>
      <c r="T81" s="205"/>
      <c r="U81" s="169" t="s">
        <v>228</v>
      </c>
      <c r="V81" s="143"/>
      <c r="W81" s="143"/>
      <c r="X81" s="143"/>
    </row>
    <row r="82" spans="1:24" ht="14.1" customHeight="1" x14ac:dyDescent="0.25">
      <c r="A82" s="225" t="s">
        <v>315</v>
      </c>
      <c r="B82" s="211" t="s">
        <v>314</v>
      </c>
      <c r="C82" s="158"/>
      <c r="D82" s="158"/>
      <c r="E82" s="226"/>
      <c r="F82" s="207"/>
      <c r="G82" s="206"/>
      <c r="H82" s="158"/>
      <c r="I82" s="207"/>
      <c r="J82" s="206"/>
      <c r="K82" s="158"/>
      <c r="L82" s="158"/>
      <c r="M82" s="226"/>
      <c r="N82" s="207"/>
      <c r="O82" s="206"/>
      <c r="P82" s="207"/>
      <c r="Q82" s="206"/>
      <c r="R82" s="158"/>
      <c r="S82" s="158"/>
      <c r="T82" s="205"/>
      <c r="U82" s="169" t="s">
        <v>228</v>
      </c>
      <c r="V82" s="143"/>
      <c r="W82" s="143"/>
      <c r="X82" s="143"/>
    </row>
    <row r="83" spans="1:24" ht="14.1" customHeight="1" x14ac:dyDescent="0.25">
      <c r="A83" s="225" t="s">
        <v>313</v>
      </c>
      <c r="B83" s="211" t="s">
        <v>312</v>
      </c>
      <c r="C83" s="158"/>
      <c r="D83" s="158"/>
      <c r="E83" s="226"/>
      <c r="F83" s="207"/>
      <c r="G83" s="206"/>
      <c r="H83" s="158"/>
      <c r="I83" s="207"/>
      <c r="J83" s="206"/>
      <c r="K83" s="158"/>
      <c r="L83" s="158"/>
      <c r="M83" s="226"/>
      <c r="N83" s="207"/>
      <c r="O83" s="206"/>
      <c r="P83" s="207"/>
      <c r="Q83" s="206"/>
      <c r="R83" s="158"/>
      <c r="S83" s="158"/>
      <c r="T83" s="205"/>
      <c r="U83" s="169" t="s">
        <v>228</v>
      </c>
      <c r="V83" s="143"/>
      <c r="W83" s="143"/>
      <c r="X83" s="143"/>
    </row>
    <row r="84" spans="1:24" ht="14.1" customHeight="1" x14ac:dyDescent="0.25">
      <c r="A84" s="225" t="s">
        <v>311</v>
      </c>
      <c r="B84" s="211" t="s">
        <v>29</v>
      </c>
      <c r="C84" s="158">
        <v>4</v>
      </c>
      <c r="D84" s="158">
        <v>24.2</v>
      </c>
      <c r="E84" s="226">
        <v>2</v>
      </c>
      <c r="F84" s="207">
        <v>98</v>
      </c>
      <c r="G84" s="206">
        <v>12</v>
      </c>
      <c r="H84" s="158"/>
      <c r="I84" s="207"/>
      <c r="J84" s="206"/>
      <c r="K84" s="158"/>
      <c r="L84" s="158"/>
      <c r="M84" s="226">
        <v>233.90199999999999</v>
      </c>
      <c r="N84" s="207">
        <v>98</v>
      </c>
      <c r="O84" s="206">
        <v>12</v>
      </c>
      <c r="P84" s="207"/>
      <c r="Q84" s="206"/>
      <c r="R84" s="158"/>
      <c r="S84" s="158"/>
      <c r="T84" s="205"/>
      <c r="U84" s="169" t="s">
        <v>228</v>
      </c>
      <c r="V84" s="143"/>
      <c r="W84" s="143"/>
      <c r="X84" s="143"/>
    </row>
    <row r="85" spans="1:24" ht="14.1" customHeight="1" x14ac:dyDescent="0.25">
      <c r="A85" s="225" t="s">
        <v>310</v>
      </c>
      <c r="B85" s="211" t="s">
        <v>30</v>
      </c>
      <c r="C85" s="158">
        <v>14</v>
      </c>
      <c r="D85" s="158">
        <v>307.64999999999998</v>
      </c>
      <c r="E85" s="226">
        <v>25</v>
      </c>
      <c r="F85" s="207">
        <v>2914</v>
      </c>
      <c r="G85" s="206">
        <v>500</v>
      </c>
      <c r="H85" s="158"/>
      <c r="I85" s="207"/>
      <c r="J85" s="206"/>
      <c r="K85" s="158"/>
      <c r="L85" s="158"/>
      <c r="M85" s="226">
        <v>2697.1149999999998</v>
      </c>
      <c r="N85" s="207">
        <v>42647</v>
      </c>
      <c r="O85" s="206">
        <v>7320</v>
      </c>
      <c r="P85" s="207"/>
      <c r="Q85" s="206"/>
      <c r="R85" s="158"/>
      <c r="S85" s="158"/>
      <c r="T85" s="205"/>
      <c r="U85" s="169" t="s">
        <v>228</v>
      </c>
      <c r="V85" s="143"/>
      <c r="W85" s="143"/>
      <c r="X85" s="143"/>
    </row>
    <row r="86" spans="1:24" ht="14.1" customHeight="1" x14ac:dyDescent="0.25">
      <c r="A86" s="225" t="s">
        <v>309</v>
      </c>
      <c r="B86" s="211" t="s">
        <v>308</v>
      </c>
      <c r="C86" s="158"/>
      <c r="D86" s="158"/>
      <c r="E86" s="226"/>
      <c r="F86" s="207"/>
      <c r="G86" s="206"/>
      <c r="H86" s="158"/>
      <c r="I86" s="207"/>
      <c r="J86" s="206"/>
      <c r="K86" s="158"/>
      <c r="L86" s="158"/>
      <c r="M86" s="226"/>
      <c r="N86" s="207"/>
      <c r="O86" s="206"/>
      <c r="P86" s="207"/>
      <c r="Q86" s="206"/>
      <c r="R86" s="158"/>
      <c r="S86" s="158"/>
      <c r="T86" s="205"/>
      <c r="U86" s="169" t="s">
        <v>228</v>
      </c>
      <c r="V86" s="143"/>
      <c r="W86" s="143"/>
      <c r="X86" s="143"/>
    </row>
    <row r="87" spans="1:24" ht="14.1" customHeight="1" x14ac:dyDescent="0.25">
      <c r="A87" s="225" t="s">
        <v>307</v>
      </c>
      <c r="B87" s="211" t="s">
        <v>306</v>
      </c>
      <c r="C87" s="158"/>
      <c r="D87" s="158"/>
      <c r="E87" s="226"/>
      <c r="F87" s="207"/>
      <c r="G87" s="206"/>
      <c r="H87" s="158"/>
      <c r="I87" s="207"/>
      <c r="J87" s="206"/>
      <c r="K87" s="158"/>
      <c r="L87" s="158"/>
      <c r="M87" s="226"/>
      <c r="N87" s="207"/>
      <c r="O87" s="206"/>
      <c r="P87" s="207"/>
      <c r="Q87" s="206"/>
      <c r="R87" s="158"/>
      <c r="S87" s="158"/>
      <c r="T87" s="205"/>
      <c r="U87" s="169" t="s">
        <v>228</v>
      </c>
      <c r="V87" s="143"/>
      <c r="W87" s="143"/>
      <c r="X87" s="143"/>
    </row>
    <row r="88" spans="1:24" ht="14.1" customHeight="1" x14ac:dyDescent="0.25">
      <c r="A88" s="225" t="s">
        <v>305</v>
      </c>
      <c r="B88" s="211" t="s">
        <v>304</v>
      </c>
      <c r="C88" s="158"/>
      <c r="D88" s="158"/>
      <c r="E88" s="226"/>
      <c r="F88" s="207"/>
      <c r="G88" s="206"/>
      <c r="H88" s="158"/>
      <c r="I88" s="207"/>
      <c r="J88" s="206"/>
      <c r="K88" s="158"/>
      <c r="L88" s="158"/>
      <c r="M88" s="226"/>
      <c r="N88" s="207"/>
      <c r="O88" s="206"/>
      <c r="P88" s="207"/>
      <c r="Q88" s="206"/>
      <c r="R88" s="158"/>
      <c r="S88" s="158"/>
      <c r="T88" s="205"/>
      <c r="U88" s="169" t="s">
        <v>228</v>
      </c>
      <c r="V88" s="143"/>
      <c r="W88" s="143"/>
      <c r="X88" s="143"/>
    </row>
    <row r="89" spans="1:24" ht="14.1" customHeight="1" x14ac:dyDescent="0.25">
      <c r="A89" s="225" t="s">
        <v>303</v>
      </c>
      <c r="B89" s="211" t="s">
        <v>31</v>
      </c>
      <c r="C89" s="158">
        <v>6</v>
      </c>
      <c r="D89" s="158">
        <v>26.5</v>
      </c>
      <c r="E89" s="226">
        <v>2</v>
      </c>
      <c r="F89" s="207">
        <v>324</v>
      </c>
      <c r="G89" s="206">
        <v>20</v>
      </c>
      <c r="H89" s="158"/>
      <c r="I89" s="207"/>
      <c r="J89" s="206"/>
      <c r="K89" s="158"/>
      <c r="L89" s="158"/>
      <c r="M89" s="226">
        <v>154.601</v>
      </c>
      <c r="N89" s="207">
        <v>1771</v>
      </c>
      <c r="O89" s="206">
        <v>110</v>
      </c>
      <c r="P89" s="207"/>
      <c r="Q89" s="206"/>
      <c r="R89" s="158"/>
      <c r="S89" s="158"/>
      <c r="T89" s="205"/>
      <c r="U89" s="169" t="s">
        <v>228</v>
      </c>
      <c r="V89" s="143"/>
      <c r="W89" s="143"/>
      <c r="X89" s="143"/>
    </row>
    <row r="90" spans="1:24" ht="14.1" customHeight="1" x14ac:dyDescent="0.25">
      <c r="A90" s="225" t="s">
        <v>302</v>
      </c>
      <c r="B90" s="211" t="s">
        <v>301</v>
      </c>
      <c r="C90" s="158"/>
      <c r="D90" s="158"/>
      <c r="E90" s="226"/>
      <c r="F90" s="207"/>
      <c r="G90" s="206"/>
      <c r="H90" s="158"/>
      <c r="I90" s="207"/>
      <c r="J90" s="206"/>
      <c r="K90" s="158"/>
      <c r="L90" s="158"/>
      <c r="M90" s="226"/>
      <c r="N90" s="207"/>
      <c r="O90" s="206"/>
      <c r="P90" s="207"/>
      <c r="Q90" s="206"/>
      <c r="R90" s="158"/>
      <c r="S90" s="158"/>
      <c r="T90" s="205"/>
      <c r="U90" s="169" t="s">
        <v>228</v>
      </c>
      <c r="V90" s="143"/>
      <c r="W90" s="143"/>
      <c r="X90" s="143"/>
    </row>
    <row r="91" spans="1:24" ht="14.1" customHeight="1" x14ac:dyDescent="0.25">
      <c r="A91" s="225" t="s">
        <v>300</v>
      </c>
      <c r="B91" s="211" t="s">
        <v>299</v>
      </c>
      <c r="C91" s="158"/>
      <c r="D91" s="158"/>
      <c r="E91" s="226"/>
      <c r="F91" s="207"/>
      <c r="G91" s="206"/>
      <c r="H91" s="158"/>
      <c r="I91" s="207"/>
      <c r="J91" s="206"/>
      <c r="K91" s="158"/>
      <c r="L91" s="158"/>
      <c r="M91" s="226"/>
      <c r="N91" s="207"/>
      <c r="O91" s="206"/>
      <c r="P91" s="207"/>
      <c r="Q91" s="206"/>
      <c r="R91" s="158"/>
      <c r="S91" s="158"/>
      <c r="T91" s="205"/>
      <c r="U91" s="169" t="s">
        <v>228</v>
      </c>
      <c r="V91" s="143"/>
      <c r="W91" s="143"/>
      <c r="X91" s="143"/>
    </row>
    <row r="92" spans="1:24" ht="14.1" customHeight="1" x14ac:dyDescent="0.25">
      <c r="A92" s="225" t="s">
        <v>298</v>
      </c>
      <c r="B92" s="211" t="s">
        <v>297</v>
      </c>
      <c r="C92" s="158"/>
      <c r="D92" s="158"/>
      <c r="E92" s="226"/>
      <c r="F92" s="207"/>
      <c r="G92" s="206"/>
      <c r="H92" s="158"/>
      <c r="I92" s="207"/>
      <c r="J92" s="206"/>
      <c r="K92" s="158"/>
      <c r="L92" s="158"/>
      <c r="M92" s="226"/>
      <c r="N92" s="207"/>
      <c r="O92" s="206"/>
      <c r="P92" s="207"/>
      <c r="Q92" s="206"/>
      <c r="R92" s="158"/>
      <c r="S92" s="158"/>
      <c r="T92" s="205"/>
      <c r="U92" s="169" t="s">
        <v>228</v>
      </c>
      <c r="V92" s="143"/>
      <c r="W92" s="143"/>
      <c r="X92" s="143"/>
    </row>
    <row r="93" spans="1:24" ht="14.1" customHeight="1" x14ac:dyDescent="0.25">
      <c r="A93" s="225" t="s">
        <v>296</v>
      </c>
      <c r="B93" s="211" t="s">
        <v>295</v>
      </c>
      <c r="C93" s="158"/>
      <c r="D93" s="158"/>
      <c r="E93" s="226"/>
      <c r="F93" s="207"/>
      <c r="G93" s="206"/>
      <c r="H93" s="158"/>
      <c r="I93" s="207"/>
      <c r="J93" s="206"/>
      <c r="K93" s="158"/>
      <c r="L93" s="158"/>
      <c r="M93" s="226"/>
      <c r="N93" s="207"/>
      <c r="O93" s="206"/>
      <c r="P93" s="207"/>
      <c r="Q93" s="206"/>
      <c r="R93" s="158"/>
      <c r="S93" s="158"/>
      <c r="T93" s="205"/>
      <c r="U93" s="169" t="s">
        <v>228</v>
      </c>
      <c r="V93" s="143"/>
      <c r="W93" s="143"/>
      <c r="X93" s="143"/>
    </row>
    <row r="94" spans="1:24" ht="15" customHeight="1" x14ac:dyDescent="0.25">
      <c r="A94" s="237" t="s">
        <v>294</v>
      </c>
      <c r="B94" s="236" t="s">
        <v>293</v>
      </c>
      <c r="C94" s="217">
        <f>SUBTOTAL(9,C95:C99)-IF(B94="Работа с фондом",SUMIF(B95:B99,"      ограничение добычи (ОПЕК)",C95:C99),0)</f>
        <v>0</v>
      </c>
      <c r="D94" s="217">
        <f>SUBTOTAL(9,D95:D99)-IF(B94="Работа с фондом",SUMIF(B95:B99,"      ограничение добычи (ОПЕК)",D95:D99),0)</f>
        <v>0</v>
      </c>
      <c r="E94" s="231">
        <f>SUBTOTAL(9,E95:E99)-IF(B94="Работа с фондом",SUMIF(B95:B99,"      ограничение добычи (ОПЕК)",E95:E99),0)</f>
        <v>34</v>
      </c>
      <c r="F94" s="219">
        <f>SUBTOTAL(9,F95:F99)-IF(B94="Работа с фондом",SUMIF(B95:B99,"      ограничение добычи (ОПЕК)",F95:F99),0)</f>
        <v>2366</v>
      </c>
      <c r="G94" s="218">
        <f>SUBTOTAL(9,G95:G99)-IF(B94="Работа с фондом",SUMIF(B95:B99,"      ограничение добычи (ОПЕК)",G95:G99),0)</f>
        <v>22.100000000000023</v>
      </c>
      <c r="H94" s="217"/>
      <c r="I94" s="219"/>
      <c r="J94" s="218"/>
      <c r="K94" s="217"/>
      <c r="L94" s="217"/>
      <c r="M94" s="231">
        <f>SUBTOTAL(9,M95:M99)-IF(B94="Работа с фондом",SUMIF(B95:B99,"      ограничение добычи (ОПЕК)",M95:M99),0)</f>
        <v>0</v>
      </c>
      <c r="N94" s="219">
        <f>SUBTOTAL(9,N95:N99)-IF(B94="Работа с фондом",SUMIF(B95:B99,"      ограничение добычи (ОПЕК)",N95:N99),0)</f>
        <v>27239</v>
      </c>
      <c r="O94" s="218">
        <f>SUBTOTAL(9,O95:O99)-IF(B94="Работа с фондом",SUMIF(B95:B99,"      ограничение добычи (ОПЕК)",O95:O99),0)</f>
        <v>2661.5</v>
      </c>
      <c r="P94" s="219"/>
      <c r="Q94" s="218"/>
      <c r="R94" s="217"/>
      <c r="S94" s="217"/>
      <c r="T94" s="216"/>
      <c r="U94" s="169" t="s">
        <v>228</v>
      </c>
      <c r="V94" s="143"/>
      <c r="W94" s="143"/>
      <c r="X94" s="143"/>
    </row>
    <row r="95" spans="1:24" ht="14.1" customHeight="1" x14ac:dyDescent="0.25">
      <c r="A95" s="225" t="s">
        <v>292</v>
      </c>
      <c r="B95" s="211" t="s">
        <v>13</v>
      </c>
      <c r="C95" s="158"/>
      <c r="D95" s="158"/>
      <c r="E95" s="226">
        <v>4</v>
      </c>
      <c r="F95" s="207">
        <v>910</v>
      </c>
      <c r="G95" s="206">
        <v>60</v>
      </c>
      <c r="H95" s="158"/>
      <c r="I95" s="207"/>
      <c r="J95" s="206"/>
      <c r="K95" s="158"/>
      <c r="L95" s="158"/>
      <c r="M95" s="226"/>
      <c r="N95" s="207">
        <v>9423</v>
      </c>
      <c r="O95" s="206">
        <v>552</v>
      </c>
      <c r="P95" s="207"/>
      <c r="Q95" s="206"/>
      <c r="R95" s="158"/>
      <c r="S95" s="158"/>
      <c r="T95" s="205"/>
      <c r="U95" s="169" t="s">
        <v>228</v>
      </c>
      <c r="V95" s="143"/>
      <c r="W95" s="143"/>
      <c r="X95" s="143"/>
    </row>
    <row r="96" spans="1:24" ht="14.1" customHeight="1" x14ac:dyDescent="0.25">
      <c r="A96" s="225" t="s">
        <v>291</v>
      </c>
      <c r="B96" s="211" t="s">
        <v>290</v>
      </c>
      <c r="C96" s="158"/>
      <c r="D96" s="158"/>
      <c r="E96" s="226"/>
      <c r="F96" s="207"/>
      <c r="G96" s="206"/>
      <c r="H96" s="158"/>
      <c r="I96" s="207"/>
      <c r="J96" s="206"/>
      <c r="K96" s="158"/>
      <c r="L96" s="158"/>
      <c r="M96" s="226"/>
      <c r="N96" s="207"/>
      <c r="O96" s="206"/>
      <c r="P96" s="207"/>
      <c r="Q96" s="206"/>
      <c r="R96" s="158"/>
      <c r="S96" s="158"/>
      <c r="T96" s="205"/>
      <c r="U96" s="169" t="s">
        <v>228</v>
      </c>
      <c r="V96" s="143"/>
      <c r="W96" s="143"/>
      <c r="X96" s="143"/>
    </row>
    <row r="97" spans="1:24" ht="14.1" customHeight="1" x14ac:dyDescent="0.25">
      <c r="A97" s="225" t="s">
        <v>289</v>
      </c>
      <c r="B97" s="211" t="s">
        <v>14</v>
      </c>
      <c r="C97" s="158"/>
      <c r="D97" s="158"/>
      <c r="E97" s="226">
        <v>0</v>
      </c>
      <c r="F97" s="207">
        <v>10</v>
      </c>
      <c r="G97" s="206">
        <f>-197.6+244</f>
        <v>46.400000000000006</v>
      </c>
      <c r="H97" s="158"/>
      <c r="I97" s="207"/>
      <c r="J97" s="206"/>
      <c r="K97" s="158"/>
      <c r="L97" s="158"/>
      <c r="M97" s="226"/>
      <c r="N97" s="207">
        <v>160</v>
      </c>
      <c r="O97" s="206">
        <f>92.2+916</f>
        <v>1008.2</v>
      </c>
      <c r="P97" s="207"/>
      <c r="Q97" s="206"/>
      <c r="R97" s="158"/>
      <c r="S97" s="158"/>
      <c r="T97" s="205"/>
      <c r="U97" s="169" t="s">
        <v>228</v>
      </c>
      <c r="V97" s="143"/>
      <c r="W97" s="143"/>
      <c r="X97" s="143"/>
    </row>
    <row r="98" spans="1:24" ht="14.1" customHeight="1" x14ac:dyDescent="0.25">
      <c r="A98" s="225" t="s">
        <v>288</v>
      </c>
      <c r="B98" s="211" t="s">
        <v>287</v>
      </c>
      <c r="C98" s="158"/>
      <c r="D98" s="158"/>
      <c r="E98" s="226">
        <v>30</v>
      </c>
      <c r="F98" s="207">
        <v>1446</v>
      </c>
      <c r="G98" s="206">
        <v>159.69999999999999</v>
      </c>
      <c r="H98" s="158"/>
      <c r="I98" s="207"/>
      <c r="J98" s="206"/>
      <c r="K98" s="158"/>
      <c r="L98" s="158"/>
      <c r="M98" s="226"/>
      <c r="N98" s="207">
        <v>17656</v>
      </c>
      <c r="O98" s="206">
        <v>2017.3</v>
      </c>
      <c r="P98" s="207"/>
      <c r="Q98" s="206"/>
      <c r="R98" s="158"/>
      <c r="S98" s="158"/>
      <c r="T98" s="205"/>
      <c r="U98" s="169" t="s">
        <v>228</v>
      </c>
      <c r="V98" s="143"/>
      <c r="W98" s="143"/>
      <c r="X98" s="143"/>
    </row>
    <row r="99" spans="1:24" ht="14.1" customHeight="1" x14ac:dyDescent="0.25">
      <c r="A99" s="225" t="s">
        <v>2</v>
      </c>
      <c r="B99" s="211" t="s">
        <v>341</v>
      </c>
      <c r="C99" s="158"/>
      <c r="D99" s="158"/>
      <c r="E99" s="226"/>
      <c r="F99" s="207"/>
      <c r="G99" s="206">
        <v>-244</v>
      </c>
      <c r="H99" s="158"/>
      <c r="I99" s="207"/>
      <c r="J99" s="206"/>
      <c r="K99" s="158"/>
      <c r="L99" s="158"/>
      <c r="M99" s="226"/>
      <c r="N99" s="207"/>
      <c r="O99" s="206">
        <v>-916</v>
      </c>
      <c r="P99" s="207"/>
      <c r="Q99" s="206"/>
      <c r="R99" s="158"/>
      <c r="S99" s="158"/>
      <c r="T99" s="205"/>
      <c r="U99" s="169" t="s">
        <v>228</v>
      </c>
      <c r="V99" s="143"/>
      <c r="W99" s="143"/>
      <c r="X99" s="143"/>
    </row>
    <row r="100" spans="1:24" ht="15" customHeight="1" x14ac:dyDescent="0.25">
      <c r="A100" s="223" t="s">
        <v>286</v>
      </c>
      <c r="B100" s="222" t="s">
        <v>285</v>
      </c>
      <c r="C100" s="253"/>
      <c r="D100" s="253"/>
      <c r="E100" s="256">
        <v>0</v>
      </c>
      <c r="F100" s="255">
        <v>0</v>
      </c>
      <c r="G100" s="254">
        <v>0</v>
      </c>
      <c r="H100" s="253"/>
      <c r="I100" s="255"/>
      <c r="J100" s="254"/>
      <c r="K100" s="257"/>
      <c r="L100" s="253"/>
      <c r="M100" s="256"/>
      <c r="N100" s="255">
        <v>0</v>
      </c>
      <c r="O100" s="254">
        <v>0</v>
      </c>
      <c r="P100" s="255"/>
      <c r="Q100" s="254"/>
      <c r="R100" s="253"/>
      <c r="S100" s="253"/>
      <c r="T100" s="252"/>
      <c r="U100" s="169" t="s">
        <v>228</v>
      </c>
      <c r="V100" s="143"/>
      <c r="W100" s="143"/>
      <c r="X100" s="143"/>
    </row>
    <row r="101" spans="1:24" ht="14.1" customHeight="1" x14ac:dyDescent="0.25">
      <c r="A101" s="223" t="s">
        <v>284</v>
      </c>
      <c r="B101" s="222" t="s">
        <v>283</v>
      </c>
      <c r="C101" s="221"/>
      <c r="D101" s="221"/>
      <c r="E101" s="220"/>
      <c r="F101" s="221"/>
      <c r="G101" s="221"/>
      <c r="H101" s="221"/>
      <c r="I101" s="221"/>
      <c r="J101" s="221"/>
      <c r="K101" s="221"/>
      <c r="L101" s="221"/>
      <c r="M101" s="220"/>
      <c r="N101" s="219"/>
      <c r="O101" s="218"/>
      <c r="P101" s="219"/>
      <c r="Q101" s="218"/>
      <c r="R101" s="217"/>
      <c r="S101" s="217"/>
      <c r="T101" s="216"/>
      <c r="U101" s="169" t="s">
        <v>228</v>
      </c>
      <c r="V101" s="143"/>
      <c r="W101" s="143"/>
      <c r="X101" s="143"/>
    </row>
    <row r="102" spans="1:24" ht="14.1" customHeight="1" x14ac:dyDescent="0.25">
      <c r="A102" s="251"/>
      <c r="B102" s="250"/>
      <c r="C102" s="249"/>
      <c r="D102" s="249"/>
      <c r="E102" s="247"/>
      <c r="F102" s="248"/>
      <c r="G102" s="248"/>
      <c r="H102" s="248"/>
      <c r="I102" s="248"/>
      <c r="J102" s="248"/>
      <c r="K102" s="248"/>
      <c r="L102" s="248"/>
      <c r="M102" s="247"/>
      <c r="N102" s="248"/>
      <c r="O102" s="248"/>
      <c r="P102" s="248"/>
      <c r="Q102" s="248"/>
      <c r="R102" s="248"/>
      <c r="S102" s="248"/>
      <c r="T102" s="247"/>
      <c r="U102" s="144"/>
      <c r="V102" s="143"/>
      <c r="W102" s="143"/>
      <c r="X102" s="143"/>
    </row>
    <row r="103" spans="1:24" ht="14.1" customHeight="1" thickBot="1" x14ac:dyDescent="0.3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3"/>
      <c r="W103" s="143"/>
      <c r="X103" s="143"/>
    </row>
    <row r="104" spans="1:24" ht="15" customHeight="1" x14ac:dyDescent="0.25">
      <c r="A104" s="246">
        <v>3</v>
      </c>
      <c r="B104" s="245" t="s">
        <v>282</v>
      </c>
      <c r="C104" s="243"/>
      <c r="D104" s="243"/>
      <c r="E104" s="244">
        <f>SUMIF(B105:B130,"Падение по базовому фонду, ГТМ",E105:E130)+SUMIF(B105:B130,"От технологических причин, в т.ч:",E105:E130)</f>
        <v>39</v>
      </c>
      <c r="F104" s="241">
        <f>SUMIF(B105:B130,"Падение по базовому фонду, ГТМ",F105:F130)+SUMIF(B105:B130,"От технологических причин, в т.ч:",F105:F130)</f>
        <v>2234.0169999999998</v>
      </c>
      <c r="G104" s="240">
        <f>SUMIF(B105:B130,"Падение по базовому фонду, ГТМ",G105:G130)+SUMIF(B105:B130,"От технологических причин, в т.ч:",G105:G130)</f>
        <v>1611.462</v>
      </c>
      <c r="H104" s="239"/>
      <c r="I104" s="241"/>
      <c r="J104" s="240"/>
      <c r="K104" s="243"/>
      <c r="L104" s="239"/>
      <c r="M104" s="242">
        <v>2292.027</v>
      </c>
      <c r="N104" s="241">
        <f>SUMIF(B105:B132,"Падение по базовому фонду, ГТМ",N105:N132)+SUMIF(B105:B132,"От технологических причин, в т.ч:",N105:N132)</f>
        <v>93792.357000000004</v>
      </c>
      <c r="O104" s="240">
        <f>SUMIF(B105:B132,"Падение по базовому фонду, ГТМ",O105:O132)+SUMIF(B105:B132,"От технологических причин, в т.ч:",O105:O132)</f>
        <v>30625.148000000001</v>
      </c>
      <c r="P104" s="241"/>
      <c r="Q104" s="240"/>
      <c r="R104" s="239"/>
      <c r="S104" s="239"/>
      <c r="T104" s="238"/>
      <c r="U104" s="169" t="s">
        <v>228</v>
      </c>
      <c r="V104" s="143"/>
      <c r="W104" s="143"/>
      <c r="X104" s="143"/>
    </row>
    <row r="105" spans="1:24" ht="15" customHeight="1" x14ac:dyDescent="0.25">
      <c r="A105" s="237" t="s">
        <v>281</v>
      </c>
      <c r="B105" s="236" t="s">
        <v>280</v>
      </c>
      <c r="C105" s="221"/>
      <c r="D105" s="221"/>
      <c r="E105" s="220"/>
      <c r="F105" s="219">
        <f>SUBTOTAL(9,F106:F113)</f>
        <v>0</v>
      </c>
      <c r="G105" s="218">
        <f>SUBTOTAL(9,G106:G113)</f>
        <v>1440</v>
      </c>
      <c r="H105" s="221"/>
      <c r="I105" s="219"/>
      <c r="J105" s="218"/>
      <c r="K105" s="221"/>
      <c r="L105" s="217"/>
      <c r="M105" s="220">
        <v>0</v>
      </c>
      <c r="N105" s="219">
        <f>SUBTOTAL(9,N106:N113)</f>
        <v>0</v>
      </c>
      <c r="O105" s="218">
        <f>SUBTOTAL(9,O106:O113)</f>
        <v>22320</v>
      </c>
      <c r="P105" s="219"/>
      <c r="Q105" s="218"/>
      <c r="R105" s="217"/>
      <c r="S105" s="217"/>
      <c r="T105" s="216"/>
      <c r="U105" s="169" t="s">
        <v>228</v>
      </c>
      <c r="V105" s="143"/>
      <c r="W105" s="143"/>
      <c r="X105" s="143"/>
    </row>
    <row r="106" spans="1:24" ht="15" customHeight="1" x14ac:dyDescent="0.25">
      <c r="A106" s="225" t="s">
        <v>279</v>
      </c>
      <c r="B106" s="211" t="s">
        <v>278</v>
      </c>
      <c r="C106" s="151"/>
      <c r="D106" s="151"/>
      <c r="E106" s="228"/>
      <c r="F106" s="215">
        <f>SUBTOTAL(9,F107:F108)</f>
        <v>0</v>
      </c>
      <c r="G106" s="214">
        <f>SUBTOTAL(9,G107:G108)</f>
        <v>1440</v>
      </c>
      <c r="H106" s="229"/>
      <c r="I106" s="215"/>
      <c r="J106" s="214"/>
      <c r="K106" s="229"/>
      <c r="L106" s="149"/>
      <c r="M106" s="228">
        <v>0</v>
      </c>
      <c r="N106" s="215">
        <f>SUBTOTAL(9,N107:N108)</f>
        <v>0</v>
      </c>
      <c r="O106" s="214">
        <f>SUBTOTAL(9,O107:O108)</f>
        <v>22320</v>
      </c>
      <c r="P106" s="215"/>
      <c r="Q106" s="214"/>
      <c r="R106" s="149"/>
      <c r="S106" s="149"/>
      <c r="T106" s="227"/>
      <c r="U106" s="169" t="s">
        <v>228</v>
      </c>
      <c r="V106" s="143"/>
      <c r="W106" s="143"/>
      <c r="X106" s="143"/>
    </row>
    <row r="107" spans="1:24" ht="15" customHeight="1" x14ac:dyDescent="0.25">
      <c r="A107" s="225" t="s">
        <v>277</v>
      </c>
      <c r="B107" s="213" t="s">
        <v>276</v>
      </c>
      <c r="C107" s="151"/>
      <c r="D107" s="151"/>
      <c r="E107" s="235" t="s">
        <v>275</v>
      </c>
      <c r="F107" s="207">
        <v>0</v>
      </c>
      <c r="G107" s="206">
        <v>914.4</v>
      </c>
      <c r="H107" s="234"/>
      <c r="I107" s="207"/>
      <c r="J107" s="206"/>
      <c r="K107" s="151"/>
      <c r="L107" s="158"/>
      <c r="M107" s="208"/>
      <c r="N107" s="207">
        <v>0</v>
      </c>
      <c r="O107" s="206">
        <v>14173.2</v>
      </c>
      <c r="P107" s="207"/>
      <c r="Q107" s="206"/>
      <c r="R107" s="158"/>
      <c r="S107" s="158"/>
      <c r="T107" s="205"/>
      <c r="U107" s="169" t="s">
        <v>228</v>
      </c>
      <c r="V107" s="143"/>
      <c r="W107" s="143"/>
      <c r="X107" s="143"/>
    </row>
    <row r="108" spans="1:24" ht="15" customHeight="1" x14ac:dyDescent="0.25">
      <c r="A108" s="225" t="s">
        <v>274</v>
      </c>
      <c r="B108" s="213" t="s">
        <v>273</v>
      </c>
      <c r="C108" s="151"/>
      <c r="D108" s="151"/>
      <c r="E108" s="235" t="s">
        <v>272</v>
      </c>
      <c r="F108" s="207">
        <v>0</v>
      </c>
      <c r="G108" s="206">
        <v>525.6</v>
      </c>
      <c r="H108" s="234"/>
      <c r="I108" s="207"/>
      <c r="J108" s="206"/>
      <c r="K108" s="151"/>
      <c r="L108" s="158"/>
      <c r="M108" s="208"/>
      <c r="N108" s="207">
        <v>0</v>
      </c>
      <c r="O108" s="206">
        <v>8146.8</v>
      </c>
      <c r="P108" s="207"/>
      <c r="Q108" s="206"/>
      <c r="R108" s="158"/>
      <c r="S108" s="158"/>
      <c r="T108" s="205"/>
      <c r="U108" s="169" t="s">
        <v>228</v>
      </c>
      <c r="V108" s="143"/>
      <c r="W108" s="143"/>
      <c r="X108" s="143"/>
    </row>
    <row r="109" spans="1:24" ht="15" customHeight="1" x14ac:dyDescent="0.25">
      <c r="A109" s="225" t="s">
        <v>271</v>
      </c>
      <c r="B109" s="211" t="s">
        <v>270</v>
      </c>
      <c r="C109" s="151"/>
      <c r="D109" s="151"/>
      <c r="E109" s="228"/>
      <c r="F109" s="215">
        <f>SUBTOTAL(9,F110:F111)</f>
        <v>0</v>
      </c>
      <c r="G109" s="214">
        <f>SUBTOTAL(9,G110:G111)</f>
        <v>0</v>
      </c>
      <c r="H109" s="229"/>
      <c r="I109" s="215"/>
      <c r="J109" s="214"/>
      <c r="K109" s="229"/>
      <c r="L109" s="149"/>
      <c r="M109" s="228">
        <v>0</v>
      </c>
      <c r="N109" s="215">
        <f>SUBTOTAL(9,N110:N111)</f>
        <v>0</v>
      </c>
      <c r="O109" s="214">
        <f>SUBTOTAL(9,O110:O111)</f>
        <v>0</v>
      </c>
      <c r="P109" s="215"/>
      <c r="Q109" s="214"/>
      <c r="R109" s="149"/>
      <c r="S109" s="149"/>
      <c r="T109" s="227"/>
      <c r="U109" s="169" t="s">
        <v>228</v>
      </c>
      <c r="V109" s="143"/>
      <c r="W109" s="143"/>
      <c r="X109" s="143"/>
    </row>
    <row r="110" spans="1:24" ht="15" customHeight="1" x14ac:dyDescent="0.25">
      <c r="A110" s="225" t="s">
        <v>269</v>
      </c>
      <c r="B110" s="213" t="s">
        <v>268</v>
      </c>
      <c r="C110" s="151"/>
      <c r="D110" s="151"/>
      <c r="E110" s="208"/>
      <c r="F110" s="207"/>
      <c r="G110" s="206"/>
      <c r="H110" s="151"/>
      <c r="I110" s="207"/>
      <c r="J110" s="206"/>
      <c r="K110" s="151"/>
      <c r="L110" s="158"/>
      <c r="M110" s="208"/>
      <c r="N110" s="207"/>
      <c r="O110" s="206"/>
      <c r="P110" s="207"/>
      <c r="Q110" s="206"/>
      <c r="R110" s="158"/>
      <c r="S110" s="158"/>
      <c r="T110" s="205"/>
      <c r="U110" s="169" t="s">
        <v>228</v>
      </c>
      <c r="V110" s="143"/>
      <c r="W110" s="143"/>
      <c r="X110" s="143"/>
    </row>
    <row r="111" spans="1:24" ht="15" customHeight="1" x14ac:dyDescent="0.25">
      <c r="A111" s="225" t="s">
        <v>267</v>
      </c>
      <c r="B111" s="213" t="s">
        <v>266</v>
      </c>
      <c r="C111" s="151"/>
      <c r="D111" s="151"/>
      <c r="E111" s="208"/>
      <c r="F111" s="207"/>
      <c r="G111" s="206"/>
      <c r="H111" s="151"/>
      <c r="I111" s="207"/>
      <c r="J111" s="206"/>
      <c r="K111" s="151"/>
      <c r="L111" s="158"/>
      <c r="M111" s="208"/>
      <c r="N111" s="207"/>
      <c r="O111" s="206"/>
      <c r="P111" s="207"/>
      <c r="Q111" s="206"/>
      <c r="R111" s="158"/>
      <c r="S111" s="158"/>
      <c r="T111" s="205"/>
      <c r="U111" s="169" t="s">
        <v>228</v>
      </c>
      <c r="V111" s="143"/>
      <c r="W111" s="143"/>
      <c r="X111" s="143"/>
    </row>
    <row r="112" spans="1:24" ht="15" customHeight="1" x14ac:dyDescent="0.25">
      <c r="A112" s="225" t="s">
        <v>265</v>
      </c>
      <c r="B112" s="211" t="s">
        <v>264</v>
      </c>
      <c r="C112" s="151"/>
      <c r="D112" s="151"/>
      <c r="E112" s="228"/>
      <c r="F112" s="215">
        <f>SUBTOTAL(9,F113:F113)</f>
        <v>0</v>
      </c>
      <c r="G112" s="214">
        <f>SUBTOTAL(9,G113:G113)</f>
        <v>0</v>
      </c>
      <c r="H112" s="229"/>
      <c r="I112" s="215"/>
      <c r="J112" s="214"/>
      <c r="K112" s="229"/>
      <c r="L112" s="149"/>
      <c r="M112" s="228">
        <v>0</v>
      </c>
      <c r="N112" s="215">
        <f>SUBTOTAL(9,N113:N113)</f>
        <v>0</v>
      </c>
      <c r="O112" s="214">
        <f>SUBTOTAL(9,O113:O113)</f>
        <v>0</v>
      </c>
      <c r="P112" s="215"/>
      <c r="Q112" s="214"/>
      <c r="R112" s="149"/>
      <c r="S112" s="149"/>
      <c r="T112" s="227"/>
      <c r="U112" s="169" t="s">
        <v>228</v>
      </c>
      <c r="V112" s="143"/>
      <c r="W112" s="143"/>
      <c r="X112" s="143"/>
    </row>
    <row r="113" spans="1:24" ht="15" customHeight="1" x14ac:dyDescent="0.25">
      <c r="A113" s="225" t="s">
        <v>263</v>
      </c>
      <c r="B113" s="213" t="s">
        <v>262</v>
      </c>
      <c r="C113" s="151"/>
      <c r="D113" s="151"/>
      <c r="E113" s="208"/>
      <c r="F113" s="207"/>
      <c r="G113" s="206"/>
      <c r="H113" s="151"/>
      <c r="I113" s="207"/>
      <c r="J113" s="206"/>
      <c r="K113" s="151"/>
      <c r="L113" s="158"/>
      <c r="M113" s="208"/>
      <c r="N113" s="207"/>
      <c r="O113" s="206"/>
      <c r="P113" s="207"/>
      <c r="Q113" s="206"/>
      <c r="R113" s="158"/>
      <c r="S113" s="158"/>
      <c r="T113" s="205"/>
      <c r="U113" s="169" t="s">
        <v>228</v>
      </c>
      <c r="V113" s="143"/>
      <c r="W113" s="143"/>
      <c r="X113" s="143"/>
    </row>
    <row r="114" spans="1:24" ht="15" customHeight="1" x14ac:dyDescent="0.25">
      <c r="A114" s="233" t="s">
        <v>261</v>
      </c>
      <c r="B114" s="232" t="s">
        <v>260</v>
      </c>
      <c r="C114" s="221"/>
      <c r="D114" s="221"/>
      <c r="E114" s="231">
        <f>SUMIF(B115:B130,"Рост потенциала простоя",E115:E130)+SUMIF(B115:B130,"Остановка по распоряжению, в т.ч.:",E115:E130)+SUMIF(B115:B130,"Остановка нерентабельного фонда",E115:E130)+SUMIF(B115:B130,"Остановка для перевода в ППД",E115:E130)+SUMIF(B115:B130,"Прочие потери",E115:E130)+SUMIF(B115:B130,"Потери нефти по ОТМ",E115:E130)+SUMIF(B115:B130,"Ост. дебит от ЗБС, Углуб., ПВЛГ/ПНЛГ",E115:E130)</f>
        <v>39</v>
      </c>
      <c r="F114" s="219">
        <f>SUMIF(B115:B130,"Рост потенциала простоя",F115:F130)+SUMIF(B115:B130,"Остановка по распоряжению, в т.ч.:",F115:F130)+SUMIF(B115:B130,"Остановка нерентабельного фонда",F115:F130)+SUMIF(B115:B130,"Остановка для перевода в ППД",F115:F130)+SUMIF(B115:B130,"Прочие потери",F115:F130)+SUMIF(B115:B130,"Потери нефти по ОТМ",F115:F130)+SUMIF(B115:B130,"Ост. дебит от ЗБС, Углуб., ПВЛГ/ПНЛГ",F115:F130)</f>
        <v>2234.0169999999998</v>
      </c>
      <c r="G114" s="218">
        <f>SUMIF(B115:B130,"Рост потенциала простоя",G115:G130)+SUMIF(B115:B130,"Остановка по распоряжению, в т.ч.:",G115:G130)+SUMIF(B115:B130,"Остановка нерентабельного фонда",G115:G130)+SUMIF(B115:B130,"Остановка для перевода в ППД",G115:G130)+SUMIF(B115:B130,"Прочие потери",G115:G130)+SUMIF(B115:B130,"Потери нефти по ОТМ",G115:G130)+SUMIF(B115:B130,"Ост. дебит от ЗБС, Углуб., ПВЛГ/ПНЛГ",G115:G130)</f>
        <v>171.46200000000002</v>
      </c>
      <c r="H114" s="217"/>
      <c r="I114" s="219"/>
      <c r="J114" s="218"/>
      <c r="K114" s="221"/>
      <c r="L114" s="217"/>
      <c r="M114" s="220">
        <v>2292.027</v>
      </c>
      <c r="N114" s="219">
        <f>SUMIF(B115:B132,"Рост потенциала простоя",N115:N132)+SUMIF(B115:B132,"Остановка по распоряжению, в т.ч.:",N115:N132)+SUMIF(B115:B132,"Остановка нерентабельного фонда",N115:N132)+SUMIF(B115:B132,"Остановка для перевода в ППД",N115:N132)+SUMIF(B115:B132,"Прочие потери",N115:N132)+SUMIF(B115:B132,"Потери нефти по ОТМ",N115:N132)+SUMIF(B115:B132,"Ост. дебит от ЗБС, Углуб., ПВЛГ/ПНЛГ",N115:N132)</f>
        <v>93792.357000000004</v>
      </c>
      <c r="O114" s="218">
        <f>SUMIF(B115:B132,"Рост потенциала простоя",O115:O132)+SUMIF(B115:B132,"Остановка по распоряжению, в т.ч.:",O115:O132)+SUMIF(B115:B132,"Остановка нерентабельного фонда",O115:O132)+SUMIF(B115:B132,"Остановка для перевода в ППД",O115:O132)+SUMIF(B115:B132,"Прочие потери",O115:O132)+SUMIF(B115:B132,"Потери нефти по ОТМ",O115:O132)+SUMIF(B115:B132,"Ост. дебит от ЗБС, Углуб., ПВЛГ/ПНЛГ",O115:O132)</f>
        <v>8305.1479999999992</v>
      </c>
      <c r="P114" s="219"/>
      <c r="Q114" s="218"/>
      <c r="R114" s="217"/>
      <c r="S114" s="217"/>
      <c r="T114" s="216"/>
      <c r="U114" s="169" t="s">
        <v>228</v>
      </c>
      <c r="V114" s="143"/>
      <c r="W114" s="143"/>
      <c r="X114" s="143"/>
    </row>
    <row r="115" spans="1:24" ht="15" customHeight="1" x14ac:dyDescent="0.25">
      <c r="A115" s="225" t="s">
        <v>259</v>
      </c>
      <c r="B115" s="224" t="s">
        <v>258</v>
      </c>
      <c r="C115" s="151"/>
      <c r="D115" s="151"/>
      <c r="E115" s="230">
        <v>35</v>
      </c>
      <c r="F115" s="215">
        <v>2178.0169999999998</v>
      </c>
      <c r="G115" s="214">
        <v>147.16200000000001</v>
      </c>
      <c r="H115" s="149"/>
      <c r="I115" s="215"/>
      <c r="J115" s="214"/>
      <c r="K115" s="229"/>
      <c r="L115" s="149"/>
      <c r="M115" s="228"/>
      <c r="N115" s="215">
        <v>21211.556</v>
      </c>
      <c r="O115" s="214">
        <v>2909.1219999999998</v>
      </c>
      <c r="P115" s="215"/>
      <c r="Q115" s="214"/>
      <c r="R115" s="149"/>
      <c r="S115" s="149"/>
      <c r="T115" s="227"/>
      <c r="U115" s="169" t="s">
        <v>228</v>
      </c>
      <c r="V115" s="143"/>
      <c r="W115" s="143"/>
      <c r="X115" s="143"/>
    </row>
    <row r="116" spans="1:24" ht="15" customHeight="1" x14ac:dyDescent="0.25">
      <c r="A116" s="225" t="s">
        <v>257</v>
      </c>
      <c r="B116" s="211" t="s">
        <v>256</v>
      </c>
      <c r="C116" s="151"/>
      <c r="D116" s="151"/>
      <c r="E116" s="226"/>
      <c r="F116" s="207"/>
      <c r="G116" s="206"/>
      <c r="H116" s="158"/>
      <c r="I116" s="207"/>
      <c r="J116" s="206"/>
      <c r="K116" s="151"/>
      <c r="L116" s="158"/>
      <c r="M116" s="208"/>
      <c r="N116" s="207"/>
      <c r="O116" s="206"/>
      <c r="P116" s="207"/>
      <c r="Q116" s="206"/>
      <c r="R116" s="158"/>
      <c r="S116" s="158"/>
      <c r="T116" s="205"/>
      <c r="U116" s="169" t="s">
        <v>228</v>
      </c>
      <c r="V116" s="143"/>
      <c r="W116" s="143"/>
      <c r="X116" s="143"/>
    </row>
    <row r="117" spans="1:24" ht="15" customHeight="1" x14ac:dyDescent="0.25">
      <c r="A117" s="225" t="s">
        <v>255</v>
      </c>
      <c r="B117" s="211" t="s">
        <v>254</v>
      </c>
      <c r="C117" s="151"/>
      <c r="D117" s="151"/>
      <c r="E117" s="226">
        <v>26</v>
      </c>
      <c r="F117" s="207">
        <v>2068</v>
      </c>
      <c r="G117" s="206">
        <v>72.7</v>
      </c>
      <c r="H117" s="158"/>
      <c r="I117" s="207"/>
      <c r="J117" s="206"/>
      <c r="K117" s="151"/>
      <c r="L117" s="158"/>
      <c r="M117" s="208"/>
      <c r="N117" s="207">
        <v>10182</v>
      </c>
      <c r="O117" s="206">
        <v>847.8</v>
      </c>
      <c r="P117" s="207"/>
      <c r="Q117" s="206"/>
      <c r="R117" s="158"/>
      <c r="S117" s="158"/>
      <c r="T117" s="205"/>
      <c r="U117" s="169" t="s">
        <v>228</v>
      </c>
      <c r="V117" s="143"/>
      <c r="W117" s="143"/>
      <c r="X117" s="143"/>
    </row>
    <row r="118" spans="1:24" ht="15" customHeight="1" x14ac:dyDescent="0.25">
      <c r="A118" s="225" t="s">
        <v>253</v>
      </c>
      <c r="B118" s="211" t="s">
        <v>252</v>
      </c>
      <c r="C118" s="151"/>
      <c r="D118" s="151"/>
      <c r="E118" s="226"/>
      <c r="F118" s="207"/>
      <c r="G118" s="206"/>
      <c r="H118" s="158"/>
      <c r="I118" s="207"/>
      <c r="J118" s="206"/>
      <c r="K118" s="151"/>
      <c r="L118" s="158"/>
      <c r="M118" s="208"/>
      <c r="N118" s="207"/>
      <c r="O118" s="206"/>
      <c r="P118" s="207"/>
      <c r="Q118" s="206"/>
      <c r="R118" s="158"/>
      <c r="S118" s="158"/>
      <c r="T118" s="205"/>
      <c r="U118" s="169" t="s">
        <v>228</v>
      </c>
      <c r="V118" s="143"/>
      <c r="W118" s="143"/>
      <c r="X118" s="143"/>
    </row>
    <row r="119" spans="1:24" ht="15" customHeight="1" x14ac:dyDescent="0.25">
      <c r="A119" s="225" t="s">
        <v>251</v>
      </c>
      <c r="B119" s="211" t="s">
        <v>250</v>
      </c>
      <c r="C119" s="151"/>
      <c r="D119" s="151"/>
      <c r="E119" s="226"/>
      <c r="F119" s="207"/>
      <c r="G119" s="206"/>
      <c r="H119" s="158"/>
      <c r="I119" s="207"/>
      <c r="J119" s="206"/>
      <c r="K119" s="151"/>
      <c r="L119" s="158"/>
      <c r="M119" s="208"/>
      <c r="N119" s="207"/>
      <c r="O119" s="206"/>
      <c r="P119" s="207"/>
      <c r="Q119" s="206"/>
      <c r="R119" s="158"/>
      <c r="S119" s="158"/>
      <c r="T119" s="205"/>
      <c r="U119" s="169" t="s">
        <v>228</v>
      </c>
      <c r="V119" s="143"/>
      <c r="W119" s="143"/>
      <c r="X119" s="143"/>
    </row>
    <row r="120" spans="1:24" ht="15" customHeight="1" x14ac:dyDescent="0.25">
      <c r="A120" s="225" t="s">
        <v>2</v>
      </c>
      <c r="B120" s="211" t="s">
        <v>249</v>
      </c>
      <c r="C120" s="151"/>
      <c r="D120" s="151"/>
      <c r="E120" s="226"/>
      <c r="F120" s="207"/>
      <c r="G120" s="206"/>
      <c r="H120" s="158"/>
      <c r="I120" s="207"/>
      <c r="J120" s="206"/>
      <c r="K120" s="151"/>
      <c r="L120" s="158"/>
      <c r="M120" s="208"/>
      <c r="N120" s="207"/>
      <c r="O120" s="206"/>
      <c r="P120" s="207"/>
      <c r="Q120" s="206"/>
      <c r="R120" s="158"/>
      <c r="S120" s="158"/>
      <c r="T120" s="205"/>
      <c r="U120" s="169" t="s">
        <v>228</v>
      </c>
      <c r="V120" s="143"/>
      <c r="W120" s="143"/>
      <c r="X120" s="143"/>
    </row>
    <row r="121" spans="1:24" ht="15" customHeight="1" x14ac:dyDescent="0.25">
      <c r="A121" s="225" t="s">
        <v>248</v>
      </c>
      <c r="B121" s="211" t="s">
        <v>217</v>
      </c>
      <c r="C121" s="151"/>
      <c r="D121" s="151"/>
      <c r="E121" s="226"/>
      <c r="F121" s="207"/>
      <c r="G121" s="206"/>
      <c r="H121" s="158"/>
      <c r="I121" s="207"/>
      <c r="J121" s="206"/>
      <c r="K121" s="151"/>
      <c r="L121" s="158"/>
      <c r="M121" s="208"/>
      <c r="N121" s="207"/>
      <c r="O121" s="206"/>
      <c r="P121" s="207"/>
      <c r="Q121" s="206"/>
      <c r="R121" s="158"/>
      <c r="S121" s="158"/>
      <c r="T121" s="205"/>
      <c r="U121" s="169" t="s">
        <v>228</v>
      </c>
      <c r="V121" s="143"/>
      <c r="W121" s="143"/>
      <c r="X121" s="143"/>
    </row>
    <row r="122" spans="1:24" ht="15" customHeight="1" x14ac:dyDescent="0.25">
      <c r="A122" s="225" t="s">
        <v>247</v>
      </c>
      <c r="B122" s="224" t="s">
        <v>246</v>
      </c>
      <c r="C122" s="151"/>
      <c r="D122" s="151"/>
      <c r="E122" s="226">
        <v>4</v>
      </c>
      <c r="F122" s="207">
        <v>56</v>
      </c>
      <c r="G122" s="206">
        <v>24.3</v>
      </c>
      <c r="H122" s="158"/>
      <c r="I122" s="207"/>
      <c r="J122" s="206"/>
      <c r="K122" s="151"/>
      <c r="L122" s="158"/>
      <c r="M122" s="208"/>
      <c r="N122" s="207">
        <v>56</v>
      </c>
      <c r="O122" s="206">
        <v>24.3</v>
      </c>
      <c r="P122" s="207"/>
      <c r="Q122" s="206"/>
      <c r="R122" s="158"/>
      <c r="S122" s="158"/>
      <c r="T122" s="205"/>
      <c r="U122" s="169" t="s">
        <v>228</v>
      </c>
      <c r="V122" s="143"/>
      <c r="W122" s="143"/>
      <c r="X122" s="143"/>
    </row>
    <row r="123" spans="1:24" ht="15" customHeight="1" x14ac:dyDescent="0.25">
      <c r="A123" s="225" t="s">
        <v>245</v>
      </c>
      <c r="B123" s="224" t="s">
        <v>23</v>
      </c>
      <c r="C123" s="151"/>
      <c r="D123" s="151"/>
      <c r="E123" s="208"/>
      <c r="F123" s="207"/>
      <c r="G123" s="206"/>
      <c r="H123" s="151"/>
      <c r="I123" s="207"/>
      <c r="J123" s="206"/>
      <c r="K123" s="151"/>
      <c r="L123" s="158"/>
      <c r="M123" s="208"/>
      <c r="N123" s="207">
        <v>0</v>
      </c>
      <c r="O123" s="206">
        <v>915.8</v>
      </c>
      <c r="P123" s="207"/>
      <c r="Q123" s="206"/>
      <c r="R123" s="158"/>
      <c r="S123" s="158"/>
      <c r="T123" s="205"/>
      <c r="U123" s="169" t="s">
        <v>228</v>
      </c>
      <c r="V123" s="143"/>
      <c r="W123" s="143"/>
      <c r="X123" s="143"/>
    </row>
    <row r="124" spans="1:24" ht="15" customHeight="1" x14ac:dyDescent="0.25">
      <c r="A124" s="223" t="s">
        <v>244</v>
      </c>
      <c r="B124" s="222" t="s">
        <v>25</v>
      </c>
      <c r="C124" s="221"/>
      <c r="D124" s="221"/>
      <c r="E124" s="220"/>
      <c r="F124" s="221"/>
      <c r="G124" s="221"/>
      <c r="H124" s="221"/>
      <c r="I124" s="221"/>
      <c r="J124" s="221"/>
      <c r="K124" s="221"/>
      <c r="L124" s="221"/>
      <c r="M124" s="220">
        <v>2292.027</v>
      </c>
      <c r="N124" s="219">
        <f>SUBTOTAL(9,N125:N131)</f>
        <v>72524.801000000007</v>
      </c>
      <c r="O124" s="218">
        <f>SUBTOTAL(9,O125:O132)</f>
        <v>4455.9259999999995</v>
      </c>
      <c r="P124" s="219"/>
      <c r="Q124" s="218"/>
      <c r="R124" s="217"/>
      <c r="S124" s="217"/>
      <c r="T124" s="216"/>
      <c r="U124" s="169" t="s">
        <v>228</v>
      </c>
      <c r="V124" s="143"/>
      <c r="W124" s="143"/>
      <c r="X124" s="143"/>
    </row>
    <row r="125" spans="1:24" ht="15" customHeight="1" x14ac:dyDescent="0.25">
      <c r="A125" s="212" t="s">
        <v>243</v>
      </c>
      <c r="B125" s="211" t="s">
        <v>242</v>
      </c>
      <c r="C125" s="151"/>
      <c r="D125" s="151"/>
      <c r="E125" s="208"/>
      <c r="F125" s="210"/>
      <c r="G125" s="209"/>
      <c r="H125" s="151"/>
      <c r="I125" s="210"/>
      <c r="J125" s="209"/>
      <c r="K125" s="151"/>
      <c r="L125" s="151"/>
      <c r="M125" s="208">
        <v>252.61799999999999</v>
      </c>
      <c r="N125" s="207">
        <v>12610</v>
      </c>
      <c r="O125" s="206">
        <v>873.7</v>
      </c>
      <c r="P125" s="207"/>
      <c r="Q125" s="206"/>
      <c r="R125" s="158"/>
      <c r="S125" s="158"/>
      <c r="T125" s="205"/>
      <c r="U125" s="169" t="s">
        <v>228</v>
      </c>
      <c r="V125" s="143"/>
      <c r="W125" s="143"/>
      <c r="X125" s="143"/>
    </row>
    <row r="126" spans="1:24" ht="15" customHeight="1" x14ac:dyDescent="0.25">
      <c r="A126" s="212" t="s">
        <v>241</v>
      </c>
      <c r="B126" s="211" t="s">
        <v>240</v>
      </c>
      <c r="C126" s="151"/>
      <c r="D126" s="151"/>
      <c r="E126" s="208"/>
      <c r="F126" s="151"/>
      <c r="G126" s="151"/>
      <c r="H126" s="151"/>
      <c r="I126" s="151"/>
      <c r="J126" s="151"/>
      <c r="K126" s="151"/>
      <c r="L126" s="151"/>
      <c r="M126" s="208">
        <v>136.328</v>
      </c>
      <c r="N126" s="215">
        <f>SUBTOTAL(9,N127:N128)</f>
        <v>45815.082000000002</v>
      </c>
      <c r="O126" s="214">
        <f>SUBTOTAL(9,O127:O128)</f>
        <v>1434.76</v>
      </c>
      <c r="P126" s="215"/>
      <c r="Q126" s="214"/>
      <c r="R126" s="149"/>
      <c r="S126" s="149"/>
      <c r="T126" s="205"/>
      <c r="U126" s="169" t="s">
        <v>228</v>
      </c>
      <c r="V126" s="143"/>
      <c r="W126" s="143"/>
      <c r="X126" s="143"/>
    </row>
    <row r="127" spans="1:24" ht="15" customHeight="1" x14ac:dyDescent="0.25">
      <c r="A127" s="212"/>
      <c r="B127" s="213" t="s">
        <v>239</v>
      </c>
      <c r="C127" s="151"/>
      <c r="D127" s="151"/>
      <c r="E127" s="208"/>
      <c r="F127" s="210"/>
      <c r="G127" s="209"/>
      <c r="H127" s="151"/>
      <c r="I127" s="210"/>
      <c r="J127" s="209"/>
      <c r="K127" s="151"/>
      <c r="L127" s="151"/>
      <c r="M127" s="208">
        <v>136.328</v>
      </c>
      <c r="N127" s="207">
        <v>45815.082000000002</v>
      </c>
      <c r="O127" s="206">
        <v>1434.76</v>
      </c>
      <c r="P127" s="207"/>
      <c r="Q127" s="206"/>
      <c r="R127" s="158"/>
      <c r="S127" s="158"/>
      <c r="T127" s="205"/>
      <c r="U127" s="169" t="s">
        <v>228</v>
      </c>
      <c r="V127" s="143"/>
      <c r="W127" s="143"/>
      <c r="X127" s="143"/>
    </row>
    <row r="128" spans="1:24" ht="15" customHeight="1" x14ac:dyDescent="0.25">
      <c r="A128" s="212"/>
      <c r="B128" s="213" t="s">
        <v>238</v>
      </c>
      <c r="C128" s="151"/>
      <c r="D128" s="151"/>
      <c r="E128" s="208"/>
      <c r="F128" s="210"/>
      <c r="G128" s="209"/>
      <c r="H128" s="151"/>
      <c r="I128" s="210"/>
      <c r="J128" s="209"/>
      <c r="K128" s="151"/>
      <c r="L128" s="151"/>
      <c r="M128" s="208"/>
      <c r="N128" s="207"/>
      <c r="O128" s="206"/>
      <c r="P128" s="207"/>
      <c r="Q128" s="206"/>
      <c r="R128" s="158"/>
      <c r="S128" s="158"/>
      <c r="T128" s="205"/>
      <c r="U128" s="169" t="s">
        <v>228</v>
      </c>
      <c r="V128" s="143"/>
      <c r="W128" s="143"/>
      <c r="X128" s="143"/>
    </row>
    <row r="129" spans="1:24" ht="15" customHeight="1" x14ac:dyDescent="0.25">
      <c r="A129" s="212" t="s">
        <v>237</v>
      </c>
      <c r="B129" s="211" t="s">
        <v>236</v>
      </c>
      <c r="C129" s="151"/>
      <c r="D129" s="151"/>
      <c r="E129" s="208"/>
      <c r="F129" s="151"/>
      <c r="G129" s="151"/>
      <c r="H129" s="151"/>
      <c r="I129" s="151"/>
      <c r="J129" s="151"/>
      <c r="K129" s="151"/>
      <c r="L129" s="151"/>
      <c r="M129" s="208">
        <v>462.54199999999997</v>
      </c>
      <c r="N129" s="215">
        <f>SUBTOTAL(9,N130:N131)</f>
        <v>14099.718999999999</v>
      </c>
      <c r="O129" s="214">
        <f>SUBTOTAL(9,O130:O131)</f>
        <v>1787.5709999999999</v>
      </c>
      <c r="P129" s="215"/>
      <c r="Q129" s="214"/>
      <c r="R129" s="149"/>
      <c r="S129" s="149"/>
      <c r="T129" s="205"/>
      <c r="U129" s="169" t="s">
        <v>228</v>
      </c>
      <c r="V129" s="143"/>
      <c r="W129" s="143"/>
      <c r="X129" s="143"/>
    </row>
    <row r="130" spans="1:24" ht="15" customHeight="1" x14ac:dyDescent="0.25">
      <c r="A130" s="212"/>
      <c r="B130" s="213" t="s">
        <v>235</v>
      </c>
      <c r="C130" s="151"/>
      <c r="D130" s="151"/>
      <c r="E130" s="208"/>
      <c r="F130" s="210"/>
      <c r="G130" s="209"/>
      <c r="H130" s="151"/>
      <c r="I130" s="210"/>
      <c r="J130" s="209"/>
      <c r="K130" s="151"/>
      <c r="L130" s="151"/>
      <c r="M130" s="208">
        <v>462.54199999999997</v>
      </c>
      <c r="N130" s="207">
        <v>14099.718999999999</v>
      </c>
      <c r="O130" s="206">
        <v>1787.5709999999999</v>
      </c>
      <c r="P130" s="207"/>
      <c r="Q130" s="206"/>
      <c r="R130" s="158"/>
      <c r="S130" s="158"/>
      <c r="T130" s="205"/>
      <c r="U130" s="169" t="s">
        <v>228</v>
      </c>
      <c r="V130" s="143"/>
      <c r="W130" s="143"/>
      <c r="X130" s="143"/>
    </row>
    <row r="131" spans="1:24" ht="15" customHeight="1" x14ac:dyDescent="0.25">
      <c r="A131" s="212"/>
      <c r="B131" s="213" t="s">
        <v>234</v>
      </c>
      <c r="C131" s="151"/>
      <c r="D131" s="151"/>
      <c r="E131" s="208"/>
      <c r="F131" s="210"/>
      <c r="G131" s="209"/>
      <c r="H131" s="151"/>
      <c r="I131" s="210"/>
      <c r="J131" s="209"/>
      <c r="K131" s="151"/>
      <c r="L131" s="151"/>
      <c r="M131" s="208"/>
      <c r="N131" s="207"/>
      <c r="O131" s="206"/>
      <c r="P131" s="207"/>
      <c r="Q131" s="206"/>
      <c r="R131" s="158"/>
      <c r="S131" s="158"/>
      <c r="T131" s="205"/>
      <c r="U131" s="169" t="s">
        <v>228</v>
      </c>
      <c r="V131" s="143"/>
      <c r="W131" s="143"/>
      <c r="X131" s="143"/>
    </row>
    <row r="132" spans="1:24" ht="15" customHeight="1" thickBot="1" x14ac:dyDescent="0.3">
      <c r="A132" s="212" t="s">
        <v>233</v>
      </c>
      <c r="B132" s="211" t="s">
        <v>232</v>
      </c>
      <c r="C132" s="151"/>
      <c r="D132" s="151"/>
      <c r="E132" s="208"/>
      <c r="F132" s="210"/>
      <c r="G132" s="209"/>
      <c r="H132" s="151"/>
      <c r="I132" s="210"/>
      <c r="J132" s="209"/>
      <c r="K132" s="151"/>
      <c r="L132" s="151"/>
      <c r="M132" s="208">
        <v>1440.539</v>
      </c>
      <c r="N132" s="207">
        <v>6536.6279999999997</v>
      </c>
      <c r="O132" s="206">
        <v>359.89499999999998</v>
      </c>
      <c r="P132" s="207"/>
      <c r="Q132" s="206"/>
      <c r="R132" s="158"/>
      <c r="S132" s="158" t="str">
        <f>IF(U132="0",(IF(O132="",(IF(Q132&lt;&gt;"",Q132,"")),(IF(Q132="",0-O132,Q132-O132)))),"")</f>
        <v/>
      </c>
      <c r="T132" s="205"/>
      <c r="U132" s="169" t="s">
        <v>228</v>
      </c>
      <c r="V132" s="143"/>
      <c r="W132" s="143"/>
      <c r="X132" s="143"/>
    </row>
    <row r="133" spans="1:24" ht="15" customHeight="1" x14ac:dyDescent="0.25">
      <c r="A133" s="204">
        <v>4</v>
      </c>
      <c r="B133" s="203" t="s">
        <v>231</v>
      </c>
      <c r="C133" s="201"/>
      <c r="D133" s="197">
        <v>28838.794000000002</v>
      </c>
      <c r="E133" s="202"/>
      <c r="F133" s="199">
        <f>F78+SUMIF(B78:B132,"Прирост добычи нефти, в том числе:",F78:F132)-SUMIF(B78:B132,"Потери добычи нефти, в том числе:",F78:F132)</f>
        <v>409447.72500000003</v>
      </c>
      <c r="G133" s="198">
        <f>G78+SUMIF(B78:B132,"Прирост добычи нефти, в том числе:",G78:G132)-SUMIF(B78:B132,"Потери добычи нефти, в том числе:",G78:G132)</f>
        <v>30880.659</v>
      </c>
      <c r="H133" s="201"/>
      <c r="I133" s="199"/>
      <c r="J133" s="198"/>
      <c r="K133" s="201"/>
      <c r="L133" s="197"/>
      <c r="M133" s="200">
        <v>840023.49800000002</v>
      </c>
      <c r="N133" s="199">
        <f>N78+SUMIF(B78:B132,"Прирост добычи нефти, в том числе:",N78:N132)-SUMIF(B78:B132,"Потери добычи нефти, в том числе:",N78:N132)</f>
        <v>12053204.900999999</v>
      </c>
      <c r="O133" s="198">
        <f>O78+SUMIF(B78:B132,"Прирост добычи нефти, в том числе:",O78:O132)-SUMIF(B78:B132,"Потери добычи нефти, в том числе:",O78:O132)</f>
        <v>904308.97</v>
      </c>
      <c r="P133" s="199"/>
      <c r="Q133" s="198"/>
      <c r="R133" s="197"/>
      <c r="S133" s="197"/>
      <c r="T133" s="196"/>
      <c r="U133" s="169" t="s">
        <v>228</v>
      </c>
      <c r="V133" s="143"/>
      <c r="W133" s="143"/>
      <c r="X133" s="143"/>
    </row>
    <row r="134" spans="1:24" ht="15" customHeight="1" x14ac:dyDescent="0.25">
      <c r="A134" s="195">
        <v>30</v>
      </c>
      <c r="B134" s="194" t="s">
        <v>230</v>
      </c>
      <c r="C134" s="187"/>
      <c r="D134" s="191">
        <v>28000.782999999999</v>
      </c>
      <c r="E134" s="190"/>
      <c r="F134" s="193">
        <f>N133/A134</f>
        <v>401773.49669999996</v>
      </c>
      <c r="G134" s="192">
        <f>O133/A134</f>
        <v>30143.632333333331</v>
      </c>
      <c r="H134" s="187"/>
      <c r="I134" s="193"/>
      <c r="J134" s="192"/>
      <c r="K134" s="187"/>
      <c r="L134" s="191"/>
      <c r="M134" s="190"/>
      <c r="N134" s="189"/>
      <c r="O134" s="188"/>
      <c r="P134" s="189"/>
      <c r="Q134" s="188"/>
      <c r="R134" s="187"/>
      <c r="S134" s="187"/>
      <c r="T134" s="186"/>
      <c r="U134" s="169" t="s">
        <v>228</v>
      </c>
      <c r="V134" s="143"/>
      <c r="W134" s="143"/>
      <c r="X134" s="143"/>
    </row>
    <row r="135" spans="1:24" ht="15" customHeight="1" x14ac:dyDescent="0.25">
      <c r="A135" s="185"/>
      <c r="B135" s="184"/>
      <c r="C135" s="183"/>
      <c r="D135" s="183"/>
      <c r="E135" s="182"/>
      <c r="F135" s="181"/>
      <c r="G135" s="180"/>
      <c r="H135" s="179"/>
      <c r="I135" s="181"/>
      <c r="J135" s="180"/>
      <c r="K135" s="179"/>
      <c r="L135" s="179"/>
      <c r="M135" s="182"/>
      <c r="N135" s="181"/>
      <c r="O135" s="180"/>
      <c r="P135" s="181"/>
      <c r="Q135" s="180"/>
      <c r="R135" s="179"/>
      <c r="S135" s="179"/>
      <c r="T135" s="178"/>
      <c r="U135" s="169" t="s">
        <v>228</v>
      </c>
      <c r="V135" s="143"/>
      <c r="W135" s="143"/>
      <c r="X135" s="143"/>
    </row>
    <row r="136" spans="1:24" ht="15" customHeight="1" x14ac:dyDescent="0.25">
      <c r="A136" s="177"/>
      <c r="B136" s="176" t="s">
        <v>229</v>
      </c>
      <c r="C136" s="175"/>
      <c r="D136" s="175"/>
      <c r="E136" s="174"/>
      <c r="F136" s="171"/>
      <c r="G136" s="172">
        <f>G134-D134</f>
        <v>2142.8493333333317</v>
      </c>
      <c r="H136" s="171"/>
      <c r="I136" s="171"/>
      <c r="J136" s="172"/>
      <c r="K136" s="171"/>
      <c r="L136" s="171"/>
      <c r="M136" s="174"/>
      <c r="N136" s="171"/>
      <c r="O136" s="172">
        <f>O133-M133</f>
        <v>64285.471999999951</v>
      </c>
      <c r="P136" s="173"/>
      <c r="Q136" s="172"/>
      <c r="R136" s="171"/>
      <c r="S136" s="171"/>
      <c r="T136" s="170"/>
      <c r="U136" s="169" t="s">
        <v>228</v>
      </c>
      <c r="V136" s="143"/>
      <c r="W136" s="143"/>
      <c r="X136" s="143"/>
    </row>
    <row r="137" spans="1:24" ht="15" customHeight="1" x14ac:dyDescent="0.25">
      <c r="A137" s="147"/>
      <c r="B137" s="167"/>
      <c r="C137" s="145"/>
      <c r="D137" s="145"/>
      <c r="E137" s="154"/>
      <c r="F137" s="144"/>
      <c r="G137" s="144"/>
      <c r="H137" s="144"/>
      <c r="I137" s="144"/>
      <c r="J137" s="146"/>
      <c r="K137" s="144"/>
      <c r="L137" s="146"/>
      <c r="M137" s="157"/>
      <c r="N137" s="144"/>
      <c r="O137" s="168"/>
      <c r="P137" s="144"/>
      <c r="Q137" s="168"/>
      <c r="R137" s="144"/>
      <c r="S137" s="168"/>
      <c r="T137" s="144"/>
      <c r="U137" s="144"/>
      <c r="V137" s="143"/>
      <c r="W137" s="143"/>
      <c r="X137" s="143"/>
    </row>
    <row r="138" spans="1:24" ht="15" customHeight="1" x14ac:dyDescent="0.25">
      <c r="A138" s="147"/>
      <c r="B138" s="167"/>
      <c r="C138" s="145"/>
      <c r="D138" s="145"/>
      <c r="E138" s="164" t="s">
        <v>227</v>
      </c>
      <c r="F138" s="163" t="s">
        <v>2</v>
      </c>
      <c r="G138" s="163" t="s">
        <v>2</v>
      </c>
      <c r="H138" s="166" t="s">
        <v>226</v>
      </c>
      <c r="I138" s="165" t="s">
        <v>2</v>
      </c>
      <c r="J138" s="165" t="s">
        <v>2</v>
      </c>
      <c r="K138" s="144"/>
      <c r="L138" s="145"/>
      <c r="M138" s="157"/>
      <c r="N138" s="144"/>
      <c r="O138" s="164" t="s">
        <v>225</v>
      </c>
      <c r="P138" s="163" t="s">
        <v>2</v>
      </c>
      <c r="Q138" s="163" t="s">
        <v>2</v>
      </c>
      <c r="R138" s="144"/>
      <c r="S138" s="145"/>
      <c r="T138" s="144"/>
      <c r="U138" s="144"/>
      <c r="V138" s="143"/>
      <c r="W138" s="143"/>
      <c r="X138" s="143"/>
    </row>
    <row r="139" spans="1:24" ht="15" customHeight="1" x14ac:dyDescent="0.25">
      <c r="A139" s="145"/>
      <c r="B139" s="162"/>
      <c r="C139" s="145"/>
      <c r="D139" s="145"/>
      <c r="E139" s="161" t="s">
        <v>224</v>
      </c>
      <c r="F139" s="160" t="s">
        <v>223</v>
      </c>
      <c r="G139" s="160" t="s">
        <v>215</v>
      </c>
      <c r="H139" s="160" t="s">
        <v>224</v>
      </c>
      <c r="I139" s="160" t="s">
        <v>223</v>
      </c>
      <c r="J139" s="160" t="s">
        <v>215</v>
      </c>
      <c r="K139" s="144"/>
      <c r="L139" s="145"/>
      <c r="M139" s="157"/>
      <c r="N139" s="144"/>
      <c r="O139" s="161" t="s">
        <v>224</v>
      </c>
      <c r="P139" s="160" t="s">
        <v>223</v>
      </c>
      <c r="Q139" s="160" t="s">
        <v>215</v>
      </c>
      <c r="R139" s="144"/>
      <c r="S139" s="145"/>
      <c r="T139" s="144"/>
      <c r="U139" s="144"/>
      <c r="V139" s="143"/>
      <c r="W139" s="143"/>
      <c r="X139" s="143"/>
    </row>
    <row r="140" spans="1:24" ht="15" customHeight="1" x14ac:dyDescent="0.25">
      <c r="A140" s="156" t="s">
        <v>222</v>
      </c>
      <c r="B140" s="155" t="s">
        <v>221</v>
      </c>
      <c r="C140" s="145"/>
      <c r="D140" s="145"/>
      <c r="E140" s="159">
        <v>70</v>
      </c>
      <c r="F140" s="158">
        <v>8108.6919139780503</v>
      </c>
      <c r="G140" s="158">
        <v>704.46515324373001</v>
      </c>
      <c r="H140" s="158"/>
      <c r="I140" s="158">
        <v>10142.6070853044</v>
      </c>
      <c r="J140" s="158">
        <v>846.60007367948799</v>
      </c>
      <c r="K140" s="144"/>
      <c r="L140" s="145"/>
      <c r="M140" s="157"/>
      <c r="N140" s="144"/>
      <c r="O140" s="159"/>
      <c r="P140" s="158"/>
      <c r="Q140" s="158"/>
      <c r="R140" s="144"/>
      <c r="S140" s="145"/>
      <c r="T140" s="144"/>
      <c r="U140" s="144"/>
      <c r="V140" s="143"/>
      <c r="W140" s="143"/>
      <c r="X140" s="143"/>
    </row>
    <row r="141" spans="1:24" ht="15" customHeight="1" x14ac:dyDescent="0.25">
      <c r="A141" s="156" t="s">
        <v>220</v>
      </c>
      <c r="B141" s="155" t="s">
        <v>219</v>
      </c>
      <c r="C141" s="147"/>
      <c r="D141" s="147"/>
      <c r="E141" s="152"/>
      <c r="F141" s="151"/>
      <c r="G141" s="151"/>
      <c r="H141" s="151"/>
      <c r="I141" s="151"/>
      <c r="J141" s="151"/>
      <c r="K141" s="144"/>
      <c r="L141" s="145"/>
      <c r="M141" s="157"/>
      <c r="N141" s="144"/>
      <c r="O141" s="152"/>
      <c r="P141" s="151"/>
      <c r="Q141" s="151"/>
      <c r="R141" s="144"/>
      <c r="S141" s="145"/>
      <c r="T141" s="144"/>
      <c r="U141" s="144"/>
      <c r="V141" s="143"/>
      <c r="W141" s="143"/>
      <c r="X141" s="143"/>
    </row>
    <row r="142" spans="1:24" ht="15" customHeight="1" x14ac:dyDescent="0.25">
      <c r="A142" s="156" t="s">
        <v>218</v>
      </c>
      <c r="B142" s="155" t="s">
        <v>217</v>
      </c>
      <c r="C142" s="154"/>
      <c r="D142" s="153"/>
      <c r="E142" s="152"/>
      <c r="F142" s="151"/>
      <c r="G142" s="151"/>
      <c r="H142" s="151"/>
      <c r="I142" s="151"/>
      <c r="J142" s="151"/>
      <c r="K142" s="144"/>
      <c r="L142" s="145"/>
      <c r="M142" s="146"/>
      <c r="N142" s="144"/>
      <c r="O142" s="152"/>
      <c r="P142" s="151"/>
      <c r="Q142" s="151"/>
      <c r="R142" s="144"/>
      <c r="S142" s="145"/>
      <c r="T142" s="144"/>
      <c r="U142" s="144"/>
      <c r="V142" s="143"/>
      <c r="W142" s="143"/>
      <c r="X142" s="143"/>
    </row>
    <row r="143" spans="1:24" ht="15" customHeight="1" x14ac:dyDescent="0.25">
      <c r="A143" s="148"/>
      <c r="B143" s="147" t="s">
        <v>216</v>
      </c>
      <c r="C143" s="145"/>
      <c r="D143" s="145"/>
      <c r="E143" s="150">
        <f>SUM(E140:E142)</f>
        <v>70</v>
      </c>
      <c r="F143" s="149">
        <v>8108.6919139780503</v>
      </c>
      <c r="G143" s="149">
        <f>SUM(G140:G142)</f>
        <v>704.46515324373001</v>
      </c>
      <c r="H143" s="149">
        <f>SUM(H140:H142)</f>
        <v>0</v>
      </c>
      <c r="I143" s="149">
        <v>10142.6070853044</v>
      </c>
      <c r="J143" s="149">
        <f>SUM(J140:J142)</f>
        <v>846.60007367948799</v>
      </c>
      <c r="K143" s="144"/>
      <c r="L143" s="145"/>
      <c r="M143" s="145"/>
      <c r="N143" s="144"/>
      <c r="O143" s="150">
        <f>SUM(O140:O142)</f>
        <v>0</v>
      </c>
      <c r="P143" s="149">
        <v>0</v>
      </c>
      <c r="Q143" s="149">
        <f>SUM(Q140:Q142)</f>
        <v>0</v>
      </c>
      <c r="R143" s="144"/>
      <c r="S143" s="145"/>
      <c r="T143" s="144"/>
      <c r="U143" s="144"/>
      <c r="V143" s="143"/>
      <c r="W143" s="143"/>
      <c r="X143" s="143"/>
    </row>
    <row r="144" spans="1:24" ht="15" customHeight="1" x14ac:dyDescent="0.25">
      <c r="A144" s="148"/>
      <c r="B144" s="147"/>
      <c r="C144" s="145"/>
      <c r="D144" s="145"/>
      <c r="E144" s="146"/>
      <c r="F144" s="144"/>
      <c r="G144" s="146"/>
      <c r="H144" s="146"/>
      <c r="I144" s="144"/>
      <c r="J144" s="146"/>
      <c r="K144" s="144"/>
      <c r="L144" s="145"/>
      <c r="M144" s="145"/>
      <c r="N144" s="144"/>
      <c r="O144" s="146"/>
      <c r="P144" s="144"/>
      <c r="Q144" s="146"/>
      <c r="R144" s="144"/>
      <c r="S144" s="145"/>
      <c r="T144" s="144"/>
      <c r="U144" s="144"/>
      <c r="V144" s="143"/>
      <c r="W144" s="143"/>
      <c r="X144" s="143"/>
    </row>
  </sheetData>
  <mergeCells count="36">
    <mergeCell ref="A1:S1"/>
    <mergeCell ref="A2:S2"/>
    <mergeCell ref="A3:S3"/>
    <mergeCell ref="A4:A6"/>
    <mergeCell ref="B4:B6"/>
    <mergeCell ref="C4:D5"/>
    <mergeCell ref="E4:J4"/>
    <mergeCell ref="K4:L4"/>
    <mergeCell ref="M4:Q4"/>
    <mergeCell ref="R4:S4"/>
    <mergeCell ref="T4:T6"/>
    <mergeCell ref="E5:G5"/>
    <mergeCell ref="H5:J5"/>
    <mergeCell ref="M5:M6"/>
    <mergeCell ref="N5:O5"/>
    <mergeCell ref="P5:Q5"/>
    <mergeCell ref="E67:G67"/>
    <mergeCell ref="H67:J67"/>
    <mergeCell ref="O67:Q67"/>
    <mergeCell ref="A74:S74"/>
    <mergeCell ref="A75:A77"/>
    <mergeCell ref="B75:B77"/>
    <mergeCell ref="C75:D76"/>
    <mergeCell ref="E75:J75"/>
    <mergeCell ref="K75:L75"/>
    <mergeCell ref="M75:Q75"/>
    <mergeCell ref="E138:G138"/>
    <mergeCell ref="H138:J138"/>
    <mergeCell ref="O138:Q138"/>
    <mergeCell ref="T75:T77"/>
    <mergeCell ref="E76:G76"/>
    <mergeCell ref="H76:J76"/>
    <mergeCell ref="M76:M77"/>
    <mergeCell ref="N76:O76"/>
    <mergeCell ref="P76:Q76"/>
    <mergeCell ref="R75:S75"/>
  </mergeCells>
  <pageMargins left="0" right="0" top="0" bottom="0" header="0" footer="0"/>
  <pageSetup paperSize="8" scale="45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138"/>
  <sheetViews>
    <sheetView zoomScale="85" zoomScaleNormal="85" workbookViewId="0">
      <pane xSplit="2" ySplit="11" topLeftCell="BB84" activePane="bottomRight" state="frozen"/>
      <selection pane="topRight"/>
      <selection pane="bottomLeft"/>
      <selection pane="bottomRight" activeCell="CG4" sqref="CG4"/>
    </sheetView>
  </sheetViews>
  <sheetFormatPr defaultRowHeight="15" x14ac:dyDescent="0.25"/>
  <cols>
    <col min="1" max="1" width="4.140625" customWidth="1"/>
    <col min="2" max="2" width="14.28515625" customWidth="1"/>
    <col min="3" max="18" width="8.5703125" customWidth="1"/>
    <col min="19" max="19" width="8.7109375" customWidth="1"/>
    <col min="20" max="20" width="9.140625" customWidth="1"/>
    <col min="21" max="21" width="9.85546875" customWidth="1"/>
    <col min="22" max="31" width="8.5703125" customWidth="1"/>
    <col min="32" max="32" width="11.28515625" customWidth="1"/>
    <col min="33" max="33" width="9" customWidth="1"/>
    <col min="34" max="84" width="8.5703125" customWidth="1"/>
    <col min="85" max="85" width="11.28515625" customWidth="1"/>
    <col min="86" max="86" width="9" customWidth="1"/>
    <col min="87" max="87" width="5.7109375" customWidth="1"/>
  </cols>
  <sheetData>
    <row r="1" spans="1:87" ht="18.75" customHeight="1" x14ac:dyDescent="0.25">
      <c r="A1" s="1" t="s">
        <v>0</v>
      </c>
      <c r="B1" s="2"/>
      <c r="C1" s="108" t="s">
        <v>1</v>
      </c>
      <c r="D1" s="109" t="s">
        <v>2</v>
      </c>
      <c r="E1" s="109" t="s">
        <v>2</v>
      </c>
      <c r="F1" s="109" t="s">
        <v>2</v>
      </c>
      <c r="G1" s="109" t="s">
        <v>2</v>
      </c>
      <c r="H1" s="109" t="s">
        <v>2</v>
      </c>
      <c r="I1" s="109" t="s">
        <v>2</v>
      </c>
      <c r="J1" s="109" t="s">
        <v>2</v>
      </c>
      <c r="K1" s="109" t="s">
        <v>2</v>
      </c>
      <c r="L1" s="109" t="s">
        <v>2</v>
      </c>
      <c r="M1" s="109" t="s">
        <v>2</v>
      </c>
      <c r="N1" s="109" t="s">
        <v>2</v>
      </c>
      <c r="O1" s="109" t="s">
        <v>2</v>
      </c>
      <c r="P1" s="109" t="s">
        <v>2</v>
      </c>
      <c r="Q1" s="109" t="s">
        <v>2</v>
      </c>
      <c r="R1" s="109" t="s">
        <v>2</v>
      </c>
      <c r="S1" s="109" t="s">
        <v>2</v>
      </c>
      <c r="T1" s="109" t="s">
        <v>2</v>
      </c>
      <c r="U1" s="109" t="s">
        <v>2</v>
      </c>
      <c r="V1" s="109" t="s">
        <v>2</v>
      </c>
      <c r="W1" s="109" t="s">
        <v>2</v>
      </c>
      <c r="X1" s="109" t="s">
        <v>2</v>
      </c>
      <c r="Y1" s="109" t="s">
        <v>2</v>
      </c>
      <c r="Z1" s="109" t="s">
        <v>2</v>
      </c>
      <c r="AA1" s="109" t="s">
        <v>2</v>
      </c>
      <c r="AB1" s="109" t="s">
        <v>2</v>
      </c>
      <c r="AC1" s="109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 spans="1:87" ht="34.5" customHeight="1" x14ac:dyDescent="0.25">
      <c r="A2" s="2"/>
      <c r="B2" s="2"/>
      <c r="C2" s="110" t="s">
        <v>3</v>
      </c>
      <c r="D2" s="109" t="s">
        <v>2</v>
      </c>
      <c r="E2" s="109" t="s">
        <v>2</v>
      </c>
      <c r="F2" s="109" t="s">
        <v>2</v>
      </c>
      <c r="G2" s="109" t="s">
        <v>2</v>
      </c>
      <c r="H2" s="109" t="s">
        <v>2</v>
      </c>
      <c r="I2" s="109" t="s">
        <v>2</v>
      </c>
      <c r="J2" s="109" t="s">
        <v>2</v>
      </c>
      <c r="K2" s="109" t="s">
        <v>2</v>
      </c>
      <c r="L2" s="109" t="s">
        <v>2</v>
      </c>
      <c r="M2" s="109" t="s">
        <v>2</v>
      </c>
      <c r="N2" s="109" t="s">
        <v>2</v>
      </c>
      <c r="O2" s="109" t="s">
        <v>2</v>
      </c>
      <c r="P2" s="109" t="s">
        <v>2</v>
      </c>
      <c r="Q2" s="109" t="s">
        <v>2</v>
      </c>
      <c r="R2" s="109" t="s">
        <v>2</v>
      </c>
      <c r="S2" s="109" t="s">
        <v>2</v>
      </c>
      <c r="T2" s="109" t="s">
        <v>2</v>
      </c>
      <c r="U2" s="109" t="s">
        <v>2</v>
      </c>
      <c r="V2" s="109" t="s">
        <v>2</v>
      </c>
      <c r="W2" s="109" t="s">
        <v>2</v>
      </c>
      <c r="X2" s="109" t="s">
        <v>2</v>
      </c>
      <c r="Y2" s="109" t="s">
        <v>2</v>
      </c>
      <c r="Z2" s="109" t="s">
        <v>2</v>
      </c>
      <c r="AA2" s="109" t="s">
        <v>2</v>
      </c>
      <c r="AB2" s="109" t="s">
        <v>2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ht="22.5" customHeight="1" x14ac:dyDescent="0.3">
      <c r="A3" s="2"/>
      <c r="B3" s="3"/>
      <c r="C3" s="111" t="s">
        <v>4</v>
      </c>
      <c r="D3" s="109" t="s">
        <v>2</v>
      </c>
      <c r="E3" s="109" t="s">
        <v>2</v>
      </c>
      <c r="F3" s="109" t="s">
        <v>2</v>
      </c>
      <c r="G3" s="109" t="s">
        <v>2</v>
      </c>
      <c r="H3" s="109" t="s">
        <v>2</v>
      </c>
      <c r="I3" s="109" t="s">
        <v>2</v>
      </c>
      <c r="J3" s="109" t="s">
        <v>2</v>
      </c>
      <c r="K3" s="109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4" t="s">
        <v>5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spans="1:87" ht="20.25" customHeight="1" x14ac:dyDescent="0.25">
      <c r="A4" s="112" t="s">
        <v>6</v>
      </c>
      <c r="B4" s="109" t="s">
        <v>2</v>
      </c>
      <c r="C4" s="113" t="s">
        <v>7</v>
      </c>
      <c r="D4" s="114" t="s">
        <v>2</v>
      </c>
      <c r="E4" s="114" t="s">
        <v>2</v>
      </c>
      <c r="F4" s="114" t="s">
        <v>2</v>
      </c>
      <c r="G4" s="114" t="s">
        <v>2</v>
      </c>
      <c r="H4" s="114" t="s">
        <v>2</v>
      </c>
      <c r="I4" s="114" t="s">
        <v>2</v>
      </c>
      <c r="J4" s="114" t="s">
        <v>2</v>
      </c>
      <c r="K4" s="114" t="s">
        <v>2</v>
      </c>
      <c r="L4" s="114" t="s">
        <v>2</v>
      </c>
      <c r="M4" s="114" t="s">
        <v>2</v>
      </c>
      <c r="N4" s="114" t="s">
        <v>2</v>
      </c>
      <c r="O4" s="114" t="s">
        <v>2</v>
      </c>
      <c r="P4" s="114" t="s">
        <v>2</v>
      </c>
      <c r="Q4" s="114" t="s">
        <v>2</v>
      </c>
      <c r="R4" s="114" t="s">
        <v>2</v>
      </c>
      <c r="S4" s="114" t="s">
        <v>2</v>
      </c>
      <c r="T4" s="114" t="s">
        <v>2</v>
      </c>
      <c r="U4" s="114" t="s">
        <v>2</v>
      </c>
      <c r="V4" s="114" t="s">
        <v>2</v>
      </c>
      <c r="W4" s="114" t="s">
        <v>2</v>
      </c>
      <c r="X4" s="114" t="s">
        <v>2</v>
      </c>
      <c r="Y4" s="114" t="s">
        <v>2</v>
      </c>
      <c r="Z4" s="114" t="s">
        <v>2</v>
      </c>
      <c r="AA4" s="114" t="s">
        <v>2</v>
      </c>
      <c r="AB4" s="114" t="s">
        <v>2</v>
      </c>
      <c r="AC4" s="114" t="s">
        <v>2</v>
      </c>
      <c r="AD4" s="114" t="s">
        <v>2</v>
      </c>
      <c r="AE4" s="114" t="s">
        <v>2</v>
      </c>
      <c r="AF4" s="114" t="s">
        <v>2</v>
      </c>
      <c r="AG4" s="114" t="s">
        <v>2</v>
      </c>
      <c r="AH4" s="114" t="s">
        <v>2</v>
      </c>
      <c r="AI4" s="114" t="s">
        <v>2</v>
      </c>
      <c r="AJ4" s="114" t="s">
        <v>2</v>
      </c>
      <c r="AK4" s="114" t="s">
        <v>2</v>
      </c>
      <c r="AL4" s="114" t="s">
        <v>2</v>
      </c>
      <c r="AM4" s="114" t="s">
        <v>2</v>
      </c>
      <c r="AN4" s="114" t="s">
        <v>2</v>
      </c>
      <c r="AO4" s="114" t="s">
        <v>2</v>
      </c>
      <c r="AP4" s="114" t="s">
        <v>2</v>
      </c>
      <c r="AQ4" s="114" t="s">
        <v>2</v>
      </c>
      <c r="AR4" s="115" t="s">
        <v>8</v>
      </c>
      <c r="AS4" s="114" t="s">
        <v>2</v>
      </c>
      <c r="AT4" s="114" t="s">
        <v>2</v>
      </c>
      <c r="AU4" s="114" t="s">
        <v>2</v>
      </c>
      <c r="AV4" s="114" t="s">
        <v>2</v>
      </c>
      <c r="AW4" s="114" t="s">
        <v>2</v>
      </c>
      <c r="AX4" s="114" t="s">
        <v>2</v>
      </c>
      <c r="AY4" s="114" t="s">
        <v>2</v>
      </c>
      <c r="AZ4" s="114" t="s">
        <v>2</v>
      </c>
      <c r="BA4" s="114" t="s">
        <v>2</v>
      </c>
      <c r="BB4" s="114" t="s">
        <v>2</v>
      </c>
      <c r="BC4" s="114" t="s">
        <v>2</v>
      </c>
      <c r="BD4" s="114" t="s">
        <v>2</v>
      </c>
      <c r="BE4" s="114" t="s">
        <v>2</v>
      </c>
      <c r="BF4" s="114" t="s">
        <v>2</v>
      </c>
      <c r="BG4" s="114" t="s">
        <v>2</v>
      </c>
      <c r="BH4" s="114" t="s">
        <v>2</v>
      </c>
      <c r="BI4" s="114" t="s">
        <v>2</v>
      </c>
      <c r="BJ4" s="114" t="s">
        <v>2</v>
      </c>
      <c r="BK4" s="114" t="s">
        <v>2</v>
      </c>
      <c r="BL4" s="114" t="s">
        <v>2</v>
      </c>
      <c r="BM4" s="114" t="s">
        <v>2</v>
      </c>
      <c r="BN4" s="114" t="s">
        <v>2</v>
      </c>
      <c r="BO4" s="114" t="s">
        <v>2</v>
      </c>
      <c r="BP4" s="114" t="s">
        <v>2</v>
      </c>
      <c r="BQ4" s="114" t="s">
        <v>2</v>
      </c>
      <c r="BR4" s="114" t="s">
        <v>2</v>
      </c>
      <c r="BS4" s="114" t="s">
        <v>2</v>
      </c>
      <c r="BT4" s="114" t="s">
        <v>2</v>
      </c>
      <c r="BU4" s="114" t="s">
        <v>2</v>
      </c>
      <c r="BV4" s="114" t="s">
        <v>2</v>
      </c>
      <c r="BW4" s="114" t="s">
        <v>2</v>
      </c>
      <c r="BX4" s="114" t="s">
        <v>2</v>
      </c>
      <c r="BY4" s="114" t="s">
        <v>2</v>
      </c>
      <c r="BZ4" s="114" t="s">
        <v>2</v>
      </c>
      <c r="CA4" s="114" t="s">
        <v>2</v>
      </c>
      <c r="CB4" s="114" t="s">
        <v>2</v>
      </c>
      <c r="CC4" s="114" t="s">
        <v>2</v>
      </c>
      <c r="CD4" s="114" t="s">
        <v>2</v>
      </c>
      <c r="CE4" s="114" t="s">
        <v>2</v>
      </c>
      <c r="CF4" s="114" t="s">
        <v>2</v>
      </c>
      <c r="CG4" s="5">
        <v>30128.021000000001</v>
      </c>
      <c r="CH4" s="6">
        <v>704.46515324518805</v>
      </c>
      <c r="CI4" s="2"/>
    </row>
    <row r="5" spans="1:87" ht="18.75" customHeight="1" x14ac:dyDescent="0.25">
      <c r="A5" s="116" t="s">
        <v>9</v>
      </c>
      <c r="B5" s="117" t="s">
        <v>10</v>
      </c>
      <c r="C5" s="119" t="s">
        <v>11</v>
      </c>
      <c r="D5" s="118" t="s">
        <v>2</v>
      </c>
      <c r="E5" s="118" t="s">
        <v>2</v>
      </c>
      <c r="F5" s="118" t="s">
        <v>2</v>
      </c>
      <c r="G5" s="118" t="s">
        <v>2</v>
      </c>
      <c r="H5" s="118" t="s">
        <v>2</v>
      </c>
      <c r="I5" s="118" t="s">
        <v>2</v>
      </c>
      <c r="J5" s="118" t="s">
        <v>2</v>
      </c>
      <c r="K5" s="118" t="s">
        <v>2</v>
      </c>
      <c r="L5" s="118" t="s">
        <v>2</v>
      </c>
      <c r="M5" s="118" t="s">
        <v>2</v>
      </c>
      <c r="N5" s="118" t="s">
        <v>2</v>
      </c>
      <c r="O5" s="118" t="s">
        <v>2</v>
      </c>
      <c r="P5" s="118" t="s">
        <v>2</v>
      </c>
      <c r="Q5" s="118" t="s">
        <v>2</v>
      </c>
      <c r="R5" s="120" t="s">
        <v>12</v>
      </c>
      <c r="S5" s="121" t="s">
        <v>13</v>
      </c>
      <c r="T5" s="122" t="s">
        <v>2</v>
      </c>
      <c r="U5" s="123" t="s">
        <v>12</v>
      </c>
      <c r="V5" s="121" t="s">
        <v>14</v>
      </c>
      <c r="W5" s="122" t="s">
        <v>2</v>
      </c>
      <c r="X5" s="122" t="s">
        <v>2</v>
      </c>
      <c r="Y5" s="122" t="s">
        <v>2</v>
      </c>
      <c r="Z5" s="122" t="s">
        <v>2</v>
      </c>
      <c r="AA5" s="123" t="s">
        <v>12</v>
      </c>
      <c r="AB5" s="121" t="s">
        <v>15</v>
      </c>
      <c r="AC5" s="122" t="s">
        <v>2</v>
      </c>
      <c r="AD5" s="122" t="s">
        <v>2</v>
      </c>
      <c r="AE5" s="122" t="s">
        <v>2</v>
      </c>
      <c r="AF5" s="123" t="s">
        <v>12</v>
      </c>
      <c r="AG5" s="124" t="s">
        <v>16</v>
      </c>
      <c r="AH5" s="118" t="s">
        <v>2</v>
      </c>
      <c r="AI5" s="118" t="s">
        <v>2</v>
      </c>
      <c r="AJ5" s="118" t="s">
        <v>2</v>
      </c>
      <c r="AK5" s="118" t="s">
        <v>2</v>
      </c>
      <c r="AL5" s="118" t="s">
        <v>2</v>
      </c>
      <c r="AM5" s="118" t="s">
        <v>2</v>
      </c>
      <c r="AN5" s="118" t="s">
        <v>2</v>
      </c>
      <c r="AO5" s="118" t="s">
        <v>2</v>
      </c>
      <c r="AP5" s="118" t="s">
        <v>2</v>
      </c>
      <c r="AQ5" s="125" t="s">
        <v>17</v>
      </c>
      <c r="AR5" s="126" t="s">
        <v>18</v>
      </c>
      <c r="AS5" s="125" t="s">
        <v>19</v>
      </c>
      <c r="AT5" s="118" t="s">
        <v>2</v>
      </c>
      <c r="AU5" s="118" t="s">
        <v>2</v>
      </c>
      <c r="AV5" s="118" t="s">
        <v>2</v>
      </c>
      <c r="AW5" s="118" t="s">
        <v>2</v>
      </c>
      <c r="AX5" s="118" t="s">
        <v>2</v>
      </c>
      <c r="AY5" s="118" t="s">
        <v>2</v>
      </c>
      <c r="AZ5" s="118" t="s">
        <v>2</v>
      </c>
      <c r="BA5" s="118" t="s">
        <v>2</v>
      </c>
      <c r="BB5" s="118" t="s">
        <v>2</v>
      </c>
      <c r="BC5" s="118" t="s">
        <v>2</v>
      </c>
      <c r="BD5" s="118" t="s">
        <v>2</v>
      </c>
      <c r="BE5" s="118" t="s">
        <v>2</v>
      </c>
      <c r="BF5" s="118" t="s">
        <v>2</v>
      </c>
      <c r="BG5" s="118" t="s">
        <v>2</v>
      </c>
      <c r="BH5" s="118" t="s">
        <v>2</v>
      </c>
      <c r="BI5" s="118" t="s">
        <v>2</v>
      </c>
      <c r="BJ5" s="118" t="s">
        <v>2</v>
      </c>
      <c r="BK5" s="118" t="s">
        <v>2</v>
      </c>
      <c r="BL5" s="118" t="s">
        <v>2</v>
      </c>
      <c r="BM5" s="118" t="s">
        <v>2</v>
      </c>
      <c r="BN5" s="118" t="s">
        <v>2</v>
      </c>
      <c r="BO5" s="118" t="s">
        <v>2</v>
      </c>
      <c r="BP5" s="118" t="s">
        <v>2</v>
      </c>
      <c r="BQ5" s="118" t="s">
        <v>2</v>
      </c>
      <c r="BR5" s="125" t="s">
        <v>20</v>
      </c>
      <c r="BS5" s="125" t="s">
        <v>21</v>
      </c>
      <c r="BT5" s="118" t="s">
        <v>2</v>
      </c>
      <c r="BU5" s="118" t="s">
        <v>2</v>
      </c>
      <c r="BV5" s="118" t="s">
        <v>2</v>
      </c>
      <c r="BW5" s="118" t="s">
        <v>2</v>
      </c>
      <c r="BX5" s="125" t="s">
        <v>22</v>
      </c>
      <c r="BY5" s="127" t="s">
        <v>23</v>
      </c>
      <c r="BZ5" s="118" t="s">
        <v>2</v>
      </c>
      <c r="CA5" s="128" t="s">
        <v>24</v>
      </c>
      <c r="CB5" s="125" t="s">
        <v>25</v>
      </c>
      <c r="CC5" s="118" t="s">
        <v>2</v>
      </c>
      <c r="CD5" s="118" t="s">
        <v>2</v>
      </c>
      <c r="CE5" s="118" t="s">
        <v>2</v>
      </c>
      <c r="CF5" s="118" t="s">
        <v>2</v>
      </c>
      <c r="CG5" s="125" t="s">
        <v>26</v>
      </c>
      <c r="CH5" s="125" t="s">
        <v>27</v>
      </c>
      <c r="CI5" s="2"/>
    </row>
    <row r="6" spans="1:87" ht="14.25" customHeight="1" x14ac:dyDescent="0.25">
      <c r="A6" s="114" t="s">
        <v>2</v>
      </c>
      <c r="B6" s="118" t="s">
        <v>2</v>
      </c>
      <c r="C6" s="129" t="s">
        <v>28</v>
      </c>
      <c r="D6" s="130" t="s">
        <v>2</v>
      </c>
      <c r="E6" s="130" t="s">
        <v>2</v>
      </c>
      <c r="F6" s="130" t="s">
        <v>2</v>
      </c>
      <c r="G6" s="129" t="s">
        <v>29</v>
      </c>
      <c r="H6" s="130" t="s">
        <v>2</v>
      </c>
      <c r="I6" s="130" t="s">
        <v>2</v>
      </c>
      <c r="J6" s="129" t="s">
        <v>30</v>
      </c>
      <c r="K6" s="130" t="s">
        <v>2</v>
      </c>
      <c r="L6" s="130" t="s">
        <v>2</v>
      </c>
      <c r="M6" s="130" t="s">
        <v>2</v>
      </c>
      <c r="N6" s="130" t="s">
        <v>2</v>
      </c>
      <c r="O6" s="129" t="s">
        <v>31</v>
      </c>
      <c r="P6" s="130" t="s">
        <v>2</v>
      </c>
      <c r="Q6" s="131" t="s">
        <v>32</v>
      </c>
      <c r="R6" s="114" t="s">
        <v>2</v>
      </c>
      <c r="S6" s="122" t="s">
        <v>2</v>
      </c>
      <c r="T6" s="122" t="s">
        <v>2</v>
      </c>
      <c r="U6" s="114" t="s">
        <v>2</v>
      </c>
      <c r="V6" s="122" t="s">
        <v>2</v>
      </c>
      <c r="W6" s="122" t="s">
        <v>2</v>
      </c>
      <c r="X6" s="122" t="s">
        <v>2</v>
      </c>
      <c r="Y6" s="122" t="s">
        <v>2</v>
      </c>
      <c r="Z6" s="122" t="s">
        <v>2</v>
      </c>
      <c r="AA6" s="114" t="s">
        <v>2</v>
      </c>
      <c r="AB6" s="122" t="s">
        <v>2</v>
      </c>
      <c r="AC6" s="122" t="s">
        <v>2</v>
      </c>
      <c r="AD6" s="122" t="s">
        <v>2</v>
      </c>
      <c r="AE6" s="122" t="s">
        <v>2</v>
      </c>
      <c r="AF6" s="114" t="s">
        <v>2</v>
      </c>
      <c r="AG6" s="129" t="s">
        <v>33</v>
      </c>
      <c r="AH6" s="130" t="s">
        <v>2</v>
      </c>
      <c r="AI6" s="129" t="s">
        <v>34</v>
      </c>
      <c r="AJ6" s="130" t="s">
        <v>2</v>
      </c>
      <c r="AK6" s="130" t="s">
        <v>2</v>
      </c>
      <c r="AL6" s="130" t="s">
        <v>2</v>
      </c>
      <c r="AM6" s="130" t="s">
        <v>2</v>
      </c>
      <c r="AN6" s="130" t="s">
        <v>2</v>
      </c>
      <c r="AO6" s="130" t="s">
        <v>2</v>
      </c>
      <c r="AP6" s="129" t="s">
        <v>32</v>
      </c>
      <c r="AQ6" s="118" t="s">
        <v>2</v>
      </c>
      <c r="AR6" s="118" t="s">
        <v>2</v>
      </c>
      <c r="AS6" s="118" t="s">
        <v>2</v>
      </c>
      <c r="AT6" s="118" t="s">
        <v>2</v>
      </c>
      <c r="AU6" s="118" t="s">
        <v>2</v>
      </c>
      <c r="AV6" s="118" t="s">
        <v>2</v>
      </c>
      <c r="AW6" s="118" t="s">
        <v>2</v>
      </c>
      <c r="AX6" s="118" t="s">
        <v>2</v>
      </c>
      <c r="AY6" s="118" t="s">
        <v>2</v>
      </c>
      <c r="AZ6" s="118" t="s">
        <v>2</v>
      </c>
      <c r="BA6" s="118" t="s">
        <v>2</v>
      </c>
      <c r="BB6" s="118" t="s">
        <v>2</v>
      </c>
      <c r="BC6" s="118" t="s">
        <v>2</v>
      </c>
      <c r="BD6" s="118" t="s">
        <v>2</v>
      </c>
      <c r="BE6" s="118" t="s">
        <v>2</v>
      </c>
      <c r="BF6" s="118" t="s">
        <v>2</v>
      </c>
      <c r="BG6" s="118" t="s">
        <v>2</v>
      </c>
      <c r="BH6" s="118" t="s">
        <v>2</v>
      </c>
      <c r="BI6" s="118" t="s">
        <v>2</v>
      </c>
      <c r="BJ6" s="118" t="s">
        <v>2</v>
      </c>
      <c r="BK6" s="118" t="s">
        <v>2</v>
      </c>
      <c r="BL6" s="118" t="s">
        <v>2</v>
      </c>
      <c r="BM6" s="118" t="s">
        <v>2</v>
      </c>
      <c r="BN6" s="118" t="s">
        <v>2</v>
      </c>
      <c r="BO6" s="118" t="s">
        <v>2</v>
      </c>
      <c r="BP6" s="118" t="s">
        <v>2</v>
      </c>
      <c r="BQ6" s="118" t="s">
        <v>2</v>
      </c>
      <c r="BR6" s="118" t="s">
        <v>2</v>
      </c>
      <c r="BS6" s="118" t="s">
        <v>2</v>
      </c>
      <c r="BT6" s="118" t="s">
        <v>2</v>
      </c>
      <c r="BU6" s="118" t="s">
        <v>2</v>
      </c>
      <c r="BV6" s="118" t="s">
        <v>2</v>
      </c>
      <c r="BW6" s="118" t="s">
        <v>2</v>
      </c>
      <c r="BX6" s="118" t="s">
        <v>2</v>
      </c>
      <c r="BY6" s="118" t="s">
        <v>2</v>
      </c>
      <c r="BZ6" s="118" t="s">
        <v>2</v>
      </c>
      <c r="CA6" s="118" t="s">
        <v>2</v>
      </c>
      <c r="CB6" s="7">
        <f>SUBTOTAL(9,CB$14:CB$134)</f>
        <v>873.69999999999993</v>
      </c>
      <c r="CC6" s="7">
        <f>SUBTOTAL(9,CC$14:CC$134)</f>
        <v>1787.5707218265331</v>
      </c>
      <c r="CD6" s="7">
        <f>SUBTOTAL(9,CD$14:CD$134)</f>
        <v>1434.7599897017783</v>
      </c>
      <c r="CE6" s="7">
        <f>SUBTOTAL(9,CE$14:CE$134)</f>
        <v>359.89506649941188</v>
      </c>
      <c r="CF6" s="7">
        <f>SUM(CB6:CE6)</f>
        <v>4455.925778027723</v>
      </c>
      <c r="CG6" s="118" t="s">
        <v>2</v>
      </c>
      <c r="CH6" s="118" t="s">
        <v>2</v>
      </c>
      <c r="CI6" s="2"/>
    </row>
    <row r="7" spans="1:87" ht="11.25" customHeight="1" x14ac:dyDescent="0.25">
      <c r="A7" s="114" t="s">
        <v>2</v>
      </c>
      <c r="B7" s="118" t="s">
        <v>2</v>
      </c>
      <c r="C7" s="130" t="s">
        <v>2</v>
      </c>
      <c r="D7" s="130" t="s">
        <v>2</v>
      </c>
      <c r="E7" s="130" t="s">
        <v>2</v>
      </c>
      <c r="F7" s="130" t="s">
        <v>2</v>
      </c>
      <c r="G7" s="130" t="s">
        <v>2</v>
      </c>
      <c r="H7" s="130" t="s">
        <v>2</v>
      </c>
      <c r="I7" s="130" t="s">
        <v>2</v>
      </c>
      <c r="J7" s="130" t="s">
        <v>2</v>
      </c>
      <c r="K7" s="130" t="s">
        <v>2</v>
      </c>
      <c r="L7" s="130" t="s">
        <v>2</v>
      </c>
      <c r="M7" s="130" t="s">
        <v>2</v>
      </c>
      <c r="N7" s="130" t="s">
        <v>2</v>
      </c>
      <c r="O7" s="130" t="s">
        <v>2</v>
      </c>
      <c r="P7" s="130" t="s">
        <v>2</v>
      </c>
      <c r="Q7" s="114" t="s">
        <v>2</v>
      </c>
      <c r="R7" s="114" t="s">
        <v>2</v>
      </c>
      <c r="S7" s="122" t="s">
        <v>2</v>
      </c>
      <c r="T7" s="122" t="s">
        <v>2</v>
      </c>
      <c r="U7" s="114" t="s">
        <v>2</v>
      </c>
      <c r="V7" s="122" t="s">
        <v>2</v>
      </c>
      <c r="W7" s="122" t="s">
        <v>2</v>
      </c>
      <c r="X7" s="122" t="s">
        <v>2</v>
      </c>
      <c r="Y7" s="122" t="s">
        <v>2</v>
      </c>
      <c r="Z7" s="122" t="s">
        <v>2</v>
      </c>
      <c r="AA7" s="114" t="s">
        <v>2</v>
      </c>
      <c r="AB7" s="122" t="s">
        <v>2</v>
      </c>
      <c r="AC7" s="122" t="s">
        <v>2</v>
      </c>
      <c r="AD7" s="122" t="s">
        <v>2</v>
      </c>
      <c r="AE7" s="122" t="s">
        <v>2</v>
      </c>
      <c r="AF7" s="114" t="s">
        <v>2</v>
      </c>
      <c r="AG7" s="130" t="s">
        <v>2</v>
      </c>
      <c r="AH7" s="130" t="s">
        <v>2</v>
      </c>
      <c r="AI7" s="130" t="s">
        <v>2</v>
      </c>
      <c r="AJ7" s="130" t="s">
        <v>2</v>
      </c>
      <c r="AK7" s="130" t="s">
        <v>2</v>
      </c>
      <c r="AL7" s="130" t="s">
        <v>2</v>
      </c>
      <c r="AM7" s="130" t="s">
        <v>2</v>
      </c>
      <c r="AN7" s="130" t="s">
        <v>2</v>
      </c>
      <c r="AO7" s="130" t="s">
        <v>2</v>
      </c>
      <c r="AP7" s="130" t="s">
        <v>2</v>
      </c>
      <c r="AQ7" s="118" t="s">
        <v>2</v>
      </c>
      <c r="AR7" s="118" t="s">
        <v>2</v>
      </c>
      <c r="AS7" s="118" t="s">
        <v>2</v>
      </c>
      <c r="AT7" s="118" t="s">
        <v>2</v>
      </c>
      <c r="AU7" s="118" t="s">
        <v>2</v>
      </c>
      <c r="AV7" s="118" t="s">
        <v>2</v>
      </c>
      <c r="AW7" s="118" t="s">
        <v>2</v>
      </c>
      <c r="AX7" s="118" t="s">
        <v>2</v>
      </c>
      <c r="AY7" s="118" t="s">
        <v>2</v>
      </c>
      <c r="AZ7" s="118" t="s">
        <v>2</v>
      </c>
      <c r="BA7" s="118" t="s">
        <v>2</v>
      </c>
      <c r="BB7" s="118" t="s">
        <v>2</v>
      </c>
      <c r="BC7" s="118" t="s">
        <v>2</v>
      </c>
      <c r="BD7" s="118" t="s">
        <v>2</v>
      </c>
      <c r="BE7" s="118" t="s">
        <v>2</v>
      </c>
      <c r="BF7" s="118" t="s">
        <v>2</v>
      </c>
      <c r="BG7" s="118" t="s">
        <v>2</v>
      </c>
      <c r="BH7" s="118" t="s">
        <v>2</v>
      </c>
      <c r="BI7" s="118" t="s">
        <v>2</v>
      </c>
      <c r="BJ7" s="118" t="s">
        <v>2</v>
      </c>
      <c r="BK7" s="118" t="s">
        <v>2</v>
      </c>
      <c r="BL7" s="118" t="s">
        <v>2</v>
      </c>
      <c r="BM7" s="118" t="s">
        <v>2</v>
      </c>
      <c r="BN7" s="118" t="s">
        <v>2</v>
      </c>
      <c r="BO7" s="118" t="s">
        <v>2</v>
      </c>
      <c r="BP7" s="118" t="s">
        <v>2</v>
      </c>
      <c r="BQ7" s="118" t="s">
        <v>2</v>
      </c>
      <c r="BR7" s="118" t="s">
        <v>2</v>
      </c>
      <c r="BS7" s="118" t="s">
        <v>2</v>
      </c>
      <c r="BT7" s="118" t="s">
        <v>2</v>
      </c>
      <c r="BU7" s="118" t="s">
        <v>2</v>
      </c>
      <c r="BV7" s="118" t="s">
        <v>2</v>
      </c>
      <c r="BW7" s="118" t="s">
        <v>2</v>
      </c>
      <c r="BX7" s="118" t="s">
        <v>2</v>
      </c>
      <c r="BY7" s="132" t="s">
        <v>35</v>
      </c>
      <c r="BZ7" s="132" t="s">
        <v>36</v>
      </c>
      <c r="CA7" s="118" t="s">
        <v>2</v>
      </c>
      <c r="CB7" s="129" t="s">
        <v>37</v>
      </c>
      <c r="CC7" s="129" t="s">
        <v>38</v>
      </c>
      <c r="CD7" s="129" t="s">
        <v>39</v>
      </c>
      <c r="CE7" s="129" t="s">
        <v>40</v>
      </c>
      <c r="CF7" s="129" t="s">
        <v>32</v>
      </c>
      <c r="CG7" s="118" t="s">
        <v>2</v>
      </c>
      <c r="CH7" s="118" t="s">
        <v>2</v>
      </c>
      <c r="CI7" s="2"/>
    </row>
    <row r="8" spans="1:87" ht="11.25" customHeight="1" x14ac:dyDescent="0.25">
      <c r="A8" s="114" t="s">
        <v>2</v>
      </c>
      <c r="B8" s="118" t="s">
        <v>2</v>
      </c>
      <c r="C8" s="8" t="s">
        <v>41</v>
      </c>
      <c r="D8" s="8" t="s">
        <v>41</v>
      </c>
      <c r="E8" s="8" t="s">
        <v>41</v>
      </c>
      <c r="F8" s="8" t="s">
        <v>42</v>
      </c>
      <c r="G8" s="8" t="s">
        <v>41</v>
      </c>
      <c r="H8" s="8" t="s">
        <v>41</v>
      </c>
      <c r="I8" s="8" t="s">
        <v>42</v>
      </c>
      <c r="J8" s="8" t="s">
        <v>41</v>
      </c>
      <c r="K8" s="8" t="s">
        <v>41</v>
      </c>
      <c r="L8" s="8" t="s">
        <v>41</v>
      </c>
      <c r="M8" s="8" t="s">
        <v>41</v>
      </c>
      <c r="N8" s="8" t="s">
        <v>42</v>
      </c>
      <c r="O8" s="8" t="s">
        <v>41</v>
      </c>
      <c r="P8" s="8" t="s">
        <v>42</v>
      </c>
      <c r="Q8" s="114" t="s">
        <v>2</v>
      </c>
      <c r="R8" s="114" t="s">
        <v>2</v>
      </c>
      <c r="S8" s="9" t="s">
        <v>41</v>
      </c>
      <c r="T8" s="9" t="s">
        <v>42</v>
      </c>
      <c r="U8" s="114" t="s">
        <v>2</v>
      </c>
      <c r="V8" s="9" t="s">
        <v>41</v>
      </c>
      <c r="W8" s="9" t="s">
        <v>41</v>
      </c>
      <c r="X8" s="9" t="s">
        <v>41</v>
      </c>
      <c r="Y8" s="9" t="s">
        <v>41</v>
      </c>
      <c r="Z8" s="9" t="s">
        <v>42</v>
      </c>
      <c r="AA8" s="114" t="s">
        <v>2</v>
      </c>
      <c r="AB8" s="9" t="s">
        <v>41</v>
      </c>
      <c r="AC8" s="9" t="s">
        <v>41</v>
      </c>
      <c r="AD8" s="9" t="s">
        <v>41</v>
      </c>
      <c r="AE8" s="9" t="s">
        <v>42</v>
      </c>
      <c r="AF8" s="114" t="s">
        <v>2</v>
      </c>
      <c r="AG8" s="8" t="s">
        <v>41</v>
      </c>
      <c r="AH8" s="8"/>
      <c r="AI8" s="8" t="s">
        <v>41</v>
      </c>
      <c r="AJ8" s="8" t="s">
        <v>41</v>
      </c>
      <c r="AK8" s="8" t="s">
        <v>41</v>
      </c>
      <c r="AL8" s="8" t="s">
        <v>41</v>
      </c>
      <c r="AM8" s="8" t="s">
        <v>41</v>
      </c>
      <c r="AN8" s="8" t="s">
        <v>41</v>
      </c>
      <c r="AO8" s="8"/>
      <c r="AP8" s="130" t="s">
        <v>2</v>
      </c>
      <c r="AQ8" s="118" t="s">
        <v>2</v>
      </c>
      <c r="AR8" s="118" t="s">
        <v>2</v>
      </c>
      <c r="AS8" s="8" t="s">
        <v>41</v>
      </c>
      <c r="AT8" s="8" t="s">
        <v>41</v>
      </c>
      <c r="AU8" s="8" t="s">
        <v>41</v>
      </c>
      <c r="AV8" s="8" t="s">
        <v>41</v>
      </c>
      <c r="AW8" s="8" t="s">
        <v>41</v>
      </c>
      <c r="AX8" s="8" t="s">
        <v>41</v>
      </c>
      <c r="AY8" s="8" t="s">
        <v>41</v>
      </c>
      <c r="AZ8" s="8" t="s">
        <v>41</v>
      </c>
      <c r="BA8" s="8" t="s">
        <v>41</v>
      </c>
      <c r="BB8" s="8" t="s">
        <v>41</v>
      </c>
      <c r="BC8" s="8" t="s">
        <v>41</v>
      </c>
      <c r="BD8" s="8" t="s">
        <v>41</v>
      </c>
      <c r="BE8" s="8" t="s">
        <v>41</v>
      </c>
      <c r="BF8" s="8" t="s">
        <v>41</v>
      </c>
      <c r="BG8" s="8" t="s">
        <v>41</v>
      </c>
      <c r="BH8" s="8" t="s">
        <v>41</v>
      </c>
      <c r="BI8" s="8" t="s">
        <v>41</v>
      </c>
      <c r="BJ8" s="8" t="s">
        <v>41</v>
      </c>
      <c r="BK8" s="8" t="s">
        <v>41</v>
      </c>
      <c r="BL8" s="8" t="s">
        <v>41</v>
      </c>
      <c r="BM8" s="8" t="s">
        <v>41</v>
      </c>
      <c r="BN8" s="8" t="s">
        <v>41</v>
      </c>
      <c r="BO8" s="8" t="s">
        <v>41</v>
      </c>
      <c r="BP8" s="8" t="s">
        <v>41</v>
      </c>
      <c r="BQ8" s="8"/>
      <c r="BR8" s="118" t="s">
        <v>2</v>
      </c>
      <c r="BS8" s="8" t="s">
        <v>41</v>
      </c>
      <c r="BT8" s="8" t="s">
        <v>41</v>
      </c>
      <c r="BU8" s="8" t="s">
        <v>41</v>
      </c>
      <c r="BV8" s="8" t="s">
        <v>41</v>
      </c>
      <c r="BW8" s="8"/>
      <c r="BX8" s="118" t="s">
        <v>2</v>
      </c>
      <c r="BY8" s="114" t="s">
        <v>2</v>
      </c>
      <c r="BZ8" s="114" t="s">
        <v>2</v>
      </c>
      <c r="CA8" s="118" t="s">
        <v>2</v>
      </c>
      <c r="CB8" s="130" t="s">
        <v>2</v>
      </c>
      <c r="CC8" s="130" t="s">
        <v>2</v>
      </c>
      <c r="CD8" s="130" t="s">
        <v>2</v>
      </c>
      <c r="CE8" s="130" t="s">
        <v>2</v>
      </c>
      <c r="CF8" s="130" t="s">
        <v>2</v>
      </c>
      <c r="CG8" s="118" t="s">
        <v>2</v>
      </c>
      <c r="CH8" s="118" t="s">
        <v>2</v>
      </c>
      <c r="CI8" s="2"/>
    </row>
    <row r="9" spans="1:87" ht="12.75" customHeight="1" x14ac:dyDescent="0.25">
      <c r="A9" s="114" t="s">
        <v>2</v>
      </c>
      <c r="B9" s="118" t="s">
        <v>2</v>
      </c>
      <c r="C9" s="10" t="s">
        <v>43</v>
      </c>
      <c r="D9" s="10" t="s">
        <v>43</v>
      </c>
      <c r="E9" s="10" t="s">
        <v>43</v>
      </c>
      <c r="F9" s="10" t="s">
        <v>44</v>
      </c>
      <c r="G9" s="10" t="s">
        <v>43</v>
      </c>
      <c r="H9" s="10" t="s">
        <v>43</v>
      </c>
      <c r="I9" s="10" t="s">
        <v>44</v>
      </c>
      <c r="J9" s="10" t="s">
        <v>43</v>
      </c>
      <c r="K9" s="10" t="s">
        <v>43</v>
      </c>
      <c r="L9" s="10" t="s">
        <v>43</v>
      </c>
      <c r="M9" s="10" t="s">
        <v>43</v>
      </c>
      <c r="N9" s="10" t="s">
        <v>44</v>
      </c>
      <c r="O9" s="10" t="s">
        <v>43</v>
      </c>
      <c r="P9" s="10" t="s">
        <v>44</v>
      </c>
      <c r="Q9" s="114" t="s">
        <v>2</v>
      </c>
      <c r="R9" s="114" t="s">
        <v>2</v>
      </c>
      <c r="S9" s="11" t="s">
        <v>45</v>
      </c>
      <c r="T9" s="11" t="s">
        <v>44</v>
      </c>
      <c r="U9" s="114" t="s">
        <v>2</v>
      </c>
      <c r="V9" s="11" t="s">
        <v>45</v>
      </c>
      <c r="W9" s="11" t="s">
        <v>45</v>
      </c>
      <c r="X9" s="11" t="s">
        <v>45</v>
      </c>
      <c r="Y9" s="11" t="s">
        <v>45</v>
      </c>
      <c r="Z9" s="11" t="s">
        <v>44</v>
      </c>
      <c r="AA9" s="114" t="s">
        <v>2</v>
      </c>
      <c r="AB9" s="11" t="s">
        <v>45</v>
      </c>
      <c r="AC9" s="11" t="s">
        <v>45</v>
      </c>
      <c r="AD9" s="11" t="s">
        <v>45</v>
      </c>
      <c r="AE9" s="11" t="s">
        <v>44</v>
      </c>
      <c r="AF9" s="114" t="s">
        <v>2</v>
      </c>
      <c r="AG9" s="10" t="s">
        <v>45</v>
      </c>
      <c r="AH9" s="10"/>
      <c r="AI9" s="10" t="s">
        <v>45</v>
      </c>
      <c r="AJ9" s="10" t="s">
        <v>45</v>
      </c>
      <c r="AK9" s="10" t="s">
        <v>45</v>
      </c>
      <c r="AL9" s="10" t="s">
        <v>45</v>
      </c>
      <c r="AM9" s="10" t="s">
        <v>45</v>
      </c>
      <c r="AN9" s="10" t="s">
        <v>45</v>
      </c>
      <c r="AO9" s="10"/>
      <c r="AP9" s="130" t="s">
        <v>2</v>
      </c>
      <c r="AQ9" s="118" t="s">
        <v>2</v>
      </c>
      <c r="AR9" s="118" t="s">
        <v>2</v>
      </c>
      <c r="AS9" s="10" t="s">
        <v>42</v>
      </c>
      <c r="AT9" s="10" t="s">
        <v>42</v>
      </c>
      <c r="AU9" s="10" t="s">
        <v>42</v>
      </c>
      <c r="AV9" s="10" t="s">
        <v>42</v>
      </c>
      <c r="AW9" s="10" t="s">
        <v>42</v>
      </c>
      <c r="AX9" s="10" t="s">
        <v>42</v>
      </c>
      <c r="AY9" s="10" t="s">
        <v>42</v>
      </c>
      <c r="AZ9" s="10" t="s">
        <v>42</v>
      </c>
      <c r="BA9" s="10" t="s">
        <v>42</v>
      </c>
      <c r="BB9" s="10" t="s">
        <v>42</v>
      </c>
      <c r="BC9" s="10" t="s">
        <v>42</v>
      </c>
      <c r="BD9" s="10" t="s">
        <v>42</v>
      </c>
      <c r="BE9" s="10" t="s">
        <v>42</v>
      </c>
      <c r="BF9" s="10" t="s">
        <v>42</v>
      </c>
      <c r="BG9" s="10" t="s">
        <v>42</v>
      </c>
      <c r="BH9" s="10" t="s">
        <v>42</v>
      </c>
      <c r="BI9" s="10" t="s">
        <v>42</v>
      </c>
      <c r="BJ9" s="10" t="s">
        <v>42</v>
      </c>
      <c r="BK9" s="10" t="s">
        <v>42</v>
      </c>
      <c r="BL9" s="10" t="s">
        <v>42</v>
      </c>
      <c r="BM9" s="10" t="s">
        <v>42</v>
      </c>
      <c r="BN9" s="10" t="s">
        <v>42</v>
      </c>
      <c r="BO9" s="10" t="s">
        <v>42</v>
      </c>
      <c r="BP9" s="10" t="s">
        <v>42</v>
      </c>
      <c r="BQ9" s="10"/>
      <c r="BR9" s="118" t="s">
        <v>2</v>
      </c>
      <c r="BS9" s="10" t="s">
        <v>45</v>
      </c>
      <c r="BT9" s="10" t="s">
        <v>45</v>
      </c>
      <c r="BU9" s="10" t="s">
        <v>45</v>
      </c>
      <c r="BV9" s="10" t="s">
        <v>45</v>
      </c>
      <c r="BW9" s="10"/>
      <c r="BX9" s="118" t="s">
        <v>2</v>
      </c>
      <c r="BY9" s="114" t="s">
        <v>2</v>
      </c>
      <c r="BZ9" s="114" t="s">
        <v>2</v>
      </c>
      <c r="CA9" s="118" t="s">
        <v>2</v>
      </c>
      <c r="CB9" s="130" t="s">
        <v>2</v>
      </c>
      <c r="CC9" s="130" t="s">
        <v>2</v>
      </c>
      <c r="CD9" s="130" t="s">
        <v>2</v>
      </c>
      <c r="CE9" s="130" t="s">
        <v>2</v>
      </c>
      <c r="CF9" s="130" t="s">
        <v>2</v>
      </c>
      <c r="CG9" s="118" t="s">
        <v>2</v>
      </c>
      <c r="CH9" s="118" t="s">
        <v>2</v>
      </c>
      <c r="CI9" s="2"/>
    </row>
    <row r="10" spans="1:87" ht="17.25" customHeight="1" x14ac:dyDescent="0.25">
      <c r="A10" s="12">
        <v>1</v>
      </c>
      <c r="B10" s="13">
        <v>2</v>
      </c>
      <c r="C10" s="133">
        <v>3</v>
      </c>
      <c r="D10" s="130" t="s">
        <v>2</v>
      </c>
      <c r="E10" s="130" t="s">
        <v>2</v>
      </c>
      <c r="F10" s="130" t="s">
        <v>2</v>
      </c>
      <c r="G10" s="133">
        <v>4</v>
      </c>
      <c r="H10" s="130" t="s">
        <v>2</v>
      </c>
      <c r="I10" s="130" t="s">
        <v>2</v>
      </c>
      <c r="J10" s="133">
        <v>5</v>
      </c>
      <c r="K10" s="130" t="s">
        <v>2</v>
      </c>
      <c r="L10" s="130" t="s">
        <v>2</v>
      </c>
      <c r="M10" s="130" t="s">
        <v>2</v>
      </c>
      <c r="N10" s="130" t="s">
        <v>2</v>
      </c>
      <c r="O10" s="133">
        <v>6</v>
      </c>
      <c r="P10" s="130" t="s">
        <v>2</v>
      </c>
      <c r="Q10" s="13">
        <v>7</v>
      </c>
      <c r="R10" s="14">
        <v>8</v>
      </c>
      <c r="S10" s="133">
        <v>9</v>
      </c>
      <c r="T10" s="130" t="s">
        <v>2</v>
      </c>
      <c r="U10" s="13">
        <v>10</v>
      </c>
      <c r="V10" s="133">
        <v>11</v>
      </c>
      <c r="W10" s="130" t="s">
        <v>2</v>
      </c>
      <c r="X10" s="130" t="s">
        <v>2</v>
      </c>
      <c r="Y10" s="130" t="s">
        <v>2</v>
      </c>
      <c r="Z10" s="130" t="s">
        <v>2</v>
      </c>
      <c r="AA10" s="13">
        <v>12</v>
      </c>
      <c r="AB10" s="133">
        <v>13</v>
      </c>
      <c r="AC10" s="130" t="s">
        <v>2</v>
      </c>
      <c r="AD10" s="130" t="s">
        <v>2</v>
      </c>
      <c r="AE10" s="130" t="s">
        <v>2</v>
      </c>
      <c r="AF10" s="13">
        <v>14</v>
      </c>
      <c r="AG10" s="133">
        <v>15</v>
      </c>
      <c r="AH10" s="130" t="s">
        <v>2</v>
      </c>
      <c r="AI10" s="133">
        <v>16</v>
      </c>
      <c r="AJ10" s="130" t="s">
        <v>2</v>
      </c>
      <c r="AK10" s="130" t="s">
        <v>2</v>
      </c>
      <c r="AL10" s="130" t="s">
        <v>2</v>
      </c>
      <c r="AM10" s="130" t="s">
        <v>2</v>
      </c>
      <c r="AN10" s="130" t="s">
        <v>2</v>
      </c>
      <c r="AO10" s="130" t="s">
        <v>2</v>
      </c>
      <c r="AP10" s="15">
        <v>17</v>
      </c>
      <c r="AQ10" s="13">
        <v>18</v>
      </c>
      <c r="AR10" s="13">
        <v>19</v>
      </c>
      <c r="AS10" s="133">
        <v>20</v>
      </c>
      <c r="AT10" s="130" t="s">
        <v>2</v>
      </c>
      <c r="AU10" s="130" t="s">
        <v>2</v>
      </c>
      <c r="AV10" s="130" t="s">
        <v>2</v>
      </c>
      <c r="AW10" s="130" t="s">
        <v>2</v>
      </c>
      <c r="AX10" s="130" t="s">
        <v>2</v>
      </c>
      <c r="AY10" s="130" t="s">
        <v>2</v>
      </c>
      <c r="AZ10" s="130" t="s">
        <v>2</v>
      </c>
      <c r="BA10" s="130" t="s">
        <v>2</v>
      </c>
      <c r="BB10" s="130" t="s">
        <v>2</v>
      </c>
      <c r="BC10" s="130" t="s">
        <v>2</v>
      </c>
      <c r="BD10" s="130" t="s">
        <v>2</v>
      </c>
      <c r="BE10" s="130" t="s">
        <v>2</v>
      </c>
      <c r="BF10" s="130" t="s">
        <v>2</v>
      </c>
      <c r="BG10" s="130" t="s">
        <v>2</v>
      </c>
      <c r="BH10" s="130" t="s">
        <v>2</v>
      </c>
      <c r="BI10" s="130" t="s">
        <v>2</v>
      </c>
      <c r="BJ10" s="130" t="s">
        <v>2</v>
      </c>
      <c r="BK10" s="130" t="s">
        <v>2</v>
      </c>
      <c r="BL10" s="130" t="s">
        <v>2</v>
      </c>
      <c r="BM10" s="130" t="s">
        <v>2</v>
      </c>
      <c r="BN10" s="130" t="s">
        <v>2</v>
      </c>
      <c r="BO10" s="130" t="s">
        <v>2</v>
      </c>
      <c r="BP10" s="130" t="s">
        <v>2</v>
      </c>
      <c r="BQ10" s="130" t="s">
        <v>2</v>
      </c>
      <c r="BR10" s="13">
        <v>21</v>
      </c>
      <c r="BS10" s="133">
        <v>21</v>
      </c>
      <c r="BT10" s="130" t="s">
        <v>2</v>
      </c>
      <c r="BU10" s="130" t="s">
        <v>2</v>
      </c>
      <c r="BV10" s="130" t="s">
        <v>2</v>
      </c>
      <c r="BW10" s="130" t="s">
        <v>2</v>
      </c>
      <c r="BX10" s="13">
        <v>22</v>
      </c>
      <c r="BY10" s="13">
        <v>23</v>
      </c>
      <c r="BZ10" s="13">
        <v>24</v>
      </c>
      <c r="CA10" s="13">
        <v>25</v>
      </c>
      <c r="CB10" s="13">
        <v>26</v>
      </c>
      <c r="CC10" s="13">
        <v>27</v>
      </c>
      <c r="CD10" s="13">
        <v>28</v>
      </c>
      <c r="CE10" s="13">
        <v>29</v>
      </c>
      <c r="CF10" s="13">
        <v>30</v>
      </c>
      <c r="CG10" s="13">
        <v>31</v>
      </c>
      <c r="CH10" s="13">
        <v>32</v>
      </c>
      <c r="CI10" s="2"/>
    </row>
    <row r="11" spans="1:87" ht="0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1:87" ht="11.25" customHeight="1" x14ac:dyDescent="0.25">
      <c r="A12" s="134">
        <v>45383</v>
      </c>
      <c r="B12" s="17" t="s">
        <v>46</v>
      </c>
      <c r="C12" s="18"/>
      <c r="D12" s="18"/>
      <c r="E12" s="18"/>
      <c r="F12" s="19">
        <v>0</v>
      </c>
      <c r="G12" s="18"/>
      <c r="H12" s="18"/>
      <c r="I12" s="19">
        <v>0</v>
      </c>
      <c r="J12" s="18"/>
      <c r="K12" s="18"/>
      <c r="L12" s="18"/>
      <c r="M12" s="18"/>
      <c r="N12" s="19">
        <v>0</v>
      </c>
      <c r="O12" s="18"/>
      <c r="P12" s="19">
        <v>0</v>
      </c>
      <c r="Q12" s="19">
        <v>0</v>
      </c>
      <c r="R12" s="20"/>
      <c r="S12" s="18"/>
      <c r="T12" s="21"/>
      <c r="U12" s="22"/>
      <c r="V12" s="18"/>
      <c r="W12" s="18"/>
      <c r="X12" s="18"/>
      <c r="Y12" s="18"/>
      <c r="Z12" s="21"/>
      <c r="AA12" s="22"/>
      <c r="AB12" s="18"/>
      <c r="AC12" s="18"/>
      <c r="AD12" s="18"/>
      <c r="AE12" s="21"/>
      <c r="AF12" s="22"/>
      <c r="AG12" s="18"/>
      <c r="AH12" s="23">
        <v>0</v>
      </c>
      <c r="AI12" s="24"/>
      <c r="AJ12" s="18"/>
      <c r="AK12" s="18"/>
      <c r="AL12" s="18"/>
      <c r="AM12" s="18"/>
      <c r="AN12" s="18"/>
      <c r="AO12" s="23">
        <v>7.9</v>
      </c>
      <c r="AP12" s="19">
        <v>7.9</v>
      </c>
      <c r="AQ12" s="20"/>
      <c r="AR12" s="25"/>
      <c r="AS12" s="26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7"/>
      <c r="BR12" s="28"/>
      <c r="BS12" s="18"/>
      <c r="BT12" s="18"/>
      <c r="BU12" s="18"/>
      <c r="BV12" s="18"/>
      <c r="BW12" s="27"/>
      <c r="BX12" s="27"/>
      <c r="BY12" s="29"/>
      <c r="BZ12" s="29"/>
      <c r="CA12" s="30"/>
      <c r="CB12" s="31"/>
      <c r="CC12" s="32"/>
      <c r="CD12" s="31"/>
      <c r="CE12" s="31"/>
      <c r="CF12" s="32"/>
      <c r="CG12" s="135">
        <f>CG$4+SUMIF($C$5:CF$5,"Нараст. баланс",$C14:CF14)+SUMIF($C$7:CD$7,"Итого (с ВНР)",$C14:CD14)-SUMIF($C$5:CF$5,"Геол. снижение,  т/сут",$C14:CF14)-SUMIF(CE$7:CF$7,"Итого",CE14:CF14)-SUMIF($C$7:CF$7,"Итого (с ВСП)",$C14:CF14)</f>
        <v>30071.3598329981</v>
      </c>
      <c r="CH12" s="33"/>
      <c r="CI12" s="16"/>
    </row>
    <row r="13" spans="1:87" ht="11.25" customHeight="1" x14ac:dyDescent="0.25">
      <c r="A13" s="114" t="s">
        <v>2</v>
      </c>
      <c r="B13" s="34" t="s">
        <v>47</v>
      </c>
      <c r="C13" s="35"/>
      <c r="D13" s="35"/>
      <c r="E13" s="35"/>
      <c r="F13" s="36">
        <v>0</v>
      </c>
      <c r="G13" s="35"/>
      <c r="H13" s="35"/>
      <c r="I13" s="36">
        <v>0</v>
      </c>
      <c r="J13" s="35"/>
      <c r="K13" s="35"/>
      <c r="L13" s="35"/>
      <c r="M13" s="35"/>
      <c r="N13" s="36">
        <v>0</v>
      </c>
      <c r="O13" s="35"/>
      <c r="P13" s="36">
        <v>0</v>
      </c>
      <c r="Q13" s="36">
        <v>0</v>
      </c>
      <c r="R13" s="37"/>
      <c r="S13" s="35"/>
      <c r="T13" s="38">
        <f>SUBTOTAL(9,S15:S15)</f>
        <v>0</v>
      </c>
      <c r="U13" s="39"/>
      <c r="V13" s="35"/>
      <c r="W13" s="35"/>
      <c r="X13" s="35"/>
      <c r="Y13" s="35"/>
      <c r="Z13" s="38">
        <f>SUBTOTAL(9,V15:Y15)</f>
        <v>0</v>
      </c>
      <c r="AA13" s="39"/>
      <c r="AB13" s="35"/>
      <c r="AC13" s="35"/>
      <c r="AD13" s="35"/>
      <c r="AE13" s="38">
        <f>SUBTOTAL(9,AB15:AD15)</f>
        <v>0</v>
      </c>
      <c r="AF13" s="39"/>
      <c r="AG13" s="35"/>
      <c r="AH13" s="40">
        <f>SUBTOTAL(9,AG15:AG15)</f>
        <v>0</v>
      </c>
      <c r="AI13" s="41"/>
      <c r="AJ13" s="35"/>
      <c r="AK13" s="35"/>
      <c r="AL13" s="35"/>
      <c r="AM13" s="35"/>
      <c r="AN13" s="35"/>
      <c r="AO13" s="40">
        <f>SUBTOTAL(9,AI15:AN15)</f>
        <v>0</v>
      </c>
      <c r="AP13" s="36">
        <f>SUBTOTAL(9,AG15:AN15)</f>
        <v>0</v>
      </c>
      <c r="AQ13" s="37"/>
      <c r="AR13" s="42"/>
      <c r="AS13" s="43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6">
        <f>SUBTOTAL(9,AS15:BP15)</f>
        <v>0</v>
      </c>
      <c r="BR13" s="44"/>
      <c r="BS13" s="35"/>
      <c r="BT13" s="35"/>
      <c r="BU13" s="35"/>
      <c r="BV13" s="35"/>
      <c r="BW13" s="36">
        <f>SUBTOTAL(3,BS13:BV13)</f>
        <v>0</v>
      </c>
      <c r="BX13" s="45"/>
      <c r="BY13" s="46"/>
      <c r="BZ13" s="46"/>
      <c r="CA13" s="47"/>
      <c r="CB13" s="48"/>
      <c r="CC13" s="49"/>
      <c r="CD13" s="48"/>
      <c r="CE13" s="48"/>
      <c r="CF13" s="49"/>
      <c r="CG13" s="114" t="s">
        <v>2</v>
      </c>
      <c r="CH13" s="50"/>
      <c r="CI13" s="16"/>
    </row>
    <row r="14" spans="1:87" ht="11.25" customHeight="1" x14ac:dyDescent="0.25">
      <c r="A14" s="114" t="s">
        <v>2</v>
      </c>
      <c r="B14" s="51" t="s">
        <v>44</v>
      </c>
      <c r="C14" s="52"/>
      <c r="D14" s="52"/>
      <c r="E14" s="52"/>
      <c r="F14" s="53">
        <f>SUBTOTAL(9,C14:E14)</f>
        <v>0</v>
      </c>
      <c r="G14" s="52"/>
      <c r="H14" s="52"/>
      <c r="I14" s="53">
        <f>SUBTOTAL(9,G14:H14)</f>
        <v>0</v>
      </c>
      <c r="J14" s="52"/>
      <c r="K14" s="52"/>
      <c r="L14" s="52"/>
      <c r="M14" s="52"/>
      <c r="N14" s="53">
        <f>SUBTOTAL(9,J14:M14)</f>
        <v>0</v>
      </c>
      <c r="O14" s="52"/>
      <c r="P14" s="53">
        <f>SUBTOTAL(9,O14:O14)</f>
        <v>0</v>
      </c>
      <c r="Q14" s="53">
        <f>SUBTOTAL(9,C14:O14)</f>
        <v>0</v>
      </c>
      <c r="R14" s="54">
        <v>0</v>
      </c>
      <c r="S14" s="52"/>
      <c r="T14" s="55">
        <f>SUBTOTAL(9,S14:S14)</f>
        <v>0</v>
      </c>
      <c r="U14" s="56">
        <f>T14+IF($B10=2,0,U10)</f>
        <v>0</v>
      </c>
      <c r="V14" s="52"/>
      <c r="W14" s="52"/>
      <c r="X14" s="52"/>
      <c r="Y14" s="52"/>
      <c r="Z14" s="55">
        <f>SUBTOTAL(9,V14:Y14)</f>
        <v>0</v>
      </c>
      <c r="AA14" s="56">
        <f>Z14+IF($B10=2,0,AA10)</f>
        <v>0</v>
      </c>
      <c r="AB14" s="52"/>
      <c r="AC14" s="52"/>
      <c r="AD14" s="52"/>
      <c r="AE14" s="55">
        <f>SUBTOTAL(9,AB14:AD14)</f>
        <v>0</v>
      </c>
      <c r="AF14" s="56">
        <f>AE14+IF($B10=2,0,AF10)</f>
        <v>0</v>
      </c>
      <c r="AG14" s="52"/>
      <c r="AH14" s="57">
        <f>SUBTOTAL(9,AG14:AG14)</f>
        <v>0</v>
      </c>
      <c r="AI14" s="58">
        <v>7.9</v>
      </c>
      <c r="AJ14" s="52"/>
      <c r="AK14" s="52"/>
      <c r="AL14" s="52"/>
      <c r="AM14" s="52"/>
      <c r="AN14" s="52"/>
      <c r="AO14" s="57">
        <f>SUBTOTAL(9,AI14:AN14)</f>
        <v>7.9</v>
      </c>
      <c r="AP14" s="53">
        <f>SUBTOTAL(9,AG14:AN14)</f>
        <v>7.9</v>
      </c>
      <c r="AQ14" s="54">
        <f>AP14+IF($B10=2,0,AQ10)</f>
        <v>7.9</v>
      </c>
      <c r="AR14" s="59">
        <v>48</v>
      </c>
      <c r="AS14" s="60">
        <v>7.718</v>
      </c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3">
        <f>SUBTOTAL(9,AS14:BP14)</f>
        <v>7.718</v>
      </c>
      <c r="BR14" s="57">
        <f>BQ14+IF($B10=2,0,BR10)</f>
        <v>7.718</v>
      </c>
      <c r="BS14" s="52"/>
      <c r="BT14" s="52"/>
      <c r="BU14" s="52"/>
      <c r="BV14" s="52"/>
      <c r="BW14" s="53">
        <f>SUBTOTAL(9,BS14:BV14)</f>
        <v>0</v>
      </c>
      <c r="BX14" s="53">
        <f>BW14+IF($B10=2,0,BX10)</f>
        <v>0</v>
      </c>
      <c r="BY14" s="61"/>
      <c r="BZ14" s="61"/>
      <c r="CA14" s="62">
        <f>SUMIF($C$5:BZ$5,"Накопленный эффект, т/сут",$C14:BZ14)+SUMIF($C$5:BZ$5,"Нараст.  по потенциалу",$C14:BZ14)-SUMIF($C$5:BZ$5,"Нараст. по остановкам",$C14:BZ14)-SUMIF($C$5:BZ$5,"ИТОГО перевод в ППД",$C14:BZ14)-SUMIF($C$5:BZ$5,"ИТОГО  нерент, по распоряж.",$C14:BZ14)-SUMIF($C$5:BZ$5,"ИТОГО ост. дебит от ЗБС, Углуб., ПВЛГ/ПНЛГ",$C14:BZ14)</f>
        <v>0.18200000000000038</v>
      </c>
      <c r="CB14" s="63"/>
      <c r="CC14" s="53">
        <v>8.8431670019007491</v>
      </c>
      <c r="CD14" s="63"/>
      <c r="CE14" s="63"/>
      <c r="CF14" s="53">
        <f>SUBTOTAL(9,CB14:CE14)</f>
        <v>8.8431670019007491</v>
      </c>
      <c r="CG14" s="114" t="s">
        <v>2</v>
      </c>
      <c r="CH14" s="64">
        <f>CH$4+SUMIF($C$5:CF$5,"Нараст. по остановкам",$C14:CF14)-SUMIF($C$5:CF$5,"Нараст.  по потенциалу",$C14:CF14)</f>
        <v>704.28315324518803</v>
      </c>
      <c r="CI14" s="16"/>
    </row>
    <row r="15" spans="1:87" ht="1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16"/>
    </row>
    <row r="16" spans="1:87" ht="11.25" customHeight="1" x14ac:dyDescent="0.25">
      <c r="A16" s="134">
        <v>45384</v>
      </c>
      <c r="B16" s="17" t="s">
        <v>46</v>
      </c>
      <c r="C16" s="18"/>
      <c r="D16" s="18"/>
      <c r="E16" s="18"/>
      <c r="F16" s="19">
        <v>0</v>
      </c>
      <c r="G16" s="18"/>
      <c r="H16" s="18"/>
      <c r="I16" s="19">
        <v>0</v>
      </c>
      <c r="J16" s="24" t="s">
        <v>48</v>
      </c>
      <c r="K16" s="24" t="s">
        <v>49</v>
      </c>
      <c r="L16" s="24" t="s">
        <v>49</v>
      </c>
      <c r="M16" s="18"/>
      <c r="N16" s="19">
        <v>56</v>
      </c>
      <c r="O16" s="18"/>
      <c r="P16" s="19">
        <v>0</v>
      </c>
      <c r="Q16" s="19">
        <v>56</v>
      </c>
      <c r="R16" s="20"/>
      <c r="S16" s="18"/>
      <c r="T16" s="21"/>
      <c r="U16" s="22"/>
      <c r="V16" s="18"/>
      <c r="W16" s="18"/>
      <c r="X16" s="18"/>
      <c r="Y16" s="18"/>
      <c r="Z16" s="21"/>
      <c r="AA16" s="22"/>
      <c r="AB16" s="24" t="s">
        <v>49</v>
      </c>
      <c r="AC16" s="18"/>
      <c r="AD16" s="18"/>
      <c r="AE16" s="21"/>
      <c r="AF16" s="22"/>
      <c r="AG16" s="18"/>
      <c r="AH16" s="23">
        <v>0</v>
      </c>
      <c r="AI16" s="24"/>
      <c r="AJ16" s="18"/>
      <c r="AK16" s="18"/>
      <c r="AL16" s="18"/>
      <c r="AM16" s="18"/>
      <c r="AN16" s="18"/>
      <c r="AO16" s="23">
        <v>24</v>
      </c>
      <c r="AP16" s="19">
        <v>24</v>
      </c>
      <c r="AQ16" s="20"/>
      <c r="AR16" s="25"/>
      <c r="AS16" s="26" t="s">
        <v>50</v>
      </c>
      <c r="AT16" s="26" t="s">
        <v>51</v>
      </c>
      <c r="AU16" s="26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27"/>
      <c r="BR16" s="28"/>
      <c r="BS16" s="18"/>
      <c r="BT16" s="18"/>
      <c r="BU16" s="18"/>
      <c r="BV16" s="18"/>
      <c r="BW16" s="27"/>
      <c r="BX16" s="27"/>
      <c r="BY16" s="29"/>
      <c r="BZ16" s="29"/>
      <c r="CA16" s="30"/>
      <c r="CB16" s="31"/>
      <c r="CC16" s="32"/>
      <c r="CD16" s="31"/>
      <c r="CE16" s="32"/>
      <c r="CF16" s="32"/>
      <c r="CG16" s="135">
        <f>CG$4+SUMIF($C$5:CF$5,"Нараст. баланс",$C18:CF18)+SUMIF($C$7:CD$7,"Итого (с ВНР)",$C18:CD18)-SUMIF($C$5:CF$5,"Геол. снижение,  т/сут",$C18:CF18)-SUMIF(CE$7:CF$7,"Итого",CE18:CF18)-SUMIF($C$7:CF$7,"Итого (с ВСП)",$C18:CF18)</f>
        <v>29877.343014672802</v>
      </c>
      <c r="CH16" s="33"/>
      <c r="CI16" s="16"/>
    </row>
    <row r="17" spans="1:87" ht="11.25" customHeight="1" x14ac:dyDescent="0.25">
      <c r="A17" s="114" t="s">
        <v>2</v>
      </c>
      <c r="B17" s="34" t="s">
        <v>47</v>
      </c>
      <c r="C17" s="35"/>
      <c r="D17" s="35"/>
      <c r="E17" s="35"/>
      <c r="F17" s="36">
        <v>0</v>
      </c>
      <c r="G17" s="35"/>
      <c r="H17" s="35"/>
      <c r="I17" s="36">
        <v>0</v>
      </c>
      <c r="J17" s="41" t="s">
        <v>52</v>
      </c>
      <c r="K17" s="41" t="s">
        <v>53</v>
      </c>
      <c r="L17" s="41" t="s">
        <v>54</v>
      </c>
      <c r="M17" s="35"/>
      <c r="N17" s="36">
        <v>3</v>
      </c>
      <c r="O17" s="35"/>
      <c r="P17" s="36">
        <v>0</v>
      </c>
      <c r="Q17" s="36">
        <v>3</v>
      </c>
      <c r="R17" s="37"/>
      <c r="S17" s="35"/>
      <c r="T17" s="38">
        <f>SUBTOTAL(9,S19:S19)</f>
        <v>0</v>
      </c>
      <c r="U17" s="39"/>
      <c r="V17" s="35"/>
      <c r="W17" s="35"/>
      <c r="X17" s="35"/>
      <c r="Y17" s="35"/>
      <c r="Z17" s="38">
        <f>SUBTOTAL(9,V19:Y19)</f>
        <v>0</v>
      </c>
      <c r="AA17" s="39"/>
      <c r="AB17" s="41" t="s">
        <v>53</v>
      </c>
      <c r="AC17" s="35"/>
      <c r="AD17" s="35"/>
      <c r="AE17" s="38">
        <f>SUBTOTAL(9,AB19:AD19)</f>
        <v>1</v>
      </c>
      <c r="AF17" s="39"/>
      <c r="AG17" s="35"/>
      <c r="AH17" s="40">
        <f>SUBTOTAL(9,AG19:AG19)</f>
        <v>0</v>
      </c>
      <c r="AI17" s="41"/>
      <c r="AJ17" s="35"/>
      <c r="AK17" s="35"/>
      <c r="AL17" s="35"/>
      <c r="AM17" s="35"/>
      <c r="AN17" s="35"/>
      <c r="AO17" s="40">
        <f>SUBTOTAL(9,AI19:AN19)</f>
        <v>0</v>
      </c>
      <c r="AP17" s="36">
        <f>SUBTOTAL(9,AG19:AN19)</f>
        <v>0</v>
      </c>
      <c r="AQ17" s="37"/>
      <c r="AR17" s="42"/>
      <c r="AS17" s="43" t="s">
        <v>55</v>
      </c>
      <c r="AT17" s="43" t="s">
        <v>56</v>
      </c>
      <c r="AU17" s="43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6">
        <f>SUBTOTAL(9,AS19:BP19)</f>
        <v>2</v>
      </c>
      <c r="BR17" s="44"/>
      <c r="BS17" s="35"/>
      <c r="BT17" s="35"/>
      <c r="BU17" s="35"/>
      <c r="BV17" s="35"/>
      <c r="BW17" s="36">
        <f>SUBTOTAL(3,BS17:BV17)</f>
        <v>0</v>
      </c>
      <c r="BX17" s="45"/>
      <c r="BY17" s="46"/>
      <c r="BZ17" s="46"/>
      <c r="CA17" s="47"/>
      <c r="CB17" s="48"/>
      <c r="CC17" s="49"/>
      <c r="CD17" s="48"/>
      <c r="CE17" s="49"/>
      <c r="CF17" s="49"/>
      <c r="CG17" s="114" t="s">
        <v>2</v>
      </c>
      <c r="CH17" s="50"/>
      <c r="CI17" s="16"/>
    </row>
    <row r="18" spans="1:87" ht="11.25" customHeight="1" x14ac:dyDescent="0.25">
      <c r="A18" s="114" t="s">
        <v>2</v>
      </c>
      <c r="B18" s="51" t="s">
        <v>44</v>
      </c>
      <c r="C18" s="52"/>
      <c r="D18" s="52"/>
      <c r="E18" s="52"/>
      <c r="F18" s="53">
        <f>SUBTOTAL(9,C18:E18)</f>
        <v>0</v>
      </c>
      <c r="G18" s="52"/>
      <c r="H18" s="52"/>
      <c r="I18" s="53">
        <f>SUBTOTAL(9,G18:H18)</f>
        <v>0</v>
      </c>
      <c r="J18" s="58">
        <v>23</v>
      </c>
      <c r="K18" s="58">
        <v>10</v>
      </c>
      <c r="L18" s="58">
        <v>23</v>
      </c>
      <c r="M18" s="52"/>
      <c r="N18" s="53">
        <f>SUBTOTAL(9,J18:M18)</f>
        <v>56</v>
      </c>
      <c r="O18" s="52"/>
      <c r="P18" s="53">
        <f>SUBTOTAL(9,O18:O18)</f>
        <v>0</v>
      </c>
      <c r="Q18" s="53">
        <f>SUBTOTAL(9,C18:O18)</f>
        <v>56</v>
      </c>
      <c r="R18" s="54">
        <v>56</v>
      </c>
      <c r="S18" s="52"/>
      <c r="T18" s="55">
        <f>SUBTOTAL(9,S18:S18)</f>
        <v>0</v>
      </c>
      <c r="U18" s="56">
        <f>T18+IF($B14=2,0,U14)</f>
        <v>0</v>
      </c>
      <c r="V18" s="52"/>
      <c r="W18" s="52"/>
      <c r="X18" s="52"/>
      <c r="Y18" s="52"/>
      <c r="Z18" s="55">
        <f>SUBTOTAL(9,V18:Y18)</f>
        <v>0</v>
      </c>
      <c r="AA18" s="56">
        <f>Z18+IF($B14=2,0,AA14)</f>
        <v>0</v>
      </c>
      <c r="AB18" s="58">
        <v>14.7</v>
      </c>
      <c r="AC18" s="52"/>
      <c r="AD18" s="52"/>
      <c r="AE18" s="55">
        <f>SUBTOTAL(9,AB18:AD18)</f>
        <v>14.7</v>
      </c>
      <c r="AF18" s="56">
        <f>AE18+IF($B14=2,0,AF14)</f>
        <v>14.7</v>
      </c>
      <c r="AG18" s="52"/>
      <c r="AH18" s="57">
        <f>SUBTOTAL(9,AG18:AG18)</f>
        <v>0</v>
      </c>
      <c r="AI18" s="58">
        <v>16.100000000000001</v>
      </c>
      <c r="AJ18" s="52"/>
      <c r="AK18" s="52"/>
      <c r="AL18" s="52"/>
      <c r="AM18" s="52"/>
      <c r="AN18" s="52"/>
      <c r="AO18" s="57">
        <f>SUBTOTAL(9,AI18:AN18)</f>
        <v>16.100000000000001</v>
      </c>
      <c r="AP18" s="53">
        <f>SUBTOTAL(9,AG18:AN18)</f>
        <v>16.100000000000001</v>
      </c>
      <c r="AQ18" s="54">
        <f>AP18+IF($B14=2,0,AQ14)</f>
        <v>24</v>
      </c>
      <c r="AR18" s="59">
        <v>96</v>
      </c>
      <c r="AS18" s="60">
        <v>4.8</v>
      </c>
      <c r="AT18" s="60">
        <v>0.3</v>
      </c>
      <c r="AU18" s="60">
        <v>31.986333333299999</v>
      </c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3">
        <f>SUBTOTAL(9,AS18:BP18)</f>
        <v>37.086333333299997</v>
      </c>
      <c r="BR18" s="57">
        <f>BQ18+IF($B14=2,0,BR14)</f>
        <v>44.804333333299994</v>
      </c>
      <c r="BS18" s="52"/>
      <c r="BT18" s="52"/>
      <c r="BU18" s="52"/>
      <c r="BV18" s="52"/>
      <c r="BW18" s="53">
        <f>SUBTOTAL(9,BS18:BV18)</f>
        <v>0</v>
      </c>
      <c r="BX18" s="53">
        <f>BW18+IF($B14=2,0,BX14)</f>
        <v>0</v>
      </c>
      <c r="BY18" s="61"/>
      <c r="BZ18" s="61"/>
      <c r="CA18" s="62">
        <f>SUMIF($C$5:BZ$5,"Накопленный эффект, т/сут",$C18:BZ18)+SUMIF($C$5:BZ$5,"Нараст.  по потенциалу",$C18:BZ18)-SUMIF($C$5:BZ$5,"Нараст. по остановкам",$C18:BZ18)-SUMIF($C$5:BZ$5,"ИТОГО перевод в ППД",$C18:BZ18)-SUMIF($C$5:BZ$5,"ИТОГО  нерент, по распоряж.",$C18:BZ18)-SUMIF($C$5:BZ$5,"ИТОГО ост. дебит от ЗБС, Углуб., ПВЛГ/ПНЛГ",$C18:BZ18)</f>
        <v>49.895666666700009</v>
      </c>
      <c r="CB18" s="63"/>
      <c r="CC18" s="53">
        <v>204.409630021292</v>
      </c>
      <c r="CD18" s="63"/>
      <c r="CE18" s="53">
        <v>0.16402197260766399</v>
      </c>
      <c r="CF18" s="53">
        <f>SUBTOTAL(9,CB18:CE18)</f>
        <v>204.57365199389966</v>
      </c>
      <c r="CG18" s="114" t="s">
        <v>2</v>
      </c>
      <c r="CH18" s="64">
        <f>CH$4+SUMIF($C$5:CF$5,"Нараст. по остановкам",$C18:CF18)-SUMIF($C$5:CF$5,"Нараст.  по потенциалу",$C18:CF18)</f>
        <v>725.269486578488</v>
      </c>
      <c r="CI18" s="16"/>
    </row>
    <row r="19" spans="1:87" ht="1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>
        <v>1</v>
      </c>
      <c r="AT19" s="2">
        <v>1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16"/>
    </row>
    <row r="20" spans="1:87" ht="11.25" customHeight="1" x14ac:dyDescent="0.25">
      <c r="A20" s="134">
        <v>45385</v>
      </c>
      <c r="B20" s="17" t="s">
        <v>46</v>
      </c>
      <c r="C20" s="18"/>
      <c r="D20" s="18"/>
      <c r="E20" s="18"/>
      <c r="F20" s="19">
        <v>0</v>
      </c>
      <c r="G20" s="18"/>
      <c r="H20" s="18"/>
      <c r="I20" s="19">
        <v>0</v>
      </c>
      <c r="J20" s="24" t="s">
        <v>50</v>
      </c>
      <c r="K20" s="18"/>
      <c r="L20" s="18"/>
      <c r="M20" s="18"/>
      <c r="N20" s="19">
        <v>77</v>
      </c>
      <c r="O20" s="18"/>
      <c r="P20" s="19">
        <v>0</v>
      </c>
      <c r="Q20" s="19">
        <v>77</v>
      </c>
      <c r="R20" s="20"/>
      <c r="S20" s="18"/>
      <c r="T20" s="21"/>
      <c r="U20" s="22"/>
      <c r="V20" s="18"/>
      <c r="W20" s="18"/>
      <c r="X20" s="18"/>
      <c r="Y20" s="18"/>
      <c r="Z20" s="21"/>
      <c r="AA20" s="22"/>
      <c r="AB20" s="18"/>
      <c r="AC20" s="18"/>
      <c r="AD20" s="18"/>
      <c r="AE20" s="21"/>
      <c r="AF20" s="22"/>
      <c r="AG20" s="18"/>
      <c r="AH20" s="23">
        <v>0</v>
      </c>
      <c r="AI20" s="24"/>
      <c r="AJ20" s="18"/>
      <c r="AK20" s="18"/>
      <c r="AL20" s="18"/>
      <c r="AM20" s="18"/>
      <c r="AN20" s="18"/>
      <c r="AO20" s="23">
        <v>59.3</v>
      </c>
      <c r="AP20" s="19">
        <v>59.3</v>
      </c>
      <c r="AQ20" s="20"/>
      <c r="AR20" s="25"/>
      <c r="AS20" s="26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27"/>
      <c r="BR20" s="28"/>
      <c r="BS20" s="18"/>
      <c r="BT20" s="18"/>
      <c r="BU20" s="18"/>
      <c r="BV20" s="18"/>
      <c r="BW20" s="27"/>
      <c r="BX20" s="27"/>
      <c r="BY20" s="29"/>
      <c r="BZ20" s="29"/>
      <c r="CA20" s="30"/>
      <c r="CB20" s="32"/>
      <c r="CC20" s="32"/>
      <c r="CD20" s="31"/>
      <c r="CE20" s="32"/>
      <c r="CF20" s="32"/>
      <c r="CG20" s="135">
        <f>CG$4+SUMIF($C$5:CF$5,"Нараст. баланс",$C22:CF22)+SUMIF($C$7:CD$7,"Итого (с ВНР)",$C22:CD22)-SUMIF($C$5:CF$5,"Геол. снижение,  т/сут",$C22:CF22)-SUMIF(CE$7:CF$7,"Итого",CE22:CF22)-SUMIF($C$7:CF$7,"Итого (с ВСП)",$C22:CF22)</f>
        <v>29998.384836177978</v>
      </c>
      <c r="CH20" s="33"/>
      <c r="CI20" s="16"/>
    </row>
    <row r="21" spans="1:87" ht="11.25" customHeight="1" x14ac:dyDescent="0.25">
      <c r="A21" s="114" t="s">
        <v>2</v>
      </c>
      <c r="B21" s="34" t="s">
        <v>47</v>
      </c>
      <c r="C21" s="35"/>
      <c r="D21" s="35"/>
      <c r="E21" s="35"/>
      <c r="F21" s="36">
        <v>0</v>
      </c>
      <c r="G21" s="35"/>
      <c r="H21" s="35"/>
      <c r="I21" s="36">
        <v>0</v>
      </c>
      <c r="J21" s="41" t="s">
        <v>57</v>
      </c>
      <c r="K21" s="35"/>
      <c r="L21" s="35"/>
      <c r="M21" s="35"/>
      <c r="N21" s="36">
        <v>1</v>
      </c>
      <c r="O21" s="35"/>
      <c r="P21" s="36">
        <v>0</v>
      </c>
      <c r="Q21" s="36">
        <v>1</v>
      </c>
      <c r="R21" s="37"/>
      <c r="S21" s="35"/>
      <c r="T21" s="38">
        <f>SUBTOTAL(9,S23:S23)</f>
        <v>0</v>
      </c>
      <c r="U21" s="39"/>
      <c r="V21" s="35"/>
      <c r="W21" s="35"/>
      <c r="X21" s="35"/>
      <c r="Y21" s="35"/>
      <c r="Z21" s="38">
        <f>SUBTOTAL(9,V23:Y23)</f>
        <v>0</v>
      </c>
      <c r="AA21" s="39"/>
      <c r="AB21" s="35"/>
      <c r="AC21" s="35"/>
      <c r="AD21" s="35"/>
      <c r="AE21" s="38">
        <f>SUBTOTAL(9,AB23:AD23)</f>
        <v>0</v>
      </c>
      <c r="AF21" s="39"/>
      <c r="AG21" s="35"/>
      <c r="AH21" s="40">
        <f>SUBTOTAL(9,AG23:AG23)</f>
        <v>0</v>
      </c>
      <c r="AI21" s="41"/>
      <c r="AJ21" s="35"/>
      <c r="AK21" s="35"/>
      <c r="AL21" s="35"/>
      <c r="AM21" s="35"/>
      <c r="AN21" s="35"/>
      <c r="AO21" s="40">
        <f>SUBTOTAL(9,AI23:AN23)</f>
        <v>0</v>
      </c>
      <c r="AP21" s="36">
        <f>SUBTOTAL(9,AG23:AN23)</f>
        <v>0</v>
      </c>
      <c r="AQ21" s="37"/>
      <c r="AR21" s="42"/>
      <c r="AS21" s="43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6">
        <f>SUBTOTAL(9,AS23:BP23)</f>
        <v>0</v>
      </c>
      <c r="BR21" s="44"/>
      <c r="BS21" s="35"/>
      <c r="BT21" s="35"/>
      <c r="BU21" s="35"/>
      <c r="BV21" s="35"/>
      <c r="BW21" s="36">
        <f>SUBTOTAL(3,BS21:BV21)</f>
        <v>0</v>
      </c>
      <c r="BX21" s="45"/>
      <c r="BY21" s="46"/>
      <c r="BZ21" s="46"/>
      <c r="CA21" s="47"/>
      <c r="CB21" s="49"/>
      <c r="CC21" s="49"/>
      <c r="CD21" s="48"/>
      <c r="CE21" s="49"/>
      <c r="CF21" s="49"/>
      <c r="CG21" s="114" t="s">
        <v>2</v>
      </c>
      <c r="CH21" s="50"/>
      <c r="CI21" s="16"/>
    </row>
    <row r="22" spans="1:87" ht="11.25" customHeight="1" x14ac:dyDescent="0.25">
      <c r="A22" s="114" t="s">
        <v>2</v>
      </c>
      <c r="B22" s="51" t="s">
        <v>44</v>
      </c>
      <c r="C22" s="52"/>
      <c r="D22" s="52"/>
      <c r="E22" s="52"/>
      <c r="F22" s="53">
        <f>SUBTOTAL(9,C22:E22)</f>
        <v>0</v>
      </c>
      <c r="G22" s="52"/>
      <c r="H22" s="52"/>
      <c r="I22" s="53">
        <f>SUBTOTAL(9,G22:H22)</f>
        <v>0</v>
      </c>
      <c r="J22" s="58">
        <v>21</v>
      </c>
      <c r="K22" s="52"/>
      <c r="L22" s="52"/>
      <c r="M22" s="52"/>
      <c r="N22" s="53">
        <f>SUBTOTAL(9,J22:M22)</f>
        <v>21</v>
      </c>
      <c r="O22" s="52"/>
      <c r="P22" s="53">
        <f>SUBTOTAL(9,O22:O22)</f>
        <v>0</v>
      </c>
      <c r="Q22" s="53">
        <f>SUBTOTAL(9,C22:O22)</f>
        <v>21</v>
      </c>
      <c r="R22" s="54">
        <v>77</v>
      </c>
      <c r="S22" s="52"/>
      <c r="T22" s="55">
        <f>SUBTOTAL(9,S22:S22)</f>
        <v>0</v>
      </c>
      <c r="U22" s="56">
        <f>T22+IF($B18=2,0,U18)</f>
        <v>0</v>
      </c>
      <c r="V22" s="52"/>
      <c r="W22" s="52"/>
      <c r="X22" s="52"/>
      <c r="Y22" s="52"/>
      <c r="Z22" s="55">
        <f>SUBTOTAL(9,V22:Y22)</f>
        <v>0</v>
      </c>
      <c r="AA22" s="56">
        <f>Z22+IF($B18=2,0,AA18)</f>
        <v>0</v>
      </c>
      <c r="AB22" s="52"/>
      <c r="AC22" s="52"/>
      <c r="AD22" s="52"/>
      <c r="AE22" s="55">
        <f>SUBTOTAL(9,AB22:AD22)</f>
        <v>0</v>
      </c>
      <c r="AF22" s="56">
        <f>AE22+IF($B18=2,0,AF18)</f>
        <v>14.7</v>
      </c>
      <c r="AG22" s="52"/>
      <c r="AH22" s="57">
        <f>SUBTOTAL(9,AG22:AG22)</f>
        <v>0</v>
      </c>
      <c r="AI22" s="58">
        <v>35.299999999999997</v>
      </c>
      <c r="AJ22" s="52"/>
      <c r="AK22" s="52"/>
      <c r="AL22" s="52"/>
      <c r="AM22" s="52"/>
      <c r="AN22" s="52"/>
      <c r="AO22" s="57">
        <f>SUBTOTAL(9,AI22:AN22)</f>
        <v>35.299999999999997</v>
      </c>
      <c r="AP22" s="53">
        <f>SUBTOTAL(9,AG22:AN22)</f>
        <v>35.299999999999997</v>
      </c>
      <c r="AQ22" s="54">
        <f>AP22+IF($B18=2,0,AQ18)</f>
        <v>59.3</v>
      </c>
      <c r="AR22" s="59">
        <v>144</v>
      </c>
      <c r="AS22" s="60">
        <v>45.804333333333297</v>
      </c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3">
        <f>SUBTOTAL(9,AS22:BP22)</f>
        <v>45.804333333333297</v>
      </c>
      <c r="BR22" s="57">
        <f>BQ22+IF($B18=2,0,BR18)</f>
        <v>90.608666666633297</v>
      </c>
      <c r="BS22" s="52"/>
      <c r="BT22" s="52"/>
      <c r="BU22" s="52"/>
      <c r="BV22" s="52"/>
      <c r="BW22" s="53">
        <f>SUBTOTAL(9,BS22:BV22)</f>
        <v>0</v>
      </c>
      <c r="BX22" s="53">
        <f>BW22+IF($B18=2,0,BX18)</f>
        <v>0</v>
      </c>
      <c r="BY22" s="61"/>
      <c r="BZ22" s="61"/>
      <c r="CA22" s="62">
        <f>SUMIF($C$5:BZ$5,"Накопленный эффект, т/сут",$C22:BZ22)+SUMIF($C$5:BZ$5,"Нараст.  по потенциалу",$C22:BZ22)-SUMIF($C$5:BZ$5,"Нараст. по остановкам",$C22:BZ22)-SUMIF($C$5:BZ$5,"ИТОГО перевод в ППД",$C22:BZ22)-SUMIF($C$5:BZ$5,"ИТОГО  нерент, по распоряж.",$C22:BZ22)-SUMIF($C$5:BZ$5,"ИТОГО ост. дебит от ЗБС, Углуб., ПВЛГ/ПНЛГ",$C22:BZ22)</f>
        <v>60.391333333366703</v>
      </c>
      <c r="CB22" s="53">
        <v>30</v>
      </c>
      <c r="CC22" s="53">
        <v>15.676734573161699</v>
      </c>
      <c r="CD22" s="63"/>
      <c r="CE22" s="53">
        <v>0.35076258222650503</v>
      </c>
      <c r="CF22" s="53">
        <f>SUBTOTAL(9,CB22:CE22)</f>
        <v>46.027497155388204</v>
      </c>
      <c r="CG22" s="114" t="s">
        <v>2</v>
      </c>
      <c r="CH22" s="64">
        <f>CH$4+SUMIF($C$5:CF$5,"Нараст. по остановкам",$C22:CF22)-SUMIF($C$5:CF$5,"Нараст.  по потенциалу",$C22:CF22)</f>
        <v>735.77381991182142</v>
      </c>
      <c r="CI22" s="16"/>
    </row>
    <row r="23" spans="1:87" ht="1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16"/>
    </row>
    <row r="24" spans="1:87" ht="11.25" customHeight="1" x14ac:dyDescent="0.25">
      <c r="A24" s="134">
        <v>45386</v>
      </c>
      <c r="B24" s="17" t="s">
        <v>46</v>
      </c>
      <c r="C24" s="18"/>
      <c r="D24" s="18"/>
      <c r="E24" s="18"/>
      <c r="F24" s="19">
        <v>0</v>
      </c>
      <c r="G24" s="18"/>
      <c r="H24" s="18"/>
      <c r="I24" s="19">
        <v>0</v>
      </c>
      <c r="J24" s="18"/>
      <c r="K24" s="18"/>
      <c r="L24" s="18"/>
      <c r="M24" s="18"/>
      <c r="N24" s="19">
        <v>77</v>
      </c>
      <c r="O24" s="18"/>
      <c r="P24" s="19">
        <v>0</v>
      </c>
      <c r="Q24" s="19">
        <v>77</v>
      </c>
      <c r="R24" s="20"/>
      <c r="S24" s="18"/>
      <c r="T24" s="21"/>
      <c r="U24" s="22"/>
      <c r="V24" s="18"/>
      <c r="W24" s="18"/>
      <c r="X24" s="18"/>
      <c r="Y24" s="18"/>
      <c r="Z24" s="21"/>
      <c r="AA24" s="22"/>
      <c r="AB24" s="18"/>
      <c r="AC24" s="18"/>
      <c r="AD24" s="18"/>
      <c r="AE24" s="21"/>
      <c r="AF24" s="22"/>
      <c r="AG24" s="18"/>
      <c r="AH24" s="23">
        <v>0</v>
      </c>
      <c r="AI24" s="24"/>
      <c r="AJ24" s="18"/>
      <c r="AK24" s="18"/>
      <c r="AL24" s="18"/>
      <c r="AM24" s="18"/>
      <c r="AN24" s="18"/>
      <c r="AO24" s="23">
        <v>84</v>
      </c>
      <c r="AP24" s="19">
        <v>84</v>
      </c>
      <c r="AQ24" s="20"/>
      <c r="AR24" s="25"/>
      <c r="AS24" s="26" t="s">
        <v>58</v>
      </c>
      <c r="AT24" s="26" t="s">
        <v>50</v>
      </c>
      <c r="AU24" s="26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27"/>
      <c r="BR24" s="28"/>
      <c r="BS24" s="18"/>
      <c r="BT24" s="18"/>
      <c r="BU24" s="18"/>
      <c r="BV24" s="18"/>
      <c r="BW24" s="27"/>
      <c r="BX24" s="27"/>
      <c r="BY24" s="29"/>
      <c r="BZ24" s="29"/>
      <c r="CA24" s="30"/>
      <c r="CB24" s="32"/>
      <c r="CC24" s="32"/>
      <c r="CD24" s="32"/>
      <c r="CE24" s="32"/>
      <c r="CF24" s="32"/>
      <c r="CG24" s="135">
        <f>CG$4+SUMIF($C$5:CF$5,"Нараст. баланс",$C26:CF26)+SUMIF($C$7:CD$7,"Итого (с ВНР)",$C26:CD26)-SUMIF($C$5:CF$5,"Геол. снижение,  т/сут",$C26:CF26)-SUMIF(CE$7:CF$7,"Итого",CE26:CF26)-SUMIF($C$7:CF$7,"Итого (с ВСП)",$C26:CF26)</f>
        <v>28933.104462225227</v>
      </c>
      <c r="CH24" s="33"/>
      <c r="CI24" s="16"/>
    </row>
    <row r="25" spans="1:87" ht="11.25" customHeight="1" x14ac:dyDescent="0.25">
      <c r="A25" s="114" t="s">
        <v>2</v>
      </c>
      <c r="B25" s="34" t="s">
        <v>47</v>
      </c>
      <c r="C25" s="35"/>
      <c r="D25" s="35"/>
      <c r="E25" s="35"/>
      <c r="F25" s="36">
        <v>0</v>
      </c>
      <c r="G25" s="35"/>
      <c r="H25" s="35"/>
      <c r="I25" s="36">
        <v>0</v>
      </c>
      <c r="J25" s="35"/>
      <c r="K25" s="35"/>
      <c r="L25" s="35"/>
      <c r="M25" s="35"/>
      <c r="N25" s="36">
        <v>0</v>
      </c>
      <c r="O25" s="35"/>
      <c r="P25" s="36">
        <v>0</v>
      </c>
      <c r="Q25" s="36">
        <v>0</v>
      </c>
      <c r="R25" s="37"/>
      <c r="S25" s="35"/>
      <c r="T25" s="38">
        <f>SUBTOTAL(9,S27:S27)</f>
        <v>0</v>
      </c>
      <c r="U25" s="39"/>
      <c r="V25" s="35"/>
      <c r="W25" s="35"/>
      <c r="X25" s="35"/>
      <c r="Y25" s="35"/>
      <c r="Z25" s="38">
        <f>SUBTOTAL(9,V27:Y27)</f>
        <v>0</v>
      </c>
      <c r="AA25" s="39"/>
      <c r="AB25" s="35"/>
      <c r="AC25" s="35"/>
      <c r="AD25" s="35"/>
      <c r="AE25" s="38">
        <f>SUBTOTAL(9,AB27:AD27)</f>
        <v>0</v>
      </c>
      <c r="AF25" s="39"/>
      <c r="AG25" s="35"/>
      <c r="AH25" s="40">
        <f>SUBTOTAL(9,AG27:AG27)</f>
        <v>0</v>
      </c>
      <c r="AI25" s="41"/>
      <c r="AJ25" s="35"/>
      <c r="AK25" s="35"/>
      <c r="AL25" s="35"/>
      <c r="AM25" s="35"/>
      <c r="AN25" s="35"/>
      <c r="AO25" s="40">
        <f>SUBTOTAL(9,AI27:AN27)</f>
        <v>0</v>
      </c>
      <c r="AP25" s="36">
        <f>SUBTOTAL(9,AG27:AN27)</f>
        <v>0</v>
      </c>
      <c r="AQ25" s="37"/>
      <c r="AR25" s="42"/>
      <c r="AS25" s="43" t="s">
        <v>59</v>
      </c>
      <c r="AT25" s="43" t="s">
        <v>60</v>
      </c>
      <c r="AU25" s="43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6">
        <f>SUBTOTAL(9,AS27:BP27)</f>
        <v>2</v>
      </c>
      <c r="BR25" s="44"/>
      <c r="BS25" s="35"/>
      <c r="BT25" s="35"/>
      <c r="BU25" s="35"/>
      <c r="BV25" s="35"/>
      <c r="BW25" s="36">
        <f>SUBTOTAL(3,BS25:BV25)</f>
        <v>0</v>
      </c>
      <c r="BX25" s="45"/>
      <c r="BY25" s="46"/>
      <c r="BZ25" s="46"/>
      <c r="CA25" s="47"/>
      <c r="CB25" s="49"/>
      <c r="CC25" s="49"/>
      <c r="CD25" s="49"/>
      <c r="CE25" s="49"/>
      <c r="CF25" s="49"/>
      <c r="CG25" s="114" t="s">
        <v>2</v>
      </c>
      <c r="CH25" s="50"/>
      <c r="CI25" s="16"/>
    </row>
    <row r="26" spans="1:87" ht="11.25" customHeight="1" x14ac:dyDescent="0.25">
      <c r="A26" s="114" t="s">
        <v>2</v>
      </c>
      <c r="B26" s="51" t="s">
        <v>44</v>
      </c>
      <c r="C26" s="52"/>
      <c r="D26" s="52"/>
      <c r="E26" s="52"/>
      <c r="F26" s="53">
        <f>SUBTOTAL(9,C26:E26)</f>
        <v>0</v>
      </c>
      <c r="G26" s="52"/>
      <c r="H26" s="52"/>
      <c r="I26" s="53">
        <f>SUBTOTAL(9,G26:H26)</f>
        <v>0</v>
      </c>
      <c r="J26" s="52"/>
      <c r="K26" s="52"/>
      <c r="L26" s="52"/>
      <c r="M26" s="52"/>
      <c r="N26" s="53">
        <f>SUBTOTAL(9,J26:M26)</f>
        <v>0</v>
      </c>
      <c r="O26" s="52"/>
      <c r="P26" s="53">
        <f>SUBTOTAL(9,O26:O26)</f>
        <v>0</v>
      </c>
      <c r="Q26" s="53">
        <f>SUBTOTAL(9,C26:O26)</f>
        <v>0</v>
      </c>
      <c r="R26" s="54">
        <v>77</v>
      </c>
      <c r="S26" s="52"/>
      <c r="T26" s="55">
        <f>SUBTOTAL(9,S26:S26)</f>
        <v>0</v>
      </c>
      <c r="U26" s="56">
        <f>T26+IF($B22=2,0,U22)</f>
        <v>0</v>
      </c>
      <c r="V26" s="52"/>
      <c r="W26" s="52"/>
      <c r="X26" s="52"/>
      <c r="Y26" s="52"/>
      <c r="Z26" s="55">
        <f>SUBTOTAL(9,V26:Y26)</f>
        <v>0</v>
      </c>
      <c r="AA26" s="56">
        <f>Z26+IF($B22=2,0,AA22)</f>
        <v>0</v>
      </c>
      <c r="AB26" s="52"/>
      <c r="AC26" s="52"/>
      <c r="AD26" s="52"/>
      <c r="AE26" s="55">
        <f>SUBTOTAL(9,AB26:AD26)</f>
        <v>0</v>
      </c>
      <c r="AF26" s="56">
        <f>AE26+IF($B22=2,0,AF22)</f>
        <v>14.7</v>
      </c>
      <c r="AG26" s="52"/>
      <c r="AH26" s="57">
        <f>SUBTOTAL(9,AG26:AG26)</f>
        <v>0</v>
      </c>
      <c r="AI26" s="58">
        <v>24.7</v>
      </c>
      <c r="AJ26" s="52"/>
      <c r="AK26" s="52"/>
      <c r="AL26" s="52"/>
      <c r="AM26" s="52"/>
      <c r="AN26" s="52"/>
      <c r="AO26" s="57">
        <f>SUBTOTAL(9,AI26:AN26)</f>
        <v>24.7</v>
      </c>
      <c r="AP26" s="53">
        <f>SUBTOTAL(9,AG26:AN26)</f>
        <v>24.7</v>
      </c>
      <c r="AQ26" s="54">
        <f>AP26+IF($B22=2,0,AQ22)</f>
        <v>84</v>
      </c>
      <c r="AR26" s="59">
        <v>192</v>
      </c>
      <c r="AS26" s="60">
        <v>11.4</v>
      </c>
      <c r="AT26" s="60">
        <v>3.3</v>
      </c>
      <c r="AU26" s="60">
        <v>33.984999999999999</v>
      </c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3">
        <f>SUBTOTAL(9,AS26:BP26)</f>
        <v>48.685000000000002</v>
      </c>
      <c r="BR26" s="57">
        <f>BQ26+IF($B22=2,0,BR22)</f>
        <v>139.2936666666333</v>
      </c>
      <c r="BS26" s="52"/>
      <c r="BT26" s="52"/>
      <c r="BU26" s="52"/>
      <c r="BV26" s="52"/>
      <c r="BW26" s="53">
        <f>SUBTOTAL(9,BS26:BV26)</f>
        <v>0</v>
      </c>
      <c r="BX26" s="53">
        <f>BW26+IF($B22=2,0,BX22)</f>
        <v>0</v>
      </c>
      <c r="BY26" s="61"/>
      <c r="BZ26" s="61"/>
      <c r="CA26" s="62">
        <f>SUMIF($C$5:BZ$5,"Накопленный эффект, т/сут",$C26:BZ26)+SUMIF($C$5:BZ$5,"Нараст.  по потенциалу",$C26:BZ26)-SUMIF($C$5:BZ$5,"Нараст. по остановкам",$C26:BZ26)-SUMIF($C$5:BZ$5,"ИТОГО перевод в ППД",$C26:BZ26)-SUMIF($C$5:BZ$5,"ИТОГО  нерент, по распоряж.",$C26:BZ26)-SUMIF($C$5:BZ$5,"ИТОГО ост. дебит от ЗБС, Углуб., ПВЛГ/ПНЛГ",$C26:BZ26)</f>
        <v>36.406333333366689</v>
      </c>
      <c r="CB26" s="53">
        <v>53.2</v>
      </c>
      <c r="CC26" s="53">
        <v>969.849668073045</v>
      </c>
      <c r="CD26" s="53">
        <v>4.8631487154784701</v>
      </c>
      <c r="CE26" s="53">
        <v>11.4100543196144</v>
      </c>
      <c r="CF26" s="53">
        <f>SUBTOTAL(9,CB26:CE26)</f>
        <v>1039.3228711081379</v>
      </c>
      <c r="CG26" s="114" t="s">
        <v>2</v>
      </c>
      <c r="CH26" s="64">
        <f>CH$4+SUMIF($C$5:CF$5,"Нараст. по остановкам",$C26:CF26)-SUMIF($C$5:CF$5,"Нараст.  по потенциалу",$C26:CF26)</f>
        <v>759.75881991182132</v>
      </c>
      <c r="CI26" s="16"/>
    </row>
    <row r="27" spans="1:87" ht="1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>
        <v>1</v>
      </c>
      <c r="AT27" s="2">
        <v>1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16"/>
    </row>
    <row r="28" spans="1:87" ht="11.25" customHeight="1" x14ac:dyDescent="0.25">
      <c r="A28" s="134">
        <v>45387</v>
      </c>
      <c r="B28" s="17" t="s">
        <v>46</v>
      </c>
      <c r="C28" s="18"/>
      <c r="D28" s="18"/>
      <c r="E28" s="18"/>
      <c r="F28" s="19">
        <v>0</v>
      </c>
      <c r="G28" s="18"/>
      <c r="H28" s="18"/>
      <c r="I28" s="19">
        <v>0</v>
      </c>
      <c r="J28" s="24" t="s">
        <v>58</v>
      </c>
      <c r="K28" s="24" t="s">
        <v>58</v>
      </c>
      <c r="L28" s="18"/>
      <c r="M28" s="18"/>
      <c r="N28" s="19">
        <v>116</v>
      </c>
      <c r="O28" s="18"/>
      <c r="P28" s="19">
        <v>0</v>
      </c>
      <c r="Q28" s="19">
        <v>116</v>
      </c>
      <c r="R28" s="20"/>
      <c r="S28" s="18"/>
      <c r="T28" s="21"/>
      <c r="U28" s="22"/>
      <c r="V28" s="24" t="s">
        <v>61</v>
      </c>
      <c r="W28" s="18"/>
      <c r="X28" s="18"/>
      <c r="Y28" s="18"/>
      <c r="Z28" s="21"/>
      <c r="AA28" s="22"/>
      <c r="AB28" s="18"/>
      <c r="AC28" s="18"/>
      <c r="AD28" s="18"/>
      <c r="AE28" s="21"/>
      <c r="AF28" s="22"/>
      <c r="AG28" s="18"/>
      <c r="AH28" s="23">
        <v>0</v>
      </c>
      <c r="AI28" s="24"/>
      <c r="AJ28" s="18"/>
      <c r="AK28" s="18"/>
      <c r="AL28" s="18"/>
      <c r="AM28" s="18"/>
      <c r="AN28" s="18"/>
      <c r="AO28" s="23">
        <v>95.817999999999998</v>
      </c>
      <c r="AP28" s="19">
        <v>95.817999999999998</v>
      </c>
      <c r="AQ28" s="20"/>
      <c r="AR28" s="25"/>
      <c r="AS28" s="26" t="s">
        <v>58</v>
      </c>
      <c r="AT28" s="26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27"/>
      <c r="BR28" s="28"/>
      <c r="BS28" s="18"/>
      <c r="BT28" s="18"/>
      <c r="BU28" s="18"/>
      <c r="BV28" s="18"/>
      <c r="BW28" s="27"/>
      <c r="BX28" s="27"/>
      <c r="BY28" s="29"/>
      <c r="BZ28" s="29"/>
      <c r="CA28" s="30"/>
      <c r="CB28" s="32"/>
      <c r="CC28" s="32"/>
      <c r="CD28" s="32"/>
      <c r="CE28" s="32"/>
      <c r="CF28" s="32"/>
      <c r="CG28" s="135">
        <f>CG$4+SUMIF($C$5:CF$5,"Нараст. баланс",$C30:CF30)+SUMIF($C$7:CD$7,"Итого (с ВНР)",$C30:CD30)-SUMIF($C$5:CF$5,"Геол. снижение,  т/сут",$C30:CF30)-SUMIF(CE$7:CF$7,"Итого",CE30:CF30)-SUMIF($C$7:CF$7,"Итого (с ВСП)",$C30:CF30)</f>
        <v>29881.534729336072</v>
      </c>
      <c r="CH28" s="33"/>
      <c r="CI28" s="16"/>
    </row>
    <row r="29" spans="1:87" ht="11.25" customHeight="1" x14ac:dyDescent="0.25">
      <c r="A29" s="114" t="s">
        <v>2</v>
      </c>
      <c r="B29" s="34" t="s">
        <v>47</v>
      </c>
      <c r="C29" s="35"/>
      <c r="D29" s="35"/>
      <c r="E29" s="35"/>
      <c r="F29" s="36">
        <v>0</v>
      </c>
      <c r="G29" s="35"/>
      <c r="H29" s="35"/>
      <c r="I29" s="36">
        <v>0</v>
      </c>
      <c r="J29" s="41" t="s">
        <v>62</v>
      </c>
      <c r="K29" s="41" t="s">
        <v>63</v>
      </c>
      <c r="L29" s="35"/>
      <c r="M29" s="35"/>
      <c r="N29" s="36">
        <v>2</v>
      </c>
      <c r="O29" s="35"/>
      <c r="P29" s="36">
        <v>0</v>
      </c>
      <c r="Q29" s="36">
        <v>2</v>
      </c>
      <c r="R29" s="37"/>
      <c r="S29" s="35"/>
      <c r="T29" s="38">
        <f>SUBTOTAL(9,S31:S31)</f>
        <v>0</v>
      </c>
      <c r="U29" s="39"/>
      <c r="V29" s="41"/>
      <c r="W29" s="35"/>
      <c r="X29" s="35"/>
      <c r="Y29" s="35"/>
      <c r="Z29" s="38">
        <f>SUBTOTAL(9,V31:Y31)</f>
        <v>0</v>
      </c>
      <c r="AA29" s="39"/>
      <c r="AB29" s="35"/>
      <c r="AC29" s="35"/>
      <c r="AD29" s="35"/>
      <c r="AE29" s="38">
        <f>SUBTOTAL(9,AB31:AD31)</f>
        <v>0</v>
      </c>
      <c r="AF29" s="39"/>
      <c r="AG29" s="35"/>
      <c r="AH29" s="40">
        <f>SUBTOTAL(9,AG31:AG31)</f>
        <v>0</v>
      </c>
      <c r="AI29" s="41"/>
      <c r="AJ29" s="35"/>
      <c r="AK29" s="35"/>
      <c r="AL29" s="35"/>
      <c r="AM29" s="35"/>
      <c r="AN29" s="35"/>
      <c r="AO29" s="40">
        <f>SUBTOTAL(9,AI31:AN31)</f>
        <v>0</v>
      </c>
      <c r="AP29" s="36">
        <f>SUBTOTAL(9,AG31:AN31)</f>
        <v>0</v>
      </c>
      <c r="AQ29" s="37"/>
      <c r="AR29" s="42"/>
      <c r="AS29" s="43" t="s">
        <v>64</v>
      </c>
      <c r="AT29" s="43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6">
        <f>SUBTOTAL(9,AS31:BP31)</f>
        <v>1</v>
      </c>
      <c r="BR29" s="44"/>
      <c r="BS29" s="35"/>
      <c r="BT29" s="35"/>
      <c r="BU29" s="35"/>
      <c r="BV29" s="35"/>
      <c r="BW29" s="36">
        <f>SUBTOTAL(3,BS29:BV29)</f>
        <v>0</v>
      </c>
      <c r="BX29" s="45"/>
      <c r="BY29" s="46"/>
      <c r="BZ29" s="46"/>
      <c r="CA29" s="47"/>
      <c r="CB29" s="49"/>
      <c r="CC29" s="49"/>
      <c r="CD29" s="49"/>
      <c r="CE29" s="49"/>
      <c r="CF29" s="49"/>
      <c r="CG29" s="114" t="s">
        <v>2</v>
      </c>
      <c r="CH29" s="50"/>
      <c r="CI29" s="16"/>
    </row>
    <row r="30" spans="1:87" ht="11.25" customHeight="1" x14ac:dyDescent="0.25">
      <c r="A30" s="114" t="s">
        <v>2</v>
      </c>
      <c r="B30" s="51" t="s">
        <v>44</v>
      </c>
      <c r="C30" s="52"/>
      <c r="D30" s="52"/>
      <c r="E30" s="52"/>
      <c r="F30" s="53">
        <f>SUBTOTAL(9,C30:E30)</f>
        <v>0</v>
      </c>
      <c r="G30" s="52"/>
      <c r="H30" s="52"/>
      <c r="I30" s="53">
        <f>SUBTOTAL(9,G30:H30)</f>
        <v>0</v>
      </c>
      <c r="J30" s="58">
        <v>19</v>
      </c>
      <c r="K30" s="58">
        <v>20</v>
      </c>
      <c r="L30" s="52"/>
      <c r="M30" s="52"/>
      <c r="N30" s="53">
        <f>SUBTOTAL(9,J30:M30)</f>
        <v>39</v>
      </c>
      <c r="O30" s="52"/>
      <c r="P30" s="53">
        <f>SUBTOTAL(9,O30:O30)</f>
        <v>0</v>
      </c>
      <c r="Q30" s="53">
        <f>SUBTOTAL(9,C30:O30)</f>
        <v>39</v>
      </c>
      <c r="R30" s="54">
        <v>116</v>
      </c>
      <c r="S30" s="52"/>
      <c r="T30" s="55">
        <f>SUBTOTAL(9,S30:S30)</f>
        <v>0</v>
      </c>
      <c r="U30" s="56">
        <f>T30+IF($B26=2,0,U26)</f>
        <v>0</v>
      </c>
      <c r="V30" s="58">
        <v>1</v>
      </c>
      <c r="W30" s="52"/>
      <c r="X30" s="52"/>
      <c r="Y30" s="52"/>
      <c r="Z30" s="55">
        <f>SUBTOTAL(9,V30:Y30)</f>
        <v>1</v>
      </c>
      <c r="AA30" s="56">
        <f>Z30+IF($B26=2,0,AA26)</f>
        <v>1</v>
      </c>
      <c r="AB30" s="52"/>
      <c r="AC30" s="52"/>
      <c r="AD30" s="52"/>
      <c r="AE30" s="55">
        <f>SUBTOTAL(9,AB30:AD30)</f>
        <v>0</v>
      </c>
      <c r="AF30" s="56">
        <f>AE30+IF($B26=2,0,AF26)</f>
        <v>14.7</v>
      </c>
      <c r="AG30" s="52"/>
      <c r="AH30" s="57">
        <f>SUBTOTAL(9,AG30:AG30)</f>
        <v>0</v>
      </c>
      <c r="AI30" s="58">
        <v>11.818</v>
      </c>
      <c r="AJ30" s="52"/>
      <c r="AK30" s="52"/>
      <c r="AL30" s="52"/>
      <c r="AM30" s="52"/>
      <c r="AN30" s="52"/>
      <c r="AO30" s="57">
        <f>SUBTOTAL(9,AI30:AN30)</f>
        <v>11.818</v>
      </c>
      <c r="AP30" s="53">
        <f>SUBTOTAL(9,AG30:AN30)</f>
        <v>11.818</v>
      </c>
      <c r="AQ30" s="54">
        <f>AP30+IF($B26=2,0,AQ26)</f>
        <v>95.817999999999998</v>
      </c>
      <c r="AR30" s="59">
        <v>240</v>
      </c>
      <c r="AS30" s="60">
        <v>1.6</v>
      </c>
      <c r="AT30" s="60">
        <v>21.484999999999999</v>
      </c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3">
        <f>SUBTOTAL(9,AS30:BP30)</f>
        <v>23.085000000000001</v>
      </c>
      <c r="BR30" s="57">
        <f>BQ30+IF($B26=2,0,BR26)</f>
        <v>162.37866666663331</v>
      </c>
      <c r="BS30" s="52"/>
      <c r="BT30" s="52"/>
      <c r="BU30" s="52"/>
      <c r="BV30" s="52"/>
      <c r="BW30" s="53">
        <f>SUBTOTAL(9,BS30:BV30)</f>
        <v>0</v>
      </c>
      <c r="BX30" s="53">
        <f>BW30+IF($B26=2,0,BX26)</f>
        <v>0</v>
      </c>
      <c r="BY30" s="61"/>
      <c r="BZ30" s="61"/>
      <c r="CA30" s="62">
        <f>SUMIF($C$5:BZ$5,"Накопленный эффект, т/сут",$C30:BZ30)+SUMIF($C$5:BZ$5,"Нараст.  по потенциалу",$C30:BZ30)-SUMIF($C$5:BZ$5,"Нараст. по остановкам",$C30:BZ30)-SUMIF($C$5:BZ$5,"ИТОГО перевод в ППД",$C30:BZ30)-SUMIF($C$5:BZ$5,"ИТОГО  нерент, по распоряж.",$C30:BZ30)-SUMIF($C$5:BZ$5,"ИТОГО ост. дебит от ЗБС, Углуб., ПВЛГ/ПНЛГ",$C30:BZ30)</f>
        <v>65.139333333366665</v>
      </c>
      <c r="CB30" s="53">
        <v>53.2</v>
      </c>
      <c r="CC30" s="53">
        <v>10.686980904303001</v>
      </c>
      <c r="CD30" s="53">
        <v>6.6486129032257999</v>
      </c>
      <c r="CE30" s="53">
        <v>1.09001018976425</v>
      </c>
      <c r="CF30" s="53">
        <f>SUBTOTAL(9,CB30:CE30)</f>
        <v>71.625603997293041</v>
      </c>
      <c r="CG30" s="114" t="s">
        <v>2</v>
      </c>
      <c r="CH30" s="64">
        <f>CH$4+SUMIF($C$5:CF$5,"Нараст. по остановкам",$C30:CF30)-SUMIF($C$5:CF$5,"Нараст.  по потенциалу",$C30:CF30)</f>
        <v>771.02581991182137</v>
      </c>
      <c r="CI30" s="16"/>
    </row>
    <row r="31" spans="1:87" ht="1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>
        <v>1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16"/>
    </row>
    <row r="32" spans="1:87" ht="11.25" customHeight="1" x14ac:dyDescent="0.25">
      <c r="A32" s="134">
        <v>45388</v>
      </c>
      <c r="B32" s="17" t="s">
        <v>46</v>
      </c>
      <c r="C32" s="18"/>
      <c r="D32" s="18"/>
      <c r="E32" s="18"/>
      <c r="F32" s="19">
        <v>0</v>
      </c>
      <c r="G32" s="18"/>
      <c r="H32" s="18"/>
      <c r="I32" s="19">
        <v>0</v>
      </c>
      <c r="J32" s="18"/>
      <c r="K32" s="18"/>
      <c r="L32" s="18"/>
      <c r="M32" s="18"/>
      <c r="N32" s="19">
        <v>116</v>
      </c>
      <c r="O32" s="18"/>
      <c r="P32" s="19">
        <v>0</v>
      </c>
      <c r="Q32" s="19">
        <v>116</v>
      </c>
      <c r="R32" s="20"/>
      <c r="S32" s="18"/>
      <c r="T32" s="21"/>
      <c r="U32" s="22"/>
      <c r="V32" s="18"/>
      <c r="W32" s="18"/>
      <c r="X32" s="18"/>
      <c r="Y32" s="18"/>
      <c r="Z32" s="21"/>
      <c r="AA32" s="22"/>
      <c r="AB32" s="18"/>
      <c r="AC32" s="18"/>
      <c r="AD32" s="18"/>
      <c r="AE32" s="21"/>
      <c r="AF32" s="22"/>
      <c r="AG32" s="18"/>
      <c r="AH32" s="23">
        <v>0</v>
      </c>
      <c r="AI32" s="18"/>
      <c r="AJ32" s="18"/>
      <c r="AK32" s="18"/>
      <c r="AL32" s="18"/>
      <c r="AM32" s="18"/>
      <c r="AN32" s="18"/>
      <c r="AO32" s="23">
        <v>95.817999999999998</v>
      </c>
      <c r="AP32" s="19">
        <v>95.817999999999998</v>
      </c>
      <c r="AQ32" s="20"/>
      <c r="AR32" s="25"/>
      <c r="AS32" s="26" t="s">
        <v>50</v>
      </c>
      <c r="AT32" s="26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27"/>
      <c r="BR32" s="28"/>
      <c r="BS32" s="18"/>
      <c r="BT32" s="18"/>
      <c r="BU32" s="18"/>
      <c r="BV32" s="18"/>
      <c r="BW32" s="27"/>
      <c r="BX32" s="27"/>
      <c r="BY32" s="29"/>
      <c r="BZ32" s="29"/>
      <c r="CA32" s="30"/>
      <c r="CB32" s="32"/>
      <c r="CC32" s="32"/>
      <c r="CD32" s="31"/>
      <c r="CE32" s="32"/>
      <c r="CF32" s="32"/>
      <c r="CG32" s="135">
        <f>CG$4+SUMIF($C$5:CF$5,"Нараст. баланс",$C34:CF34)+SUMIF($C$7:CD$7,"Итого (с ВНР)",$C34:CD34)-SUMIF($C$5:CF$5,"Геол. снижение,  т/сут",$C34:CF34)-SUMIF(CE$7:CF$7,"Итого",CE34:CF34)-SUMIF($C$7:CF$7,"Итого (с ВСП)",$C34:CF34)</f>
        <v>29833.995705550868</v>
      </c>
      <c r="CH32" s="33"/>
      <c r="CI32" s="16"/>
    </row>
    <row r="33" spans="1:87" ht="11.25" customHeight="1" x14ac:dyDescent="0.25">
      <c r="A33" s="114" t="s">
        <v>2</v>
      </c>
      <c r="B33" s="34" t="s">
        <v>47</v>
      </c>
      <c r="C33" s="35"/>
      <c r="D33" s="35"/>
      <c r="E33" s="35"/>
      <c r="F33" s="36">
        <v>0</v>
      </c>
      <c r="G33" s="35"/>
      <c r="H33" s="35"/>
      <c r="I33" s="36">
        <v>0</v>
      </c>
      <c r="J33" s="35"/>
      <c r="K33" s="35"/>
      <c r="L33" s="35"/>
      <c r="M33" s="35"/>
      <c r="N33" s="36">
        <v>0</v>
      </c>
      <c r="O33" s="35"/>
      <c r="P33" s="36">
        <v>0</v>
      </c>
      <c r="Q33" s="36">
        <v>0</v>
      </c>
      <c r="R33" s="37"/>
      <c r="S33" s="35"/>
      <c r="T33" s="38">
        <f>SUBTOTAL(9,S35:S35)</f>
        <v>0</v>
      </c>
      <c r="U33" s="39"/>
      <c r="V33" s="35"/>
      <c r="W33" s="35"/>
      <c r="X33" s="35"/>
      <c r="Y33" s="35"/>
      <c r="Z33" s="38">
        <f>SUBTOTAL(9,V35:Y35)</f>
        <v>0</v>
      </c>
      <c r="AA33" s="39"/>
      <c r="AB33" s="35"/>
      <c r="AC33" s="35"/>
      <c r="AD33" s="35"/>
      <c r="AE33" s="38">
        <f>SUBTOTAL(9,AB35:AD35)</f>
        <v>0</v>
      </c>
      <c r="AF33" s="39"/>
      <c r="AG33" s="35"/>
      <c r="AH33" s="40">
        <f>SUBTOTAL(9,AG35:AG35)</f>
        <v>0</v>
      </c>
      <c r="AI33" s="35"/>
      <c r="AJ33" s="35"/>
      <c r="AK33" s="35"/>
      <c r="AL33" s="35"/>
      <c r="AM33" s="35"/>
      <c r="AN33" s="35"/>
      <c r="AO33" s="40">
        <f>SUBTOTAL(9,AI35:AN35)</f>
        <v>0</v>
      </c>
      <c r="AP33" s="36">
        <f>SUBTOTAL(9,AG35:AN35)</f>
        <v>0</v>
      </c>
      <c r="AQ33" s="37"/>
      <c r="AR33" s="42"/>
      <c r="AS33" s="43" t="s">
        <v>65</v>
      </c>
      <c r="AT33" s="43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6">
        <f>SUBTOTAL(9,AS35:BP35)</f>
        <v>1</v>
      </c>
      <c r="BR33" s="44"/>
      <c r="BS33" s="35"/>
      <c r="BT33" s="35"/>
      <c r="BU33" s="35"/>
      <c r="BV33" s="35"/>
      <c r="BW33" s="36">
        <f>SUBTOTAL(3,BS33:BV33)</f>
        <v>0</v>
      </c>
      <c r="BX33" s="45"/>
      <c r="BY33" s="46"/>
      <c r="BZ33" s="46"/>
      <c r="CA33" s="47"/>
      <c r="CB33" s="49"/>
      <c r="CC33" s="49"/>
      <c r="CD33" s="48"/>
      <c r="CE33" s="49"/>
      <c r="CF33" s="49"/>
      <c r="CG33" s="114" t="s">
        <v>2</v>
      </c>
      <c r="CH33" s="50"/>
      <c r="CI33" s="16"/>
    </row>
    <row r="34" spans="1:87" ht="11.25" customHeight="1" x14ac:dyDescent="0.25">
      <c r="A34" s="114" t="s">
        <v>2</v>
      </c>
      <c r="B34" s="51" t="s">
        <v>44</v>
      </c>
      <c r="C34" s="52"/>
      <c r="D34" s="52"/>
      <c r="E34" s="52"/>
      <c r="F34" s="53">
        <f>SUBTOTAL(9,C34:E34)</f>
        <v>0</v>
      </c>
      <c r="G34" s="52"/>
      <c r="H34" s="52"/>
      <c r="I34" s="53">
        <f>SUBTOTAL(9,G34:H34)</f>
        <v>0</v>
      </c>
      <c r="J34" s="52"/>
      <c r="K34" s="52"/>
      <c r="L34" s="52"/>
      <c r="M34" s="52"/>
      <c r="N34" s="53">
        <f>SUBTOTAL(9,J34:M34)</f>
        <v>0</v>
      </c>
      <c r="O34" s="52"/>
      <c r="P34" s="53">
        <f>SUBTOTAL(9,O34:O34)</f>
        <v>0</v>
      </c>
      <c r="Q34" s="53">
        <f>SUBTOTAL(9,C34:O34)</f>
        <v>0</v>
      </c>
      <c r="R34" s="54">
        <v>116</v>
      </c>
      <c r="S34" s="52"/>
      <c r="T34" s="55">
        <f>SUBTOTAL(9,S34:S34)</f>
        <v>0</v>
      </c>
      <c r="U34" s="56">
        <f>T34+IF($B30=2,0,U30)</f>
        <v>0</v>
      </c>
      <c r="V34" s="52"/>
      <c r="W34" s="52"/>
      <c r="X34" s="52"/>
      <c r="Y34" s="52"/>
      <c r="Z34" s="55">
        <f>SUBTOTAL(9,V34:Y34)</f>
        <v>0</v>
      </c>
      <c r="AA34" s="56">
        <f>Z34+IF($B30=2,0,AA30)</f>
        <v>1</v>
      </c>
      <c r="AB34" s="52"/>
      <c r="AC34" s="52"/>
      <c r="AD34" s="52"/>
      <c r="AE34" s="55">
        <f>SUBTOTAL(9,AB34:AD34)</f>
        <v>0</v>
      </c>
      <c r="AF34" s="56">
        <f>AE34+IF($B30=2,0,AF30)</f>
        <v>14.7</v>
      </c>
      <c r="AG34" s="52"/>
      <c r="AH34" s="57">
        <f>SUBTOTAL(9,AG34:AG34)</f>
        <v>0</v>
      </c>
      <c r="AI34" s="52"/>
      <c r="AJ34" s="52"/>
      <c r="AK34" s="52"/>
      <c r="AL34" s="52"/>
      <c r="AM34" s="52"/>
      <c r="AN34" s="52"/>
      <c r="AO34" s="57">
        <f>SUBTOTAL(9,AI34:AN34)</f>
        <v>0</v>
      </c>
      <c r="AP34" s="53">
        <f>SUBTOTAL(9,AG34:AN34)</f>
        <v>0</v>
      </c>
      <c r="AQ34" s="54">
        <f>AP34+IF($B30=2,0,AQ30)</f>
        <v>95.817999999999998</v>
      </c>
      <c r="AR34" s="59">
        <v>288</v>
      </c>
      <c r="AS34" s="60">
        <v>3.7</v>
      </c>
      <c r="AT34" s="60">
        <v>4.9000000000000004</v>
      </c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3">
        <f>SUBTOTAL(9,AS34:BP34)</f>
        <v>8.6000000000000014</v>
      </c>
      <c r="BR34" s="57">
        <f>BQ34+IF($B30=2,0,BR30)</f>
        <v>170.9786666666333</v>
      </c>
      <c r="BS34" s="52"/>
      <c r="BT34" s="52"/>
      <c r="BU34" s="52"/>
      <c r="BV34" s="52"/>
      <c r="BW34" s="53">
        <f>SUBTOTAL(9,BS34:BV34)</f>
        <v>0</v>
      </c>
      <c r="BX34" s="53">
        <f>BW34+IF($B30=2,0,BX30)</f>
        <v>0</v>
      </c>
      <c r="BY34" s="61"/>
      <c r="BZ34" s="61"/>
      <c r="CA34" s="62">
        <f>SUMIF($C$5:BZ$5,"Накопленный эффект, т/сут",$C34:BZ34)+SUMIF($C$5:BZ$5,"Нараст.  по потенциалу",$C34:BZ34)-SUMIF($C$5:BZ$5,"Нараст. по остановкам",$C34:BZ34)-SUMIF($C$5:BZ$5,"ИТОГО перевод в ППД",$C34:BZ34)-SUMIF($C$5:BZ$5,"ИТОГО  нерент, по распоряж.",$C34:BZ34)-SUMIF($C$5:BZ$5,"ИТОГО ост. дебит от ЗБС, Углуб., ПВЛГ/ПНЛГ",$C34:BZ34)</f>
        <v>56.53933333336667</v>
      </c>
      <c r="CB34" s="53">
        <v>53.2</v>
      </c>
      <c r="CC34" s="53">
        <v>9.1226766330729294</v>
      </c>
      <c r="CD34" s="63"/>
      <c r="CE34" s="53">
        <v>0.241951149425288</v>
      </c>
      <c r="CF34" s="53">
        <f>SUBTOTAL(9,CB34:CE34)</f>
        <v>62.564627782498221</v>
      </c>
      <c r="CG34" s="114" t="s">
        <v>2</v>
      </c>
      <c r="CH34" s="64">
        <f>CH$4+SUMIF($C$5:CF$5,"Нараст. по остановкам",$C34:CF34)-SUMIF($C$5:CF$5,"Нараст.  по потенциалу",$C34:CF34)</f>
        <v>779.6258199118214</v>
      </c>
      <c r="CI34" s="16"/>
    </row>
    <row r="35" spans="1:87" ht="1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16"/>
    </row>
    <row r="36" spans="1:87" ht="11.25" customHeight="1" x14ac:dyDescent="0.25">
      <c r="A36" s="134">
        <v>45389</v>
      </c>
      <c r="B36" s="17" t="s">
        <v>46</v>
      </c>
      <c r="C36" s="24" t="s">
        <v>66</v>
      </c>
      <c r="D36" s="18"/>
      <c r="E36" s="18"/>
      <c r="F36" s="19">
        <v>400</v>
      </c>
      <c r="G36" s="18"/>
      <c r="H36" s="18"/>
      <c r="I36" s="19">
        <v>0</v>
      </c>
      <c r="J36" s="18"/>
      <c r="K36" s="18"/>
      <c r="L36" s="18"/>
      <c r="M36" s="18"/>
      <c r="N36" s="19">
        <v>116</v>
      </c>
      <c r="O36" s="18"/>
      <c r="P36" s="19">
        <v>0</v>
      </c>
      <c r="Q36" s="19">
        <v>516</v>
      </c>
      <c r="R36" s="20"/>
      <c r="S36" s="18"/>
      <c r="T36" s="21"/>
      <c r="U36" s="22"/>
      <c r="V36" s="18"/>
      <c r="W36" s="18"/>
      <c r="X36" s="18"/>
      <c r="Y36" s="18"/>
      <c r="Z36" s="21"/>
      <c r="AA36" s="22"/>
      <c r="AB36" s="18"/>
      <c r="AC36" s="18"/>
      <c r="AD36" s="18"/>
      <c r="AE36" s="21"/>
      <c r="AF36" s="22"/>
      <c r="AG36" s="18"/>
      <c r="AH36" s="23">
        <v>0</v>
      </c>
      <c r="AI36" s="24"/>
      <c r="AJ36" s="18"/>
      <c r="AK36" s="18"/>
      <c r="AL36" s="18"/>
      <c r="AM36" s="18"/>
      <c r="AN36" s="18"/>
      <c r="AO36" s="23">
        <v>110.818</v>
      </c>
      <c r="AP36" s="19">
        <v>110.818</v>
      </c>
      <c r="AQ36" s="20"/>
      <c r="AR36" s="25"/>
      <c r="AS36" s="26" t="s">
        <v>49</v>
      </c>
      <c r="AT36" s="26" t="s">
        <v>50</v>
      </c>
      <c r="AU36" s="26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27"/>
      <c r="BR36" s="28"/>
      <c r="BS36" s="18"/>
      <c r="BT36" s="18"/>
      <c r="BU36" s="18"/>
      <c r="BV36" s="18"/>
      <c r="BW36" s="27"/>
      <c r="BX36" s="27"/>
      <c r="BY36" s="29"/>
      <c r="BZ36" s="29"/>
      <c r="CA36" s="30"/>
      <c r="CB36" s="32"/>
      <c r="CC36" s="32"/>
      <c r="CD36" s="31"/>
      <c r="CE36" s="32"/>
      <c r="CF36" s="32"/>
      <c r="CG36" s="135">
        <f>CG$4+SUMIF($C$5:CF$5,"Нараст. баланс",$C38:CF38)+SUMIF($C$7:CD$7,"Итого (с ВНР)",$C38:CD38)-SUMIF($C$5:CF$5,"Геол. снижение,  т/сут",$C38:CF38)-SUMIF(CE$7:CF$7,"Итого",CE38:CF38)-SUMIF($C$7:CF$7,"Итого (с ВСП)",$C38:CF38)</f>
        <v>30126.972141909224</v>
      </c>
      <c r="CH36" s="33"/>
      <c r="CI36" s="16"/>
    </row>
    <row r="37" spans="1:87" ht="11.25" customHeight="1" x14ac:dyDescent="0.25">
      <c r="A37" s="114" t="s">
        <v>2</v>
      </c>
      <c r="B37" s="34" t="s">
        <v>47</v>
      </c>
      <c r="C37" s="41" t="s">
        <v>67</v>
      </c>
      <c r="D37" s="35"/>
      <c r="E37" s="35"/>
      <c r="F37" s="36">
        <v>1</v>
      </c>
      <c r="G37" s="35"/>
      <c r="H37" s="35"/>
      <c r="I37" s="36">
        <v>0</v>
      </c>
      <c r="J37" s="35"/>
      <c r="K37" s="35"/>
      <c r="L37" s="35"/>
      <c r="M37" s="35"/>
      <c r="N37" s="36">
        <v>0</v>
      </c>
      <c r="O37" s="35"/>
      <c r="P37" s="36">
        <v>0</v>
      </c>
      <c r="Q37" s="36">
        <v>1</v>
      </c>
      <c r="R37" s="37"/>
      <c r="S37" s="35"/>
      <c r="T37" s="38">
        <f>SUBTOTAL(9,S39:S39)</f>
        <v>0</v>
      </c>
      <c r="U37" s="39"/>
      <c r="V37" s="35"/>
      <c r="W37" s="35"/>
      <c r="X37" s="35"/>
      <c r="Y37" s="35"/>
      <c r="Z37" s="38">
        <f>SUBTOTAL(9,V39:Y39)</f>
        <v>0</v>
      </c>
      <c r="AA37" s="39"/>
      <c r="AB37" s="35"/>
      <c r="AC37" s="35"/>
      <c r="AD37" s="35"/>
      <c r="AE37" s="38">
        <f>SUBTOTAL(9,AB39:AD39)</f>
        <v>0</v>
      </c>
      <c r="AF37" s="39"/>
      <c r="AG37" s="35"/>
      <c r="AH37" s="40">
        <f>SUBTOTAL(9,AG39:AG39)</f>
        <v>0</v>
      </c>
      <c r="AI37" s="41"/>
      <c r="AJ37" s="35"/>
      <c r="AK37" s="35"/>
      <c r="AL37" s="35"/>
      <c r="AM37" s="35"/>
      <c r="AN37" s="35"/>
      <c r="AO37" s="40">
        <f>SUBTOTAL(9,AI39:AN39)</f>
        <v>0</v>
      </c>
      <c r="AP37" s="36">
        <f>SUBTOTAL(9,AG39:AN39)</f>
        <v>0</v>
      </c>
      <c r="AQ37" s="37"/>
      <c r="AR37" s="42"/>
      <c r="AS37" s="43" t="s">
        <v>68</v>
      </c>
      <c r="AT37" s="43" t="s">
        <v>69</v>
      </c>
      <c r="AU37" s="43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6">
        <f>SUBTOTAL(9,AS39:BP39)</f>
        <v>2</v>
      </c>
      <c r="BR37" s="44"/>
      <c r="BS37" s="35"/>
      <c r="BT37" s="35"/>
      <c r="BU37" s="35"/>
      <c r="BV37" s="35"/>
      <c r="BW37" s="36">
        <f>SUBTOTAL(3,BS37:BV37)</f>
        <v>0</v>
      </c>
      <c r="BX37" s="45"/>
      <c r="BY37" s="46"/>
      <c r="BZ37" s="46"/>
      <c r="CA37" s="47"/>
      <c r="CB37" s="49"/>
      <c r="CC37" s="49"/>
      <c r="CD37" s="48"/>
      <c r="CE37" s="49"/>
      <c r="CF37" s="49"/>
      <c r="CG37" s="114" t="s">
        <v>2</v>
      </c>
      <c r="CH37" s="50"/>
      <c r="CI37" s="16"/>
    </row>
    <row r="38" spans="1:87" ht="11.25" customHeight="1" x14ac:dyDescent="0.25">
      <c r="A38" s="114" t="s">
        <v>2</v>
      </c>
      <c r="B38" s="51" t="s">
        <v>44</v>
      </c>
      <c r="C38" s="58">
        <v>400</v>
      </c>
      <c r="D38" s="52"/>
      <c r="E38" s="52"/>
      <c r="F38" s="53">
        <f>SUBTOTAL(9,C38:E38)</f>
        <v>400</v>
      </c>
      <c r="G38" s="52"/>
      <c r="H38" s="52"/>
      <c r="I38" s="53">
        <f>SUBTOTAL(9,G38:H38)</f>
        <v>0</v>
      </c>
      <c r="J38" s="52"/>
      <c r="K38" s="52"/>
      <c r="L38" s="52"/>
      <c r="M38" s="52"/>
      <c r="N38" s="53">
        <f>SUBTOTAL(9,J38:M38)</f>
        <v>0</v>
      </c>
      <c r="O38" s="52"/>
      <c r="P38" s="53">
        <f>SUBTOTAL(9,O38:O38)</f>
        <v>0</v>
      </c>
      <c r="Q38" s="53">
        <f>SUBTOTAL(9,C38:O38)</f>
        <v>400</v>
      </c>
      <c r="R38" s="54">
        <v>516</v>
      </c>
      <c r="S38" s="52"/>
      <c r="T38" s="55">
        <f>SUBTOTAL(9,S38:S38)</f>
        <v>0</v>
      </c>
      <c r="U38" s="56">
        <f>T38+IF($B34=2,0,U34)</f>
        <v>0</v>
      </c>
      <c r="V38" s="52"/>
      <c r="W38" s="52"/>
      <c r="X38" s="52"/>
      <c r="Y38" s="52"/>
      <c r="Z38" s="55">
        <f>SUBTOTAL(9,V38:Y38)</f>
        <v>0</v>
      </c>
      <c r="AA38" s="56">
        <f>Z38+IF($B34=2,0,AA34)</f>
        <v>1</v>
      </c>
      <c r="AB38" s="52"/>
      <c r="AC38" s="52"/>
      <c r="AD38" s="52"/>
      <c r="AE38" s="55">
        <f>SUBTOTAL(9,AB38:AD38)</f>
        <v>0</v>
      </c>
      <c r="AF38" s="56">
        <f>AE38+IF($B34=2,0,AF34)</f>
        <v>14.7</v>
      </c>
      <c r="AG38" s="52"/>
      <c r="AH38" s="57">
        <f>SUBTOTAL(9,AG38:AG38)</f>
        <v>0</v>
      </c>
      <c r="AI38" s="58">
        <v>15</v>
      </c>
      <c r="AJ38" s="52"/>
      <c r="AK38" s="52"/>
      <c r="AL38" s="52"/>
      <c r="AM38" s="52"/>
      <c r="AN38" s="52"/>
      <c r="AO38" s="57">
        <f>SUBTOTAL(9,AI38:AN38)</f>
        <v>15</v>
      </c>
      <c r="AP38" s="53">
        <f>SUBTOTAL(9,AG38:AN38)</f>
        <v>15</v>
      </c>
      <c r="AQ38" s="54">
        <f>AP38+IF($B34=2,0,AQ34)</f>
        <v>110.818</v>
      </c>
      <c r="AR38" s="59">
        <v>336</v>
      </c>
      <c r="AS38" s="60">
        <v>2.4</v>
      </c>
      <c r="AT38" s="60">
        <v>1.2</v>
      </c>
      <c r="AU38" s="60">
        <v>19.3</v>
      </c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3">
        <f>SUBTOTAL(9,AS38:BP38)</f>
        <v>22.9</v>
      </c>
      <c r="BR38" s="57">
        <f>BQ38+IF($B34=2,0,BR34)</f>
        <v>193.87866666663331</v>
      </c>
      <c r="BS38" s="52"/>
      <c r="BT38" s="52"/>
      <c r="BU38" s="52"/>
      <c r="BV38" s="52"/>
      <c r="BW38" s="53">
        <f>SUBTOTAL(9,BS38:BV38)</f>
        <v>0</v>
      </c>
      <c r="BX38" s="53">
        <f>BW38+IF($B34=2,0,BX34)</f>
        <v>0</v>
      </c>
      <c r="BY38" s="61">
        <v>54.8</v>
      </c>
      <c r="BZ38" s="61">
        <v>54.8</v>
      </c>
      <c r="CA38" s="62">
        <f>SUMIF($C$5:BZ$5,"Накопленный эффект, т/сут",$C38:BZ38)+SUMIF($C$5:BZ$5,"Нараст.  по потенциалу",$C38:BZ38)-SUMIF($C$5:BZ$5,"Нараст. по остановкам",$C38:BZ38)-SUMIF($C$5:BZ$5,"ИТОГО перевод в ППД",$C38:BZ38)-SUMIF($C$5:BZ$5,"ИТОГО  нерент, по распоряж.",$C38:BZ38)-SUMIF($C$5:BZ$5,"ИТОГО ост. дебит от ЗБС, Углуб., ПВЛГ/ПНЛГ",$C38:BZ38)</f>
        <v>448.63933333336672</v>
      </c>
      <c r="CB38" s="53">
        <v>53.2</v>
      </c>
      <c r="CC38" s="53">
        <v>4.7469414241418697</v>
      </c>
      <c r="CD38" s="63"/>
      <c r="CE38" s="53">
        <v>0.94125000000000003</v>
      </c>
      <c r="CF38" s="53">
        <f>SUBTOTAL(9,CB38:CE38)</f>
        <v>58.888191424141866</v>
      </c>
      <c r="CG38" s="114" t="s">
        <v>2</v>
      </c>
      <c r="CH38" s="64">
        <f>CH$4+SUMIF($C$5:CF$5,"Нараст. по остановкам",$C38:CF38)-SUMIF($C$5:CF$5,"Нараст.  по потенциалу",$C38:CF38)</f>
        <v>787.52581991182137</v>
      </c>
      <c r="CI38" s="16"/>
    </row>
    <row r="39" spans="1:87" ht="1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>
        <v>1</v>
      </c>
      <c r="AT39" s="2">
        <v>1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16"/>
    </row>
    <row r="40" spans="1:87" ht="11.25" customHeight="1" x14ac:dyDescent="0.25">
      <c r="A40" s="134">
        <v>45390</v>
      </c>
      <c r="B40" s="17" t="s">
        <v>46</v>
      </c>
      <c r="C40" s="24" t="s">
        <v>70</v>
      </c>
      <c r="D40" s="18"/>
      <c r="E40" s="18"/>
      <c r="F40" s="19">
        <v>440</v>
      </c>
      <c r="G40" s="18"/>
      <c r="H40" s="18"/>
      <c r="I40" s="19">
        <v>0</v>
      </c>
      <c r="J40" s="24" t="s">
        <v>48</v>
      </c>
      <c r="K40" s="18"/>
      <c r="L40" s="18"/>
      <c r="M40" s="18"/>
      <c r="N40" s="19">
        <v>138</v>
      </c>
      <c r="O40" s="18"/>
      <c r="P40" s="19">
        <v>0</v>
      </c>
      <c r="Q40" s="19">
        <v>578</v>
      </c>
      <c r="R40" s="20"/>
      <c r="S40" s="18"/>
      <c r="T40" s="21"/>
      <c r="U40" s="22"/>
      <c r="V40" s="18"/>
      <c r="W40" s="18"/>
      <c r="X40" s="18"/>
      <c r="Y40" s="18"/>
      <c r="Z40" s="21"/>
      <c r="AA40" s="22"/>
      <c r="AB40" s="18"/>
      <c r="AC40" s="18"/>
      <c r="AD40" s="18"/>
      <c r="AE40" s="21"/>
      <c r="AF40" s="22"/>
      <c r="AG40" s="18"/>
      <c r="AH40" s="23">
        <v>0</v>
      </c>
      <c r="AI40" s="24"/>
      <c r="AJ40" s="18"/>
      <c r="AK40" s="18"/>
      <c r="AL40" s="18"/>
      <c r="AM40" s="18"/>
      <c r="AN40" s="18"/>
      <c r="AO40" s="23">
        <v>113.718</v>
      </c>
      <c r="AP40" s="19">
        <v>113.718</v>
      </c>
      <c r="AQ40" s="20"/>
      <c r="AR40" s="25"/>
      <c r="AS40" s="26" t="s">
        <v>71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27"/>
      <c r="BR40" s="28"/>
      <c r="BS40" s="18"/>
      <c r="BT40" s="18"/>
      <c r="BU40" s="18"/>
      <c r="BV40" s="18"/>
      <c r="BW40" s="27"/>
      <c r="BX40" s="27"/>
      <c r="BY40" s="29"/>
      <c r="BZ40" s="29"/>
      <c r="CA40" s="30"/>
      <c r="CB40" s="32"/>
      <c r="CC40" s="32"/>
      <c r="CD40" s="31"/>
      <c r="CE40" s="32"/>
      <c r="CF40" s="32"/>
      <c r="CG40" s="135">
        <f>CG$4+SUMIF($C$5:CF$5,"Нараст. баланс",$C42:CF42)+SUMIF($C$7:CD$7,"Итого (с ВНР)",$C42:CD42)-SUMIF($C$5:CF$5,"Геол. снижение,  т/сут",$C42:CF42)-SUMIF(CE$7:CF$7,"Итого",CE42:CF42)-SUMIF($C$7:CF$7,"Итого (с ВСП)",$C42:CF42)</f>
        <v>30092.59991439178</v>
      </c>
      <c r="CH40" s="33"/>
      <c r="CI40" s="16"/>
    </row>
    <row r="41" spans="1:87" ht="11.25" customHeight="1" x14ac:dyDescent="0.25">
      <c r="A41" s="114" t="s">
        <v>2</v>
      </c>
      <c r="B41" s="34" t="s">
        <v>47</v>
      </c>
      <c r="C41" s="41" t="s">
        <v>72</v>
      </c>
      <c r="D41" s="35"/>
      <c r="E41" s="35"/>
      <c r="F41" s="36">
        <v>1</v>
      </c>
      <c r="G41" s="35"/>
      <c r="H41" s="35"/>
      <c r="I41" s="36">
        <v>0</v>
      </c>
      <c r="J41" s="41" t="s">
        <v>73</v>
      </c>
      <c r="K41" s="35"/>
      <c r="L41" s="35"/>
      <c r="M41" s="35"/>
      <c r="N41" s="36">
        <v>1</v>
      </c>
      <c r="O41" s="35"/>
      <c r="P41" s="36">
        <v>0</v>
      </c>
      <c r="Q41" s="36">
        <v>2</v>
      </c>
      <c r="R41" s="37"/>
      <c r="S41" s="35"/>
      <c r="T41" s="38">
        <f>SUBTOTAL(9,S43:S43)</f>
        <v>0</v>
      </c>
      <c r="U41" s="39"/>
      <c r="V41" s="35"/>
      <c r="W41" s="35"/>
      <c r="X41" s="35"/>
      <c r="Y41" s="35"/>
      <c r="Z41" s="38">
        <f>SUBTOTAL(9,V43:Y43)</f>
        <v>0</v>
      </c>
      <c r="AA41" s="39"/>
      <c r="AB41" s="35"/>
      <c r="AC41" s="35"/>
      <c r="AD41" s="35"/>
      <c r="AE41" s="38">
        <f>SUBTOTAL(9,AB43:AD43)</f>
        <v>0</v>
      </c>
      <c r="AF41" s="39"/>
      <c r="AG41" s="35"/>
      <c r="AH41" s="40">
        <f>SUBTOTAL(9,AG43:AG43)</f>
        <v>0</v>
      </c>
      <c r="AI41" s="41"/>
      <c r="AJ41" s="35"/>
      <c r="AK41" s="35"/>
      <c r="AL41" s="35"/>
      <c r="AM41" s="35"/>
      <c r="AN41" s="35"/>
      <c r="AO41" s="40">
        <f>SUBTOTAL(9,AI43:AN43)</f>
        <v>0</v>
      </c>
      <c r="AP41" s="36">
        <f>SUBTOTAL(9,AG43:AN43)</f>
        <v>0</v>
      </c>
      <c r="AQ41" s="37"/>
      <c r="AR41" s="42"/>
      <c r="AS41" s="43" t="s">
        <v>74</v>
      </c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6">
        <f>SUBTOTAL(9,AS43:BP43)</f>
        <v>1</v>
      </c>
      <c r="BR41" s="44"/>
      <c r="BS41" s="35"/>
      <c r="BT41" s="35"/>
      <c r="BU41" s="35"/>
      <c r="BV41" s="35"/>
      <c r="BW41" s="36">
        <f>SUBTOTAL(3,BS41:BV41)</f>
        <v>0</v>
      </c>
      <c r="BX41" s="45"/>
      <c r="BY41" s="46"/>
      <c r="BZ41" s="46"/>
      <c r="CA41" s="47"/>
      <c r="CB41" s="49"/>
      <c r="CC41" s="49"/>
      <c r="CD41" s="48"/>
      <c r="CE41" s="49"/>
      <c r="CF41" s="49"/>
      <c r="CG41" s="114" t="s">
        <v>2</v>
      </c>
      <c r="CH41" s="50"/>
      <c r="CI41" s="16"/>
    </row>
    <row r="42" spans="1:87" ht="11.25" customHeight="1" x14ac:dyDescent="0.25">
      <c r="A42" s="114" t="s">
        <v>2</v>
      </c>
      <c r="B42" s="51" t="s">
        <v>44</v>
      </c>
      <c r="C42" s="58">
        <v>40</v>
      </c>
      <c r="D42" s="52"/>
      <c r="E42" s="52"/>
      <c r="F42" s="53">
        <f>SUBTOTAL(9,C42:E42)</f>
        <v>40</v>
      </c>
      <c r="G42" s="52"/>
      <c r="H42" s="52"/>
      <c r="I42" s="53">
        <f>SUBTOTAL(9,G42:H42)</f>
        <v>0</v>
      </c>
      <c r="J42" s="58">
        <v>22</v>
      </c>
      <c r="K42" s="52"/>
      <c r="L42" s="52"/>
      <c r="M42" s="52"/>
      <c r="N42" s="53">
        <f>SUBTOTAL(9,J42:M42)</f>
        <v>22</v>
      </c>
      <c r="O42" s="52"/>
      <c r="P42" s="53">
        <f>SUBTOTAL(9,O42:O42)</f>
        <v>0</v>
      </c>
      <c r="Q42" s="53">
        <f>SUBTOTAL(9,C42:O42)</f>
        <v>62</v>
      </c>
      <c r="R42" s="54">
        <v>578</v>
      </c>
      <c r="S42" s="52"/>
      <c r="T42" s="55">
        <f>SUBTOTAL(9,S42:S42)</f>
        <v>0</v>
      </c>
      <c r="U42" s="56">
        <f>T42+IF($B38=2,0,U38)</f>
        <v>0</v>
      </c>
      <c r="V42" s="52"/>
      <c r="W42" s="52"/>
      <c r="X42" s="52"/>
      <c r="Y42" s="52"/>
      <c r="Z42" s="55">
        <f>SUBTOTAL(9,V42:Y42)</f>
        <v>0</v>
      </c>
      <c r="AA42" s="56">
        <f>Z42+IF($B38=2,0,AA38)</f>
        <v>1</v>
      </c>
      <c r="AB42" s="52"/>
      <c r="AC42" s="52"/>
      <c r="AD42" s="52"/>
      <c r="AE42" s="55">
        <f>SUBTOTAL(9,AB42:AD42)</f>
        <v>0</v>
      </c>
      <c r="AF42" s="56">
        <f>AE42+IF($B38=2,0,AF38)</f>
        <v>14.7</v>
      </c>
      <c r="AG42" s="52"/>
      <c r="AH42" s="57">
        <f>SUBTOTAL(9,AG42:AG42)</f>
        <v>0</v>
      </c>
      <c r="AI42" s="58">
        <v>2.9</v>
      </c>
      <c r="AJ42" s="52"/>
      <c r="AK42" s="52"/>
      <c r="AL42" s="52"/>
      <c r="AM42" s="52"/>
      <c r="AN42" s="52"/>
      <c r="AO42" s="57">
        <f>SUBTOTAL(9,AI42:AN42)</f>
        <v>2.9</v>
      </c>
      <c r="AP42" s="53">
        <f>SUBTOTAL(9,AG42:AN42)</f>
        <v>2.9</v>
      </c>
      <c r="AQ42" s="54">
        <f>AP42+IF($B38=2,0,AQ38)</f>
        <v>113.718</v>
      </c>
      <c r="AR42" s="59">
        <v>384</v>
      </c>
      <c r="AS42" s="60">
        <v>3.6</v>
      </c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3">
        <f>SUBTOTAL(9,AS42:BP42)</f>
        <v>3.6</v>
      </c>
      <c r="BR42" s="57">
        <f>BQ42+IF($B38=2,0,BR38)</f>
        <v>197.4786666666333</v>
      </c>
      <c r="BS42" s="52"/>
      <c r="BT42" s="52"/>
      <c r="BU42" s="52"/>
      <c r="BV42" s="52"/>
      <c r="BW42" s="53">
        <f>SUBTOTAL(9,BS42:BV42)</f>
        <v>0</v>
      </c>
      <c r="BX42" s="53">
        <f>BW42+IF($B38=2,0,BX38)</f>
        <v>0</v>
      </c>
      <c r="BY42" s="61">
        <v>15.4</v>
      </c>
      <c r="BZ42" s="61">
        <v>15.4</v>
      </c>
      <c r="CA42" s="62">
        <f>SUMIF($C$5:BZ$5,"Накопленный эффект, т/сут",$C42:BZ42)+SUMIF($C$5:BZ$5,"Нараст.  по потенциалу",$C42:BZ42)-SUMIF($C$5:BZ$5,"Нараст. по остановкам",$C42:BZ42)-SUMIF($C$5:BZ$5,"ИТОГО перевод в ППД",$C42:BZ42)-SUMIF($C$5:BZ$5,"ИТОГО  нерент, по распоряж.",$C42:BZ42)-SUMIF($C$5:BZ$5,"ИТОГО ост. дебит от ЗБС, Углуб., ПВЛГ/ПНЛГ",$C42:BZ42)</f>
        <v>509.93933333336668</v>
      </c>
      <c r="CB42" s="53">
        <v>53.2</v>
      </c>
      <c r="CC42" s="53">
        <v>60.5268074572299</v>
      </c>
      <c r="CD42" s="63"/>
      <c r="CE42" s="53">
        <v>32.233611484356999</v>
      </c>
      <c r="CF42" s="53">
        <f>SUBTOTAL(9,CB42:CE42)</f>
        <v>145.96041894158691</v>
      </c>
      <c r="CG42" s="114" t="s">
        <v>2</v>
      </c>
      <c r="CH42" s="64">
        <f>CH$4+SUMIF($C$5:CF$5,"Нараст. по остановкам",$C42:CF42)-SUMIF($C$5:CF$5,"Нараст.  по потенциалу",$C42:CF42)</f>
        <v>788.22581991182142</v>
      </c>
      <c r="CI42" s="16"/>
    </row>
    <row r="43" spans="1:87" ht="1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16"/>
    </row>
    <row r="44" spans="1:87" ht="11.25" customHeight="1" x14ac:dyDescent="0.25">
      <c r="A44" s="134">
        <v>45391</v>
      </c>
      <c r="B44" s="17" t="s">
        <v>46</v>
      </c>
      <c r="C44" s="18"/>
      <c r="D44" s="18"/>
      <c r="E44" s="18"/>
      <c r="F44" s="19">
        <v>440</v>
      </c>
      <c r="G44" s="18"/>
      <c r="H44" s="18"/>
      <c r="I44" s="19">
        <v>0</v>
      </c>
      <c r="J44" s="24" t="s">
        <v>50</v>
      </c>
      <c r="K44" s="18"/>
      <c r="L44" s="18"/>
      <c r="M44" s="18"/>
      <c r="N44" s="19">
        <v>157</v>
      </c>
      <c r="O44" s="18"/>
      <c r="P44" s="19">
        <v>0</v>
      </c>
      <c r="Q44" s="19">
        <v>597</v>
      </c>
      <c r="R44" s="20"/>
      <c r="S44" s="18"/>
      <c r="T44" s="21"/>
      <c r="U44" s="22"/>
      <c r="V44" s="18"/>
      <c r="W44" s="18"/>
      <c r="X44" s="18"/>
      <c r="Y44" s="18"/>
      <c r="Z44" s="21"/>
      <c r="AA44" s="22"/>
      <c r="AB44" s="18"/>
      <c r="AC44" s="18"/>
      <c r="AD44" s="18"/>
      <c r="AE44" s="21"/>
      <c r="AF44" s="22"/>
      <c r="AG44" s="18"/>
      <c r="AH44" s="23">
        <v>0</v>
      </c>
      <c r="AI44" s="24" t="s">
        <v>50</v>
      </c>
      <c r="AJ44" s="24"/>
      <c r="AK44" s="18"/>
      <c r="AL44" s="18"/>
      <c r="AM44" s="18"/>
      <c r="AN44" s="18"/>
      <c r="AO44" s="23">
        <v>129.41800000000001</v>
      </c>
      <c r="AP44" s="19">
        <v>129.41800000000001</v>
      </c>
      <c r="AQ44" s="20"/>
      <c r="AR44" s="25"/>
      <c r="AS44" s="26" t="s">
        <v>50</v>
      </c>
      <c r="AT44" s="26" t="s">
        <v>50</v>
      </c>
      <c r="AU44" s="26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27"/>
      <c r="BR44" s="28"/>
      <c r="BS44" s="18"/>
      <c r="BT44" s="18"/>
      <c r="BU44" s="18"/>
      <c r="BV44" s="18"/>
      <c r="BW44" s="27"/>
      <c r="BX44" s="27"/>
      <c r="BY44" s="29"/>
      <c r="BZ44" s="29"/>
      <c r="CA44" s="30"/>
      <c r="CB44" s="32"/>
      <c r="CC44" s="32"/>
      <c r="CD44" s="32"/>
      <c r="CE44" s="32"/>
      <c r="CF44" s="32"/>
      <c r="CG44" s="135">
        <f>CG$4+SUMIF($C$5:CF$5,"Нараст. баланс",$C46:CF46)+SUMIF($C$7:CD$7,"Итого (с ВНР)",$C46:CD46)-SUMIF($C$5:CF$5,"Геол. снижение,  т/сут",$C46:CF46)-SUMIF(CE$7:CF$7,"Итого",CE46:CF46)-SUMIF($C$7:CF$7,"Итого (с ВСП)",$C46:CF46)</f>
        <v>30035.246752647854</v>
      </c>
      <c r="CH44" s="33"/>
      <c r="CI44" s="16"/>
    </row>
    <row r="45" spans="1:87" ht="11.25" customHeight="1" x14ac:dyDescent="0.25">
      <c r="A45" s="114" t="s">
        <v>2</v>
      </c>
      <c r="B45" s="34" t="s">
        <v>47</v>
      </c>
      <c r="C45" s="35"/>
      <c r="D45" s="35"/>
      <c r="E45" s="35"/>
      <c r="F45" s="36">
        <v>0</v>
      </c>
      <c r="G45" s="35"/>
      <c r="H45" s="35"/>
      <c r="I45" s="36">
        <v>0</v>
      </c>
      <c r="J45" s="41" t="s">
        <v>75</v>
      </c>
      <c r="K45" s="35"/>
      <c r="L45" s="35"/>
      <c r="M45" s="35"/>
      <c r="N45" s="36">
        <v>1</v>
      </c>
      <c r="O45" s="35"/>
      <c r="P45" s="36">
        <v>0</v>
      </c>
      <c r="Q45" s="36">
        <v>1</v>
      </c>
      <c r="R45" s="37"/>
      <c r="S45" s="35"/>
      <c r="T45" s="38">
        <f>SUBTOTAL(9,S47:S47)</f>
        <v>0</v>
      </c>
      <c r="U45" s="39"/>
      <c r="V45" s="35"/>
      <c r="W45" s="35"/>
      <c r="X45" s="35"/>
      <c r="Y45" s="35"/>
      <c r="Z45" s="38">
        <f>SUBTOTAL(9,V47:Y47)</f>
        <v>0</v>
      </c>
      <c r="AA45" s="39"/>
      <c r="AB45" s="35"/>
      <c r="AC45" s="35"/>
      <c r="AD45" s="35"/>
      <c r="AE45" s="38">
        <f>SUBTOTAL(9,AB47:AD47)</f>
        <v>0</v>
      </c>
      <c r="AF45" s="39"/>
      <c r="AG45" s="35"/>
      <c r="AH45" s="40">
        <f>SUBTOTAL(9,AG47:AG47)</f>
        <v>0</v>
      </c>
      <c r="AI45" s="41" t="s">
        <v>55</v>
      </c>
      <c r="AJ45" s="41"/>
      <c r="AK45" s="35"/>
      <c r="AL45" s="35"/>
      <c r="AM45" s="35"/>
      <c r="AN45" s="35"/>
      <c r="AO45" s="40">
        <f>SUBTOTAL(9,AI47:AN47)</f>
        <v>1</v>
      </c>
      <c r="AP45" s="36">
        <f>SUBTOTAL(9,AG47:AN47)</f>
        <v>1</v>
      </c>
      <c r="AQ45" s="37"/>
      <c r="AR45" s="42"/>
      <c r="AS45" s="43" t="s">
        <v>76</v>
      </c>
      <c r="AT45" s="43" t="s">
        <v>77</v>
      </c>
      <c r="AU45" s="43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6">
        <f>SUBTOTAL(9,AS47:BP47)</f>
        <v>2</v>
      </c>
      <c r="BR45" s="44"/>
      <c r="BS45" s="35"/>
      <c r="BT45" s="35"/>
      <c r="BU45" s="35"/>
      <c r="BV45" s="35"/>
      <c r="BW45" s="36">
        <f>SUBTOTAL(3,BS45:BV45)</f>
        <v>0</v>
      </c>
      <c r="BX45" s="45"/>
      <c r="BY45" s="46"/>
      <c r="BZ45" s="46"/>
      <c r="CA45" s="47"/>
      <c r="CB45" s="49"/>
      <c r="CC45" s="49"/>
      <c r="CD45" s="49"/>
      <c r="CE45" s="49"/>
      <c r="CF45" s="49"/>
      <c r="CG45" s="114" t="s">
        <v>2</v>
      </c>
      <c r="CH45" s="50"/>
      <c r="CI45" s="16"/>
    </row>
    <row r="46" spans="1:87" ht="11.25" customHeight="1" x14ac:dyDescent="0.25">
      <c r="A46" s="114" t="s">
        <v>2</v>
      </c>
      <c r="B46" s="51" t="s">
        <v>44</v>
      </c>
      <c r="C46" s="52"/>
      <c r="D46" s="52"/>
      <c r="E46" s="52"/>
      <c r="F46" s="53">
        <f>SUBTOTAL(9,C46:E46)</f>
        <v>0</v>
      </c>
      <c r="G46" s="52"/>
      <c r="H46" s="52"/>
      <c r="I46" s="53">
        <f>SUBTOTAL(9,G46:H46)</f>
        <v>0</v>
      </c>
      <c r="J46" s="58">
        <v>19</v>
      </c>
      <c r="K46" s="52"/>
      <c r="L46" s="52"/>
      <c r="M46" s="52"/>
      <c r="N46" s="53">
        <f>SUBTOTAL(9,J46:M46)</f>
        <v>19</v>
      </c>
      <c r="O46" s="52"/>
      <c r="P46" s="53">
        <f>SUBTOTAL(9,O46:O46)</f>
        <v>0</v>
      </c>
      <c r="Q46" s="53">
        <f>SUBTOTAL(9,C46:O46)</f>
        <v>19</v>
      </c>
      <c r="R46" s="54">
        <v>597</v>
      </c>
      <c r="S46" s="52"/>
      <c r="T46" s="55">
        <f>SUBTOTAL(9,S46:S46)</f>
        <v>0</v>
      </c>
      <c r="U46" s="56">
        <f>T46+IF($B42=2,0,U42)</f>
        <v>0</v>
      </c>
      <c r="V46" s="52"/>
      <c r="W46" s="52"/>
      <c r="X46" s="52"/>
      <c r="Y46" s="52"/>
      <c r="Z46" s="55">
        <f>SUBTOTAL(9,V46:Y46)</f>
        <v>0</v>
      </c>
      <c r="AA46" s="56">
        <f>Z46+IF($B42=2,0,AA42)</f>
        <v>1</v>
      </c>
      <c r="AB46" s="52"/>
      <c r="AC46" s="52"/>
      <c r="AD46" s="52"/>
      <c r="AE46" s="55">
        <f>SUBTOTAL(9,AB46:AD46)</f>
        <v>0</v>
      </c>
      <c r="AF46" s="56">
        <f>AE46+IF($B42=2,0,AF42)</f>
        <v>14.7</v>
      </c>
      <c r="AG46" s="52"/>
      <c r="AH46" s="57">
        <f>SUBTOTAL(9,AG46:AG46)</f>
        <v>0</v>
      </c>
      <c r="AI46" s="58">
        <v>4.8</v>
      </c>
      <c r="AJ46" s="58">
        <v>10.9</v>
      </c>
      <c r="AK46" s="52"/>
      <c r="AL46" s="52"/>
      <c r="AM46" s="52"/>
      <c r="AN46" s="52"/>
      <c r="AO46" s="57">
        <f>SUBTOTAL(9,AI46:AN46)</f>
        <v>15.7</v>
      </c>
      <c r="AP46" s="53">
        <f>SUBTOTAL(9,AG46:AN46)</f>
        <v>15.7</v>
      </c>
      <c r="AQ46" s="54">
        <f>AP46+IF($B42=2,0,AQ42)</f>
        <v>129.41800000000001</v>
      </c>
      <c r="AR46" s="59">
        <v>432</v>
      </c>
      <c r="AS46" s="60">
        <v>2.2000000000000002</v>
      </c>
      <c r="AT46" s="60">
        <v>7.9</v>
      </c>
      <c r="AU46" s="60">
        <v>11.8</v>
      </c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3">
        <f>SUBTOTAL(9,AS46:BP46)</f>
        <v>21.900000000000002</v>
      </c>
      <c r="BR46" s="57">
        <f>BQ46+IF($B42=2,0,BR42)</f>
        <v>219.37866666663331</v>
      </c>
      <c r="BS46" s="52"/>
      <c r="BT46" s="52"/>
      <c r="BU46" s="52"/>
      <c r="BV46" s="52"/>
      <c r="BW46" s="53">
        <f>SUBTOTAL(9,BS46:BV46)</f>
        <v>0</v>
      </c>
      <c r="BX46" s="53">
        <f>BW46+IF($B42=2,0,BX42)</f>
        <v>0</v>
      </c>
      <c r="BY46" s="61">
        <v>27.6</v>
      </c>
      <c r="BZ46" s="61">
        <v>27.6</v>
      </c>
      <c r="CA46" s="62">
        <f>SUMIF($C$5:BZ$5,"Накопленный эффект, т/сут",$C46:BZ46)+SUMIF($C$5:BZ$5,"Нараст.  по потенциалу",$C46:BZ46)-SUMIF($C$5:BZ$5,"Нараст. по остановкам",$C46:BZ46)-SUMIF($C$5:BZ$5,"ИТОГО перевод в ППД",$C46:BZ46)-SUMIF($C$5:BZ$5,"ИТОГО  нерент, по распоряж.",$C46:BZ46)-SUMIF($C$5:BZ$5,"ИТОГО ост. дебит от ЗБС, Углуб., ПВЛГ/ПНЛГ",$C46:BZ46)</f>
        <v>522.73933333336674</v>
      </c>
      <c r="CB46" s="53">
        <v>35.200000000000003</v>
      </c>
      <c r="CC46" s="53">
        <v>87.490975587985403</v>
      </c>
      <c r="CD46" s="53">
        <v>10.751344086021501</v>
      </c>
      <c r="CE46" s="53">
        <v>22.4712610115103</v>
      </c>
      <c r="CF46" s="53">
        <f>SUBTOTAL(9,CB46:CE46)</f>
        <v>155.91358068551722</v>
      </c>
      <c r="CG46" s="114" t="s">
        <v>2</v>
      </c>
      <c r="CH46" s="64">
        <f>CH$4+SUMIF($C$5:CF$5,"Нараст. по остановкам",$C46:CF46)-SUMIF($C$5:CF$5,"Нараст.  по потенциалу",$C46:CF46)</f>
        <v>794.42581991182135</v>
      </c>
      <c r="CI46" s="16"/>
    </row>
    <row r="47" spans="1:87" ht="1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>
        <v>1</v>
      </c>
      <c r="AJ47" s="2"/>
      <c r="AK47" s="2"/>
      <c r="AL47" s="2"/>
      <c r="AM47" s="2"/>
      <c r="AN47" s="2"/>
      <c r="AO47" s="2"/>
      <c r="AP47" s="2"/>
      <c r="AQ47" s="2"/>
      <c r="AR47" s="2"/>
      <c r="AS47" s="2">
        <v>1</v>
      </c>
      <c r="AT47" s="2">
        <v>1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16"/>
    </row>
    <row r="48" spans="1:87" ht="11.25" customHeight="1" x14ac:dyDescent="0.25">
      <c r="A48" s="134">
        <v>45392</v>
      </c>
      <c r="B48" s="17" t="s">
        <v>46</v>
      </c>
      <c r="C48" s="18"/>
      <c r="D48" s="18"/>
      <c r="E48" s="18"/>
      <c r="F48" s="19">
        <v>440</v>
      </c>
      <c r="G48" s="18"/>
      <c r="H48" s="18"/>
      <c r="I48" s="19">
        <v>0</v>
      </c>
      <c r="J48" s="24" t="s">
        <v>50</v>
      </c>
      <c r="K48" s="18"/>
      <c r="L48" s="18"/>
      <c r="M48" s="18"/>
      <c r="N48" s="19">
        <v>179</v>
      </c>
      <c r="O48" s="18"/>
      <c r="P48" s="19">
        <v>0</v>
      </c>
      <c r="Q48" s="19">
        <v>619</v>
      </c>
      <c r="R48" s="20"/>
      <c r="S48" s="24" t="s">
        <v>58</v>
      </c>
      <c r="T48" s="21"/>
      <c r="U48" s="22"/>
      <c r="V48" s="24" t="s">
        <v>61</v>
      </c>
      <c r="W48" s="18"/>
      <c r="X48" s="18"/>
      <c r="Y48" s="18"/>
      <c r="Z48" s="21"/>
      <c r="AA48" s="22"/>
      <c r="AB48" s="24" t="s">
        <v>71</v>
      </c>
      <c r="AC48" s="24" t="s">
        <v>50</v>
      </c>
      <c r="AD48" s="18"/>
      <c r="AE48" s="21"/>
      <c r="AF48" s="22"/>
      <c r="AG48" s="24" t="s">
        <v>58</v>
      </c>
      <c r="AH48" s="23">
        <v>11.4</v>
      </c>
      <c r="AI48" s="24"/>
      <c r="AJ48" s="18"/>
      <c r="AK48" s="18"/>
      <c r="AL48" s="18"/>
      <c r="AM48" s="18"/>
      <c r="AN48" s="18"/>
      <c r="AO48" s="23">
        <v>164.30433333333301</v>
      </c>
      <c r="AP48" s="19">
        <v>175.70433333333301</v>
      </c>
      <c r="AQ48" s="20"/>
      <c r="AR48" s="25"/>
      <c r="AS48" s="26" t="s">
        <v>50</v>
      </c>
      <c r="AT48" s="26" t="s">
        <v>71</v>
      </c>
      <c r="AU48" s="26" t="s">
        <v>48</v>
      </c>
      <c r="AV48" s="26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27"/>
      <c r="BR48" s="28"/>
      <c r="BS48" s="18"/>
      <c r="BT48" s="18"/>
      <c r="BU48" s="18"/>
      <c r="BV48" s="18"/>
      <c r="BW48" s="27"/>
      <c r="BX48" s="27"/>
      <c r="BY48" s="29"/>
      <c r="BZ48" s="29"/>
      <c r="CA48" s="30"/>
      <c r="CB48" s="32"/>
      <c r="CC48" s="32"/>
      <c r="CD48" s="32"/>
      <c r="CE48" s="32"/>
      <c r="CF48" s="32"/>
      <c r="CG48" s="135">
        <f>CG$4+SUMIF($C$5:CF$5,"Нараст. баланс",$C50:CF50)+SUMIF($C$7:CD$7,"Итого (с ВНР)",$C50:CD50)-SUMIF($C$5:CF$5,"Геол. снижение,  т/сут",$C50:CF50)-SUMIF(CE$7:CF$7,"Итого",CE50:CF50)-SUMIF($C$7:CF$7,"Итого (с ВСП)",$C50:CF50)</f>
        <v>29019.283561169344</v>
      </c>
      <c r="CH48" s="33"/>
      <c r="CI48" s="16"/>
    </row>
    <row r="49" spans="1:87" ht="11.25" customHeight="1" x14ac:dyDescent="0.25">
      <c r="A49" s="114" t="s">
        <v>2</v>
      </c>
      <c r="B49" s="34" t="s">
        <v>47</v>
      </c>
      <c r="C49" s="35"/>
      <c r="D49" s="35"/>
      <c r="E49" s="35"/>
      <c r="F49" s="36">
        <v>0</v>
      </c>
      <c r="G49" s="35"/>
      <c r="H49" s="35"/>
      <c r="I49" s="36">
        <v>0</v>
      </c>
      <c r="J49" s="41" t="s">
        <v>78</v>
      </c>
      <c r="K49" s="35"/>
      <c r="L49" s="35"/>
      <c r="M49" s="35"/>
      <c r="N49" s="36">
        <v>1</v>
      </c>
      <c r="O49" s="35"/>
      <c r="P49" s="36">
        <v>0</v>
      </c>
      <c r="Q49" s="36">
        <v>1</v>
      </c>
      <c r="R49" s="37"/>
      <c r="S49" s="41" t="s">
        <v>59</v>
      </c>
      <c r="T49" s="38">
        <f>SUBTOTAL(9,S51:S51)</f>
        <v>1</v>
      </c>
      <c r="U49" s="39"/>
      <c r="V49" s="41"/>
      <c r="W49" s="35"/>
      <c r="X49" s="35"/>
      <c r="Y49" s="35"/>
      <c r="Z49" s="38">
        <f>SUBTOTAL(9,V51:Y51)</f>
        <v>0</v>
      </c>
      <c r="AA49" s="39"/>
      <c r="AB49" s="41" t="s">
        <v>79</v>
      </c>
      <c r="AC49" s="41" t="s">
        <v>80</v>
      </c>
      <c r="AD49" s="35"/>
      <c r="AE49" s="38">
        <f>SUBTOTAL(9,AB51:AD51)</f>
        <v>2</v>
      </c>
      <c r="AF49" s="39"/>
      <c r="AG49" s="41" t="s">
        <v>59</v>
      </c>
      <c r="AH49" s="40">
        <f>SUBTOTAL(9,AG51:AG51)</f>
        <v>1</v>
      </c>
      <c r="AI49" s="41"/>
      <c r="AJ49" s="35"/>
      <c r="AK49" s="35"/>
      <c r="AL49" s="35"/>
      <c r="AM49" s="35"/>
      <c r="AN49" s="35"/>
      <c r="AO49" s="40">
        <f>SUBTOTAL(9,AI51:AN51)</f>
        <v>0</v>
      </c>
      <c r="AP49" s="36">
        <f>SUBTOTAL(9,AG51:AN51)</f>
        <v>1</v>
      </c>
      <c r="AQ49" s="37"/>
      <c r="AR49" s="42"/>
      <c r="AS49" s="43" t="s">
        <v>81</v>
      </c>
      <c r="AT49" s="43" t="s">
        <v>82</v>
      </c>
      <c r="AU49" s="43" t="s">
        <v>83</v>
      </c>
      <c r="AV49" s="43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6">
        <f>SUBTOTAL(9,AS51:BP51)</f>
        <v>3</v>
      </c>
      <c r="BR49" s="44"/>
      <c r="BS49" s="35"/>
      <c r="BT49" s="35"/>
      <c r="BU49" s="35"/>
      <c r="BV49" s="35"/>
      <c r="BW49" s="36">
        <f>SUBTOTAL(3,BS49:BV49)</f>
        <v>0</v>
      </c>
      <c r="BX49" s="45"/>
      <c r="BY49" s="46"/>
      <c r="BZ49" s="46"/>
      <c r="CA49" s="47"/>
      <c r="CB49" s="49"/>
      <c r="CC49" s="49"/>
      <c r="CD49" s="49"/>
      <c r="CE49" s="49"/>
      <c r="CF49" s="49"/>
      <c r="CG49" s="114" t="s">
        <v>2</v>
      </c>
      <c r="CH49" s="50"/>
      <c r="CI49" s="16"/>
    </row>
    <row r="50" spans="1:87" ht="11.25" customHeight="1" x14ac:dyDescent="0.25">
      <c r="A50" s="114" t="s">
        <v>2</v>
      </c>
      <c r="B50" s="51" t="s">
        <v>44</v>
      </c>
      <c r="C50" s="52"/>
      <c r="D50" s="52"/>
      <c r="E50" s="52"/>
      <c r="F50" s="53">
        <f>SUBTOTAL(9,C50:E50)</f>
        <v>0</v>
      </c>
      <c r="G50" s="52"/>
      <c r="H50" s="52"/>
      <c r="I50" s="53">
        <f>SUBTOTAL(9,G50:H50)</f>
        <v>0</v>
      </c>
      <c r="J50" s="58">
        <v>22</v>
      </c>
      <c r="K50" s="52"/>
      <c r="L50" s="52"/>
      <c r="M50" s="52"/>
      <c r="N50" s="53">
        <f>SUBTOTAL(9,J50:M50)</f>
        <v>22</v>
      </c>
      <c r="O50" s="52"/>
      <c r="P50" s="53">
        <f>SUBTOTAL(9,O50:O50)</f>
        <v>0</v>
      </c>
      <c r="Q50" s="53">
        <f>SUBTOTAL(9,C50:O50)</f>
        <v>22</v>
      </c>
      <c r="R50" s="54">
        <v>619</v>
      </c>
      <c r="S50" s="58">
        <v>6</v>
      </c>
      <c r="T50" s="55">
        <f>SUBTOTAL(9,S50:S50)</f>
        <v>6</v>
      </c>
      <c r="U50" s="56">
        <f>T50+IF($B46=2,0,U46)</f>
        <v>6</v>
      </c>
      <c r="V50" s="58">
        <v>0.4</v>
      </c>
      <c r="W50" s="52"/>
      <c r="X50" s="52"/>
      <c r="Y50" s="52"/>
      <c r="Z50" s="55">
        <f>SUBTOTAL(9,V50:Y50)</f>
        <v>0.4</v>
      </c>
      <c r="AA50" s="56">
        <f>Z50+IF($B46=2,0,AA46)</f>
        <v>1.4</v>
      </c>
      <c r="AB50" s="58">
        <v>4</v>
      </c>
      <c r="AC50" s="58">
        <v>10</v>
      </c>
      <c r="AD50" s="52"/>
      <c r="AE50" s="55">
        <f>SUBTOTAL(9,AB50:AD50)</f>
        <v>14</v>
      </c>
      <c r="AF50" s="56">
        <f>AE50+IF($B46=2,0,AF46)</f>
        <v>28.7</v>
      </c>
      <c r="AG50" s="58">
        <v>11.4</v>
      </c>
      <c r="AH50" s="57">
        <f>SUBTOTAL(9,AG50:AG50)</f>
        <v>11.4</v>
      </c>
      <c r="AI50" s="58">
        <v>34.886333333333297</v>
      </c>
      <c r="AJ50" s="52"/>
      <c r="AK50" s="52"/>
      <c r="AL50" s="52"/>
      <c r="AM50" s="52"/>
      <c r="AN50" s="52"/>
      <c r="AO50" s="57">
        <f>SUBTOTAL(9,AI50:AN50)</f>
        <v>34.886333333333297</v>
      </c>
      <c r="AP50" s="53">
        <f>SUBTOTAL(9,AG50:AN50)</f>
        <v>46.286333333333296</v>
      </c>
      <c r="AQ50" s="54">
        <f>AP50+IF($B46=2,0,AQ46)</f>
        <v>175.7043333333333</v>
      </c>
      <c r="AR50" s="59">
        <v>480</v>
      </c>
      <c r="AS50" s="60">
        <v>1.8</v>
      </c>
      <c r="AT50" s="60">
        <v>9.3000000000000007</v>
      </c>
      <c r="AU50" s="60">
        <v>12.7</v>
      </c>
      <c r="AV50" s="60">
        <v>26</v>
      </c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3">
        <f>SUBTOTAL(9,AS50:BP50)</f>
        <v>49.8</v>
      </c>
      <c r="BR50" s="57">
        <f>BQ50+IF($B46=2,0,BR46)</f>
        <v>269.17866666663332</v>
      </c>
      <c r="BS50" s="52"/>
      <c r="BT50" s="52"/>
      <c r="BU50" s="52"/>
      <c r="BV50" s="52"/>
      <c r="BW50" s="53">
        <f>SUBTOTAL(9,BS50:BV50)</f>
        <v>0</v>
      </c>
      <c r="BX50" s="53">
        <f>BW50+IF($B46=2,0,BX46)</f>
        <v>0</v>
      </c>
      <c r="BY50" s="61">
        <v>4</v>
      </c>
      <c r="BZ50" s="61">
        <v>4</v>
      </c>
      <c r="CA50" s="62">
        <f>SUMIF($C$5:BZ$5,"Накопленный эффект, т/сут",$C50:BZ50)+SUMIF($C$5:BZ$5,"Нараст.  по потенциалу",$C50:BZ50)-SUMIF($C$5:BZ$5,"Нараст. по остановкам",$C50:BZ50)-SUMIF($C$5:BZ$5,"ИТОГО перевод в ППД",$C50:BZ50)-SUMIF($C$5:BZ$5,"ИТОГО  нерент, по распоряж.",$C50:BZ50)-SUMIF($C$5:BZ$5,"ИТОГО ост. дебит от ЗБС, Углуб., ПВЛГ/ПНЛГ",$C50:BZ50)</f>
        <v>561.6256666667</v>
      </c>
      <c r="CB50" s="53">
        <v>35.200000000000003</v>
      </c>
      <c r="CC50" s="53">
        <v>144.358528769109</v>
      </c>
      <c r="CD50" s="53">
        <v>993.46276861231297</v>
      </c>
      <c r="CE50" s="53">
        <v>13.3418081159347</v>
      </c>
      <c r="CF50" s="53">
        <f>SUBTOTAL(9,CB50:CE50)</f>
        <v>1186.3631054973566</v>
      </c>
      <c r="CG50" s="114" t="s">
        <v>2</v>
      </c>
      <c r="CH50" s="64">
        <f>CH$4+SUMIF($C$5:CF$5,"Нараст. по остановкам",$C50:CF50)-SUMIF($C$5:CF$5,"Нараст.  по потенциалу",$C50:CF50)</f>
        <v>797.93948657848796</v>
      </c>
      <c r="CI50" s="16"/>
    </row>
    <row r="51" spans="1:87" ht="1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</v>
      </c>
      <c r="T51" s="2"/>
      <c r="U51" s="2"/>
      <c r="V51" s="2"/>
      <c r="W51" s="2"/>
      <c r="X51" s="2"/>
      <c r="Y51" s="2"/>
      <c r="Z51" s="2"/>
      <c r="AA51" s="2"/>
      <c r="AB51" s="2">
        <v>1</v>
      </c>
      <c r="AC51" s="2">
        <v>1</v>
      </c>
      <c r="AD51" s="2"/>
      <c r="AE51" s="2"/>
      <c r="AF51" s="2"/>
      <c r="AG51" s="2">
        <v>1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>
        <v>1</v>
      </c>
      <c r="AT51" s="2">
        <v>1</v>
      </c>
      <c r="AU51" s="2">
        <v>1</v>
      </c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16"/>
    </row>
    <row r="52" spans="1:87" ht="11.25" customHeight="1" x14ac:dyDescent="0.25">
      <c r="A52" s="134">
        <v>45393</v>
      </c>
      <c r="B52" s="17" t="s">
        <v>46</v>
      </c>
      <c r="C52" s="24" t="s">
        <v>84</v>
      </c>
      <c r="D52" s="18"/>
      <c r="E52" s="18"/>
      <c r="F52" s="19">
        <v>520</v>
      </c>
      <c r="G52" s="18"/>
      <c r="H52" s="18"/>
      <c r="I52" s="19">
        <v>0</v>
      </c>
      <c r="J52" s="24" t="s">
        <v>51</v>
      </c>
      <c r="K52" s="24" t="s">
        <v>50</v>
      </c>
      <c r="L52" s="18"/>
      <c r="M52" s="18"/>
      <c r="N52" s="19">
        <v>222</v>
      </c>
      <c r="O52" s="18"/>
      <c r="P52" s="19">
        <v>0</v>
      </c>
      <c r="Q52" s="19">
        <v>742</v>
      </c>
      <c r="R52" s="20"/>
      <c r="S52" s="18"/>
      <c r="T52" s="21"/>
      <c r="U52" s="22"/>
      <c r="V52" s="18"/>
      <c r="W52" s="18"/>
      <c r="X52" s="18"/>
      <c r="Y52" s="18"/>
      <c r="Z52" s="21"/>
      <c r="AA52" s="22"/>
      <c r="AB52" s="24" t="s">
        <v>51</v>
      </c>
      <c r="AC52" s="18"/>
      <c r="AD52" s="18"/>
      <c r="AE52" s="21"/>
      <c r="AF52" s="22"/>
      <c r="AG52" s="18"/>
      <c r="AH52" s="23">
        <v>11.4</v>
      </c>
      <c r="AI52" s="24" t="s">
        <v>50</v>
      </c>
      <c r="AJ52" s="24"/>
      <c r="AK52" s="18"/>
      <c r="AL52" s="18"/>
      <c r="AM52" s="18"/>
      <c r="AN52" s="18"/>
      <c r="AO52" s="23">
        <v>211.50433333333299</v>
      </c>
      <c r="AP52" s="19">
        <v>222.904333333333</v>
      </c>
      <c r="AQ52" s="20"/>
      <c r="AR52" s="25"/>
      <c r="AS52" s="26" t="s">
        <v>51</v>
      </c>
      <c r="AT52" s="26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27"/>
      <c r="BR52" s="28"/>
      <c r="BS52" s="18"/>
      <c r="BT52" s="18"/>
      <c r="BU52" s="18"/>
      <c r="BV52" s="18"/>
      <c r="BW52" s="27"/>
      <c r="BX52" s="27"/>
      <c r="BY52" s="29"/>
      <c r="BZ52" s="29"/>
      <c r="CA52" s="30"/>
      <c r="CB52" s="32"/>
      <c r="CC52" s="32"/>
      <c r="CD52" s="32"/>
      <c r="CE52" s="32"/>
      <c r="CF52" s="32"/>
      <c r="CG52" s="135">
        <f>CG$4+SUMIF($C$5:CF$5,"Нараст. баланс",$C54:CF54)+SUMIF($C$7:CD$7,"Итого (с ВНР)",$C54:CD54)-SUMIF($C$5:CF$5,"Геол. снижение,  т/сут",$C54:CF54)-SUMIF(CE$7:CF$7,"Итого",CE54:CF54)-SUMIF($C$7:CF$7,"Итого (с ВСП)",$C54:CF54)</f>
        <v>30200.333299667254</v>
      </c>
      <c r="CH52" s="33"/>
      <c r="CI52" s="16"/>
    </row>
    <row r="53" spans="1:87" ht="11.25" customHeight="1" x14ac:dyDescent="0.25">
      <c r="A53" s="114" t="s">
        <v>2</v>
      </c>
      <c r="B53" s="34" t="s">
        <v>47</v>
      </c>
      <c r="C53" s="41" t="s">
        <v>85</v>
      </c>
      <c r="D53" s="35"/>
      <c r="E53" s="35"/>
      <c r="F53" s="36">
        <v>1</v>
      </c>
      <c r="G53" s="35"/>
      <c r="H53" s="35"/>
      <c r="I53" s="36">
        <v>0</v>
      </c>
      <c r="J53" s="41" t="s">
        <v>86</v>
      </c>
      <c r="K53" s="41" t="s">
        <v>87</v>
      </c>
      <c r="L53" s="35"/>
      <c r="M53" s="35"/>
      <c r="N53" s="36">
        <v>2</v>
      </c>
      <c r="O53" s="35"/>
      <c r="P53" s="36">
        <v>0</v>
      </c>
      <c r="Q53" s="36">
        <v>3</v>
      </c>
      <c r="R53" s="37"/>
      <c r="S53" s="35"/>
      <c r="T53" s="38">
        <f>SUBTOTAL(9,S55:S55)</f>
        <v>0</v>
      </c>
      <c r="U53" s="39"/>
      <c r="V53" s="35"/>
      <c r="W53" s="35"/>
      <c r="X53" s="35"/>
      <c r="Y53" s="35"/>
      <c r="Z53" s="38">
        <f>SUBTOTAL(9,V55:Y55)</f>
        <v>0</v>
      </c>
      <c r="AA53" s="39"/>
      <c r="AB53" s="41" t="s">
        <v>88</v>
      </c>
      <c r="AC53" s="35"/>
      <c r="AD53" s="35"/>
      <c r="AE53" s="38">
        <f>SUBTOTAL(9,AB55:AD55)</f>
        <v>1</v>
      </c>
      <c r="AF53" s="39"/>
      <c r="AG53" s="35"/>
      <c r="AH53" s="40">
        <f>SUBTOTAL(9,AG55:AG55)</f>
        <v>0</v>
      </c>
      <c r="AI53" s="41" t="s">
        <v>60</v>
      </c>
      <c r="AJ53" s="41"/>
      <c r="AK53" s="35"/>
      <c r="AL53" s="35"/>
      <c r="AM53" s="35"/>
      <c r="AN53" s="35"/>
      <c r="AO53" s="40">
        <f>SUBTOTAL(9,AI55:AN55)</f>
        <v>1</v>
      </c>
      <c r="AP53" s="36">
        <f>SUBTOTAL(9,AG55:AN55)</f>
        <v>1</v>
      </c>
      <c r="AQ53" s="37"/>
      <c r="AR53" s="42"/>
      <c r="AS53" s="43" t="s">
        <v>89</v>
      </c>
      <c r="AT53" s="43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6">
        <f>SUBTOTAL(9,AS55:BP55)</f>
        <v>1</v>
      </c>
      <c r="BR53" s="44"/>
      <c r="BS53" s="35"/>
      <c r="BT53" s="35"/>
      <c r="BU53" s="35"/>
      <c r="BV53" s="35"/>
      <c r="BW53" s="36">
        <f>SUBTOTAL(3,BS53:BV53)</f>
        <v>0</v>
      </c>
      <c r="BX53" s="45"/>
      <c r="BY53" s="46"/>
      <c r="BZ53" s="46"/>
      <c r="CA53" s="47"/>
      <c r="CB53" s="49"/>
      <c r="CC53" s="49"/>
      <c r="CD53" s="49"/>
      <c r="CE53" s="49"/>
      <c r="CF53" s="49"/>
      <c r="CG53" s="114" t="s">
        <v>2</v>
      </c>
      <c r="CH53" s="50"/>
      <c r="CI53" s="16"/>
    </row>
    <row r="54" spans="1:87" ht="11.25" customHeight="1" x14ac:dyDescent="0.25">
      <c r="A54" s="114" t="s">
        <v>2</v>
      </c>
      <c r="B54" s="51" t="s">
        <v>44</v>
      </c>
      <c r="C54" s="58">
        <v>80</v>
      </c>
      <c r="D54" s="52"/>
      <c r="E54" s="52"/>
      <c r="F54" s="53">
        <f>SUBTOTAL(9,C54:E54)</f>
        <v>80</v>
      </c>
      <c r="G54" s="52"/>
      <c r="H54" s="52"/>
      <c r="I54" s="53">
        <f>SUBTOTAL(9,G54:H54)</f>
        <v>0</v>
      </c>
      <c r="J54" s="58">
        <v>23</v>
      </c>
      <c r="K54" s="58">
        <v>20</v>
      </c>
      <c r="L54" s="52"/>
      <c r="M54" s="52"/>
      <c r="N54" s="53">
        <f>SUBTOTAL(9,J54:M54)</f>
        <v>43</v>
      </c>
      <c r="O54" s="52"/>
      <c r="P54" s="53">
        <f>SUBTOTAL(9,O54:O54)</f>
        <v>0</v>
      </c>
      <c r="Q54" s="53">
        <f>SUBTOTAL(9,C54:O54)</f>
        <v>123</v>
      </c>
      <c r="R54" s="54">
        <v>742</v>
      </c>
      <c r="S54" s="52"/>
      <c r="T54" s="55">
        <f>SUBTOTAL(9,S54:S54)</f>
        <v>0</v>
      </c>
      <c r="U54" s="56">
        <f>T54+IF($B50=2,0,U50)</f>
        <v>6</v>
      </c>
      <c r="V54" s="52"/>
      <c r="W54" s="52"/>
      <c r="X54" s="52"/>
      <c r="Y54" s="52"/>
      <c r="Z54" s="55">
        <f>SUBTOTAL(9,V54:Y54)</f>
        <v>0</v>
      </c>
      <c r="AA54" s="56">
        <f>Z54+IF($B50=2,0,AA50)</f>
        <v>1.4</v>
      </c>
      <c r="AB54" s="58">
        <v>5</v>
      </c>
      <c r="AC54" s="52"/>
      <c r="AD54" s="52"/>
      <c r="AE54" s="55">
        <f>SUBTOTAL(9,AB54:AD54)</f>
        <v>5</v>
      </c>
      <c r="AF54" s="56">
        <f>AE54+IF($B50=2,0,AF50)</f>
        <v>33.700000000000003</v>
      </c>
      <c r="AG54" s="52"/>
      <c r="AH54" s="57">
        <f>SUBTOTAL(9,AG54:AG54)</f>
        <v>0</v>
      </c>
      <c r="AI54" s="58">
        <v>3.3</v>
      </c>
      <c r="AJ54" s="58">
        <v>43.9</v>
      </c>
      <c r="AK54" s="52"/>
      <c r="AL54" s="52"/>
      <c r="AM54" s="52"/>
      <c r="AN54" s="52"/>
      <c r="AO54" s="57">
        <f>SUBTOTAL(9,AI54:AN54)</f>
        <v>47.199999999999996</v>
      </c>
      <c r="AP54" s="53">
        <f>SUBTOTAL(9,AG54:AN54)</f>
        <v>47.199999999999996</v>
      </c>
      <c r="AQ54" s="54">
        <f>AP54+IF($B50=2,0,AQ50)</f>
        <v>222.90433333333328</v>
      </c>
      <c r="AR54" s="59">
        <v>528</v>
      </c>
      <c r="AS54" s="60">
        <v>5.0999999999999996</v>
      </c>
      <c r="AT54" s="60">
        <v>44.3</v>
      </c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3">
        <f>SUBTOTAL(9,AS54:BP54)</f>
        <v>49.4</v>
      </c>
      <c r="BR54" s="57">
        <f>BQ54+IF($B50=2,0,BR50)</f>
        <v>318.5786666666333</v>
      </c>
      <c r="BS54" s="52"/>
      <c r="BT54" s="52"/>
      <c r="BU54" s="52"/>
      <c r="BV54" s="52"/>
      <c r="BW54" s="53">
        <f>SUBTOTAL(9,BS54:BV54)</f>
        <v>0</v>
      </c>
      <c r="BX54" s="53">
        <f>BW54+IF($B50=2,0,BX50)</f>
        <v>0</v>
      </c>
      <c r="BY54" s="61">
        <v>0.4</v>
      </c>
      <c r="BZ54" s="61">
        <v>0.4</v>
      </c>
      <c r="CA54" s="62">
        <f>SUMIF($C$5:BZ$5,"Накопленный эффект, т/сут",$C54:BZ54)+SUMIF($C$5:BZ$5,"Нараст.  по потенциалу",$C54:BZ54)-SUMIF($C$5:BZ$5,"Нараст. по остановкам",$C54:BZ54)-SUMIF($C$5:BZ$5,"ИТОГО перевод в ППД",$C54:BZ54)-SUMIF($C$5:BZ$5,"ИТОГО  нерент, по распоряж.",$C54:BZ54)-SUMIF($C$5:BZ$5,"ИТОГО ост. дебит от ЗБС, Углуб., ПВЛГ/ПНЛГ",$C54:BZ54)</f>
        <v>687.42566666669995</v>
      </c>
      <c r="CB54" s="53">
        <v>35.200000000000003</v>
      </c>
      <c r="CC54" s="53">
        <v>21.7434997506932</v>
      </c>
      <c r="CD54" s="53">
        <v>8.6649865591397894</v>
      </c>
      <c r="CE54" s="53">
        <v>21.1048806896118</v>
      </c>
      <c r="CF54" s="53">
        <f>SUBTOTAL(9,CB54:CE54)</f>
        <v>86.713366999444801</v>
      </c>
      <c r="CG54" s="114" t="s">
        <v>2</v>
      </c>
      <c r="CH54" s="64">
        <f>CH$4+SUMIF($C$5:CF$5,"Нараст. по остановкам",$C54:CF54)-SUMIF($C$5:CF$5,"Нараст.  по потенциалу",$C54:CF54)</f>
        <v>800.13948657848812</v>
      </c>
      <c r="CI54" s="16"/>
    </row>
    <row r="55" spans="1:87" ht="1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>
        <v>1</v>
      </c>
      <c r="AC55" s="2"/>
      <c r="AD55" s="2"/>
      <c r="AE55" s="2"/>
      <c r="AF55" s="2"/>
      <c r="AG55" s="2"/>
      <c r="AH55" s="2"/>
      <c r="AI55" s="2">
        <v>1</v>
      </c>
      <c r="AJ55" s="2"/>
      <c r="AK55" s="2"/>
      <c r="AL55" s="2"/>
      <c r="AM55" s="2"/>
      <c r="AN55" s="2"/>
      <c r="AO55" s="2"/>
      <c r="AP55" s="2"/>
      <c r="AQ55" s="2"/>
      <c r="AR55" s="2"/>
      <c r="AS55" s="2">
        <v>1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16"/>
    </row>
    <row r="56" spans="1:87" ht="11.25" customHeight="1" x14ac:dyDescent="0.25">
      <c r="A56" s="134">
        <v>45394</v>
      </c>
      <c r="B56" s="17" t="s">
        <v>46</v>
      </c>
      <c r="C56" s="18"/>
      <c r="D56" s="18"/>
      <c r="E56" s="18"/>
      <c r="F56" s="19">
        <v>520</v>
      </c>
      <c r="G56" s="18"/>
      <c r="H56" s="18"/>
      <c r="I56" s="19">
        <v>0</v>
      </c>
      <c r="J56" s="24" t="s">
        <v>49</v>
      </c>
      <c r="K56" s="18"/>
      <c r="L56" s="18"/>
      <c r="M56" s="18"/>
      <c r="N56" s="19">
        <v>243</v>
      </c>
      <c r="O56" s="18"/>
      <c r="P56" s="19">
        <v>0</v>
      </c>
      <c r="Q56" s="19">
        <v>763</v>
      </c>
      <c r="R56" s="20"/>
      <c r="S56" s="18"/>
      <c r="T56" s="21"/>
      <c r="U56" s="22"/>
      <c r="V56" s="18"/>
      <c r="W56" s="18"/>
      <c r="X56" s="18"/>
      <c r="Y56" s="18"/>
      <c r="Z56" s="21"/>
      <c r="AA56" s="22"/>
      <c r="AB56" s="24" t="s">
        <v>90</v>
      </c>
      <c r="AC56" s="24" t="s">
        <v>61</v>
      </c>
      <c r="AD56" s="18"/>
      <c r="AE56" s="21"/>
      <c r="AF56" s="22"/>
      <c r="AG56" s="18"/>
      <c r="AH56" s="23">
        <v>11.4</v>
      </c>
      <c r="AI56" s="24"/>
      <c r="AJ56" s="18"/>
      <c r="AK56" s="18"/>
      <c r="AL56" s="18"/>
      <c r="AM56" s="18"/>
      <c r="AN56" s="18"/>
      <c r="AO56" s="23">
        <v>215.20433333333301</v>
      </c>
      <c r="AP56" s="19">
        <v>226.60433333333299</v>
      </c>
      <c r="AQ56" s="20"/>
      <c r="AR56" s="25"/>
      <c r="AS56" s="26" t="s">
        <v>71</v>
      </c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27"/>
      <c r="BR56" s="28"/>
      <c r="BS56" s="18"/>
      <c r="BT56" s="18"/>
      <c r="BU56" s="18"/>
      <c r="BV56" s="18"/>
      <c r="BW56" s="27"/>
      <c r="BX56" s="27"/>
      <c r="BY56" s="29"/>
      <c r="BZ56" s="29"/>
      <c r="CA56" s="30"/>
      <c r="CB56" s="32"/>
      <c r="CC56" s="32"/>
      <c r="CD56" s="32"/>
      <c r="CE56" s="32"/>
      <c r="CF56" s="32"/>
      <c r="CG56" s="135">
        <f>CG$4+SUMIF($C$5:CF$5,"Нараст. баланс",$C58:CF58)+SUMIF($C$7:CD$7,"Итого (с ВНР)",$C58:CD58)-SUMIF($C$5:CF$5,"Геол. снижение,  т/сут",$C58:CF58)-SUMIF(CE$7:CF$7,"Итого",CE58:CF58)-SUMIF($C$7:CF$7,"Итого (с ВСП)",$C58:CF58)</f>
        <v>30163.031604908494</v>
      </c>
      <c r="CH56" s="33"/>
      <c r="CI56" s="16"/>
    </row>
    <row r="57" spans="1:87" ht="11.25" customHeight="1" x14ac:dyDescent="0.25">
      <c r="A57" s="114" t="s">
        <v>2</v>
      </c>
      <c r="B57" s="34" t="s">
        <v>47</v>
      </c>
      <c r="C57" s="35"/>
      <c r="D57" s="35"/>
      <c r="E57" s="35"/>
      <c r="F57" s="36">
        <v>0</v>
      </c>
      <c r="G57" s="35"/>
      <c r="H57" s="35"/>
      <c r="I57" s="36">
        <v>0</v>
      </c>
      <c r="J57" s="41" t="s">
        <v>91</v>
      </c>
      <c r="K57" s="35"/>
      <c r="L57" s="35"/>
      <c r="M57" s="35"/>
      <c r="N57" s="36">
        <v>1</v>
      </c>
      <c r="O57" s="35"/>
      <c r="P57" s="36">
        <v>0</v>
      </c>
      <c r="Q57" s="36">
        <v>1</v>
      </c>
      <c r="R57" s="37"/>
      <c r="S57" s="35"/>
      <c r="T57" s="38">
        <f>SUBTOTAL(9,S59:S59)</f>
        <v>0</v>
      </c>
      <c r="U57" s="39"/>
      <c r="V57" s="35"/>
      <c r="W57" s="35"/>
      <c r="X57" s="35"/>
      <c r="Y57" s="35"/>
      <c r="Z57" s="38">
        <f>SUBTOTAL(9,V59:Y59)</f>
        <v>0</v>
      </c>
      <c r="AA57" s="39"/>
      <c r="AB57" s="41" t="s">
        <v>92</v>
      </c>
      <c r="AC57" s="41" t="s">
        <v>93</v>
      </c>
      <c r="AD57" s="35"/>
      <c r="AE57" s="38">
        <f>SUBTOTAL(9,AB59:AD59)</f>
        <v>2</v>
      </c>
      <c r="AF57" s="39"/>
      <c r="AG57" s="35"/>
      <c r="AH57" s="40">
        <f>SUBTOTAL(9,AG59:AG59)</f>
        <v>0</v>
      </c>
      <c r="AI57" s="41"/>
      <c r="AJ57" s="35"/>
      <c r="AK57" s="35"/>
      <c r="AL57" s="35"/>
      <c r="AM57" s="35"/>
      <c r="AN57" s="35"/>
      <c r="AO57" s="40">
        <f>SUBTOTAL(9,AI59:AN59)</f>
        <v>0</v>
      </c>
      <c r="AP57" s="36">
        <f>SUBTOTAL(9,AG59:AN59)</f>
        <v>0</v>
      </c>
      <c r="AQ57" s="37"/>
      <c r="AR57" s="42"/>
      <c r="AS57" s="43" t="s">
        <v>94</v>
      </c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6">
        <f>SUBTOTAL(9,AS59:BP59)</f>
        <v>1</v>
      </c>
      <c r="BR57" s="44"/>
      <c r="BS57" s="35"/>
      <c r="BT57" s="35"/>
      <c r="BU57" s="35"/>
      <c r="BV57" s="35"/>
      <c r="BW57" s="36">
        <f>SUBTOTAL(3,BS57:BV57)</f>
        <v>0</v>
      </c>
      <c r="BX57" s="45"/>
      <c r="BY57" s="46"/>
      <c r="BZ57" s="46"/>
      <c r="CA57" s="47"/>
      <c r="CB57" s="49"/>
      <c r="CC57" s="49"/>
      <c r="CD57" s="49"/>
      <c r="CE57" s="49"/>
      <c r="CF57" s="49"/>
      <c r="CG57" s="114" t="s">
        <v>2</v>
      </c>
      <c r="CH57" s="50"/>
      <c r="CI57" s="16"/>
    </row>
    <row r="58" spans="1:87" ht="11.25" customHeight="1" x14ac:dyDescent="0.25">
      <c r="A58" s="114" t="s">
        <v>2</v>
      </c>
      <c r="B58" s="51" t="s">
        <v>44</v>
      </c>
      <c r="C58" s="52"/>
      <c r="D58" s="52"/>
      <c r="E58" s="52"/>
      <c r="F58" s="53">
        <f>SUBTOTAL(9,C58:E58)</f>
        <v>0</v>
      </c>
      <c r="G58" s="52"/>
      <c r="H58" s="52"/>
      <c r="I58" s="53">
        <f>SUBTOTAL(9,G58:H58)</f>
        <v>0</v>
      </c>
      <c r="J58" s="58">
        <v>21</v>
      </c>
      <c r="K58" s="52"/>
      <c r="L58" s="52"/>
      <c r="M58" s="52"/>
      <c r="N58" s="53">
        <f>SUBTOTAL(9,J58:M58)</f>
        <v>21</v>
      </c>
      <c r="O58" s="52"/>
      <c r="P58" s="53">
        <f>SUBTOTAL(9,O58:O58)</f>
        <v>0</v>
      </c>
      <c r="Q58" s="53">
        <f>SUBTOTAL(9,C58:O58)</f>
        <v>21</v>
      </c>
      <c r="R58" s="54">
        <v>763</v>
      </c>
      <c r="S58" s="52"/>
      <c r="T58" s="55">
        <f>SUBTOTAL(9,S58:S58)</f>
        <v>0</v>
      </c>
      <c r="U58" s="56">
        <f>T58+IF($B54=2,0,U54)</f>
        <v>6</v>
      </c>
      <c r="V58" s="52"/>
      <c r="W58" s="52"/>
      <c r="X58" s="52"/>
      <c r="Y58" s="52"/>
      <c r="Z58" s="55">
        <f>SUBTOTAL(9,V58:Y58)</f>
        <v>0</v>
      </c>
      <c r="AA58" s="56">
        <f>Z58+IF($B54=2,0,AA54)</f>
        <v>1.4</v>
      </c>
      <c r="AB58" s="58">
        <v>5</v>
      </c>
      <c r="AC58" s="58">
        <v>4</v>
      </c>
      <c r="AD58" s="52"/>
      <c r="AE58" s="55">
        <f>SUBTOTAL(9,AB58:AD58)</f>
        <v>9</v>
      </c>
      <c r="AF58" s="56">
        <f>AE58+IF($B54=2,0,AF54)</f>
        <v>42.7</v>
      </c>
      <c r="AG58" s="52"/>
      <c r="AH58" s="57">
        <f>SUBTOTAL(9,AG58:AG58)</f>
        <v>0</v>
      </c>
      <c r="AI58" s="58">
        <v>3.7</v>
      </c>
      <c r="AJ58" s="52"/>
      <c r="AK58" s="52"/>
      <c r="AL58" s="52"/>
      <c r="AM58" s="52"/>
      <c r="AN58" s="52"/>
      <c r="AO58" s="57">
        <f>SUBTOTAL(9,AI58:AN58)</f>
        <v>3.7</v>
      </c>
      <c r="AP58" s="53">
        <f>SUBTOTAL(9,AG58:AN58)</f>
        <v>3.7</v>
      </c>
      <c r="AQ58" s="54">
        <f>AP58+IF($B54=2,0,AQ54)</f>
        <v>226.60433333333327</v>
      </c>
      <c r="AR58" s="59">
        <v>576</v>
      </c>
      <c r="AS58" s="60">
        <v>3.4</v>
      </c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3">
        <f>SUBTOTAL(9,AS58:BP58)</f>
        <v>3.4</v>
      </c>
      <c r="BR58" s="57">
        <f>BQ58+IF($B54=2,0,BR54)</f>
        <v>321.97866666663327</v>
      </c>
      <c r="BS58" s="52"/>
      <c r="BT58" s="52"/>
      <c r="BU58" s="52"/>
      <c r="BV58" s="52"/>
      <c r="BW58" s="53">
        <f>SUBTOTAL(9,BS58:BV58)</f>
        <v>0</v>
      </c>
      <c r="BX58" s="53">
        <f>BW58+IF($B54=2,0,BX54)</f>
        <v>0</v>
      </c>
      <c r="BY58" s="61"/>
      <c r="BZ58" s="61"/>
      <c r="CA58" s="62">
        <f>SUMIF($C$5:BZ$5,"Накопленный эффект, т/сут",$C58:BZ58)+SUMIF($C$5:BZ$5,"Нараст.  по потенциалу",$C58:BZ58)-SUMIF($C$5:BZ$5,"Нараст. по остановкам",$C58:BZ58)-SUMIF($C$5:BZ$5,"ИТОГО перевод в ППД",$C58:BZ58)-SUMIF($C$5:BZ$5,"ИТОГО  нерент, по распоряж.",$C58:BZ58)-SUMIF($C$5:BZ$5,"ИТОГО ост. дебит от ЗБС, Углуб., ПВЛГ/ПНЛГ",$C58:BZ58)</f>
        <v>717.72566666670014</v>
      </c>
      <c r="CB58" s="53">
        <v>35.200000000000003</v>
      </c>
      <c r="CC58" s="53">
        <v>29.065995322539401</v>
      </c>
      <c r="CD58" s="53">
        <v>3.2948279569892498</v>
      </c>
      <c r="CE58" s="53">
        <v>39.15423847868</v>
      </c>
      <c r="CF58" s="53">
        <f>SUBTOTAL(9,CB58:CE58)</f>
        <v>106.71506175820865</v>
      </c>
      <c r="CG58" s="114" t="s">
        <v>2</v>
      </c>
      <c r="CH58" s="64">
        <f>CH$4+SUMIF($C$5:CF$5,"Нараст. по остановкам",$C58:CF58)-SUMIF($C$5:CF$5,"Нараст.  по потенциалу",$C58:CF58)</f>
        <v>799.83948657848805</v>
      </c>
      <c r="CI58" s="16"/>
    </row>
    <row r="59" spans="1:87" ht="1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>
        <v>1</v>
      </c>
      <c r="AC59" s="2">
        <v>1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>
        <v>1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16"/>
    </row>
    <row r="60" spans="1:87" ht="11.25" customHeight="1" x14ac:dyDescent="0.25">
      <c r="A60" s="134">
        <v>45395</v>
      </c>
      <c r="B60" s="17" t="s">
        <v>46</v>
      </c>
      <c r="C60" s="18"/>
      <c r="D60" s="18"/>
      <c r="E60" s="18"/>
      <c r="F60" s="19">
        <v>520</v>
      </c>
      <c r="G60" s="18"/>
      <c r="H60" s="18"/>
      <c r="I60" s="19">
        <v>0</v>
      </c>
      <c r="J60" s="18"/>
      <c r="K60" s="18"/>
      <c r="L60" s="18"/>
      <c r="M60" s="18"/>
      <c r="N60" s="19">
        <v>243</v>
      </c>
      <c r="O60" s="18"/>
      <c r="P60" s="19">
        <v>0</v>
      </c>
      <c r="Q60" s="19">
        <v>763</v>
      </c>
      <c r="R60" s="20"/>
      <c r="S60" s="18"/>
      <c r="T60" s="21"/>
      <c r="U60" s="22"/>
      <c r="V60" s="18"/>
      <c r="W60" s="18"/>
      <c r="X60" s="18"/>
      <c r="Y60" s="18"/>
      <c r="Z60" s="21"/>
      <c r="AA60" s="22"/>
      <c r="AB60" s="24" t="s">
        <v>48</v>
      </c>
      <c r="AC60" s="18"/>
      <c r="AD60" s="18"/>
      <c r="AE60" s="21"/>
      <c r="AF60" s="22"/>
      <c r="AG60" s="18"/>
      <c r="AH60" s="23">
        <v>11.4</v>
      </c>
      <c r="AI60" s="24" t="s">
        <v>50</v>
      </c>
      <c r="AJ60" s="24"/>
      <c r="AK60" s="18"/>
      <c r="AL60" s="18"/>
      <c r="AM60" s="18"/>
      <c r="AN60" s="18"/>
      <c r="AO60" s="23">
        <v>232.70433333333301</v>
      </c>
      <c r="AP60" s="19">
        <v>244.10433333333299</v>
      </c>
      <c r="AQ60" s="20"/>
      <c r="AR60" s="25"/>
      <c r="AS60" s="26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27"/>
      <c r="BR60" s="28"/>
      <c r="BS60" s="18"/>
      <c r="BT60" s="18"/>
      <c r="BU60" s="18"/>
      <c r="BV60" s="18"/>
      <c r="BW60" s="27"/>
      <c r="BX60" s="27"/>
      <c r="BY60" s="29"/>
      <c r="BZ60" s="29"/>
      <c r="CA60" s="30"/>
      <c r="CB60" s="32"/>
      <c r="CC60" s="32"/>
      <c r="CD60" s="32"/>
      <c r="CE60" s="32"/>
      <c r="CF60" s="32"/>
      <c r="CG60" s="135">
        <f>CG$4+SUMIF($C$5:CF$5,"Нараст. баланс",$C62:CF62)+SUMIF($C$7:CD$7,"Итого (с ВНР)",$C62:CD62)-SUMIF($C$5:CF$5,"Геол. снижение,  т/сут",$C62:CF62)-SUMIF(CE$7:CF$7,"Итого",CE62:CF62)-SUMIF($C$7:CF$7,"Итого (с ВСП)",$C62:CF62)</f>
        <v>30195.22565254986</v>
      </c>
      <c r="CH60" s="33"/>
      <c r="CI60" s="16"/>
    </row>
    <row r="61" spans="1:87" ht="11.25" customHeight="1" x14ac:dyDescent="0.25">
      <c r="A61" s="114" t="s">
        <v>2</v>
      </c>
      <c r="B61" s="34" t="s">
        <v>47</v>
      </c>
      <c r="C61" s="35"/>
      <c r="D61" s="35"/>
      <c r="E61" s="35"/>
      <c r="F61" s="36">
        <v>0</v>
      </c>
      <c r="G61" s="35"/>
      <c r="H61" s="35"/>
      <c r="I61" s="36">
        <v>0</v>
      </c>
      <c r="J61" s="35"/>
      <c r="K61" s="35"/>
      <c r="L61" s="35"/>
      <c r="M61" s="35"/>
      <c r="N61" s="36">
        <v>0</v>
      </c>
      <c r="O61" s="35"/>
      <c r="P61" s="36">
        <v>0</v>
      </c>
      <c r="Q61" s="36">
        <v>0</v>
      </c>
      <c r="R61" s="37"/>
      <c r="S61" s="35"/>
      <c r="T61" s="38">
        <f>SUBTOTAL(9,S63:S63)</f>
        <v>0</v>
      </c>
      <c r="U61" s="39"/>
      <c r="V61" s="35"/>
      <c r="W61" s="35"/>
      <c r="X61" s="35"/>
      <c r="Y61" s="35"/>
      <c r="Z61" s="38">
        <f>SUBTOTAL(9,V63:Y63)</f>
        <v>0</v>
      </c>
      <c r="AA61" s="39"/>
      <c r="AB61" s="41" t="s">
        <v>95</v>
      </c>
      <c r="AC61" s="35"/>
      <c r="AD61" s="35"/>
      <c r="AE61" s="38">
        <f>SUBTOTAL(9,AB63:AD63)</f>
        <v>1</v>
      </c>
      <c r="AF61" s="39"/>
      <c r="AG61" s="35"/>
      <c r="AH61" s="40">
        <f>SUBTOTAL(9,AG63:AG63)</f>
        <v>0</v>
      </c>
      <c r="AI61" s="41" t="s">
        <v>65</v>
      </c>
      <c r="AJ61" s="41"/>
      <c r="AK61" s="35"/>
      <c r="AL61" s="35"/>
      <c r="AM61" s="35"/>
      <c r="AN61" s="35"/>
      <c r="AO61" s="40">
        <f>SUBTOTAL(9,AI63:AN63)</f>
        <v>1</v>
      </c>
      <c r="AP61" s="36">
        <f>SUBTOTAL(9,AG63:AN63)</f>
        <v>1</v>
      </c>
      <c r="AQ61" s="37"/>
      <c r="AR61" s="42"/>
      <c r="AS61" s="43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6">
        <f>SUBTOTAL(9,AS63:BP63)</f>
        <v>0</v>
      </c>
      <c r="BR61" s="44"/>
      <c r="BS61" s="35"/>
      <c r="BT61" s="35"/>
      <c r="BU61" s="35"/>
      <c r="BV61" s="35"/>
      <c r="BW61" s="36">
        <f>SUBTOTAL(3,BS61:BV61)</f>
        <v>0</v>
      </c>
      <c r="BX61" s="45"/>
      <c r="BY61" s="46"/>
      <c r="BZ61" s="46"/>
      <c r="CA61" s="47"/>
      <c r="CB61" s="49"/>
      <c r="CC61" s="49"/>
      <c r="CD61" s="49"/>
      <c r="CE61" s="49"/>
      <c r="CF61" s="49"/>
      <c r="CG61" s="114" t="s">
        <v>2</v>
      </c>
      <c r="CH61" s="50"/>
      <c r="CI61" s="16"/>
    </row>
    <row r="62" spans="1:87" ht="11.25" customHeight="1" x14ac:dyDescent="0.25">
      <c r="A62" s="114" t="s">
        <v>2</v>
      </c>
      <c r="B62" s="51" t="s">
        <v>44</v>
      </c>
      <c r="C62" s="52"/>
      <c r="D62" s="52"/>
      <c r="E62" s="52"/>
      <c r="F62" s="53">
        <f>SUBTOTAL(9,C62:E62)</f>
        <v>0</v>
      </c>
      <c r="G62" s="52"/>
      <c r="H62" s="52"/>
      <c r="I62" s="53">
        <f>SUBTOTAL(9,G62:H62)</f>
        <v>0</v>
      </c>
      <c r="J62" s="52"/>
      <c r="K62" s="52"/>
      <c r="L62" s="52"/>
      <c r="M62" s="52"/>
      <c r="N62" s="53">
        <f>SUBTOTAL(9,J62:M62)</f>
        <v>0</v>
      </c>
      <c r="O62" s="52"/>
      <c r="P62" s="53">
        <f>SUBTOTAL(9,O62:O62)</f>
        <v>0</v>
      </c>
      <c r="Q62" s="53">
        <f>SUBTOTAL(9,C62:O62)</f>
        <v>0</v>
      </c>
      <c r="R62" s="54">
        <v>763</v>
      </c>
      <c r="S62" s="52"/>
      <c r="T62" s="55">
        <f>SUBTOTAL(9,S62:S62)</f>
        <v>0</v>
      </c>
      <c r="U62" s="56">
        <f>T62+IF($B58=2,0,U58)</f>
        <v>6</v>
      </c>
      <c r="V62" s="52"/>
      <c r="W62" s="52"/>
      <c r="X62" s="52"/>
      <c r="Y62" s="52"/>
      <c r="Z62" s="55">
        <f>SUBTOTAL(9,V62:Y62)</f>
        <v>0</v>
      </c>
      <c r="AA62" s="56">
        <f>Z62+IF($B58=2,0,AA58)</f>
        <v>1.4</v>
      </c>
      <c r="AB62" s="58">
        <v>4</v>
      </c>
      <c r="AC62" s="52"/>
      <c r="AD62" s="52"/>
      <c r="AE62" s="55">
        <f>SUBTOTAL(9,AB62:AD62)</f>
        <v>4</v>
      </c>
      <c r="AF62" s="56">
        <f>AE62+IF($B58=2,0,AF58)</f>
        <v>46.7</v>
      </c>
      <c r="AG62" s="52"/>
      <c r="AH62" s="57">
        <f>SUBTOTAL(9,AG62:AG62)</f>
        <v>0</v>
      </c>
      <c r="AI62" s="58">
        <v>3.7</v>
      </c>
      <c r="AJ62" s="58">
        <v>13.8</v>
      </c>
      <c r="AK62" s="52"/>
      <c r="AL62" s="52"/>
      <c r="AM62" s="52"/>
      <c r="AN62" s="52"/>
      <c r="AO62" s="57">
        <f>SUBTOTAL(9,AI62:AN62)</f>
        <v>17.5</v>
      </c>
      <c r="AP62" s="53">
        <f>SUBTOTAL(9,AG62:AN62)</f>
        <v>17.5</v>
      </c>
      <c r="AQ62" s="54">
        <f>AP62+IF($B58=2,0,AQ58)</f>
        <v>244.10433333333327</v>
      </c>
      <c r="AR62" s="59">
        <v>624</v>
      </c>
      <c r="AS62" s="60">
        <v>13.6</v>
      </c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3">
        <f>SUBTOTAL(9,AS62:BP62)</f>
        <v>13.6</v>
      </c>
      <c r="BR62" s="57">
        <f>BQ62+IF($B58=2,0,BR58)</f>
        <v>335.5786666666333</v>
      </c>
      <c r="BS62" s="52"/>
      <c r="BT62" s="52"/>
      <c r="BU62" s="52"/>
      <c r="BV62" s="52"/>
      <c r="BW62" s="53">
        <f>SUBTOTAL(9,BS62:BV62)</f>
        <v>0</v>
      </c>
      <c r="BX62" s="53">
        <f>BW62+IF($B58=2,0,BX58)</f>
        <v>0</v>
      </c>
      <c r="BY62" s="61"/>
      <c r="BZ62" s="61"/>
      <c r="CA62" s="62">
        <f>SUMIF($C$5:BZ$5,"Накопленный эффект, т/сут",$C62:BZ62)+SUMIF($C$5:BZ$5,"Нараст.  по потенциалу",$C62:BZ62)-SUMIF($C$5:BZ$5,"Нараст. по остановкам",$C62:BZ62)-SUMIF($C$5:BZ$5,"ИТОГО перевод в ППД",$C62:BZ62)-SUMIF($C$5:BZ$5,"ИТОГО  нерент, по распоряж.",$C62:BZ62)-SUMIF($C$5:BZ$5,"ИТОГО ост. дебит от ЗБС, Углуб., ПВЛГ/ПНЛГ",$C62:BZ62)</f>
        <v>725.6256666667</v>
      </c>
      <c r="CB62" s="53">
        <v>5.2</v>
      </c>
      <c r="CC62" s="53">
        <v>0.82425000000000004</v>
      </c>
      <c r="CD62" s="53">
        <v>7.9460707141058702</v>
      </c>
      <c r="CE62" s="53">
        <v>20.450693402735599</v>
      </c>
      <c r="CF62" s="53">
        <f>SUBTOTAL(9,CB62:CE62)</f>
        <v>34.421014116841469</v>
      </c>
      <c r="CG62" s="114" t="s">
        <v>2</v>
      </c>
      <c r="CH62" s="64">
        <f>CH$4+SUMIF($C$5:CF$5,"Нараст. по остановкам",$C62:CF62)-SUMIF($C$5:CF$5,"Нараст.  по потенциалу",$C62:CF62)</f>
        <v>795.93948657848819</v>
      </c>
      <c r="CI62" s="16"/>
    </row>
    <row r="63" spans="1:87" ht="1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>
        <v>1</v>
      </c>
      <c r="AC63" s="2"/>
      <c r="AD63" s="2"/>
      <c r="AE63" s="2"/>
      <c r="AF63" s="2"/>
      <c r="AG63" s="2"/>
      <c r="AH63" s="2"/>
      <c r="AI63" s="2">
        <v>1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16"/>
    </row>
    <row r="64" spans="1:87" ht="11.25" customHeight="1" x14ac:dyDescent="0.25">
      <c r="A64" s="134">
        <v>45396</v>
      </c>
      <c r="B64" s="17" t="s">
        <v>46</v>
      </c>
      <c r="C64" s="18"/>
      <c r="D64" s="18"/>
      <c r="E64" s="18"/>
      <c r="F64" s="19">
        <v>520</v>
      </c>
      <c r="G64" s="18"/>
      <c r="H64" s="18"/>
      <c r="I64" s="19">
        <v>0</v>
      </c>
      <c r="J64" s="18"/>
      <c r="K64" s="18"/>
      <c r="L64" s="18"/>
      <c r="M64" s="18"/>
      <c r="N64" s="19">
        <v>243</v>
      </c>
      <c r="O64" s="18"/>
      <c r="P64" s="19">
        <v>0</v>
      </c>
      <c r="Q64" s="19">
        <v>763</v>
      </c>
      <c r="R64" s="20"/>
      <c r="S64" s="18"/>
      <c r="T64" s="21"/>
      <c r="U64" s="22"/>
      <c r="V64" s="18"/>
      <c r="W64" s="18"/>
      <c r="X64" s="18"/>
      <c r="Y64" s="18"/>
      <c r="Z64" s="21"/>
      <c r="AA64" s="22"/>
      <c r="AB64" s="18"/>
      <c r="AC64" s="18"/>
      <c r="AD64" s="18"/>
      <c r="AE64" s="21"/>
      <c r="AF64" s="22"/>
      <c r="AG64" s="18"/>
      <c r="AH64" s="23">
        <v>11.4</v>
      </c>
      <c r="AI64" s="24"/>
      <c r="AJ64" s="18"/>
      <c r="AK64" s="18"/>
      <c r="AL64" s="18"/>
      <c r="AM64" s="18"/>
      <c r="AN64" s="18"/>
      <c r="AO64" s="23">
        <v>246.80433333333301</v>
      </c>
      <c r="AP64" s="19">
        <v>258.20433333333301</v>
      </c>
      <c r="AQ64" s="20"/>
      <c r="AR64" s="25"/>
      <c r="AS64" s="26" t="s">
        <v>61</v>
      </c>
      <c r="AT64" s="26" t="s">
        <v>49</v>
      </c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27"/>
      <c r="BR64" s="28"/>
      <c r="BS64" s="18"/>
      <c r="BT64" s="18"/>
      <c r="BU64" s="18"/>
      <c r="BV64" s="18"/>
      <c r="BW64" s="27"/>
      <c r="BX64" s="27"/>
      <c r="BY64" s="29"/>
      <c r="BZ64" s="29"/>
      <c r="CA64" s="30"/>
      <c r="CB64" s="31"/>
      <c r="CC64" s="32"/>
      <c r="CD64" s="31"/>
      <c r="CE64" s="32"/>
      <c r="CF64" s="32"/>
      <c r="CG64" s="135">
        <f>CG$4+SUMIF($C$5:CF$5,"Нараст. баланс",$C66:CF66)+SUMIF($C$7:CD$7,"Итого (с ВНР)",$C66:CD66)-SUMIF($C$5:CF$5,"Геол. снижение,  т/сут",$C66:CF66)-SUMIF(CE$7:CF$7,"Итого",CE66:CF66)-SUMIF($C$7:CF$7,"Итого (с ВСП)",$C66:CF66)</f>
        <v>30170.682511236373</v>
      </c>
      <c r="CH64" s="33"/>
      <c r="CI64" s="16"/>
    </row>
    <row r="65" spans="1:87" ht="11.25" customHeight="1" x14ac:dyDescent="0.25">
      <c r="A65" s="114" t="s">
        <v>2</v>
      </c>
      <c r="B65" s="34" t="s">
        <v>47</v>
      </c>
      <c r="C65" s="35"/>
      <c r="D65" s="35"/>
      <c r="E65" s="35"/>
      <c r="F65" s="36">
        <v>0</v>
      </c>
      <c r="G65" s="35"/>
      <c r="H65" s="35"/>
      <c r="I65" s="36">
        <v>0</v>
      </c>
      <c r="J65" s="35"/>
      <c r="K65" s="35"/>
      <c r="L65" s="35"/>
      <c r="M65" s="35"/>
      <c r="N65" s="36">
        <v>0</v>
      </c>
      <c r="O65" s="35"/>
      <c r="P65" s="36">
        <v>0</v>
      </c>
      <c r="Q65" s="36">
        <v>0</v>
      </c>
      <c r="R65" s="37"/>
      <c r="S65" s="35"/>
      <c r="T65" s="38">
        <f>SUBTOTAL(9,S67:S67)</f>
        <v>0</v>
      </c>
      <c r="U65" s="39"/>
      <c r="V65" s="35"/>
      <c r="W65" s="35"/>
      <c r="X65" s="35"/>
      <c r="Y65" s="35"/>
      <c r="Z65" s="38">
        <f>SUBTOTAL(9,V67:Y67)</f>
        <v>0</v>
      </c>
      <c r="AA65" s="39"/>
      <c r="AB65" s="35"/>
      <c r="AC65" s="35"/>
      <c r="AD65" s="35"/>
      <c r="AE65" s="38">
        <f>SUBTOTAL(9,AB67:AD67)</f>
        <v>0</v>
      </c>
      <c r="AF65" s="39"/>
      <c r="AG65" s="35"/>
      <c r="AH65" s="40">
        <f>SUBTOTAL(9,AG67:AG67)</f>
        <v>0</v>
      </c>
      <c r="AI65" s="41"/>
      <c r="AJ65" s="35"/>
      <c r="AK65" s="35"/>
      <c r="AL65" s="35"/>
      <c r="AM65" s="35"/>
      <c r="AN65" s="35"/>
      <c r="AO65" s="40">
        <f>SUBTOTAL(9,AI67:AN67)</f>
        <v>0</v>
      </c>
      <c r="AP65" s="36">
        <f>SUBTOTAL(9,AG67:AN67)</f>
        <v>0</v>
      </c>
      <c r="AQ65" s="37"/>
      <c r="AR65" s="42"/>
      <c r="AS65" s="43" t="s">
        <v>96</v>
      </c>
      <c r="AT65" s="43" t="s">
        <v>97</v>
      </c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6">
        <f>SUBTOTAL(9,AS67:BP67)</f>
        <v>2</v>
      </c>
      <c r="BR65" s="44"/>
      <c r="BS65" s="35"/>
      <c r="BT65" s="35"/>
      <c r="BU65" s="35"/>
      <c r="BV65" s="35"/>
      <c r="BW65" s="36">
        <f>SUBTOTAL(3,BS65:BV65)</f>
        <v>0</v>
      </c>
      <c r="BX65" s="45"/>
      <c r="BY65" s="46"/>
      <c r="BZ65" s="46"/>
      <c r="CA65" s="47"/>
      <c r="CB65" s="48"/>
      <c r="CC65" s="49"/>
      <c r="CD65" s="48"/>
      <c r="CE65" s="49"/>
      <c r="CF65" s="49"/>
      <c r="CG65" s="114" t="s">
        <v>2</v>
      </c>
      <c r="CH65" s="50"/>
      <c r="CI65" s="16"/>
    </row>
    <row r="66" spans="1:87" ht="11.25" customHeight="1" x14ac:dyDescent="0.25">
      <c r="A66" s="114" t="s">
        <v>2</v>
      </c>
      <c r="B66" s="51" t="s">
        <v>44</v>
      </c>
      <c r="C66" s="52"/>
      <c r="D66" s="52"/>
      <c r="E66" s="52"/>
      <c r="F66" s="53">
        <f>SUBTOTAL(9,C66:E66)</f>
        <v>0</v>
      </c>
      <c r="G66" s="52"/>
      <c r="H66" s="52"/>
      <c r="I66" s="53">
        <f>SUBTOTAL(9,G66:H66)</f>
        <v>0</v>
      </c>
      <c r="J66" s="52"/>
      <c r="K66" s="52"/>
      <c r="L66" s="52"/>
      <c r="M66" s="52"/>
      <c r="N66" s="53">
        <f>SUBTOTAL(9,J66:M66)</f>
        <v>0</v>
      </c>
      <c r="O66" s="52"/>
      <c r="P66" s="53">
        <f>SUBTOTAL(9,O66:O66)</f>
        <v>0</v>
      </c>
      <c r="Q66" s="53">
        <f>SUBTOTAL(9,C66:O66)</f>
        <v>0</v>
      </c>
      <c r="R66" s="54">
        <v>763</v>
      </c>
      <c r="S66" s="52"/>
      <c r="T66" s="55">
        <f>SUBTOTAL(9,S66:S66)</f>
        <v>0</v>
      </c>
      <c r="U66" s="56">
        <f>T66+IF($B62=2,0,U62)</f>
        <v>6</v>
      </c>
      <c r="V66" s="52"/>
      <c r="W66" s="52"/>
      <c r="X66" s="52"/>
      <c r="Y66" s="52"/>
      <c r="Z66" s="55">
        <f>SUBTOTAL(9,V66:Y66)</f>
        <v>0</v>
      </c>
      <c r="AA66" s="56">
        <f>Z66+IF($B62=2,0,AA62)</f>
        <v>1.4</v>
      </c>
      <c r="AB66" s="52"/>
      <c r="AC66" s="52"/>
      <c r="AD66" s="52"/>
      <c r="AE66" s="55">
        <f>SUBTOTAL(9,AB66:AD66)</f>
        <v>0</v>
      </c>
      <c r="AF66" s="56">
        <f>AE66+IF($B62=2,0,AF62)</f>
        <v>46.7</v>
      </c>
      <c r="AG66" s="52"/>
      <c r="AH66" s="57">
        <f>SUBTOTAL(9,AG66:AG66)</f>
        <v>0</v>
      </c>
      <c r="AI66" s="58">
        <v>14.1</v>
      </c>
      <c r="AJ66" s="52"/>
      <c r="AK66" s="52"/>
      <c r="AL66" s="52"/>
      <c r="AM66" s="52"/>
      <c r="AN66" s="52"/>
      <c r="AO66" s="57">
        <f>SUBTOTAL(9,AI66:AN66)</f>
        <v>14.1</v>
      </c>
      <c r="AP66" s="53">
        <f>SUBTOTAL(9,AG66:AN66)</f>
        <v>14.1</v>
      </c>
      <c r="AQ66" s="54">
        <f>AP66+IF($B62=2,0,AQ62)</f>
        <v>258.2043333333333</v>
      </c>
      <c r="AR66" s="59">
        <v>672</v>
      </c>
      <c r="AS66" s="60">
        <v>5</v>
      </c>
      <c r="AT66" s="60">
        <v>14.6</v>
      </c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3">
        <f>SUBTOTAL(9,AS66:BP66)</f>
        <v>19.600000000000001</v>
      </c>
      <c r="BR66" s="57">
        <f>BQ66+IF($B62=2,0,BR62)</f>
        <v>355.17866666663332</v>
      </c>
      <c r="BS66" s="52"/>
      <c r="BT66" s="52"/>
      <c r="BU66" s="52"/>
      <c r="BV66" s="52"/>
      <c r="BW66" s="53">
        <f>SUBTOTAL(9,BS66:BV66)</f>
        <v>0</v>
      </c>
      <c r="BX66" s="53">
        <f>BW66+IF($B62=2,0,BX62)</f>
        <v>0</v>
      </c>
      <c r="BY66" s="61"/>
      <c r="BZ66" s="61"/>
      <c r="CA66" s="62">
        <f>SUMIF($C$5:BZ$5,"Накопленный эффект, т/сут",$C66:BZ66)+SUMIF($C$5:BZ$5,"Нараст.  по потенциалу",$C66:BZ66)-SUMIF($C$5:BZ$5,"Нараст. по остановкам",$C66:BZ66)-SUMIF($C$5:BZ$5,"ИТОГО перевод в ППД",$C66:BZ66)-SUMIF($C$5:BZ$5,"ИТОГО  нерент, по распоряж.",$C66:BZ66)-SUMIF($C$5:BZ$5,"ИТОГО ост. дебит от ЗБС, Углуб., ПВЛГ/ПНЛГ",$C66:BZ66)</f>
        <v>720.1256666667</v>
      </c>
      <c r="CB66" s="63"/>
      <c r="CC66" s="53">
        <v>3.4036796238745102</v>
      </c>
      <c r="CD66" s="63"/>
      <c r="CE66" s="53">
        <v>2.0604758064516102</v>
      </c>
      <c r="CF66" s="53">
        <f>SUBTOTAL(9,CB66:CE66)</f>
        <v>5.4641554303261204</v>
      </c>
      <c r="CG66" s="114" t="s">
        <v>2</v>
      </c>
      <c r="CH66" s="64">
        <f>CH$4+SUMIF($C$5:CF$5,"Нараст. по остановкам",$C66:CF66)-SUMIF($C$5:CF$5,"Нараст.  по потенциалу",$C66:CF66)</f>
        <v>801.43948657848796</v>
      </c>
      <c r="CI66" s="16"/>
    </row>
    <row r="67" spans="1:87" ht="1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>
        <v>1</v>
      </c>
      <c r="AT67" s="2">
        <v>1</v>
      </c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16"/>
    </row>
    <row r="68" spans="1:87" ht="11.25" customHeight="1" x14ac:dyDescent="0.25">
      <c r="A68" s="134">
        <v>45397</v>
      </c>
      <c r="B68" s="17" t="s">
        <v>46</v>
      </c>
      <c r="C68" s="24" t="s">
        <v>98</v>
      </c>
      <c r="D68" s="24" t="s">
        <v>98</v>
      </c>
      <c r="E68" s="18"/>
      <c r="F68" s="19">
        <v>640</v>
      </c>
      <c r="G68" s="18"/>
      <c r="H68" s="18"/>
      <c r="I68" s="19">
        <v>0</v>
      </c>
      <c r="J68" s="18"/>
      <c r="K68" s="18"/>
      <c r="L68" s="18"/>
      <c r="M68" s="18"/>
      <c r="N68" s="19">
        <v>243</v>
      </c>
      <c r="O68" s="18"/>
      <c r="P68" s="19">
        <v>0</v>
      </c>
      <c r="Q68" s="19">
        <v>883</v>
      </c>
      <c r="R68" s="20"/>
      <c r="S68" s="24" t="s">
        <v>50</v>
      </c>
      <c r="T68" s="21"/>
      <c r="U68" s="22"/>
      <c r="V68" s="24" t="s">
        <v>50</v>
      </c>
      <c r="W68" s="24" t="s">
        <v>99</v>
      </c>
      <c r="X68" s="18"/>
      <c r="Y68" s="18"/>
      <c r="Z68" s="21"/>
      <c r="AA68" s="22"/>
      <c r="AB68" s="24" t="s">
        <v>50</v>
      </c>
      <c r="AC68" s="18"/>
      <c r="AD68" s="18"/>
      <c r="AE68" s="21"/>
      <c r="AF68" s="22"/>
      <c r="AG68" s="24" t="s">
        <v>50</v>
      </c>
      <c r="AH68" s="23">
        <v>19.3</v>
      </c>
      <c r="AI68" s="24" t="s">
        <v>71</v>
      </c>
      <c r="AJ68" s="24"/>
      <c r="AK68" s="18"/>
      <c r="AL68" s="18"/>
      <c r="AM68" s="18"/>
      <c r="AN68" s="18"/>
      <c r="AO68" s="23">
        <v>268.00433333333302</v>
      </c>
      <c r="AP68" s="19">
        <v>287.30433333333298</v>
      </c>
      <c r="AQ68" s="20"/>
      <c r="AR68" s="25"/>
      <c r="AS68" s="26" t="s">
        <v>100</v>
      </c>
      <c r="AT68" s="26" t="s">
        <v>71</v>
      </c>
      <c r="AU68" s="26" t="s">
        <v>48</v>
      </c>
      <c r="AV68" s="26" t="s">
        <v>51</v>
      </c>
      <c r="AW68" s="26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27"/>
      <c r="BR68" s="28"/>
      <c r="BS68" s="18"/>
      <c r="BT68" s="18"/>
      <c r="BU68" s="18"/>
      <c r="BV68" s="18"/>
      <c r="BW68" s="27"/>
      <c r="BX68" s="27"/>
      <c r="BY68" s="29"/>
      <c r="BZ68" s="29"/>
      <c r="CA68" s="30"/>
      <c r="CB68" s="32"/>
      <c r="CC68" s="32"/>
      <c r="CD68" s="32"/>
      <c r="CE68" s="32"/>
      <c r="CF68" s="32"/>
      <c r="CG68" s="135">
        <f>CG$4+SUMIF($C$5:CF$5,"Нараст. баланс",$C70:CF70)+SUMIF($C$7:CD$7,"Итого (с ВНР)",$C70:CD70)-SUMIF($C$5:CF$5,"Геол. снижение,  т/сут",$C70:CF70)-SUMIF(CE$7:CF$7,"Итого",CE70:CF70)-SUMIF($C$7:CF$7,"Итого (с ВСП)",$C70:CF70)</f>
        <v>30161.025706457502</v>
      </c>
      <c r="CH68" s="33"/>
      <c r="CI68" s="16"/>
    </row>
    <row r="69" spans="1:87" ht="11.25" customHeight="1" x14ac:dyDescent="0.25">
      <c r="A69" s="114" t="s">
        <v>2</v>
      </c>
      <c r="B69" s="34" t="s">
        <v>47</v>
      </c>
      <c r="C69" s="41" t="s">
        <v>101</v>
      </c>
      <c r="D69" s="41" t="s">
        <v>102</v>
      </c>
      <c r="E69" s="35"/>
      <c r="F69" s="36">
        <v>2</v>
      </c>
      <c r="G69" s="35"/>
      <c r="H69" s="35"/>
      <c r="I69" s="36">
        <v>0</v>
      </c>
      <c r="J69" s="35"/>
      <c r="K69" s="35"/>
      <c r="L69" s="35"/>
      <c r="M69" s="35"/>
      <c r="N69" s="36">
        <v>0</v>
      </c>
      <c r="O69" s="35"/>
      <c r="P69" s="36">
        <v>0</v>
      </c>
      <c r="Q69" s="36">
        <v>2</v>
      </c>
      <c r="R69" s="37"/>
      <c r="S69" s="41" t="s">
        <v>77</v>
      </c>
      <c r="T69" s="38">
        <f>SUBTOTAL(9,S71:S71)</f>
        <v>1</v>
      </c>
      <c r="U69" s="39"/>
      <c r="V69" s="41"/>
      <c r="W69" s="41"/>
      <c r="X69" s="35"/>
      <c r="Y69" s="35"/>
      <c r="Z69" s="38">
        <f>SUBTOTAL(9,V71:Y71)</f>
        <v>0</v>
      </c>
      <c r="AA69" s="39"/>
      <c r="AB69" s="41" t="s">
        <v>103</v>
      </c>
      <c r="AC69" s="35"/>
      <c r="AD69" s="35"/>
      <c r="AE69" s="38">
        <f>SUBTOTAL(9,AB71:AD71)</f>
        <v>1</v>
      </c>
      <c r="AF69" s="39"/>
      <c r="AG69" s="41" t="s">
        <v>77</v>
      </c>
      <c r="AH69" s="40">
        <f>SUBTOTAL(9,AG71:AG71)</f>
        <v>1</v>
      </c>
      <c r="AI69" s="41" t="s">
        <v>74</v>
      </c>
      <c r="AJ69" s="41"/>
      <c r="AK69" s="35"/>
      <c r="AL69" s="35"/>
      <c r="AM69" s="35"/>
      <c r="AN69" s="35"/>
      <c r="AO69" s="40">
        <f>SUBTOTAL(9,AI71:AN71)</f>
        <v>1</v>
      </c>
      <c r="AP69" s="36">
        <f>SUBTOTAL(9,AG71:AN71)</f>
        <v>2</v>
      </c>
      <c r="AQ69" s="37"/>
      <c r="AR69" s="42"/>
      <c r="AS69" s="43" t="s">
        <v>104</v>
      </c>
      <c r="AT69" s="43" t="s">
        <v>105</v>
      </c>
      <c r="AU69" s="43" t="s">
        <v>106</v>
      </c>
      <c r="AV69" s="43" t="s">
        <v>107</v>
      </c>
      <c r="AW69" s="43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6">
        <f>SUBTOTAL(9,AS71:BP71)</f>
        <v>4</v>
      </c>
      <c r="BR69" s="44"/>
      <c r="BS69" s="35"/>
      <c r="BT69" s="35"/>
      <c r="BU69" s="35"/>
      <c r="BV69" s="35"/>
      <c r="BW69" s="36">
        <f>SUBTOTAL(3,BS69:BV69)</f>
        <v>0</v>
      </c>
      <c r="BX69" s="45"/>
      <c r="BY69" s="46"/>
      <c r="BZ69" s="46"/>
      <c r="CA69" s="47"/>
      <c r="CB69" s="49"/>
      <c r="CC69" s="49"/>
      <c r="CD69" s="49"/>
      <c r="CE69" s="49"/>
      <c r="CF69" s="49"/>
      <c r="CG69" s="114" t="s">
        <v>2</v>
      </c>
      <c r="CH69" s="50"/>
      <c r="CI69" s="16"/>
    </row>
    <row r="70" spans="1:87" ht="11.25" customHeight="1" x14ac:dyDescent="0.25">
      <c r="A70" s="114" t="s">
        <v>2</v>
      </c>
      <c r="B70" s="51" t="s">
        <v>44</v>
      </c>
      <c r="C70" s="58">
        <v>60</v>
      </c>
      <c r="D70" s="58">
        <v>60</v>
      </c>
      <c r="E70" s="52"/>
      <c r="F70" s="53">
        <f>SUBTOTAL(9,C70:E70)</f>
        <v>120</v>
      </c>
      <c r="G70" s="52"/>
      <c r="H70" s="52"/>
      <c r="I70" s="53">
        <f>SUBTOTAL(9,G70:H70)</f>
        <v>0</v>
      </c>
      <c r="J70" s="52"/>
      <c r="K70" s="52"/>
      <c r="L70" s="52"/>
      <c r="M70" s="52"/>
      <c r="N70" s="53">
        <f>SUBTOTAL(9,J70:M70)</f>
        <v>0</v>
      </c>
      <c r="O70" s="52"/>
      <c r="P70" s="53">
        <f>SUBTOTAL(9,O70:O70)</f>
        <v>0</v>
      </c>
      <c r="Q70" s="53">
        <f>SUBTOTAL(9,C70:O70)</f>
        <v>120</v>
      </c>
      <c r="R70" s="54">
        <v>883</v>
      </c>
      <c r="S70" s="58">
        <v>6</v>
      </c>
      <c r="T70" s="55">
        <f>SUBTOTAL(9,S70:S70)</f>
        <v>6</v>
      </c>
      <c r="U70" s="56">
        <f>T70+IF($B66=2,0,U66)</f>
        <v>12</v>
      </c>
      <c r="V70" s="58">
        <v>0.4</v>
      </c>
      <c r="W70" s="58">
        <v>7</v>
      </c>
      <c r="X70" s="52"/>
      <c r="Y70" s="52"/>
      <c r="Z70" s="55">
        <f>SUBTOTAL(9,V70:Y70)</f>
        <v>7.4</v>
      </c>
      <c r="AA70" s="56">
        <f>Z70+IF($B66=2,0,AA66)</f>
        <v>8.8000000000000007</v>
      </c>
      <c r="AB70" s="58">
        <v>4</v>
      </c>
      <c r="AC70" s="52"/>
      <c r="AD70" s="52"/>
      <c r="AE70" s="55">
        <f>SUBTOTAL(9,AB70:AD70)</f>
        <v>4</v>
      </c>
      <c r="AF70" s="56">
        <f>AE70+IF($B66=2,0,AF66)</f>
        <v>50.7</v>
      </c>
      <c r="AG70" s="58">
        <v>7.9</v>
      </c>
      <c r="AH70" s="57">
        <f>SUBTOTAL(9,AG70:AG70)</f>
        <v>7.9</v>
      </c>
      <c r="AI70" s="58">
        <v>3.6</v>
      </c>
      <c r="AJ70" s="58">
        <v>17.600000000000001</v>
      </c>
      <c r="AK70" s="52"/>
      <c r="AL70" s="52"/>
      <c r="AM70" s="52"/>
      <c r="AN70" s="52"/>
      <c r="AO70" s="57">
        <f>SUBTOTAL(9,AI70:AN70)</f>
        <v>21.200000000000003</v>
      </c>
      <c r="AP70" s="53">
        <f>SUBTOTAL(9,AG70:AN70)</f>
        <v>29.1</v>
      </c>
      <c r="AQ70" s="54">
        <f>AP70+IF($B66=2,0,AQ66)</f>
        <v>287.30433333333332</v>
      </c>
      <c r="AR70" s="59">
        <v>720</v>
      </c>
      <c r="AS70" s="60">
        <v>4.0999999999999996</v>
      </c>
      <c r="AT70" s="60">
        <v>3.1</v>
      </c>
      <c r="AU70" s="60">
        <v>3.3</v>
      </c>
      <c r="AV70" s="60">
        <v>2.2999999999999998</v>
      </c>
      <c r="AW70" s="60">
        <v>27</v>
      </c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3">
        <f>SUBTOTAL(9,AS70:BP70)</f>
        <v>39.799999999999997</v>
      </c>
      <c r="BR70" s="57">
        <f>BQ70+IF($B66=2,0,BR66)</f>
        <v>394.97866666663333</v>
      </c>
      <c r="BS70" s="52"/>
      <c r="BT70" s="52"/>
      <c r="BU70" s="52"/>
      <c r="BV70" s="52"/>
      <c r="BW70" s="53">
        <f>SUBTOTAL(9,BS70:BV70)</f>
        <v>0</v>
      </c>
      <c r="BX70" s="53">
        <f>BW70+IF($B66=2,0,BX66)</f>
        <v>0</v>
      </c>
      <c r="BY70" s="61"/>
      <c r="BZ70" s="61"/>
      <c r="CA70" s="62">
        <f>SUMIF($C$5:BZ$5,"Накопленный эффект, т/сут",$C70:BZ70)+SUMIF($C$5:BZ$5,"Нараст.  по потенциалу",$C70:BZ70)-SUMIF($C$5:BZ$5,"Нараст. по остановкам",$C70:BZ70)-SUMIF($C$5:BZ$5,"ИТОГО перевод в ППД",$C70:BZ70)-SUMIF($C$5:BZ$5,"ИТОГО  нерент, по распоряж.",$C70:BZ70)-SUMIF($C$5:BZ$5,"ИТОГО ост. дебит от ЗБС, Углуб., ПВЛГ/ПНЛГ",$C70:BZ70)</f>
        <v>846.82566666669993</v>
      </c>
      <c r="CB70" s="53">
        <v>30.1</v>
      </c>
      <c r="CC70" s="53">
        <v>10.199695864933201</v>
      </c>
      <c r="CD70" s="53">
        <v>1.8777516938817</v>
      </c>
      <c r="CE70" s="53">
        <v>51.643512650384899</v>
      </c>
      <c r="CF70" s="53">
        <f>SUBTOTAL(9,CB70:CE70)</f>
        <v>93.820960209199797</v>
      </c>
      <c r="CG70" s="114" t="s">
        <v>2</v>
      </c>
      <c r="CH70" s="64">
        <f>CH$4+SUMIF($C$5:CF$5,"Нараст. по остановкам",$C70:CF70)-SUMIF($C$5:CF$5,"Нараст.  по потенциалу",$C70:CF70)</f>
        <v>812.139486578488</v>
      </c>
      <c r="CI70" s="16"/>
    </row>
    <row r="71" spans="1:87" ht="1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>
        <v>1</v>
      </c>
      <c r="T71" s="2"/>
      <c r="U71" s="2"/>
      <c r="V71" s="2"/>
      <c r="W71" s="2"/>
      <c r="X71" s="2"/>
      <c r="Y71" s="2"/>
      <c r="Z71" s="2"/>
      <c r="AA71" s="2"/>
      <c r="AB71" s="2">
        <v>1</v>
      </c>
      <c r="AC71" s="2"/>
      <c r="AD71" s="2"/>
      <c r="AE71" s="2"/>
      <c r="AF71" s="2"/>
      <c r="AG71" s="2">
        <v>1</v>
      </c>
      <c r="AH71" s="2"/>
      <c r="AI71" s="2">
        <v>1</v>
      </c>
      <c r="AJ71" s="2"/>
      <c r="AK71" s="2"/>
      <c r="AL71" s="2"/>
      <c r="AM71" s="2"/>
      <c r="AN71" s="2"/>
      <c r="AO71" s="2"/>
      <c r="AP71" s="2"/>
      <c r="AQ71" s="2"/>
      <c r="AR71" s="2"/>
      <c r="AS71" s="2">
        <v>1</v>
      </c>
      <c r="AT71" s="2">
        <v>1</v>
      </c>
      <c r="AU71" s="2">
        <v>1</v>
      </c>
      <c r="AV71" s="2">
        <v>1</v>
      </c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16"/>
    </row>
    <row r="72" spans="1:87" ht="11.25" customHeight="1" x14ac:dyDescent="0.25">
      <c r="A72" s="134">
        <v>45398</v>
      </c>
      <c r="B72" s="17" t="s">
        <v>46</v>
      </c>
      <c r="C72" s="18"/>
      <c r="D72" s="18"/>
      <c r="E72" s="18"/>
      <c r="F72" s="19">
        <v>640</v>
      </c>
      <c r="G72" s="18"/>
      <c r="H72" s="18"/>
      <c r="I72" s="19">
        <v>0</v>
      </c>
      <c r="J72" s="18"/>
      <c r="K72" s="18"/>
      <c r="L72" s="18"/>
      <c r="M72" s="18"/>
      <c r="N72" s="19">
        <v>243</v>
      </c>
      <c r="O72" s="18"/>
      <c r="P72" s="19">
        <v>0</v>
      </c>
      <c r="Q72" s="19">
        <v>883</v>
      </c>
      <c r="R72" s="20"/>
      <c r="S72" s="18"/>
      <c r="T72" s="21"/>
      <c r="U72" s="22"/>
      <c r="V72" s="24" t="s">
        <v>50</v>
      </c>
      <c r="W72" s="18"/>
      <c r="X72" s="18"/>
      <c r="Y72" s="18"/>
      <c r="Z72" s="21"/>
      <c r="AA72" s="22"/>
      <c r="AB72" s="18"/>
      <c r="AC72" s="18"/>
      <c r="AD72" s="18"/>
      <c r="AE72" s="21"/>
      <c r="AF72" s="22"/>
      <c r="AG72" s="18"/>
      <c r="AH72" s="23">
        <v>19.3</v>
      </c>
      <c r="AI72" s="24"/>
      <c r="AJ72" s="18"/>
      <c r="AK72" s="18"/>
      <c r="AL72" s="18"/>
      <c r="AM72" s="18"/>
      <c r="AN72" s="18"/>
      <c r="AO72" s="23">
        <v>289.88933333333301</v>
      </c>
      <c r="AP72" s="19">
        <v>309.18933333333302</v>
      </c>
      <c r="AQ72" s="20"/>
      <c r="AR72" s="25"/>
      <c r="AS72" s="26" t="s">
        <v>61</v>
      </c>
      <c r="AT72" s="26" t="s">
        <v>50</v>
      </c>
      <c r="AU72" s="26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27"/>
      <c r="BR72" s="28"/>
      <c r="BS72" s="18"/>
      <c r="BT72" s="18"/>
      <c r="BU72" s="18"/>
      <c r="BV72" s="18"/>
      <c r="BW72" s="27"/>
      <c r="BX72" s="27"/>
      <c r="BY72" s="29"/>
      <c r="BZ72" s="29"/>
      <c r="CA72" s="30"/>
      <c r="CB72" s="32"/>
      <c r="CC72" s="32"/>
      <c r="CD72" s="32"/>
      <c r="CE72" s="32"/>
      <c r="CF72" s="32"/>
      <c r="CG72" s="135">
        <f>CG$4+SUMIF($C$5:CF$5,"Нараст. баланс",$C74:CF74)+SUMIF($C$7:CD$7,"Итого (с ВНР)",$C74:CD74)-SUMIF($C$5:CF$5,"Геол. снижение,  т/сут",$C74:CF74)-SUMIF(CE$7:CF$7,"Итого",CE74:CF74)-SUMIF($C$7:CF$7,"Итого (с ВСП)",$C74:CF74)</f>
        <v>30064.319653231272</v>
      </c>
      <c r="CH72" s="33"/>
      <c r="CI72" s="16"/>
    </row>
    <row r="73" spans="1:87" ht="11.25" customHeight="1" x14ac:dyDescent="0.25">
      <c r="A73" s="114" t="s">
        <v>2</v>
      </c>
      <c r="B73" s="34" t="s">
        <v>47</v>
      </c>
      <c r="C73" s="35"/>
      <c r="D73" s="35"/>
      <c r="E73" s="35"/>
      <c r="F73" s="36">
        <v>0</v>
      </c>
      <c r="G73" s="35"/>
      <c r="H73" s="35"/>
      <c r="I73" s="36">
        <v>0</v>
      </c>
      <c r="J73" s="35"/>
      <c r="K73" s="35"/>
      <c r="L73" s="35"/>
      <c r="M73" s="35"/>
      <c r="N73" s="36">
        <v>0</v>
      </c>
      <c r="O73" s="35"/>
      <c r="P73" s="36">
        <v>0</v>
      </c>
      <c r="Q73" s="36">
        <v>0</v>
      </c>
      <c r="R73" s="37"/>
      <c r="S73" s="35"/>
      <c r="T73" s="38">
        <f>SUBTOTAL(9,S75:S75)</f>
        <v>0</v>
      </c>
      <c r="U73" s="39"/>
      <c r="V73" s="41"/>
      <c r="W73" s="35"/>
      <c r="X73" s="35"/>
      <c r="Y73" s="35"/>
      <c r="Z73" s="38">
        <f>SUBTOTAL(9,V75:Y75)</f>
        <v>0</v>
      </c>
      <c r="AA73" s="39"/>
      <c r="AB73" s="35"/>
      <c r="AC73" s="35"/>
      <c r="AD73" s="35"/>
      <c r="AE73" s="38">
        <f>SUBTOTAL(9,AB75:AD75)</f>
        <v>0</v>
      </c>
      <c r="AF73" s="39"/>
      <c r="AG73" s="35"/>
      <c r="AH73" s="40">
        <f>SUBTOTAL(9,AG75:AG75)</f>
        <v>0</v>
      </c>
      <c r="AI73" s="41"/>
      <c r="AJ73" s="35"/>
      <c r="AK73" s="35"/>
      <c r="AL73" s="35"/>
      <c r="AM73" s="35"/>
      <c r="AN73" s="35"/>
      <c r="AO73" s="40">
        <f>SUBTOTAL(9,AI75:AN75)</f>
        <v>0</v>
      </c>
      <c r="AP73" s="36">
        <f>SUBTOTAL(9,AG75:AN75)</f>
        <v>0</v>
      </c>
      <c r="AQ73" s="37"/>
      <c r="AR73" s="42"/>
      <c r="AS73" s="43" t="s">
        <v>108</v>
      </c>
      <c r="AT73" s="43" t="s">
        <v>109</v>
      </c>
      <c r="AU73" s="43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6">
        <f>SUBTOTAL(9,AS75:BP75)</f>
        <v>2</v>
      </c>
      <c r="BR73" s="44"/>
      <c r="BS73" s="35"/>
      <c r="BT73" s="35"/>
      <c r="BU73" s="35"/>
      <c r="BV73" s="35"/>
      <c r="BW73" s="36">
        <f>SUBTOTAL(3,BS73:BV73)</f>
        <v>0</v>
      </c>
      <c r="BX73" s="45"/>
      <c r="BY73" s="46"/>
      <c r="BZ73" s="46"/>
      <c r="CA73" s="47"/>
      <c r="CB73" s="49"/>
      <c r="CC73" s="49"/>
      <c r="CD73" s="49"/>
      <c r="CE73" s="49"/>
      <c r="CF73" s="49"/>
      <c r="CG73" s="114" t="s">
        <v>2</v>
      </c>
      <c r="CH73" s="50"/>
      <c r="CI73" s="16"/>
    </row>
    <row r="74" spans="1:87" ht="11.25" customHeight="1" x14ac:dyDescent="0.25">
      <c r="A74" s="114" t="s">
        <v>2</v>
      </c>
      <c r="B74" s="51" t="s">
        <v>44</v>
      </c>
      <c r="C74" s="52"/>
      <c r="D74" s="52"/>
      <c r="E74" s="52"/>
      <c r="F74" s="53">
        <f>SUBTOTAL(9,C74:E74)</f>
        <v>0</v>
      </c>
      <c r="G74" s="52"/>
      <c r="H74" s="52"/>
      <c r="I74" s="53">
        <f>SUBTOTAL(9,G74:H74)</f>
        <v>0</v>
      </c>
      <c r="J74" s="52"/>
      <c r="K74" s="52"/>
      <c r="L74" s="52"/>
      <c r="M74" s="52"/>
      <c r="N74" s="53">
        <f>SUBTOTAL(9,J74:M74)</f>
        <v>0</v>
      </c>
      <c r="O74" s="52"/>
      <c r="P74" s="53">
        <f>SUBTOTAL(9,O74:O74)</f>
        <v>0</v>
      </c>
      <c r="Q74" s="53">
        <f>SUBTOTAL(9,C74:O74)</f>
        <v>0</v>
      </c>
      <c r="R74" s="54">
        <v>883</v>
      </c>
      <c r="S74" s="52"/>
      <c r="T74" s="55">
        <f>SUBTOTAL(9,S74:S74)</f>
        <v>0</v>
      </c>
      <c r="U74" s="56">
        <f>T74+IF($B70=2,0,U70)</f>
        <v>12</v>
      </c>
      <c r="V74" s="58">
        <v>1.1000000000000001</v>
      </c>
      <c r="W74" s="52"/>
      <c r="X74" s="52"/>
      <c r="Y74" s="52"/>
      <c r="Z74" s="55">
        <f>SUBTOTAL(9,V74:Y74)</f>
        <v>1.1000000000000001</v>
      </c>
      <c r="AA74" s="56">
        <f>Z74+IF($B70=2,0,AA70)</f>
        <v>9.9</v>
      </c>
      <c r="AB74" s="52"/>
      <c r="AC74" s="52"/>
      <c r="AD74" s="52"/>
      <c r="AE74" s="55">
        <f>SUBTOTAL(9,AB74:AD74)</f>
        <v>0</v>
      </c>
      <c r="AF74" s="56">
        <f>AE74+IF($B70=2,0,AF70)</f>
        <v>50.7</v>
      </c>
      <c r="AG74" s="52"/>
      <c r="AH74" s="57">
        <f>SUBTOTAL(9,AG74:AG74)</f>
        <v>0</v>
      </c>
      <c r="AI74" s="58">
        <v>21.885000000000002</v>
      </c>
      <c r="AJ74" s="52"/>
      <c r="AK74" s="52"/>
      <c r="AL74" s="52"/>
      <c r="AM74" s="52"/>
      <c r="AN74" s="52"/>
      <c r="AO74" s="57">
        <f>SUBTOTAL(9,AI74:AN74)</f>
        <v>21.885000000000002</v>
      </c>
      <c r="AP74" s="53">
        <f>SUBTOTAL(9,AG74:AN74)</f>
        <v>21.885000000000002</v>
      </c>
      <c r="AQ74" s="54">
        <f>AP74+IF($B70=2,0,AQ70)</f>
        <v>309.18933333333331</v>
      </c>
      <c r="AR74" s="59">
        <v>768</v>
      </c>
      <c r="AS74" s="60">
        <v>9.1</v>
      </c>
      <c r="AT74" s="60">
        <v>5.4</v>
      </c>
      <c r="AU74" s="60">
        <v>4.5999999999999996</v>
      </c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3">
        <f>SUBTOTAL(9,AS74:BP74)</f>
        <v>19.100000000000001</v>
      </c>
      <c r="BR74" s="57">
        <f>BQ74+IF($B70=2,0,BR70)</f>
        <v>414.07866666663335</v>
      </c>
      <c r="BS74" s="52"/>
      <c r="BT74" s="52"/>
      <c r="BU74" s="52"/>
      <c r="BV74" s="52"/>
      <c r="BW74" s="53">
        <f>SUBTOTAL(9,BS74:BV74)</f>
        <v>0</v>
      </c>
      <c r="BX74" s="53">
        <f>BW74+IF($B70=2,0,BX70)</f>
        <v>0</v>
      </c>
      <c r="BY74" s="61"/>
      <c r="BZ74" s="61"/>
      <c r="CA74" s="62">
        <f>SUMIF($C$5:BZ$5,"Накопленный эффект, т/сут",$C74:BZ74)+SUMIF($C$5:BZ$5,"Нараст.  по потенциалу",$C74:BZ74)-SUMIF($C$5:BZ$5,"Нараст. по остановкам",$C74:BZ74)-SUMIF($C$5:BZ$5,"ИТОГО перевод в ППД",$C74:BZ74)-SUMIF($C$5:BZ$5,"ИТОГО  нерент, по распоряж.",$C74:BZ74)-SUMIF($C$5:BZ$5,"ИТОГО ост. дебит от ЗБС, Углуб., ПВЛГ/ПНЛГ",$C74:BZ74)</f>
        <v>850.71066666670004</v>
      </c>
      <c r="CB74" s="53">
        <v>50.3</v>
      </c>
      <c r="CC74" s="53">
        <v>29.976641663320901</v>
      </c>
      <c r="CD74" s="53">
        <v>32.626102967781698</v>
      </c>
      <c r="CE74" s="53">
        <v>33.509268804323497</v>
      </c>
      <c r="CF74" s="53">
        <f>SUBTOTAL(9,CB74:CE74)</f>
        <v>146.4120134354261</v>
      </c>
      <c r="CG74" s="114" t="s">
        <v>2</v>
      </c>
      <c r="CH74" s="64">
        <f>CH$4+SUMIF($C$5:CF$5,"Нараст. по остановкам",$C74:CF74)-SUMIF($C$5:CF$5,"Нараст.  по потенциалу",$C74:CF74)</f>
        <v>809.35448657848815</v>
      </c>
      <c r="CI74" s="16"/>
    </row>
    <row r="75" spans="1:87" ht="1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>
        <v>1</v>
      </c>
      <c r="AT75" s="2">
        <v>1</v>
      </c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16"/>
    </row>
    <row r="76" spans="1:87" ht="11.25" customHeight="1" x14ac:dyDescent="0.25">
      <c r="A76" s="134">
        <v>45399</v>
      </c>
      <c r="B76" s="17" t="s">
        <v>46</v>
      </c>
      <c r="C76" s="24" t="s">
        <v>84</v>
      </c>
      <c r="D76" s="18"/>
      <c r="E76" s="18"/>
      <c r="F76" s="19">
        <v>690</v>
      </c>
      <c r="G76" s="18"/>
      <c r="H76" s="18"/>
      <c r="I76" s="19">
        <v>0</v>
      </c>
      <c r="J76" s="18"/>
      <c r="K76" s="18"/>
      <c r="L76" s="18"/>
      <c r="M76" s="18"/>
      <c r="N76" s="19">
        <v>243</v>
      </c>
      <c r="O76" s="18"/>
      <c r="P76" s="19">
        <v>0</v>
      </c>
      <c r="Q76" s="19">
        <v>933</v>
      </c>
      <c r="R76" s="20"/>
      <c r="S76" s="18"/>
      <c r="T76" s="21"/>
      <c r="U76" s="22"/>
      <c r="V76" s="18"/>
      <c r="W76" s="18"/>
      <c r="X76" s="18"/>
      <c r="Y76" s="18"/>
      <c r="Z76" s="21"/>
      <c r="AA76" s="22"/>
      <c r="AB76" s="24" t="s">
        <v>50</v>
      </c>
      <c r="AC76" s="24" t="s">
        <v>110</v>
      </c>
      <c r="AD76" s="24" t="s">
        <v>61</v>
      </c>
      <c r="AE76" s="21"/>
      <c r="AF76" s="22"/>
      <c r="AG76" s="18"/>
      <c r="AH76" s="23">
        <v>19.3</v>
      </c>
      <c r="AI76" s="24" t="s">
        <v>71</v>
      </c>
      <c r="AJ76" s="24" t="s">
        <v>48</v>
      </c>
      <c r="AK76" s="24"/>
      <c r="AL76" s="18"/>
      <c r="AM76" s="18"/>
      <c r="AN76" s="18"/>
      <c r="AO76" s="23">
        <v>315.589333333333</v>
      </c>
      <c r="AP76" s="19">
        <v>334.88933333333301</v>
      </c>
      <c r="AQ76" s="20"/>
      <c r="AR76" s="25"/>
      <c r="AS76" s="26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27"/>
      <c r="BR76" s="28"/>
      <c r="BS76" s="18"/>
      <c r="BT76" s="18"/>
      <c r="BU76" s="18"/>
      <c r="BV76" s="18"/>
      <c r="BW76" s="27"/>
      <c r="BX76" s="27"/>
      <c r="BY76" s="29"/>
      <c r="BZ76" s="29"/>
      <c r="CA76" s="30"/>
      <c r="CB76" s="32"/>
      <c r="CC76" s="32"/>
      <c r="CD76" s="32"/>
      <c r="CE76" s="32"/>
      <c r="CF76" s="32"/>
      <c r="CG76" s="135">
        <f>CG$4+SUMIF($C$5:CF$5,"Нараст. баланс",$C78:CF78)+SUMIF($C$7:CD$7,"Итого (с ВНР)",$C78:CD78)-SUMIF($C$5:CF$5,"Геол. снижение,  т/сут",$C78:CF78)-SUMIF(CE$7:CF$7,"Итого",CE78:CF78)-SUMIF($C$7:CF$7,"Итого (с ВСП)",$C78:CF78)</f>
        <v>29857.904627461769</v>
      </c>
      <c r="CH76" s="33"/>
      <c r="CI76" s="16"/>
    </row>
    <row r="77" spans="1:87" ht="11.25" customHeight="1" x14ac:dyDescent="0.25">
      <c r="A77" s="114" t="s">
        <v>2</v>
      </c>
      <c r="B77" s="34" t="s">
        <v>47</v>
      </c>
      <c r="C77" s="41" t="s">
        <v>111</v>
      </c>
      <c r="D77" s="35"/>
      <c r="E77" s="35"/>
      <c r="F77" s="36">
        <v>1</v>
      </c>
      <c r="G77" s="35"/>
      <c r="H77" s="35"/>
      <c r="I77" s="36">
        <v>0</v>
      </c>
      <c r="J77" s="35"/>
      <c r="K77" s="35"/>
      <c r="L77" s="35"/>
      <c r="M77" s="35"/>
      <c r="N77" s="36">
        <v>0</v>
      </c>
      <c r="O77" s="35"/>
      <c r="P77" s="36">
        <v>0</v>
      </c>
      <c r="Q77" s="36">
        <v>1</v>
      </c>
      <c r="R77" s="37"/>
      <c r="S77" s="35"/>
      <c r="T77" s="38">
        <f>SUBTOTAL(9,S79:S79)</f>
        <v>0</v>
      </c>
      <c r="U77" s="39"/>
      <c r="V77" s="35"/>
      <c r="W77" s="35"/>
      <c r="X77" s="35"/>
      <c r="Y77" s="35"/>
      <c r="Z77" s="38">
        <f>SUBTOTAL(9,V79:Y79)</f>
        <v>0</v>
      </c>
      <c r="AA77" s="39"/>
      <c r="AB77" s="41" t="s">
        <v>112</v>
      </c>
      <c r="AC77" s="41" t="s">
        <v>113</v>
      </c>
      <c r="AD77" s="41" t="s">
        <v>114</v>
      </c>
      <c r="AE77" s="38">
        <f>SUBTOTAL(9,AB79:AD79)</f>
        <v>3</v>
      </c>
      <c r="AF77" s="39"/>
      <c r="AG77" s="35"/>
      <c r="AH77" s="40">
        <f>SUBTOTAL(9,AG79:AG79)</f>
        <v>0</v>
      </c>
      <c r="AI77" s="41" t="s">
        <v>82</v>
      </c>
      <c r="AJ77" s="41" t="s">
        <v>83</v>
      </c>
      <c r="AK77" s="41"/>
      <c r="AL77" s="35"/>
      <c r="AM77" s="35"/>
      <c r="AN77" s="35"/>
      <c r="AO77" s="40">
        <f>SUBTOTAL(9,AI79:AN79)</f>
        <v>2</v>
      </c>
      <c r="AP77" s="36">
        <f>SUBTOTAL(9,AG79:AN79)</f>
        <v>2</v>
      </c>
      <c r="AQ77" s="37"/>
      <c r="AR77" s="42"/>
      <c r="AS77" s="43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6">
        <f>SUBTOTAL(9,AS79:BP79)</f>
        <v>0</v>
      </c>
      <c r="BR77" s="44"/>
      <c r="BS77" s="35"/>
      <c r="BT77" s="35"/>
      <c r="BU77" s="35"/>
      <c r="BV77" s="35"/>
      <c r="BW77" s="36">
        <f>SUBTOTAL(3,BS77:BV77)</f>
        <v>0</v>
      </c>
      <c r="BX77" s="45"/>
      <c r="BY77" s="46"/>
      <c r="BZ77" s="46"/>
      <c r="CA77" s="47"/>
      <c r="CB77" s="49"/>
      <c r="CC77" s="49"/>
      <c r="CD77" s="49"/>
      <c r="CE77" s="49"/>
      <c r="CF77" s="49"/>
      <c r="CG77" s="114" t="s">
        <v>2</v>
      </c>
      <c r="CH77" s="50"/>
      <c r="CI77" s="16"/>
    </row>
    <row r="78" spans="1:87" ht="11.25" customHeight="1" x14ac:dyDescent="0.25">
      <c r="A78" s="114" t="s">
        <v>2</v>
      </c>
      <c r="B78" s="51" t="s">
        <v>44</v>
      </c>
      <c r="C78" s="58">
        <v>50</v>
      </c>
      <c r="D78" s="52"/>
      <c r="E78" s="52"/>
      <c r="F78" s="53">
        <f>SUBTOTAL(9,C78:E78)</f>
        <v>50</v>
      </c>
      <c r="G78" s="52"/>
      <c r="H78" s="52"/>
      <c r="I78" s="53">
        <f>SUBTOTAL(9,G78:H78)</f>
        <v>0</v>
      </c>
      <c r="J78" s="52"/>
      <c r="K78" s="52"/>
      <c r="L78" s="52"/>
      <c r="M78" s="52"/>
      <c r="N78" s="53">
        <f>SUBTOTAL(9,J78:M78)</f>
        <v>0</v>
      </c>
      <c r="O78" s="52"/>
      <c r="P78" s="53">
        <f>SUBTOTAL(9,O78:O78)</f>
        <v>0</v>
      </c>
      <c r="Q78" s="53">
        <f>SUBTOTAL(9,C78:O78)</f>
        <v>50</v>
      </c>
      <c r="R78" s="54">
        <v>933</v>
      </c>
      <c r="S78" s="52"/>
      <c r="T78" s="55">
        <f>SUBTOTAL(9,S78:S78)</f>
        <v>0</v>
      </c>
      <c r="U78" s="56">
        <f>T78+IF($B74=2,0,U74)</f>
        <v>12</v>
      </c>
      <c r="V78" s="52"/>
      <c r="W78" s="52"/>
      <c r="X78" s="52"/>
      <c r="Y78" s="52"/>
      <c r="Z78" s="55">
        <f>SUBTOTAL(9,V78:Y78)</f>
        <v>0</v>
      </c>
      <c r="AA78" s="56">
        <f>Z78+IF($B74=2,0,AA74)</f>
        <v>9.9</v>
      </c>
      <c r="AB78" s="58">
        <v>5</v>
      </c>
      <c r="AC78" s="58">
        <v>4</v>
      </c>
      <c r="AD78" s="58">
        <v>3</v>
      </c>
      <c r="AE78" s="55">
        <f>SUBTOTAL(9,AB78:AD78)</f>
        <v>12</v>
      </c>
      <c r="AF78" s="56">
        <f>AE78+IF($B74=2,0,AF74)</f>
        <v>62.7</v>
      </c>
      <c r="AG78" s="52"/>
      <c r="AH78" s="57">
        <f>SUBTOTAL(9,AG78:AG78)</f>
        <v>0</v>
      </c>
      <c r="AI78" s="58">
        <v>9.3000000000000007</v>
      </c>
      <c r="AJ78" s="58">
        <v>12.7</v>
      </c>
      <c r="AK78" s="58">
        <v>3.7</v>
      </c>
      <c r="AL78" s="52"/>
      <c r="AM78" s="52"/>
      <c r="AN78" s="52"/>
      <c r="AO78" s="57">
        <f>SUBTOTAL(9,AI78:AN78)</f>
        <v>25.7</v>
      </c>
      <c r="AP78" s="53">
        <f>SUBTOTAL(9,AG78:AN78)</f>
        <v>25.7</v>
      </c>
      <c r="AQ78" s="54">
        <f>AP78+IF($B74=2,0,AQ74)</f>
        <v>334.8893333333333</v>
      </c>
      <c r="AR78" s="59">
        <v>816</v>
      </c>
      <c r="AS78" s="60">
        <v>26.3</v>
      </c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3">
        <f>SUBTOTAL(9,AS78:BP78)</f>
        <v>26.3</v>
      </c>
      <c r="BR78" s="57">
        <f>BQ78+IF($B74=2,0,BR74)</f>
        <v>440.37866666663336</v>
      </c>
      <c r="BS78" s="52"/>
      <c r="BT78" s="52"/>
      <c r="BU78" s="52"/>
      <c r="BV78" s="52"/>
      <c r="BW78" s="53">
        <f>SUBTOTAL(9,BS78:BV78)</f>
        <v>0</v>
      </c>
      <c r="BX78" s="53">
        <f>BW78+IF($B74=2,0,BX74)</f>
        <v>0</v>
      </c>
      <c r="BY78" s="61"/>
      <c r="BZ78" s="61"/>
      <c r="CA78" s="62">
        <f>SUMIF($C$5:BZ$5,"Накопленный эффект, т/сут",$C78:BZ78)+SUMIF($C$5:BZ$5,"Нараст.  по потенциалу",$C78:BZ78)-SUMIF($C$5:BZ$5,"Нараст. по остановкам",$C78:BZ78)-SUMIF($C$5:BZ$5,"ИТОГО перевод в ППД",$C78:BZ78)-SUMIF($C$5:BZ$5,"ИТОГО  нерент, по распоряж.",$C78:BZ78)-SUMIF($C$5:BZ$5,"ИТОГО ост. дебит от ЗБС, Углуб., ПВЛГ/ПНЛГ",$C78:BZ78)</f>
        <v>912.11066666670013</v>
      </c>
      <c r="CB78" s="53">
        <v>50.3</v>
      </c>
      <c r="CC78" s="53">
        <v>23.773317545083199</v>
      </c>
      <c r="CD78" s="53">
        <v>286.94018670483399</v>
      </c>
      <c r="CE78" s="53">
        <v>5.2135349550139596</v>
      </c>
      <c r="CF78" s="53">
        <f>SUBTOTAL(9,CB78:CE78)</f>
        <v>366.2270392049312</v>
      </c>
      <c r="CG78" s="114" t="s">
        <v>2</v>
      </c>
      <c r="CH78" s="64">
        <f>CH$4+SUMIF($C$5:CF$5,"Нараст. по остановкам",$C78:CF78)-SUMIF($C$5:CF$5,"Нараст.  по потенциалу",$C78:CF78)</f>
        <v>809.95448657848806</v>
      </c>
      <c r="CI78" s="16"/>
    </row>
    <row r="79" spans="1:87" ht="1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>
        <v>1</v>
      </c>
      <c r="AC79" s="2">
        <v>1</v>
      </c>
      <c r="AD79" s="2">
        <v>1</v>
      </c>
      <c r="AE79" s="2"/>
      <c r="AF79" s="2"/>
      <c r="AG79" s="2"/>
      <c r="AH79" s="2"/>
      <c r="AI79" s="2">
        <v>1</v>
      </c>
      <c r="AJ79" s="2">
        <v>1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16"/>
    </row>
    <row r="80" spans="1:87" ht="11.25" customHeight="1" x14ac:dyDescent="0.25">
      <c r="A80" s="134">
        <v>45400</v>
      </c>
      <c r="B80" s="17" t="s">
        <v>46</v>
      </c>
      <c r="C80" s="24" t="s">
        <v>115</v>
      </c>
      <c r="D80" s="18"/>
      <c r="E80" s="18"/>
      <c r="F80" s="19">
        <v>710</v>
      </c>
      <c r="G80" s="18"/>
      <c r="H80" s="18"/>
      <c r="I80" s="19">
        <v>0</v>
      </c>
      <c r="J80" s="24" t="s">
        <v>50</v>
      </c>
      <c r="K80" s="18"/>
      <c r="L80" s="18"/>
      <c r="M80" s="18"/>
      <c r="N80" s="19">
        <v>265</v>
      </c>
      <c r="O80" s="18"/>
      <c r="P80" s="19">
        <v>0</v>
      </c>
      <c r="Q80" s="19">
        <v>975</v>
      </c>
      <c r="R80" s="20"/>
      <c r="S80" s="18"/>
      <c r="T80" s="21"/>
      <c r="U80" s="22"/>
      <c r="V80" s="18"/>
      <c r="W80" s="18"/>
      <c r="X80" s="18"/>
      <c r="Y80" s="18"/>
      <c r="Z80" s="21"/>
      <c r="AA80" s="22"/>
      <c r="AB80" s="18"/>
      <c r="AC80" s="18"/>
      <c r="AD80" s="18"/>
      <c r="AE80" s="21"/>
      <c r="AF80" s="22"/>
      <c r="AG80" s="18"/>
      <c r="AH80" s="23">
        <v>19.3</v>
      </c>
      <c r="AI80" s="24" t="s">
        <v>51</v>
      </c>
      <c r="AJ80" s="24"/>
      <c r="AK80" s="18"/>
      <c r="AL80" s="18"/>
      <c r="AM80" s="18"/>
      <c r="AN80" s="18"/>
      <c r="AO80" s="23">
        <v>322.98933333333298</v>
      </c>
      <c r="AP80" s="19">
        <v>342.28933333333299</v>
      </c>
      <c r="AQ80" s="20"/>
      <c r="AR80" s="25"/>
      <c r="AS80" s="26" t="s">
        <v>58</v>
      </c>
      <c r="AT80" s="26" t="s">
        <v>61</v>
      </c>
      <c r="AU80" s="26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27"/>
      <c r="BR80" s="28"/>
      <c r="BS80" s="18"/>
      <c r="BT80" s="18"/>
      <c r="BU80" s="18"/>
      <c r="BV80" s="18"/>
      <c r="BW80" s="27"/>
      <c r="BX80" s="27"/>
      <c r="BY80" s="29"/>
      <c r="BZ80" s="29"/>
      <c r="CA80" s="30"/>
      <c r="CB80" s="32"/>
      <c r="CC80" s="32"/>
      <c r="CD80" s="32"/>
      <c r="CE80" s="32"/>
      <c r="CF80" s="32"/>
      <c r="CG80" s="135">
        <f>CG$4+SUMIF($C$5:CF$5,"Нараст. баланс",$C82:CF82)+SUMIF($C$7:CD$7,"Итого (с ВНР)",$C82:CD82)-SUMIF($C$5:CF$5,"Геол. снижение,  т/сут",$C82:CF82)-SUMIF(CE$7:CF$7,"Итого",CE82:CF82)-SUMIF($C$7:CF$7,"Итого (с ВСП)",$C82:CF82)</f>
        <v>30109.366263979351</v>
      </c>
      <c r="CH80" s="33"/>
      <c r="CI80" s="16"/>
    </row>
    <row r="81" spans="1:87" ht="11.25" customHeight="1" x14ac:dyDescent="0.25">
      <c r="A81" s="114" t="s">
        <v>2</v>
      </c>
      <c r="B81" s="34" t="s">
        <v>47</v>
      </c>
      <c r="C81" s="41" t="s">
        <v>116</v>
      </c>
      <c r="D81" s="35"/>
      <c r="E81" s="35"/>
      <c r="F81" s="36">
        <v>1</v>
      </c>
      <c r="G81" s="35"/>
      <c r="H81" s="35"/>
      <c r="I81" s="36">
        <v>0</v>
      </c>
      <c r="J81" s="41" t="s">
        <v>117</v>
      </c>
      <c r="K81" s="35"/>
      <c r="L81" s="35"/>
      <c r="M81" s="35"/>
      <c r="N81" s="36">
        <v>1</v>
      </c>
      <c r="O81" s="35"/>
      <c r="P81" s="36">
        <v>0</v>
      </c>
      <c r="Q81" s="36">
        <v>2</v>
      </c>
      <c r="R81" s="37"/>
      <c r="S81" s="35"/>
      <c r="T81" s="38">
        <f>SUBTOTAL(9,S83:S83)</f>
        <v>0</v>
      </c>
      <c r="U81" s="39"/>
      <c r="V81" s="35"/>
      <c r="W81" s="35"/>
      <c r="X81" s="35"/>
      <c r="Y81" s="35"/>
      <c r="Z81" s="38">
        <f>SUBTOTAL(9,V83:Y83)</f>
        <v>0</v>
      </c>
      <c r="AA81" s="39"/>
      <c r="AB81" s="35"/>
      <c r="AC81" s="35"/>
      <c r="AD81" s="35"/>
      <c r="AE81" s="38">
        <f>SUBTOTAL(9,AB83:AD83)</f>
        <v>0</v>
      </c>
      <c r="AF81" s="39"/>
      <c r="AG81" s="35"/>
      <c r="AH81" s="40">
        <f>SUBTOTAL(9,AG83:AG83)</f>
        <v>0</v>
      </c>
      <c r="AI81" s="41" t="s">
        <v>89</v>
      </c>
      <c r="AJ81" s="41"/>
      <c r="AK81" s="35"/>
      <c r="AL81" s="35"/>
      <c r="AM81" s="35"/>
      <c r="AN81" s="35"/>
      <c r="AO81" s="40">
        <f>SUBTOTAL(9,AI83:AN83)</f>
        <v>1</v>
      </c>
      <c r="AP81" s="36">
        <f>SUBTOTAL(9,AG83:AN83)</f>
        <v>1</v>
      </c>
      <c r="AQ81" s="37"/>
      <c r="AR81" s="42"/>
      <c r="AS81" s="43" t="s">
        <v>118</v>
      </c>
      <c r="AT81" s="43" t="s">
        <v>119</v>
      </c>
      <c r="AU81" s="43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6">
        <f>SUBTOTAL(9,AS83:BP83)</f>
        <v>2</v>
      </c>
      <c r="BR81" s="44"/>
      <c r="BS81" s="35"/>
      <c r="BT81" s="35"/>
      <c r="BU81" s="35"/>
      <c r="BV81" s="35"/>
      <c r="BW81" s="36">
        <f>SUBTOTAL(3,BS81:BV81)</f>
        <v>0</v>
      </c>
      <c r="BX81" s="45"/>
      <c r="BY81" s="46"/>
      <c r="BZ81" s="46"/>
      <c r="CA81" s="47"/>
      <c r="CB81" s="49"/>
      <c r="CC81" s="49"/>
      <c r="CD81" s="49"/>
      <c r="CE81" s="49"/>
      <c r="CF81" s="49"/>
      <c r="CG81" s="114" t="s">
        <v>2</v>
      </c>
      <c r="CH81" s="50"/>
      <c r="CI81" s="16"/>
    </row>
    <row r="82" spans="1:87" ht="11.25" customHeight="1" x14ac:dyDescent="0.25">
      <c r="A82" s="114" t="s">
        <v>2</v>
      </c>
      <c r="B82" s="51" t="s">
        <v>44</v>
      </c>
      <c r="C82" s="58">
        <v>20</v>
      </c>
      <c r="D82" s="52"/>
      <c r="E82" s="52"/>
      <c r="F82" s="53">
        <f>SUBTOTAL(9,C82:E82)</f>
        <v>20</v>
      </c>
      <c r="G82" s="52"/>
      <c r="H82" s="52"/>
      <c r="I82" s="53">
        <f>SUBTOTAL(9,G82:H82)</f>
        <v>0</v>
      </c>
      <c r="J82" s="58">
        <v>22</v>
      </c>
      <c r="K82" s="52"/>
      <c r="L82" s="52"/>
      <c r="M82" s="52"/>
      <c r="N82" s="53">
        <f>SUBTOTAL(9,J82:M82)</f>
        <v>22</v>
      </c>
      <c r="O82" s="52"/>
      <c r="P82" s="53">
        <f>SUBTOTAL(9,O82:O82)</f>
        <v>0</v>
      </c>
      <c r="Q82" s="53">
        <f>SUBTOTAL(9,C82:O82)</f>
        <v>42</v>
      </c>
      <c r="R82" s="54">
        <v>975</v>
      </c>
      <c r="S82" s="52"/>
      <c r="T82" s="55">
        <f>SUBTOTAL(9,S82:S82)</f>
        <v>0</v>
      </c>
      <c r="U82" s="56">
        <f>T82+IF($B78=2,0,U78)</f>
        <v>12</v>
      </c>
      <c r="V82" s="52"/>
      <c r="W82" s="52"/>
      <c r="X82" s="52"/>
      <c r="Y82" s="52"/>
      <c r="Z82" s="55">
        <f>SUBTOTAL(9,V82:Y82)</f>
        <v>0</v>
      </c>
      <c r="AA82" s="56">
        <f>Z82+IF($B78=2,0,AA78)</f>
        <v>9.9</v>
      </c>
      <c r="AB82" s="52"/>
      <c r="AC82" s="52"/>
      <c r="AD82" s="52"/>
      <c r="AE82" s="55">
        <f>SUBTOTAL(9,AB82:AD82)</f>
        <v>0</v>
      </c>
      <c r="AF82" s="56">
        <f>AE82+IF($B78=2,0,AF78)</f>
        <v>62.7</v>
      </c>
      <c r="AG82" s="52"/>
      <c r="AH82" s="57">
        <f>SUBTOTAL(9,AG82:AG82)</f>
        <v>0</v>
      </c>
      <c r="AI82" s="58">
        <v>5.0999999999999996</v>
      </c>
      <c r="AJ82" s="58">
        <v>2.2999999999999998</v>
      </c>
      <c r="AK82" s="52"/>
      <c r="AL82" s="52"/>
      <c r="AM82" s="52"/>
      <c r="AN82" s="52"/>
      <c r="AO82" s="57">
        <f>SUBTOTAL(9,AI82:AN82)</f>
        <v>7.3999999999999995</v>
      </c>
      <c r="AP82" s="53">
        <f>SUBTOTAL(9,AG82:AN82)</f>
        <v>7.3999999999999995</v>
      </c>
      <c r="AQ82" s="54">
        <f>AP82+IF($B78=2,0,AQ78)</f>
        <v>342.28933333333327</v>
      </c>
      <c r="AR82" s="59">
        <v>864</v>
      </c>
      <c r="AS82" s="60">
        <v>1.2</v>
      </c>
      <c r="AT82" s="60">
        <v>2.2000000000000002</v>
      </c>
      <c r="AU82" s="60">
        <v>4.5</v>
      </c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3">
        <f>SUBTOTAL(9,AS82:BP82)</f>
        <v>7.9</v>
      </c>
      <c r="BR82" s="57">
        <f>BQ82+IF($B78=2,0,BR78)</f>
        <v>448.27866666663334</v>
      </c>
      <c r="BS82" s="52"/>
      <c r="BT82" s="52"/>
      <c r="BU82" s="52"/>
      <c r="BV82" s="52"/>
      <c r="BW82" s="53">
        <f>SUBTOTAL(9,BS82:BV82)</f>
        <v>0</v>
      </c>
      <c r="BX82" s="53">
        <f>BW82+IF($B78=2,0,BX78)</f>
        <v>0</v>
      </c>
      <c r="BY82" s="61"/>
      <c r="BZ82" s="61"/>
      <c r="CA82" s="62">
        <f>SUMIF($C$5:BZ$5,"Накопленный эффект, т/сут",$C82:BZ82)+SUMIF($C$5:BZ$5,"Нараст.  по потенциалу",$C82:BZ82)-SUMIF($C$5:BZ$5,"Нараст. по остановкам",$C82:BZ82)-SUMIF($C$5:BZ$5,"ИТОГО перевод в ППД",$C82:BZ82)-SUMIF($C$5:BZ$5,"ИТОГО  нерент, по распоряж.",$C82:BZ82)-SUMIF($C$5:BZ$5,"ИТОГО ост. дебит от ЗБС, Углуб., ПВЛГ/ПНЛГ",$C82:BZ82)</f>
        <v>953.61066666669967</v>
      </c>
      <c r="CB82" s="53">
        <v>50.3</v>
      </c>
      <c r="CC82" s="53">
        <v>29.804780467952401</v>
      </c>
      <c r="CD82" s="53">
        <v>15.836823235069801</v>
      </c>
      <c r="CE82" s="53">
        <v>12.323798984326601</v>
      </c>
      <c r="CF82" s="53">
        <f>SUBTOTAL(9,CB82:CE82)</f>
        <v>108.2654026873488</v>
      </c>
      <c r="CG82" s="114" t="s">
        <v>2</v>
      </c>
      <c r="CH82" s="64">
        <f>CH$4+SUMIF($C$5:CF$5,"Нараст. по остановкам",$C82:CF82)-SUMIF($C$5:CF$5,"Нараст.  по потенциалу",$C82:CF82)</f>
        <v>810.45448657848817</v>
      </c>
      <c r="CI82" s="16"/>
    </row>
    <row r="83" spans="1:87" ht="1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>
        <v>1</v>
      </c>
      <c r="AJ83" s="2"/>
      <c r="AK83" s="2"/>
      <c r="AL83" s="2"/>
      <c r="AM83" s="2"/>
      <c r="AN83" s="2"/>
      <c r="AO83" s="2"/>
      <c r="AP83" s="2"/>
      <c r="AQ83" s="2"/>
      <c r="AR83" s="2"/>
      <c r="AS83" s="2">
        <v>1</v>
      </c>
      <c r="AT83" s="2">
        <v>1</v>
      </c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16"/>
    </row>
    <row r="84" spans="1:87" ht="11.25" customHeight="1" x14ac:dyDescent="0.25">
      <c r="A84" s="134">
        <v>45401</v>
      </c>
      <c r="B84" s="17" t="s">
        <v>46</v>
      </c>
      <c r="C84" s="24" t="s">
        <v>120</v>
      </c>
      <c r="D84" s="18"/>
      <c r="E84" s="18"/>
      <c r="F84" s="19">
        <v>750</v>
      </c>
      <c r="G84" s="18"/>
      <c r="H84" s="18"/>
      <c r="I84" s="19">
        <v>0</v>
      </c>
      <c r="J84" s="24" t="s">
        <v>50</v>
      </c>
      <c r="K84" s="18"/>
      <c r="L84" s="18"/>
      <c r="M84" s="18"/>
      <c r="N84" s="19">
        <v>286</v>
      </c>
      <c r="O84" s="18"/>
      <c r="P84" s="19">
        <v>0</v>
      </c>
      <c r="Q84" s="19">
        <v>1036</v>
      </c>
      <c r="R84" s="20"/>
      <c r="S84" s="18"/>
      <c r="T84" s="21"/>
      <c r="U84" s="22"/>
      <c r="V84" s="18"/>
      <c r="W84" s="18"/>
      <c r="X84" s="18"/>
      <c r="Y84" s="18"/>
      <c r="Z84" s="21"/>
      <c r="AA84" s="22"/>
      <c r="AB84" s="24" t="s">
        <v>121</v>
      </c>
      <c r="AC84" s="24" t="s">
        <v>70</v>
      </c>
      <c r="AD84" s="18"/>
      <c r="AE84" s="21"/>
      <c r="AF84" s="22"/>
      <c r="AG84" s="18"/>
      <c r="AH84" s="23">
        <v>19.3</v>
      </c>
      <c r="AI84" s="24" t="s">
        <v>71</v>
      </c>
      <c r="AJ84" s="24"/>
      <c r="AK84" s="18"/>
      <c r="AL84" s="18"/>
      <c r="AM84" s="18"/>
      <c r="AN84" s="18"/>
      <c r="AO84" s="23">
        <v>350.88933333333301</v>
      </c>
      <c r="AP84" s="19">
        <v>370.18933333333302</v>
      </c>
      <c r="AQ84" s="20"/>
      <c r="AR84" s="25"/>
      <c r="AS84" s="26" t="s">
        <v>51</v>
      </c>
      <c r="AT84" s="26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27"/>
      <c r="BR84" s="28"/>
      <c r="BS84" s="18"/>
      <c r="BT84" s="18"/>
      <c r="BU84" s="18"/>
      <c r="BV84" s="18"/>
      <c r="BW84" s="27"/>
      <c r="BX84" s="27"/>
      <c r="BY84" s="29"/>
      <c r="BZ84" s="29"/>
      <c r="CA84" s="30"/>
      <c r="CB84" s="32"/>
      <c r="CC84" s="32"/>
      <c r="CD84" s="31"/>
      <c r="CE84" s="32"/>
      <c r="CF84" s="32"/>
      <c r="CG84" s="135">
        <f>CG$4+SUMIF($C$5:CF$5,"Нараст. баланс",$C86:CF86)+SUMIF($C$7:CD$7,"Итого (с ВНР)",$C86:CD86)-SUMIF($C$5:CF$5,"Геол. снижение,  т/сут",$C86:CF86)-SUMIF(CE$7:CF$7,"Итого",CE86:CF86)-SUMIF($C$7:CF$7,"Итого (с ВСП)",$C86:CF86)</f>
        <v>30154.44367604061</v>
      </c>
      <c r="CH84" s="33"/>
      <c r="CI84" s="16"/>
    </row>
    <row r="85" spans="1:87" ht="11.25" customHeight="1" x14ac:dyDescent="0.25">
      <c r="A85" s="114" t="s">
        <v>2</v>
      </c>
      <c r="B85" s="34" t="s">
        <v>47</v>
      </c>
      <c r="C85" s="41" t="s">
        <v>122</v>
      </c>
      <c r="D85" s="35"/>
      <c r="E85" s="35"/>
      <c r="F85" s="36">
        <v>1</v>
      </c>
      <c r="G85" s="35"/>
      <c r="H85" s="35"/>
      <c r="I85" s="36">
        <v>0</v>
      </c>
      <c r="J85" s="41" t="s">
        <v>123</v>
      </c>
      <c r="K85" s="35"/>
      <c r="L85" s="35"/>
      <c r="M85" s="35"/>
      <c r="N85" s="36">
        <v>1</v>
      </c>
      <c r="O85" s="35"/>
      <c r="P85" s="36">
        <v>0</v>
      </c>
      <c r="Q85" s="36">
        <v>2</v>
      </c>
      <c r="R85" s="37"/>
      <c r="S85" s="35"/>
      <c r="T85" s="38">
        <f>SUBTOTAL(9,S87:S87)</f>
        <v>0</v>
      </c>
      <c r="U85" s="39"/>
      <c r="V85" s="35"/>
      <c r="W85" s="35"/>
      <c r="X85" s="35"/>
      <c r="Y85" s="35"/>
      <c r="Z85" s="38">
        <f>SUBTOTAL(9,V87:Y87)</f>
        <v>0</v>
      </c>
      <c r="AA85" s="39"/>
      <c r="AB85" s="41" t="s">
        <v>124</v>
      </c>
      <c r="AC85" s="41" t="s">
        <v>125</v>
      </c>
      <c r="AD85" s="35"/>
      <c r="AE85" s="38">
        <f>SUBTOTAL(9,AB87:AD87)</f>
        <v>2</v>
      </c>
      <c r="AF85" s="39"/>
      <c r="AG85" s="35"/>
      <c r="AH85" s="40">
        <f>SUBTOTAL(9,AG87:AG87)</f>
        <v>0</v>
      </c>
      <c r="AI85" s="41" t="s">
        <v>94</v>
      </c>
      <c r="AJ85" s="41"/>
      <c r="AK85" s="35"/>
      <c r="AL85" s="35"/>
      <c r="AM85" s="35"/>
      <c r="AN85" s="35"/>
      <c r="AO85" s="40">
        <f>SUBTOTAL(9,AI87:AN87)</f>
        <v>1</v>
      </c>
      <c r="AP85" s="36">
        <f>SUBTOTAL(9,AG87:AN87)</f>
        <v>1</v>
      </c>
      <c r="AQ85" s="37"/>
      <c r="AR85" s="42"/>
      <c r="AS85" s="43" t="s">
        <v>126</v>
      </c>
      <c r="AT85" s="43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6">
        <f>SUBTOTAL(9,AS87:BP87)</f>
        <v>1</v>
      </c>
      <c r="BR85" s="44"/>
      <c r="BS85" s="35"/>
      <c r="BT85" s="35"/>
      <c r="BU85" s="35"/>
      <c r="BV85" s="35"/>
      <c r="BW85" s="36">
        <f>SUBTOTAL(3,BS85:BV85)</f>
        <v>0</v>
      </c>
      <c r="BX85" s="45"/>
      <c r="BY85" s="46"/>
      <c r="BZ85" s="46"/>
      <c r="CA85" s="47"/>
      <c r="CB85" s="49"/>
      <c r="CC85" s="49"/>
      <c r="CD85" s="48"/>
      <c r="CE85" s="49"/>
      <c r="CF85" s="49"/>
      <c r="CG85" s="114" t="s">
        <v>2</v>
      </c>
      <c r="CH85" s="50"/>
      <c r="CI85" s="16"/>
    </row>
    <row r="86" spans="1:87" ht="11.25" customHeight="1" x14ac:dyDescent="0.25">
      <c r="A86" s="114" t="s">
        <v>2</v>
      </c>
      <c r="B86" s="51" t="s">
        <v>44</v>
      </c>
      <c r="C86" s="58">
        <v>40</v>
      </c>
      <c r="D86" s="52"/>
      <c r="E86" s="52"/>
      <c r="F86" s="53">
        <f>SUBTOTAL(9,C86:E86)</f>
        <v>40</v>
      </c>
      <c r="G86" s="52"/>
      <c r="H86" s="52"/>
      <c r="I86" s="53">
        <f>SUBTOTAL(9,G86:H86)</f>
        <v>0</v>
      </c>
      <c r="J86" s="58">
        <v>21</v>
      </c>
      <c r="K86" s="52"/>
      <c r="L86" s="52"/>
      <c r="M86" s="52"/>
      <c r="N86" s="53">
        <f>SUBTOTAL(9,J86:M86)</f>
        <v>21</v>
      </c>
      <c r="O86" s="52"/>
      <c r="P86" s="53">
        <f>SUBTOTAL(9,O86:O86)</f>
        <v>0</v>
      </c>
      <c r="Q86" s="53">
        <f>SUBTOTAL(9,C86:O86)</f>
        <v>61</v>
      </c>
      <c r="R86" s="54">
        <v>1036</v>
      </c>
      <c r="S86" s="52"/>
      <c r="T86" s="55">
        <f>SUBTOTAL(9,S86:S86)</f>
        <v>0</v>
      </c>
      <c r="U86" s="56">
        <f>T86+IF($B82=2,0,U82)</f>
        <v>12</v>
      </c>
      <c r="V86" s="52"/>
      <c r="W86" s="52"/>
      <c r="X86" s="52"/>
      <c r="Y86" s="52"/>
      <c r="Z86" s="55">
        <f>SUBTOTAL(9,V86:Y86)</f>
        <v>0</v>
      </c>
      <c r="AA86" s="56">
        <f>Z86+IF($B82=2,0,AA82)</f>
        <v>9.9</v>
      </c>
      <c r="AB86" s="58">
        <v>6</v>
      </c>
      <c r="AC86" s="58">
        <v>7</v>
      </c>
      <c r="AD86" s="52"/>
      <c r="AE86" s="55">
        <f>SUBTOTAL(9,AB86:AD86)</f>
        <v>13</v>
      </c>
      <c r="AF86" s="56">
        <f>AE86+IF($B82=2,0,AF82)</f>
        <v>75.7</v>
      </c>
      <c r="AG86" s="52"/>
      <c r="AH86" s="57">
        <f>SUBTOTAL(9,AG86:AG86)</f>
        <v>0</v>
      </c>
      <c r="AI86" s="58">
        <v>3.4</v>
      </c>
      <c r="AJ86" s="58">
        <v>24.5</v>
      </c>
      <c r="AK86" s="52"/>
      <c r="AL86" s="52"/>
      <c r="AM86" s="52"/>
      <c r="AN86" s="52"/>
      <c r="AO86" s="57">
        <f>SUBTOTAL(9,AI86:AN86)</f>
        <v>27.9</v>
      </c>
      <c r="AP86" s="53">
        <f>SUBTOTAL(9,AG86:AN86)</f>
        <v>27.9</v>
      </c>
      <c r="AQ86" s="54">
        <f>AP86+IF($B82=2,0,AQ82)</f>
        <v>370.18933333333325</v>
      </c>
      <c r="AR86" s="59">
        <v>912</v>
      </c>
      <c r="AS86" s="60">
        <v>11.1</v>
      </c>
      <c r="AT86" s="60">
        <v>20.2</v>
      </c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3">
        <f>SUBTOTAL(9,AS86:BP86)</f>
        <v>31.299999999999997</v>
      </c>
      <c r="BR86" s="57">
        <f>BQ86+IF($B82=2,0,BR82)</f>
        <v>479.57866666663335</v>
      </c>
      <c r="BS86" s="52"/>
      <c r="BT86" s="52"/>
      <c r="BU86" s="52"/>
      <c r="BV86" s="52"/>
      <c r="BW86" s="53">
        <f>SUBTOTAL(9,BS86:BV86)</f>
        <v>0</v>
      </c>
      <c r="BX86" s="53">
        <f>BW86+IF($B82=2,0,BX82)</f>
        <v>0</v>
      </c>
      <c r="BY86" s="61"/>
      <c r="BZ86" s="61"/>
      <c r="CA86" s="62">
        <f>SUMIF($C$5:BZ$5,"Накопленный эффект, т/сут",$C86:BZ86)+SUMIF($C$5:BZ$5,"Нараст.  по потенциалу",$C86:BZ86)-SUMIF($C$5:BZ$5,"Нараст. по остановкам",$C86:BZ86)-SUMIF($C$5:BZ$5,"ИТОГО перевод в ППД",$C86:BZ86)-SUMIF($C$5:BZ$5,"ИТОГО  нерент, по распоряж.",$C86:BZ86)-SUMIF($C$5:BZ$5,"ИТОГО ост. дебит от ЗБС, Углуб., ПВЛГ/ПНЛГ",$C86:BZ86)</f>
        <v>1024.2106666667</v>
      </c>
      <c r="CB86" s="53">
        <v>50.3</v>
      </c>
      <c r="CC86" s="53">
        <v>3.8749156638077298</v>
      </c>
      <c r="CD86" s="63"/>
      <c r="CE86" s="53">
        <v>31.613074962280798</v>
      </c>
      <c r="CF86" s="53">
        <f>SUBTOTAL(9,CB86:CE86)</f>
        <v>85.787990626088515</v>
      </c>
      <c r="CG86" s="114" t="s">
        <v>2</v>
      </c>
      <c r="CH86" s="64">
        <f>CH$4+SUMIF($C$5:CF$5,"Нараст. по остановкам",$C86:CF86)-SUMIF($C$5:CF$5,"Нараст.  по потенциалу",$C86:CF86)</f>
        <v>813.85448657848815</v>
      </c>
      <c r="CI86" s="16"/>
    </row>
    <row r="87" spans="1:87" ht="1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>
        <v>1</v>
      </c>
      <c r="AC87" s="2">
        <v>1</v>
      </c>
      <c r="AD87" s="2"/>
      <c r="AE87" s="2"/>
      <c r="AF87" s="2"/>
      <c r="AG87" s="2"/>
      <c r="AH87" s="2"/>
      <c r="AI87" s="2">
        <v>1</v>
      </c>
      <c r="AJ87" s="2"/>
      <c r="AK87" s="2"/>
      <c r="AL87" s="2"/>
      <c r="AM87" s="2"/>
      <c r="AN87" s="2"/>
      <c r="AO87" s="2"/>
      <c r="AP87" s="2"/>
      <c r="AQ87" s="2"/>
      <c r="AR87" s="2"/>
      <c r="AS87" s="2">
        <v>1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16"/>
    </row>
    <row r="88" spans="1:87" ht="11.25" customHeight="1" x14ac:dyDescent="0.25">
      <c r="A88" s="134">
        <v>45402</v>
      </c>
      <c r="B88" s="17" t="s">
        <v>46</v>
      </c>
      <c r="C88" s="24" t="s">
        <v>51</v>
      </c>
      <c r="D88" s="24" t="s">
        <v>84</v>
      </c>
      <c r="E88" s="18"/>
      <c r="F88" s="19">
        <v>860</v>
      </c>
      <c r="G88" s="18"/>
      <c r="H88" s="18"/>
      <c r="I88" s="19">
        <v>0</v>
      </c>
      <c r="J88" s="24" t="s">
        <v>49</v>
      </c>
      <c r="K88" s="18"/>
      <c r="L88" s="18"/>
      <c r="M88" s="18"/>
      <c r="N88" s="19">
        <v>296</v>
      </c>
      <c r="O88" s="18"/>
      <c r="P88" s="19">
        <v>0</v>
      </c>
      <c r="Q88" s="19">
        <v>1156</v>
      </c>
      <c r="R88" s="20"/>
      <c r="S88" s="24" t="s">
        <v>49</v>
      </c>
      <c r="T88" s="21"/>
      <c r="U88" s="22"/>
      <c r="V88" s="24" t="s">
        <v>61</v>
      </c>
      <c r="W88" s="24" t="s">
        <v>48</v>
      </c>
      <c r="X88" s="18"/>
      <c r="Y88" s="18"/>
      <c r="Z88" s="21"/>
      <c r="AA88" s="22"/>
      <c r="AB88" s="24" t="s">
        <v>50</v>
      </c>
      <c r="AC88" s="24" t="s">
        <v>50</v>
      </c>
      <c r="AD88" s="24" t="s">
        <v>115</v>
      </c>
      <c r="AE88" s="21"/>
      <c r="AF88" s="22"/>
      <c r="AG88" s="24" t="s">
        <v>49</v>
      </c>
      <c r="AH88" s="23">
        <v>33.9</v>
      </c>
      <c r="AI88" s="24"/>
      <c r="AJ88" s="18"/>
      <c r="AK88" s="18"/>
      <c r="AL88" s="18"/>
      <c r="AM88" s="18"/>
      <c r="AN88" s="18"/>
      <c r="AO88" s="23">
        <v>373.38933333333301</v>
      </c>
      <c r="AP88" s="19">
        <v>407.28933333333299</v>
      </c>
      <c r="AQ88" s="20"/>
      <c r="AR88" s="25"/>
      <c r="AS88" s="26" t="s">
        <v>50</v>
      </c>
      <c r="AT88" s="26" t="s">
        <v>61</v>
      </c>
      <c r="AU88" s="26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27"/>
      <c r="BR88" s="28"/>
      <c r="BS88" s="18"/>
      <c r="BT88" s="18"/>
      <c r="BU88" s="18"/>
      <c r="BV88" s="18"/>
      <c r="BW88" s="27"/>
      <c r="BX88" s="27"/>
      <c r="BY88" s="29"/>
      <c r="BZ88" s="29"/>
      <c r="CA88" s="30"/>
      <c r="CB88" s="32"/>
      <c r="CC88" s="32"/>
      <c r="CD88" s="31"/>
      <c r="CE88" s="32"/>
      <c r="CF88" s="32"/>
      <c r="CG88" s="135">
        <f>CG$4+SUMIF($C$5:CF$5,"Нараст. баланс",$C90:CF90)+SUMIF($C$7:CD$7,"Итого (с ВНР)",$C90:CD90)-SUMIF($C$5:CF$5,"Геол. снижение,  т/сут",$C90:CF90)-SUMIF(CE$7:CF$7,"Итого",CE90:CF90)-SUMIF($C$7:CF$7,"Итого (с ВСП)",$C90:CF90)</f>
        <v>30299.253813745217</v>
      </c>
      <c r="CH88" s="33"/>
      <c r="CI88" s="16"/>
    </row>
    <row r="89" spans="1:87" ht="11.25" customHeight="1" x14ac:dyDescent="0.25">
      <c r="A89" s="114" t="s">
        <v>2</v>
      </c>
      <c r="B89" s="34" t="s">
        <v>47</v>
      </c>
      <c r="C89" s="41" t="s">
        <v>127</v>
      </c>
      <c r="D89" s="41" t="s">
        <v>128</v>
      </c>
      <c r="E89" s="35"/>
      <c r="F89" s="36">
        <v>2</v>
      </c>
      <c r="G89" s="35"/>
      <c r="H89" s="35"/>
      <c r="I89" s="36">
        <v>0</v>
      </c>
      <c r="J89" s="41" t="s">
        <v>129</v>
      </c>
      <c r="K89" s="35"/>
      <c r="L89" s="35"/>
      <c r="M89" s="35"/>
      <c r="N89" s="36">
        <v>1</v>
      </c>
      <c r="O89" s="35"/>
      <c r="P89" s="36">
        <v>0</v>
      </c>
      <c r="Q89" s="36">
        <v>3</v>
      </c>
      <c r="R89" s="37"/>
      <c r="S89" s="41" t="s">
        <v>97</v>
      </c>
      <c r="T89" s="38">
        <f>SUBTOTAL(9,S91:S91)</f>
        <v>1</v>
      </c>
      <c r="U89" s="39"/>
      <c r="V89" s="41"/>
      <c r="W89" s="41"/>
      <c r="X89" s="35"/>
      <c r="Y89" s="35"/>
      <c r="Z89" s="38">
        <f>SUBTOTAL(9,V91:Y91)</f>
        <v>0</v>
      </c>
      <c r="AA89" s="39"/>
      <c r="AB89" s="41" t="s">
        <v>130</v>
      </c>
      <c r="AC89" s="41" t="s">
        <v>131</v>
      </c>
      <c r="AD89" s="41" t="s">
        <v>132</v>
      </c>
      <c r="AE89" s="38">
        <f>SUBTOTAL(9,AB91:AD91)</f>
        <v>3</v>
      </c>
      <c r="AF89" s="39"/>
      <c r="AG89" s="41" t="s">
        <v>97</v>
      </c>
      <c r="AH89" s="40">
        <f>SUBTOTAL(9,AG91:AG91)</f>
        <v>1</v>
      </c>
      <c r="AI89" s="41"/>
      <c r="AJ89" s="35"/>
      <c r="AK89" s="35"/>
      <c r="AL89" s="35"/>
      <c r="AM89" s="35"/>
      <c r="AN89" s="35"/>
      <c r="AO89" s="40">
        <f>SUBTOTAL(9,AI91:AN91)</f>
        <v>0</v>
      </c>
      <c r="AP89" s="36">
        <f>SUBTOTAL(9,AG91:AN91)</f>
        <v>1</v>
      </c>
      <c r="AQ89" s="37"/>
      <c r="AR89" s="42"/>
      <c r="AS89" s="43" t="s">
        <v>133</v>
      </c>
      <c r="AT89" s="43" t="s">
        <v>134</v>
      </c>
      <c r="AU89" s="43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6">
        <f>SUBTOTAL(9,AS91:BP91)</f>
        <v>2</v>
      </c>
      <c r="BR89" s="44"/>
      <c r="BS89" s="35"/>
      <c r="BT89" s="35"/>
      <c r="BU89" s="35"/>
      <c r="BV89" s="35"/>
      <c r="BW89" s="36">
        <f>SUBTOTAL(3,BS89:BV89)</f>
        <v>0</v>
      </c>
      <c r="BX89" s="45"/>
      <c r="BY89" s="46"/>
      <c r="BZ89" s="46"/>
      <c r="CA89" s="47"/>
      <c r="CB89" s="49"/>
      <c r="CC89" s="49"/>
      <c r="CD89" s="48"/>
      <c r="CE89" s="49"/>
      <c r="CF89" s="49"/>
      <c r="CG89" s="114" t="s">
        <v>2</v>
      </c>
      <c r="CH89" s="50"/>
      <c r="CI89" s="16"/>
    </row>
    <row r="90" spans="1:87" ht="11.25" customHeight="1" x14ac:dyDescent="0.25">
      <c r="A90" s="114" t="s">
        <v>2</v>
      </c>
      <c r="B90" s="51" t="s">
        <v>44</v>
      </c>
      <c r="C90" s="58">
        <v>40</v>
      </c>
      <c r="D90" s="58">
        <v>70</v>
      </c>
      <c r="E90" s="52"/>
      <c r="F90" s="53">
        <f>SUBTOTAL(9,C90:E90)</f>
        <v>110</v>
      </c>
      <c r="G90" s="52"/>
      <c r="H90" s="52"/>
      <c r="I90" s="53">
        <f>SUBTOTAL(9,G90:H90)</f>
        <v>0</v>
      </c>
      <c r="J90" s="58">
        <v>10</v>
      </c>
      <c r="K90" s="52"/>
      <c r="L90" s="52"/>
      <c r="M90" s="52"/>
      <c r="N90" s="53">
        <f>SUBTOTAL(9,J90:M90)</f>
        <v>10</v>
      </c>
      <c r="O90" s="52"/>
      <c r="P90" s="53">
        <f>SUBTOTAL(9,O90:O90)</f>
        <v>0</v>
      </c>
      <c r="Q90" s="53">
        <f>SUBTOTAL(9,C90:O90)</f>
        <v>120</v>
      </c>
      <c r="R90" s="54">
        <v>1156</v>
      </c>
      <c r="S90" s="58">
        <v>26</v>
      </c>
      <c r="T90" s="55">
        <f>SUBTOTAL(9,S90:S90)</f>
        <v>26</v>
      </c>
      <c r="U90" s="56">
        <f>T90+IF($B86=2,0,U86)</f>
        <v>38</v>
      </c>
      <c r="V90" s="58">
        <v>0.5</v>
      </c>
      <c r="W90" s="58">
        <v>2.1</v>
      </c>
      <c r="X90" s="52"/>
      <c r="Y90" s="52"/>
      <c r="Z90" s="55">
        <f>SUBTOTAL(9,V90:Y90)</f>
        <v>2.6</v>
      </c>
      <c r="AA90" s="56">
        <f>Z90+IF($B86=2,0,AA86)</f>
        <v>12.5</v>
      </c>
      <c r="AB90" s="58">
        <v>10</v>
      </c>
      <c r="AC90" s="58">
        <v>6</v>
      </c>
      <c r="AD90" s="58">
        <v>7</v>
      </c>
      <c r="AE90" s="55">
        <f>SUBTOTAL(9,AB90:AD90)</f>
        <v>23</v>
      </c>
      <c r="AF90" s="56">
        <f>AE90+IF($B86=2,0,AF86)</f>
        <v>98.7</v>
      </c>
      <c r="AG90" s="58">
        <v>14.6</v>
      </c>
      <c r="AH90" s="57">
        <f>SUBTOTAL(9,AG90:AG90)</f>
        <v>14.6</v>
      </c>
      <c r="AI90" s="58">
        <v>22.5</v>
      </c>
      <c r="AJ90" s="52"/>
      <c r="AK90" s="52"/>
      <c r="AL90" s="52"/>
      <c r="AM90" s="52"/>
      <c r="AN90" s="52"/>
      <c r="AO90" s="57">
        <f>SUBTOTAL(9,AI90:AN90)</f>
        <v>22.5</v>
      </c>
      <c r="AP90" s="53">
        <f>SUBTOTAL(9,AG90:AN90)</f>
        <v>37.1</v>
      </c>
      <c r="AQ90" s="54">
        <f>AP90+IF($B86=2,0,AQ86)</f>
        <v>407.28933333333327</v>
      </c>
      <c r="AR90" s="59">
        <v>960</v>
      </c>
      <c r="AS90" s="60">
        <v>3.5</v>
      </c>
      <c r="AT90" s="60">
        <v>2.6</v>
      </c>
      <c r="AU90" s="60">
        <v>36.5</v>
      </c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3">
        <f>SUBTOTAL(9,AS90:BP90)</f>
        <v>42.6</v>
      </c>
      <c r="BR90" s="57">
        <f>BQ90+IF($B86=2,0,BR86)</f>
        <v>522.17866666663338</v>
      </c>
      <c r="BS90" s="52"/>
      <c r="BT90" s="52"/>
      <c r="BU90" s="52"/>
      <c r="BV90" s="52"/>
      <c r="BW90" s="53">
        <f>SUBTOTAL(9,BS90:BV90)</f>
        <v>0</v>
      </c>
      <c r="BX90" s="53">
        <f>BW90+IF($B86=2,0,BX86)</f>
        <v>0</v>
      </c>
      <c r="BY90" s="61"/>
      <c r="BZ90" s="61"/>
      <c r="CA90" s="62">
        <f>SUMIF($C$5:BZ$5,"Накопленный эффект, т/сут",$C90:BZ90)+SUMIF($C$5:BZ$5,"Нараст.  по потенциалу",$C90:BZ90)-SUMIF($C$5:BZ$5,"Нараст. по остановкам",$C90:BZ90)-SUMIF($C$5:BZ$5,"ИТОГО перевод в ППД",$C90:BZ90)-SUMIF($C$5:BZ$5,"ИТОГО  нерент, по распоряж.",$C90:BZ90)-SUMIF($C$5:BZ$5,"ИТОГО ост. дебит от ЗБС, Углуб., ПВЛГ/ПНЛГ",$C90:BZ90)</f>
        <v>1190.3106666666999</v>
      </c>
      <c r="CB90" s="53">
        <v>50.3</v>
      </c>
      <c r="CC90" s="53">
        <v>4.7866921600735699</v>
      </c>
      <c r="CD90" s="63"/>
      <c r="CE90" s="53">
        <v>3.9911607614093501</v>
      </c>
      <c r="CF90" s="53">
        <f>SUBTOTAL(9,CB90:CE90)</f>
        <v>59.077852921482915</v>
      </c>
      <c r="CG90" s="114" t="s">
        <v>2</v>
      </c>
      <c r="CH90" s="64">
        <f>CH$4+SUMIF($C$5:CF$5,"Нараст. по остановкам",$C90:CF90)-SUMIF($C$5:CF$5,"Нараст.  по потенциалу",$C90:CF90)</f>
        <v>819.35448657848826</v>
      </c>
      <c r="CI90" s="16"/>
    </row>
    <row r="91" spans="1:87" ht="1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>
        <v>1</v>
      </c>
      <c r="T91" s="2"/>
      <c r="U91" s="2"/>
      <c r="V91" s="2"/>
      <c r="W91" s="2"/>
      <c r="X91" s="2"/>
      <c r="Y91" s="2"/>
      <c r="Z91" s="2"/>
      <c r="AA91" s="2"/>
      <c r="AB91" s="2">
        <v>1</v>
      </c>
      <c r="AC91" s="2">
        <v>1</v>
      </c>
      <c r="AD91" s="2">
        <v>1</v>
      </c>
      <c r="AE91" s="2"/>
      <c r="AF91" s="2"/>
      <c r="AG91" s="2">
        <v>1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>
        <v>1</v>
      </c>
      <c r="AT91" s="2">
        <v>1</v>
      </c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16"/>
    </row>
    <row r="92" spans="1:87" ht="11.25" customHeight="1" x14ac:dyDescent="0.25">
      <c r="A92" s="134">
        <v>45403</v>
      </c>
      <c r="B92" s="17" t="s">
        <v>46</v>
      </c>
      <c r="C92" s="24" t="s">
        <v>50</v>
      </c>
      <c r="D92" s="24" t="s">
        <v>51</v>
      </c>
      <c r="E92" s="24" t="s">
        <v>51</v>
      </c>
      <c r="F92" s="19">
        <v>960</v>
      </c>
      <c r="G92" s="18"/>
      <c r="H92" s="18"/>
      <c r="I92" s="19">
        <v>0</v>
      </c>
      <c r="J92" s="24" t="s">
        <v>50</v>
      </c>
      <c r="K92" s="18"/>
      <c r="L92" s="18"/>
      <c r="M92" s="18"/>
      <c r="N92" s="19">
        <v>314</v>
      </c>
      <c r="O92" s="18"/>
      <c r="P92" s="19">
        <v>0</v>
      </c>
      <c r="Q92" s="19">
        <v>1274</v>
      </c>
      <c r="R92" s="20"/>
      <c r="S92" s="18"/>
      <c r="T92" s="21"/>
      <c r="U92" s="22"/>
      <c r="V92" s="18"/>
      <c r="W92" s="18"/>
      <c r="X92" s="18"/>
      <c r="Y92" s="18"/>
      <c r="Z92" s="21"/>
      <c r="AA92" s="22"/>
      <c r="AB92" s="24" t="s">
        <v>71</v>
      </c>
      <c r="AC92" s="24" t="s">
        <v>50</v>
      </c>
      <c r="AD92" s="18"/>
      <c r="AE92" s="21"/>
      <c r="AF92" s="22"/>
      <c r="AG92" s="18"/>
      <c r="AH92" s="23">
        <v>33.9</v>
      </c>
      <c r="AI92" s="24" t="s">
        <v>61</v>
      </c>
      <c r="AJ92" s="18"/>
      <c r="AK92" s="18"/>
      <c r="AL92" s="18"/>
      <c r="AM92" s="18"/>
      <c r="AN92" s="18"/>
      <c r="AO92" s="23">
        <v>378.38933333333301</v>
      </c>
      <c r="AP92" s="19">
        <v>412.28933333333299</v>
      </c>
      <c r="AQ92" s="20"/>
      <c r="AR92" s="25"/>
      <c r="AS92" s="26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27"/>
      <c r="BR92" s="28"/>
      <c r="BS92" s="18"/>
      <c r="BT92" s="18"/>
      <c r="BU92" s="18"/>
      <c r="BV92" s="18"/>
      <c r="BW92" s="27"/>
      <c r="BX92" s="27"/>
      <c r="BY92" s="29"/>
      <c r="BZ92" s="29"/>
      <c r="CA92" s="30"/>
      <c r="CB92" s="32"/>
      <c r="CC92" s="32"/>
      <c r="CD92" s="31"/>
      <c r="CE92" s="32"/>
      <c r="CF92" s="32"/>
      <c r="CG92" s="135">
        <f>CG$4+SUMIF($C$5:CF$5,"Нараст. баланс",$C94:CF94)+SUMIF($C$7:CD$7,"Итого (с ВНР)",$C94:CD94)-SUMIF($C$5:CF$5,"Геол. снижение,  т/сут",$C94:CF94)-SUMIF(CE$7:CF$7,"Итого",CE94:CF94)-SUMIF($C$7:CF$7,"Итого (с ВСП)",$C94:CF94)</f>
        <v>30354.978679221895</v>
      </c>
      <c r="CH92" s="33"/>
      <c r="CI92" s="16"/>
    </row>
    <row r="93" spans="1:87" ht="11.25" customHeight="1" x14ac:dyDescent="0.25">
      <c r="A93" s="114" t="s">
        <v>2</v>
      </c>
      <c r="B93" s="34" t="s">
        <v>47</v>
      </c>
      <c r="C93" s="41" t="s">
        <v>135</v>
      </c>
      <c r="D93" s="41" t="s">
        <v>136</v>
      </c>
      <c r="E93" s="41" t="s">
        <v>137</v>
      </c>
      <c r="F93" s="36">
        <v>3</v>
      </c>
      <c r="G93" s="35"/>
      <c r="H93" s="35"/>
      <c r="I93" s="36">
        <v>0</v>
      </c>
      <c r="J93" s="41" t="s">
        <v>138</v>
      </c>
      <c r="K93" s="35"/>
      <c r="L93" s="35"/>
      <c r="M93" s="35"/>
      <c r="N93" s="36">
        <v>1</v>
      </c>
      <c r="O93" s="35"/>
      <c r="P93" s="36">
        <v>0</v>
      </c>
      <c r="Q93" s="36">
        <v>4</v>
      </c>
      <c r="R93" s="37"/>
      <c r="S93" s="35"/>
      <c r="T93" s="38">
        <f>SUBTOTAL(9,S95:S95)</f>
        <v>0</v>
      </c>
      <c r="U93" s="39"/>
      <c r="V93" s="35"/>
      <c r="W93" s="35"/>
      <c r="X93" s="35"/>
      <c r="Y93" s="35"/>
      <c r="Z93" s="38">
        <f>SUBTOTAL(9,V95:Y95)</f>
        <v>0</v>
      </c>
      <c r="AA93" s="39"/>
      <c r="AB93" s="41" t="s">
        <v>139</v>
      </c>
      <c r="AC93" s="41" t="s">
        <v>140</v>
      </c>
      <c r="AD93" s="35"/>
      <c r="AE93" s="38">
        <f>SUBTOTAL(9,AB95:AD95)</f>
        <v>2</v>
      </c>
      <c r="AF93" s="39"/>
      <c r="AG93" s="35"/>
      <c r="AH93" s="40">
        <f>SUBTOTAL(9,AG95:AG95)</f>
        <v>0</v>
      </c>
      <c r="AI93" s="41" t="s">
        <v>96</v>
      </c>
      <c r="AJ93" s="35"/>
      <c r="AK93" s="35"/>
      <c r="AL93" s="35"/>
      <c r="AM93" s="35"/>
      <c r="AN93" s="35"/>
      <c r="AO93" s="40">
        <f>SUBTOTAL(9,AI95:AN95)</f>
        <v>1</v>
      </c>
      <c r="AP93" s="36">
        <f>SUBTOTAL(9,AG95:AN95)</f>
        <v>1</v>
      </c>
      <c r="AQ93" s="37"/>
      <c r="AR93" s="42"/>
      <c r="AS93" s="43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6">
        <f>SUBTOTAL(9,AS95:BP95)</f>
        <v>0</v>
      </c>
      <c r="BR93" s="44"/>
      <c r="BS93" s="35"/>
      <c r="BT93" s="35"/>
      <c r="BU93" s="35"/>
      <c r="BV93" s="35"/>
      <c r="BW93" s="36">
        <f>SUBTOTAL(3,BS93:BV93)</f>
        <v>0</v>
      </c>
      <c r="BX93" s="45"/>
      <c r="BY93" s="46"/>
      <c r="BZ93" s="46"/>
      <c r="CA93" s="47"/>
      <c r="CB93" s="49"/>
      <c r="CC93" s="49"/>
      <c r="CD93" s="48"/>
      <c r="CE93" s="49"/>
      <c r="CF93" s="49"/>
      <c r="CG93" s="114" t="s">
        <v>2</v>
      </c>
      <c r="CH93" s="50"/>
      <c r="CI93" s="16"/>
    </row>
    <row r="94" spans="1:87" ht="11.25" customHeight="1" x14ac:dyDescent="0.25">
      <c r="A94" s="114" t="s">
        <v>2</v>
      </c>
      <c r="B94" s="51" t="s">
        <v>44</v>
      </c>
      <c r="C94" s="58">
        <v>30</v>
      </c>
      <c r="D94" s="58">
        <v>40</v>
      </c>
      <c r="E94" s="58">
        <v>30</v>
      </c>
      <c r="F94" s="53">
        <f>SUBTOTAL(9,C94:E94)</f>
        <v>100</v>
      </c>
      <c r="G94" s="52"/>
      <c r="H94" s="52"/>
      <c r="I94" s="53">
        <f>SUBTOTAL(9,G94:H94)</f>
        <v>0</v>
      </c>
      <c r="J94" s="58">
        <v>18</v>
      </c>
      <c r="K94" s="52"/>
      <c r="L94" s="52"/>
      <c r="M94" s="52"/>
      <c r="N94" s="53">
        <f>SUBTOTAL(9,J94:M94)</f>
        <v>18</v>
      </c>
      <c r="O94" s="52"/>
      <c r="P94" s="53">
        <f>SUBTOTAL(9,O94:O94)</f>
        <v>0</v>
      </c>
      <c r="Q94" s="53">
        <f>SUBTOTAL(9,C94:O94)</f>
        <v>118</v>
      </c>
      <c r="R94" s="54">
        <v>1274</v>
      </c>
      <c r="S94" s="52"/>
      <c r="T94" s="55">
        <f>SUBTOTAL(9,S94:S94)</f>
        <v>0</v>
      </c>
      <c r="U94" s="56">
        <f>T94+IF($B90=2,0,U90)</f>
        <v>38</v>
      </c>
      <c r="V94" s="52"/>
      <c r="W94" s="52"/>
      <c r="X94" s="52"/>
      <c r="Y94" s="52"/>
      <c r="Z94" s="55">
        <f>SUBTOTAL(9,V94:Y94)</f>
        <v>0</v>
      </c>
      <c r="AA94" s="56">
        <f>Z94+IF($B90=2,0,AA90)</f>
        <v>12.5</v>
      </c>
      <c r="AB94" s="58">
        <v>3</v>
      </c>
      <c r="AC94" s="58">
        <v>4</v>
      </c>
      <c r="AD94" s="52"/>
      <c r="AE94" s="55">
        <f>SUBTOTAL(9,AB94:AD94)</f>
        <v>7</v>
      </c>
      <c r="AF94" s="56">
        <f>AE94+IF($B90=2,0,AF90)</f>
        <v>105.7</v>
      </c>
      <c r="AG94" s="52"/>
      <c r="AH94" s="57">
        <f>SUBTOTAL(9,AG94:AG94)</f>
        <v>0</v>
      </c>
      <c r="AI94" s="58">
        <v>5</v>
      </c>
      <c r="AJ94" s="52"/>
      <c r="AK94" s="52"/>
      <c r="AL94" s="52"/>
      <c r="AM94" s="52"/>
      <c r="AN94" s="52"/>
      <c r="AO94" s="57">
        <f>SUBTOTAL(9,AI94:AN94)</f>
        <v>5</v>
      </c>
      <c r="AP94" s="53">
        <f>SUBTOTAL(9,AG94:AN94)</f>
        <v>5</v>
      </c>
      <c r="AQ94" s="54">
        <f>AP94+IF($B90=2,0,AQ90)</f>
        <v>412.28933333333327</v>
      </c>
      <c r="AR94" s="59">
        <v>1008</v>
      </c>
      <c r="AS94" s="60">
        <v>5.2</v>
      </c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3">
        <f>SUBTOTAL(9,AS94:BP94)</f>
        <v>5.2</v>
      </c>
      <c r="BR94" s="57">
        <f>BQ94+IF($B90=2,0,BR90)</f>
        <v>527.37866666663342</v>
      </c>
      <c r="BS94" s="52"/>
      <c r="BT94" s="52"/>
      <c r="BU94" s="52"/>
      <c r="BV94" s="52"/>
      <c r="BW94" s="53">
        <f>SUBTOTAL(9,BS94:BV94)</f>
        <v>0</v>
      </c>
      <c r="BX94" s="53">
        <f>BW94+IF($B90=2,0,BX90)</f>
        <v>0</v>
      </c>
      <c r="BY94" s="61"/>
      <c r="BZ94" s="61"/>
      <c r="CA94" s="62">
        <f>SUMIF($C$5:BZ$5,"Накопленный эффект, т/сут",$C94:BZ94)+SUMIF($C$5:BZ$5,"Нараст.  по потенциалу",$C94:BZ94)-SUMIF($C$5:BZ$5,"Нараст. по остановкам",$C94:BZ94)-SUMIF($C$5:BZ$5,"ИТОГО перевод в ППД",$C94:BZ94)-SUMIF($C$5:BZ$5,"ИТОГО  нерент, по распоряж.",$C94:BZ94)-SUMIF($C$5:BZ$5,"ИТОГО ост. дебит от ЗБС, Углуб., ПВЛГ/ПНЛГ",$C94:BZ94)</f>
        <v>1315.1106666667001</v>
      </c>
      <c r="CB94" s="53">
        <v>44.2</v>
      </c>
      <c r="CC94" s="53">
        <v>1.84762903225806</v>
      </c>
      <c r="CD94" s="63"/>
      <c r="CE94" s="53">
        <v>34.105358412547602</v>
      </c>
      <c r="CF94" s="53">
        <f>SUBTOTAL(9,CB94:CE94)</f>
        <v>80.15298744480566</v>
      </c>
      <c r="CG94" s="114" t="s">
        <v>2</v>
      </c>
      <c r="CH94" s="64">
        <f>CH$4+SUMIF($C$5:CF$5,"Нараст. по остановкам",$C94:CF94)-SUMIF($C$5:CF$5,"Нараст.  по потенциалу",$C94:CF94)</f>
        <v>819.55448657848808</v>
      </c>
      <c r="CI94" s="16"/>
    </row>
    <row r="95" spans="1:87" ht="1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>
        <v>1</v>
      </c>
      <c r="AC95" s="2">
        <v>1</v>
      </c>
      <c r="AD95" s="2"/>
      <c r="AE95" s="2"/>
      <c r="AF95" s="2"/>
      <c r="AG95" s="2"/>
      <c r="AH95" s="2"/>
      <c r="AI95" s="2">
        <v>1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16"/>
    </row>
    <row r="96" spans="1:87" ht="11.25" customHeight="1" x14ac:dyDescent="0.25">
      <c r="A96" s="134">
        <v>45404</v>
      </c>
      <c r="B96" s="17" t="s">
        <v>46</v>
      </c>
      <c r="C96" s="18"/>
      <c r="D96" s="18"/>
      <c r="E96" s="18"/>
      <c r="F96" s="19">
        <v>960</v>
      </c>
      <c r="G96" s="18"/>
      <c r="H96" s="18"/>
      <c r="I96" s="19">
        <v>0</v>
      </c>
      <c r="J96" s="18"/>
      <c r="K96" s="18"/>
      <c r="L96" s="18"/>
      <c r="M96" s="18"/>
      <c r="N96" s="19">
        <v>314</v>
      </c>
      <c r="O96" s="18"/>
      <c r="P96" s="19">
        <v>0</v>
      </c>
      <c r="Q96" s="19">
        <v>1274</v>
      </c>
      <c r="R96" s="20"/>
      <c r="S96" s="18"/>
      <c r="T96" s="21"/>
      <c r="U96" s="22"/>
      <c r="V96" s="18"/>
      <c r="W96" s="18"/>
      <c r="X96" s="18"/>
      <c r="Y96" s="18"/>
      <c r="Z96" s="21"/>
      <c r="AA96" s="22"/>
      <c r="AB96" s="24" t="s">
        <v>50</v>
      </c>
      <c r="AC96" s="18"/>
      <c r="AD96" s="18"/>
      <c r="AE96" s="21"/>
      <c r="AF96" s="22"/>
      <c r="AG96" s="18"/>
      <c r="AH96" s="23">
        <v>33.9</v>
      </c>
      <c r="AI96" s="24" t="s">
        <v>51</v>
      </c>
      <c r="AJ96" s="24"/>
      <c r="AK96" s="18"/>
      <c r="AL96" s="18"/>
      <c r="AM96" s="18"/>
      <c r="AN96" s="18"/>
      <c r="AO96" s="23">
        <v>390.38933333333301</v>
      </c>
      <c r="AP96" s="19">
        <v>424.28933333333299</v>
      </c>
      <c r="AQ96" s="20"/>
      <c r="AR96" s="25"/>
      <c r="AS96" s="26" t="s">
        <v>71</v>
      </c>
      <c r="AT96" s="26" t="s">
        <v>61</v>
      </c>
      <c r="AU96" s="26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27"/>
      <c r="BR96" s="28"/>
      <c r="BS96" s="18"/>
      <c r="BT96" s="18"/>
      <c r="BU96" s="18"/>
      <c r="BV96" s="18"/>
      <c r="BW96" s="27"/>
      <c r="BX96" s="27"/>
      <c r="BY96" s="29"/>
      <c r="BZ96" s="29"/>
      <c r="CA96" s="30"/>
      <c r="CB96" s="32"/>
      <c r="CC96" s="32"/>
      <c r="CD96" s="32"/>
      <c r="CE96" s="32"/>
      <c r="CF96" s="32"/>
      <c r="CG96" s="135">
        <f>CG$4+SUMIF($C$5:CF$5,"Нараст. баланс",$C98:CF98)+SUMIF($C$7:CD$7,"Итого (с ВНР)",$C98:CD98)-SUMIF($C$5:CF$5,"Геол. снижение,  т/сут",$C98:CF98)-SUMIF(CE$7:CF$7,"Итого",CE98:CF98)-SUMIF($C$7:CF$7,"Итого (с ВСП)",$C98:CF98)</f>
        <v>30316.095564439074</v>
      </c>
      <c r="CH96" s="33"/>
      <c r="CI96" s="16"/>
    </row>
    <row r="97" spans="1:87" ht="11.25" customHeight="1" x14ac:dyDescent="0.25">
      <c r="A97" s="114" t="s">
        <v>2</v>
      </c>
      <c r="B97" s="34" t="s">
        <v>47</v>
      </c>
      <c r="C97" s="35"/>
      <c r="D97" s="35"/>
      <c r="E97" s="35"/>
      <c r="F97" s="36">
        <v>0</v>
      </c>
      <c r="G97" s="35"/>
      <c r="H97" s="35"/>
      <c r="I97" s="36">
        <v>0</v>
      </c>
      <c r="J97" s="35"/>
      <c r="K97" s="35"/>
      <c r="L97" s="35"/>
      <c r="M97" s="35"/>
      <c r="N97" s="36">
        <v>0</v>
      </c>
      <c r="O97" s="35"/>
      <c r="P97" s="36">
        <v>0</v>
      </c>
      <c r="Q97" s="36">
        <v>0</v>
      </c>
      <c r="R97" s="37"/>
      <c r="S97" s="35"/>
      <c r="T97" s="38">
        <f>SUBTOTAL(9,S99:S99)</f>
        <v>0</v>
      </c>
      <c r="U97" s="39"/>
      <c r="V97" s="35"/>
      <c r="W97" s="35"/>
      <c r="X97" s="35"/>
      <c r="Y97" s="35"/>
      <c r="Z97" s="38">
        <f>SUBTOTAL(9,V99:Y99)</f>
        <v>0</v>
      </c>
      <c r="AA97" s="39"/>
      <c r="AB97" s="41" t="s">
        <v>141</v>
      </c>
      <c r="AC97" s="35"/>
      <c r="AD97" s="35"/>
      <c r="AE97" s="38">
        <f>SUBTOTAL(9,AB99:AD99)</f>
        <v>1</v>
      </c>
      <c r="AF97" s="39"/>
      <c r="AG97" s="35"/>
      <c r="AH97" s="40">
        <f>SUBTOTAL(9,AG99:AG99)</f>
        <v>0</v>
      </c>
      <c r="AI97" s="41" t="s">
        <v>107</v>
      </c>
      <c r="AJ97" s="41"/>
      <c r="AK97" s="35"/>
      <c r="AL97" s="35"/>
      <c r="AM97" s="35"/>
      <c r="AN97" s="35"/>
      <c r="AO97" s="40">
        <f>SUBTOTAL(9,AI99:AN99)</f>
        <v>1</v>
      </c>
      <c r="AP97" s="36">
        <f>SUBTOTAL(9,AG99:AN99)</f>
        <v>1</v>
      </c>
      <c r="AQ97" s="37"/>
      <c r="AR97" s="42"/>
      <c r="AS97" s="43" t="s">
        <v>142</v>
      </c>
      <c r="AT97" s="43" t="s">
        <v>143</v>
      </c>
      <c r="AU97" s="43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6">
        <f>SUBTOTAL(9,AS99:BP99)</f>
        <v>2</v>
      </c>
      <c r="BR97" s="44"/>
      <c r="BS97" s="35"/>
      <c r="BT97" s="35"/>
      <c r="BU97" s="35"/>
      <c r="BV97" s="35"/>
      <c r="BW97" s="36">
        <f>SUBTOTAL(3,BS97:BV97)</f>
        <v>0</v>
      </c>
      <c r="BX97" s="45"/>
      <c r="BY97" s="46"/>
      <c r="BZ97" s="46"/>
      <c r="CA97" s="47"/>
      <c r="CB97" s="49"/>
      <c r="CC97" s="49"/>
      <c r="CD97" s="49"/>
      <c r="CE97" s="49"/>
      <c r="CF97" s="49"/>
      <c r="CG97" s="114" t="s">
        <v>2</v>
      </c>
      <c r="CH97" s="50"/>
      <c r="CI97" s="16"/>
    </row>
    <row r="98" spans="1:87" ht="11.25" customHeight="1" x14ac:dyDescent="0.25">
      <c r="A98" s="114" t="s">
        <v>2</v>
      </c>
      <c r="B98" s="51" t="s">
        <v>44</v>
      </c>
      <c r="C98" s="52"/>
      <c r="D98" s="52"/>
      <c r="E98" s="52"/>
      <c r="F98" s="53">
        <f>SUBTOTAL(9,C98:E98)</f>
        <v>0</v>
      </c>
      <c r="G98" s="52"/>
      <c r="H98" s="52"/>
      <c r="I98" s="53">
        <f>SUBTOTAL(9,G98:H98)</f>
        <v>0</v>
      </c>
      <c r="J98" s="52"/>
      <c r="K98" s="52"/>
      <c r="L98" s="52"/>
      <c r="M98" s="52"/>
      <c r="N98" s="53">
        <f>SUBTOTAL(9,J98:M98)</f>
        <v>0</v>
      </c>
      <c r="O98" s="52"/>
      <c r="P98" s="53">
        <f>SUBTOTAL(9,O98:O98)</f>
        <v>0</v>
      </c>
      <c r="Q98" s="53">
        <f>SUBTOTAL(9,C98:O98)</f>
        <v>0</v>
      </c>
      <c r="R98" s="54">
        <v>1274</v>
      </c>
      <c r="S98" s="52"/>
      <c r="T98" s="55">
        <f>SUBTOTAL(9,S98:S98)</f>
        <v>0</v>
      </c>
      <c r="U98" s="56">
        <f>T98+IF($B94=2,0,U94)</f>
        <v>38</v>
      </c>
      <c r="V98" s="52"/>
      <c r="W98" s="52"/>
      <c r="X98" s="52"/>
      <c r="Y98" s="52"/>
      <c r="Z98" s="55">
        <f>SUBTOTAL(9,V98:Y98)</f>
        <v>0</v>
      </c>
      <c r="AA98" s="56">
        <f>Z98+IF($B94=2,0,AA94)</f>
        <v>12.5</v>
      </c>
      <c r="AB98" s="58">
        <v>5</v>
      </c>
      <c r="AC98" s="52"/>
      <c r="AD98" s="52"/>
      <c r="AE98" s="55">
        <f>SUBTOTAL(9,AB98:AD98)</f>
        <v>5</v>
      </c>
      <c r="AF98" s="56">
        <f>AE98+IF($B94=2,0,AF94)</f>
        <v>110.7</v>
      </c>
      <c r="AG98" s="52"/>
      <c r="AH98" s="57">
        <f>SUBTOTAL(9,AG98:AG98)</f>
        <v>0</v>
      </c>
      <c r="AI98" s="58">
        <v>2.2999999999999998</v>
      </c>
      <c r="AJ98" s="58">
        <v>9.6999999999999993</v>
      </c>
      <c r="AK98" s="52"/>
      <c r="AL98" s="52"/>
      <c r="AM98" s="52"/>
      <c r="AN98" s="52"/>
      <c r="AO98" s="57">
        <f>SUBTOTAL(9,AI98:AN98)</f>
        <v>12</v>
      </c>
      <c r="AP98" s="53">
        <f>SUBTOTAL(9,AG98:AN98)</f>
        <v>12</v>
      </c>
      <c r="AQ98" s="54">
        <f>AP98+IF($B94=2,0,AQ94)</f>
        <v>424.28933333333327</v>
      </c>
      <c r="AR98" s="59">
        <v>1056</v>
      </c>
      <c r="AS98" s="60">
        <v>7.4</v>
      </c>
      <c r="AT98" s="60">
        <v>1.5</v>
      </c>
      <c r="AU98" s="60">
        <v>1.788</v>
      </c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3">
        <f>SUBTOTAL(9,AS98:BP98)</f>
        <v>10.688000000000001</v>
      </c>
      <c r="BR98" s="57">
        <f>BQ98+IF($B94=2,0,BR94)</f>
        <v>538.06666666663341</v>
      </c>
      <c r="BS98" s="52"/>
      <c r="BT98" s="52"/>
      <c r="BU98" s="52"/>
      <c r="BV98" s="52"/>
      <c r="BW98" s="53">
        <f>SUBTOTAL(9,BS98:BV98)</f>
        <v>0</v>
      </c>
      <c r="BX98" s="53">
        <f>BW98+IF($B94=2,0,BX94)</f>
        <v>0</v>
      </c>
      <c r="BY98" s="61"/>
      <c r="BZ98" s="61"/>
      <c r="CA98" s="62">
        <f>SUMIF($C$5:BZ$5,"Накопленный эффект, т/сут",$C98:BZ98)+SUMIF($C$5:BZ$5,"Нараст.  по потенциалу",$C98:BZ98)-SUMIF($C$5:BZ$5,"Нараст. по остановкам",$C98:BZ98)-SUMIF($C$5:BZ$5,"ИТОГО перевод в ППД",$C98:BZ98)-SUMIF($C$5:BZ$5,"ИТОГО  нерент, по распоряж.",$C98:BZ98)-SUMIF($C$5:BZ$5,"ИТОГО ост. дебит от ЗБС, Углуб., ПВЛГ/ПНЛГ",$C98:BZ98)</f>
        <v>1321.4226666667</v>
      </c>
      <c r="CB98" s="53">
        <v>44.2</v>
      </c>
      <c r="CC98" s="53">
        <v>26.745380084104099</v>
      </c>
      <c r="CD98" s="53">
        <v>3.27226301301179</v>
      </c>
      <c r="CE98" s="53">
        <v>3.13045913051219</v>
      </c>
      <c r="CF98" s="53">
        <f>SUBTOTAL(9,CB98:CE98)</f>
        <v>77.34810222762809</v>
      </c>
      <c r="CG98" s="114" t="s">
        <v>2</v>
      </c>
      <c r="CH98" s="64">
        <f>CH$4+SUMIF($C$5:CF$5,"Нараст. по остановкам",$C98:CF98)-SUMIF($C$5:CF$5,"Нараст.  по потенциалу",$C98:CF98)</f>
        <v>818.24248657848818</v>
      </c>
      <c r="CI98" s="16"/>
    </row>
    <row r="99" spans="1:87" ht="1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>
        <v>1</v>
      </c>
      <c r="AC99" s="2"/>
      <c r="AD99" s="2"/>
      <c r="AE99" s="2"/>
      <c r="AF99" s="2"/>
      <c r="AG99" s="2"/>
      <c r="AH99" s="2"/>
      <c r="AI99" s="2">
        <v>1</v>
      </c>
      <c r="AJ99" s="2"/>
      <c r="AK99" s="2"/>
      <c r="AL99" s="2"/>
      <c r="AM99" s="2"/>
      <c r="AN99" s="2"/>
      <c r="AO99" s="2"/>
      <c r="AP99" s="2"/>
      <c r="AQ99" s="2"/>
      <c r="AR99" s="2"/>
      <c r="AS99" s="2">
        <v>1</v>
      </c>
      <c r="AT99" s="2">
        <v>1</v>
      </c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16"/>
    </row>
    <row r="100" spans="1:87" ht="11.25" customHeight="1" x14ac:dyDescent="0.25">
      <c r="A100" s="134">
        <v>45405</v>
      </c>
      <c r="B100" s="17" t="s">
        <v>46</v>
      </c>
      <c r="C100" s="18"/>
      <c r="D100" s="18"/>
      <c r="E100" s="18"/>
      <c r="F100" s="19">
        <v>960</v>
      </c>
      <c r="G100" s="18"/>
      <c r="H100" s="18"/>
      <c r="I100" s="19">
        <v>0</v>
      </c>
      <c r="J100" s="24" t="s">
        <v>58</v>
      </c>
      <c r="K100" s="18"/>
      <c r="L100" s="18"/>
      <c r="M100" s="18"/>
      <c r="N100" s="19">
        <v>334</v>
      </c>
      <c r="O100" s="18"/>
      <c r="P100" s="19">
        <v>0</v>
      </c>
      <c r="Q100" s="19">
        <v>1294</v>
      </c>
      <c r="R100" s="20"/>
      <c r="S100" s="18"/>
      <c r="T100" s="21"/>
      <c r="U100" s="22"/>
      <c r="V100" s="18"/>
      <c r="W100" s="18"/>
      <c r="X100" s="18"/>
      <c r="Y100" s="18"/>
      <c r="Z100" s="21"/>
      <c r="AA100" s="22"/>
      <c r="AB100" s="24" t="s">
        <v>71</v>
      </c>
      <c r="AC100" s="18"/>
      <c r="AD100" s="18"/>
      <c r="AE100" s="21"/>
      <c r="AF100" s="22"/>
      <c r="AG100" s="18"/>
      <c r="AH100" s="23">
        <v>33.9</v>
      </c>
      <c r="AI100" s="24" t="s">
        <v>61</v>
      </c>
      <c r="AJ100" s="24" t="s">
        <v>50</v>
      </c>
      <c r="AK100" s="24"/>
      <c r="AL100" s="18"/>
      <c r="AM100" s="18"/>
      <c r="AN100" s="18"/>
      <c r="AO100" s="23">
        <v>444.38933333333301</v>
      </c>
      <c r="AP100" s="19">
        <v>478.28933333333299</v>
      </c>
      <c r="AQ100" s="20"/>
      <c r="AR100" s="25"/>
      <c r="AS100" s="26" t="s">
        <v>50</v>
      </c>
      <c r="AT100" s="26" t="s">
        <v>49</v>
      </c>
      <c r="AU100" s="26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27"/>
      <c r="BR100" s="28"/>
      <c r="BS100" s="18"/>
      <c r="BT100" s="18"/>
      <c r="BU100" s="18"/>
      <c r="BV100" s="18"/>
      <c r="BW100" s="27"/>
      <c r="BX100" s="27"/>
      <c r="BY100" s="29"/>
      <c r="BZ100" s="29"/>
      <c r="CA100" s="30"/>
      <c r="CB100" s="32"/>
      <c r="CC100" s="32"/>
      <c r="CD100" s="32"/>
      <c r="CE100" s="32"/>
      <c r="CF100" s="32"/>
      <c r="CG100" s="135">
        <f>CG$4+SUMIF($C$5:CF$5,"Нараст. баланс",$C102:CF102)+SUMIF($C$7:CD$7,"Итого (с ВНР)",$C102:CD102)-SUMIF($C$5:CF$5,"Геол. снижение,  т/сут",$C102:CF102)-SUMIF(CE$7:CF$7,"Итого",CE102:CF102)-SUMIF($C$7:CF$7,"Итого (с ВСП)",$C102:CF102)</f>
        <v>30298.165653658984</v>
      </c>
      <c r="CH100" s="33"/>
      <c r="CI100" s="16"/>
    </row>
    <row r="101" spans="1:87" ht="11.25" customHeight="1" x14ac:dyDescent="0.25">
      <c r="A101" s="114" t="s">
        <v>2</v>
      </c>
      <c r="B101" s="34" t="s">
        <v>47</v>
      </c>
      <c r="C101" s="35"/>
      <c r="D101" s="35"/>
      <c r="E101" s="35"/>
      <c r="F101" s="36">
        <v>0</v>
      </c>
      <c r="G101" s="35"/>
      <c r="H101" s="35"/>
      <c r="I101" s="36">
        <v>0</v>
      </c>
      <c r="J101" s="41" t="s">
        <v>144</v>
      </c>
      <c r="K101" s="35"/>
      <c r="L101" s="35"/>
      <c r="M101" s="35"/>
      <c r="N101" s="36">
        <v>1</v>
      </c>
      <c r="O101" s="35"/>
      <c r="P101" s="36">
        <v>0</v>
      </c>
      <c r="Q101" s="36">
        <v>1</v>
      </c>
      <c r="R101" s="37"/>
      <c r="S101" s="35"/>
      <c r="T101" s="38">
        <f>SUBTOTAL(9,S103:S103)</f>
        <v>0</v>
      </c>
      <c r="U101" s="39"/>
      <c r="V101" s="35"/>
      <c r="W101" s="35"/>
      <c r="X101" s="35"/>
      <c r="Y101" s="35"/>
      <c r="Z101" s="38">
        <f>SUBTOTAL(9,V103:Y103)</f>
        <v>0</v>
      </c>
      <c r="AA101" s="39"/>
      <c r="AB101" s="41" t="s">
        <v>145</v>
      </c>
      <c r="AC101" s="35"/>
      <c r="AD101" s="35"/>
      <c r="AE101" s="38">
        <f>SUBTOTAL(9,AB103:AD103)</f>
        <v>1</v>
      </c>
      <c r="AF101" s="39"/>
      <c r="AG101" s="35"/>
      <c r="AH101" s="40">
        <f>SUBTOTAL(9,AG103:AG103)</f>
        <v>0</v>
      </c>
      <c r="AI101" s="41" t="s">
        <v>108</v>
      </c>
      <c r="AJ101" s="41" t="s">
        <v>109</v>
      </c>
      <c r="AK101" s="41"/>
      <c r="AL101" s="35"/>
      <c r="AM101" s="35"/>
      <c r="AN101" s="35"/>
      <c r="AO101" s="40">
        <f>SUBTOTAL(9,AI103:AN103)</f>
        <v>2</v>
      </c>
      <c r="AP101" s="36">
        <f>SUBTOTAL(9,AG103:AN103)</f>
        <v>2</v>
      </c>
      <c r="AQ101" s="37"/>
      <c r="AR101" s="42"/>
      <c r="AS101" s="43" t="s">
        <v>146</v>
      </c>
      <c r="AT101" s="43" t="s">
        <v>147</v>
      </c>
      <c r="AU101" s="43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6">
        <f>SUBTOTAL(9,AS103:BP103)</f>
        <v>2</v>
      </c>
      <c r="BR101" s="44"/>
      <c r="BS101" s="35"/>
      <c r="BT101" s="35"/>
      <c r="BU101" s="35"/>
      <c r="BV101" s="35"/>
      <c r="BW101" s="36">
        <f>SUBTOTAL(3,BS101:BV101)</f>
        <v>0</v>
      </c>
      <c r="BX101" s="45"/>
      <c r="BY101" s="46"/>
      <c r="BZ101" s="46"/>
      <c r="CA101" s="47"/>
      <c r="CB101" s="49"/>
      <c r="CC101" s="49"/>
      <c r="CD101" s="49"/>
      <c r="CE101" s="49"/>
      <c r="CF101" s="49"/>
      <c r="CG101" s="114" t="s">
        <v>2</v>
      </c>
      <c r="CH101" s="50"/>
      <c r="CI101" s="16"/>
    </row>
    <row r="102" spans="1:87" ht="11.25" customHeight="1" x14ac:dyDescent="0.25">
      <c r="A102" s="114" t="s">
        <v>2</v>
      </c>
      <c r="B102" s="51" t="s">
        <v>44</v>
      </c>
      <c r="C102" s="52"/>
      <c r="D102" s="52"/>
      <c r="E102" s="52"/>
      <c r="F102" s="53">
        <f>SUBTOTAL(9,C102:E102)</f>
        <v>0</v>
      </c>
      <c r="G102" s="52"/>
      <c r="H102" s="52"/>
      <c r="I102" s="53">
        <f>SUBTOTAL(9,G102:H102)</f>
        <v>0</v>
      </c>
      <c r="J102" s="58">
        <v>20</v>
      </c>
      <c r="K102" s="52"/>
      <c r="L102" s="52"/>
      <c r="M102" s="52"/>
      <c r="N102" s="53">
        <f>SUBTOTAL(9,J102:M102)</f>
        <v>20</v>
      </c>
      <c r="O102" s="52"/>
      <c r="P102" s="53">
        <f>SUBTOTAL(9,O102:O102)</f>
        <v>0</v>
      </c>
      <c r="Q102" s="53">
        <f>SUBTOTAL(9,C102:O102)</f>
        <v>20</v>
      </c>
      <c r="R102" s="54">
        <v>1294</v>
      </c>
      <c r="S102" s="52"/>
      <c r="T102" s="55">
        <f>SUBTOTAL(9,S102:S102)</f>
        <v>0</v>
      </c>
      <c r="U102" s="56">
        <f>T102+IF($B98=2,0,U98)</f>
        <v>38</v>
      </c>
      <c r="V102" s="52"/>
      <c r="W102" s="52"/>
      <c r="X102" s="52"/>
      <c r="Y102" s="52"/>
      <c r="Z102" s="55">
        <f>SUBTOTAL(9,V102:Y102)</f>
        <v>0</v>
      </c>
      <c r="AA102" s="56">
        <f>Z102+IF($B98=2,0,AA98)</f>
        <v>12.5</v>
      </c>
      <c r="AB102" s="58">
        <v>3</v>
      </c>
      <c r="AC102" s="52"/>
      <c r="AD102" s="52"/>
      <c r="AE102" s="55">
        <f>SUBTOTAL(9,AB102:AD102)</f>
        <v>3</v>
      </c>
      <c r="AF102" s="56">
        <f>AE102+IF($B98=2,0,AF98)</f>
        <v>113.7</v>
      </c>
      <c r="AG102" s="52"/>
      <c r="AH102" s="57">
        <f>SUBTOTAL(9,AG102:AG102)</f>
        <v>0</v>
      </c>
      <c r="AI102" s="58">
        <v>9.1</v>
      </c>
      <c r="AJ102" s="58">
        <v>5.4</v>
      </c>
      <c r="AK102" s="58">
        <v>39.5</v>
      </c>
      <c r="AL102" s="52"/>
      <c r="AM102" s="52"/>
      <c r="AN102" s="52"/>
      <c r="AO102" s="57">
        <f>SUBTOTAL(9,AI102:AN102)</f>
        <v>54</v>
      </c>
      <c r="AP102" s="53">
        <f>SUBTOTAL(9,AG102:AN102)</f>
        <v>54</v>
      </c>
      <c r="AQ102" s="54">
        <f>AP102+IF($B98=2,0,AQ98)</f>
        <v>478.28933333333327</v>
      </c>
      <c r="AR102" s="59">
        <v>1104</v>
      </c>
      <c r="AS102" s="60">
        <v>0.7</v>
      </c>
      <c r="AT102" s="60">
        <v>36.4</v>
      </c>
      <c r="AU102" s="60">
        <v>24.184999999999999</v>
      </c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3">
        <f>SUBTOTAL(9,AS102:BP102)</f>
        <v>61.284999999999997</v>
      </c>
      <c r="BR102" s="57">
        <f>BQ102+IF($B98=2,0,BR98)</f>
        <v>599.35166666663338</v>
      </c>
      <c r="BS102" s="52"/>
      <c r="BT102" s="52"/>
      <c r="BU102" s="52"/>
      <c r="BV102" s="52"/>
      <c r="BW102" s="53">
        <f>SUBTOTAL(9,BS102:BV102)</f>
        <v>0</v>
      </c>
      <c r="BX102" s="53">
        <f>BW102+IF($B98=2,0,BX98)</f>
        <v>0</v>
      </c>
      <c r="BY102" s="61"/>
      <c r="BZ102" s="61"/>
      <c r="CA102" s="62">
        <f>SUMIF($C$5:BZ$5,"Накопленный эффект, т/сут",$C102:BZ102)+SUMIF($C$5:BZ$5,"Нараст.  по потенциалу",$C102:BZ102)-SUMIF($C$5:BZ$5,"Нараст. по остановкам",$C102:BZ102)-SUMIF($C$5:BZ$5,"ИТОГО перевод в ППД",$C102:BZ102)-SUMIF($C$5:BZ$5,"ИТОГО  нерент, по распоряж.",$C102:BZ102)-SUMIF($C$5:BZ$5,"ИТОГО ост. дебит от ЗБС, Углуб., ПВЛГ/ПНЛГ",$C102:BZ102)</f>
        <v>1337.1376666667002</v>
      </c>
      <c r="CB102" s="53">
        <v>30.6</v>
      </c>
      <c r="CC102" s="53">
        <v>5.4195903775071204E-3</v>
      </c>
      <c r="CD102" s="53">
        <v>22.714344131043301</v>
      </c>
      <c r="CE102" s="53">
        <v>9.6732492862948796</v>
      </c>
      <c r="CF102" s="53">
        <f>SUBTOTAL(9,CB102:CE102)</f>
        <v>62.993013007715689</v>
      </c>
      <c r="CG102" s="114" t="s">
        <v>2</v>
      </c>
      <c r="CH102" s="64">
        <f>CH$4+SUMIF($C$5:CF$5,"Нараст. по остановкам",$C102:CF102)-SUMIF($C$5:CF$5,"Нараст.  по потенциалу",$C102:CF102)</f>
        <v>825.52748657848804</v>
      </c>
      <c r="CI102" s="16"/>
    </row>
    <row r="103" spans="1:87" ht="1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>
        <v>1</v>
      </c>
      <c r="AC103" s="2"/>
      <c r="AD103" s="2"/>
      <c r="AE103" s="2"/>
      <c r="AF103" s="2"/>
      <c r="AG103" s="2"/>
      <c r="AH103" s="2"/>
      <c r="AI103" s="2">
        <v>1</v>
      </c>
      <c r="AJ103" s="2">
        <v>1</v>
      </c>
      <c r="AK103" s="2"/>
      <c r="AL103" s="2"/>
      <c r="AM103" s="2"/>
      <c r="AN103" s="2"/>
      <c r="AO103" s="2"/>
      <c r="AP103" s="2"/>
      <c r="AQ103" s="2"/>
      <c r="AR103" s="2"/>
      <c r="AS103" s="2">
        <v>1</v>
      </c>
      <c r="AT103" s="2">
        <v>1</v>
      </c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16"/>
    </row>
    <row r="104" spans="1:87" ht="11.25" customHeight="1" x14ac:dyDescent="0.25">
      <c r="A104" s="134">
        <v>45406</v>
      </c>
      <c r="B104" s="17" t="s">
        <v>46</v>
      </c>
      <c r="C104" s="24" t="s">
        <v>51</v>
      </c>
      <c r="D104" s="18"/>
      <c r="E104" s="18"/>
      <c r="F104" s="19">
        <v>1000</v>
      </c>
      <c r="G104" s="18"/>
      <c r="H104" s="18"/>
      <c r="I104" s="19">
        <v>0</v>
      </c>
      <c r="J104" s="18"/>
      <c r="K104" s="18"/>
      <c r="L104" s="18"/>
      <c r="M104" s="18"/>
      <c r="N104" s="19">
        <v>334</v>
      </c>
      <c r="O104" s="18"/>
      <c r="P104" s="19">
        <v>0</v>
      </c>
      <c r="Q104" s="19">
        <v>1334</v>
      </c>
      <c r="R104" s="20"/>
      <c r="S104" s="18"/>
      <c r="T104" s="21"/>
      <c r="U104" s="22"/>
      <c r="V104" s="18"/>
      <c r="W104" s="18"/>
      <c r="X104" s="18"/>
      <c r="Y104" s="18"/>
      <c r="Z104" s="21"/>
      <c r="AA104" s="22"/>
      <c r="AB104" s="24" t="s">
        <v>50</v>
      </c>
      <c r="AC104" s="18"/>
      <c r="AD104" s="18"/>
      <c r="AE104" s="21"/>
      <c r="AF104" s="22"/>
      <c r="AG104" s="18"/>
      <c r="AH104" s="23">
        <v>33.9</v>
      </c>
      <c r="AI104" s="24"/>
      <c r="AJ104" s="18"/>
      <c r="AK104" s="18"/>
      <c r="AL104" s="18"/>
      <c r="AM104" s="18"/>
      <c r="AN104" s="18"/>
      <c r="AO104" s="23">
        <v>446.38933333333301</v>
      </c>
      <c r="AP104" s="19">
        <v>480.28933333333299</v>
      </c>
      <c r="AQ104" s="20"/>
      <c r="AR104" s="25"/>
      <c r="AS104" s="26" t="s">
        <v>61</v>
      </c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27"/>
      <c r="BR104" s="28"/>
      <c r="BS104" s="18"/>
      <c r="BT104" s="18"/>
      <c r="BU104" s="18"/>
      <c r="BV104" s="18"/>
      <c r="BW104" s="27"/>
      <c r="BX104" s="27"/>
      <c r="BY104" s="29"/>
      <c r="BZ104" s="29"/>
      <c r="CA104" s="30"/>
      <c r="CB104" s="32"/>
      <c r="CC104" s="32"/>
      <c r="CD104" s="32"/>
      <c r="CE104" s="32"/>
      <c r="CF104" s="32"/>
      <c r="CG104" s="135">
        <f>CG$4+SUMIF($C$5:CF$5,"Нараст. баланс",$C106:CF106)+SUMIF($C$7:CD$7,"Итого (с ВНР)",$C106:CD106)-SUMIF($C$5:CF$5,"Геол. снижение,  т/сут",$C106:CF106)-SUMIF(CE$7:CF$7,"Итого",CE106:CF106)-SUMIF($C$7:CF$7,"Итого (с ВСП)",$C106:CF106)</f>
        <v>30271.835765964162</v>
      </c>
      <c r="CH104" s="33"/>
      <c r="CI104" s="16"/>
    </row>
    <row r="105" spans="1:87" ht="11.25" customHeight="1" x14ac:dyDescent="0.25">
      <c r="A105" s="114" t="s">
        <v>2</v>
      </c>
      <c r="B105" s="34" t="s">
        <v>47</v>
      </c>
      <c r="C105" s="41" t="s">
        <v>148</v>
      </c>
      <c r="D105" s="35"/>
      <c r="E105" s="35"/>
      <c r="F105" s="36">
        <v>1</v>
      </c>
      <c r="G105" s="35"/>
      <c r="H105" s="35"/>
      <c r="I105" s="36">
        <v>0</v>
      </c>
      <c r="J105" s="35"/>
      <c r="K105" s="35"/>
      <c r="L105" s="35"/>
      <c r="M105" s="35"/>
      <c r="N105" s="36">
        <v>0</v>
      </c>
      <c r="O105" s="35"/>
      <c r="P105" s="36">
        <v>0</v>
      </c>
      <c r="Q105" s="36">
        <v>1</v>
      </c>
      <c r="R105" s="37"/>
      <c r="S105" s="35"/>
      <c r="T105" s="38">
        <f>SUBTOTAL(9,S107:S107)</f>
        <v>0</v>
      </c>
      <c r="U105" s="39"/>
      <c r="V105" s="35"/>
      <c r="W105" s="35"/>
      <c r="X105" s="35"/>
      <c r="Y105" s="35"/>
      <c r="Z105" s="38">
        <f>SUBTOTAL(9,V107:Y107)</f>
        <v>0</v>
      </c>
      <c r="AA105" s="39"/>
      <c r="AB105" s="41" t="s">
        <v>148</v>
      </c>
      <c r="AC105" s="35"/>
      <c r="AD105" s="35"/>
      <c r="AE105" s="38">
        <f>SUBTOTAL(9,AB107:AD107)</f>
        <v>1</v>
      </c>
      <c r="AF105" s="39"/>
      <c r="AG105" s="35"/>
      <c r="AH105" s="40">
        <f>SUBTOTAL(9,AG107:AG107)</f>
        <v>0</v>
      </c>
      <c r="AI105" s="41"/>
      <c r="AJ105" s="35"/>
      <c r="AK105" s="35"/>
      <c r="AL105" s="35"/>
      <c r="AM105" s="35"/>
      <c r="AN105" s="35"/>
      <c r="AO105" s="40">
        <f>SUBTOTAL(9,AI107:AN107)</f>
        <v>0</v>
      </c>
      <c r="AP105" s="36">
        <f>SUBTOTAL(9,AG107:AN107)</f>
        <v>0</v>
      </c>
      <c r="AQ105" s="37"/>
      <c r="AR105" s="42"/>
      <c r="AS105" s="43" t="s">
        <v>149</v>
      </c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6">
        <f>SUBTOTAL(9,AS107:BP107)</f>
        <v>1</v>
      </c>
      <c r="BR105" s="44"/>
      <c r="BS105" s="35"/>
      <c r="BT105" s="35"/>
      <c r="BU105" s="35"/>
      <c r="BV105" s="35"/>
      <c r="BW105" s="36">
        <f>SUBTOTAL(3,BS105:BV105)</f>
        <v>0</v>
      </c>
      <c r="BX105" s="45"/>
      <c r="BY105" s="46"/>
      <c r="BZ105" s="46"/>
      <c r="CA105" s="47"/>
      <c r="CB105" s="49"/>
      <c r="CC105" s="49"/>
      <c r="CD105" s="49"/>
      <c r="CE105" s="49"/>
      <c r="CF105" s="49"/>
      <c r="CG105" s="114" t="s">
        <v>2</v>
      </c>
      <c r="CH105" s="50"/>
      <c r="CI105" s="16"/>
    </row>
    <row r="106" spans="1:87" ht="11.25" customHeight="1" x14ac:dyDescent="0.25">
      <c r="A106" s="114" t="s">
        <v>2</v>
      </c>
      <c r="B106" s="51" t="s">
        <v>44</v>
      </c>
      <c r="C106" s="58">
        <v>40</v>
      </c>
      <c r="D106" s="52"/>
      <c r="E106" s="52"/>
      <c r="F106" s="53">
        <f>SUBTOTAL(9,C106:E106)</f>
        <v>40</v>
      </c>
      <c r="G106" s="52"/>
      <c r="H106" s="52"/>
      <c r="I106" s="53">
        <f>SUBTOTAL(9,G106:H106)</f>
        <v>0</v>
      </c>
      <c r="J106" s="52"/>
      <c r="K106" s="52"/>
      <c r="L106" s="52"/>
      <c r="M106" s="52"/>
      <c r="N106" s="53">
        <f>SUBTOTAL(9,J106:M106)</f>
        <v>0</v>
      </c>
      <c r="O106" s="52"/>
      <c r="P106" s="53">
        <f>SUBTOTAL(9,O106:O106)</f>
        <v>0</v>
      </c>
      <c r="Q106" s="53">
        <f>SUBTOTAL(9,C106:O106)</f>
        <v>40</v>
      </c>
      <c r="R106" s="54">
        <v>1334</v>
      </c>
      <c r="S106" s="52"/>
      <c r="T106" s="55">
        <f>SUBTOTAL(9,S106:S106)</f>
        <v>0</v>
      </c>
      <c r="U106" s="56">
        <f>T106+IF($B102=2,0,U102)</f>
        <v>38</v>
      </c>
      <c r="V106" s="52"/>
      <c r="W106" s="52"/>
      <c r="X106" s="52"/>
      <c r="Y106" s="52"/>
      <c r="Z106" s="55">
        <f>SUBTOTAL(9,V106:Y106)</f>
        <v>0</v>
      </c>
      <c r="AA106" s="56">
        <f>Z106+IF($B102=2,0,AA102)</f>
        <v>12.5</v>
      </c>
      <c r="AB106" s="58">
        <v>5</v>
      </c>
      <c r="AC106" s="52"/>
      <c r="AD106" s="52"/>
      <c r="AE106" s="55">
        <f>SUBTOTAL(9,AB106:AD106)</f>
        <v>5</v>
      </c>
      <c r="AF106" s="56">
        <f>AE106+IF($B102=2,0,AF102)</f>
        <v>118.7</v>
      </c>
      <c r="AG106" s="52"/>
      <c r="AH106" s="57">
        <f>SUBTOTAL(9,AG106:AG106)</f>
        <v>0</v>
      </c>
      <c r="AI106" s="58">
        <v>2</v>
      </c>
      <c r="AJ106" s="52"/>
      <c r="AK106" s="52"/>
      <c r="AL106" s="52"/>
      <c r="AM106" s="52"/>
      <c r="AN106" s="52"/>
      <c r="AO106" s="57">
        <f>SUBTOTAL(9,AI106:AN106)</f>
        <v>2</v>
      </c>
      <c r="AP106" s="53">
        <f>SUBTOTAL(9,AG106:AN106)</f>
        <v>2</v>
      </c>
      <c r="AQ106" s="54">
        <f>AP106+IF($B102=2,0,AQ102)</f>
        <v>480.28933333333327</v>
      </c>
      <c r="AR106" s="59">
        <v>1152</v>
      </c>
      <c r="AS106" s="60">
        <v>2</v>
      </c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3">
        <f>SUBTOTAL(9,AS106:BP106)</f>
        <v>2</v>
      </c>
      <c r="BR106" s="57">
        <f>BQ106+IF($B102=2,0,BR102)</f>
        <v>601.35166666663338</v>
      </c>
      <c r="BS106" s="52"/>
      <c r="BT106" s="52"/>
      <c r="BU106" s="52"/>
      <c r="BV106" s="52"/>
      <c r="BW106" s="53">
        <f>SUBTOTAL(9,BS106:BV106)</f>
        <v>0</v>
      </c>
      <c r="BX106" s="53">
        <f>BW106+IF($B102=2,0,BX102)</f>
        <v>0</v>
      </c>
      <c r="BY106" s="61"/>
      <c r="BZ106" s="61"/>
      <c r="CA106" s="62">
        <f>SUMIF($C$5:BZ$5,"Накопленный эффект, т/сут",$C106:BZ106)+SUMIF($C$5:BZ$5,"Нараст.  по потенциалу",$C106:BZ106)-SUMIF($C$5:BZ$5,"Нараст. по остановкам",$C106:BZ106)-SUMIF($C$5:BZ$5,"ИТОГО перевод в ППД",$C106:BZ106)-SUMIF($C$5:BZ$5,"ИТОГО  нерент, по распоряж.",$C106:BZ106)-SUMIF($C$5:BZ$5,"ИТОГО ост. дебит от ЗБС, Углуб., ПВЛГ/ПНЛГ",$C106:BZ106)</f>
        <v>1382.1376666667002</v>
      </c>
      <c r="CB106" s="53">
        <v>30.6</v>
      </c>
      <c r="CC106" s="53">
        <v>40.945723960329602</v>
      </c>
      <c r="CD106" s="53">
        <v>5.4558807261397702</v>
      </c>
      <c r="CE106" s="53">
        <v>9.3212960160656895</v>
      </c>
      <c r="CF106" s="53">
        <f>SUBTOTAL(9,CB106:CE106)</f>
        <v>86.322900702535065</v>
      </c>
      <c r="CG106" s="114" t="s">
        <v>2</v>
      </c>
      <c r="CH106" s="64">
        <f>CH$4+SUMIF($C$5:CF$5,"Нараст. по остановкам",$C106:CF106)-SUMIF($C$5:CF$5,"Нараст.  по потенциалу",$C106:CF106)</f>
        <v>825.52748657848804</v>
      </c>
      <c r="CI106" s="16"/>
    </row>
    <row r="107" spans="1:87" ht="1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>
        <v>1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>
        <v>1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16"/>
    </row>
    <row r="108" spans="1:87" ht="11.25" customHeight="1" x14ac:dyDescent="0.25">
      <c r="A108" s="134">
        <v>45407</v>
      </c>
      <c r="B108" s="17" t="s">
        <v>46</v>
      </c>
      <c r="C108" s="24" t="s">
        <v>121</v>
      </c>
      <c r="D108" s="18"/>
      <c r="E108" s="18"/>
      <c r="F108" s="19">
        <v>1040</v>
      </c>
      <c r="G108" s="18"/>
      <c r="H108" s="18"/>
      <c r="I108" s="19">
        <v>0</v>
      </c>
      <c r="J108" s="18"/>
      <c r="K108" s="18"/>
      <c r="L108" s="18"/>
      <c r="M108" s="18"/>
      <c r="N108" s="19">
        <v>334</v>
      </c>
      <c r="O108" s="24" t="s">
        <v>58</v>
      </c>
      <c r="P108" s="19">
        <v>10</v>
      </c>
      <c r="Q108" s="19">
        <v>1384</v>
      </c>
      <c r="R108" s="20"/>
      <c r="S108" s="18"/>
      <c r="T108" s="21"/>
      <c r="U108" s="22"/>
      <c r="V108" s="24" t="s">
        <v>115</v>
      </c>
      <c r="W108" s="24" t="s">
        <v>71</v>
      </c>
      <c r="X108" s="24" t="s">
        <v>71</v>
      </c>
      <c r="Y108" s="24" t="s">
        <v>121</v>
      </c>
      <c r="Z108" s="21"/>
      <c r="AA108" s="22"/>
      <c r="AB108" s="24" t="s">
        <v>70</v>
      </c>
      <c r="AC108" s="18"/>
      <c r="AD108" s="18"/>
      <c r="AE108" s="21"/>
      <c r="AF108" s="22"/>
      <c r="AG108" s="24" t="s">
        <v>58</v>
      </c>
      <c r="AH108" s="23">
        <v>35.5</v>
      </c>
      <c r="AI108" s="24" t="s">
        <v>58</v>
      </c>
      <c r="AJ108" s="24" t="s">
        <v>61</v>
      </c>
      <c r="AK108" s="24"/>
      <c r="AL108" s="18"/>
      <c r="AM108" s="18"/>
      <c r="AN108" s="18"/>
      <c r="AO108" s="23">
        <v>451.577333333333</v>
      </c>
      <c r="AP108" s="19">
        <v>487.077333333333</v>
      </c>
      <c r="AQ108" s="20"/>
      <c r="AR108" s="25"/>
      <c r="AS108" s="26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27"/>
      <c r="BR108" s="28"/>
      <c r="BS108" s="18"/>
      <c r="BT108" s="18"/>
      <c r="BU108" s="18"/>
      <c r="BV108" s="18"/>
      <c r="BW108" s="27"/>
      <c r="BX108" s="27"/>
      <c r="BY108" s="29"/>
      <c r="BZ108" s="29"/>
      <c r="CA108" s="30"/>
      <c r="CB108" s="32"/>
      <c r="CC108" s="32"/>
      <c r="CD108" s="32"/>
      <c r="CE108" s="31"/>
      <c r="CF108" s="32"/>
      <c r="CG108" s="135">
        <f>CG$4+SUMIF($C$5:CF$5,"Нараст. баланс",$C110:CF110)+SUMIF($C$7:CD$7,"Итого (с ВНР)",$C110:CD110)-SUMIF($C$5:CF$5,"Геол. снижение,  т/сут",$C110:CF110)-SUMIF(CE$7:CF$7,"Итого",CE110:CF110)-SUMIF($C$7:CF$7,"Итого (с ВСП)",$C110:CF110)</f>
        <v>30329.111596450151</v>
      </c>
      <c r="CH108" s="33"/>
      <c r="CI108" s="16"/>
    </row>
    <row r="109" spans="1:87" ht="11.25" customHeight="1" x14ac:dyDescent="0.25">
      <c r="A109" s="114" t="s">
        <v>2</v>
      </c>
      <c r="B109" s="34" t="s">
        <v>47</v>
      </c>
      <c r="C109" s="41" t="s">
        <v>150</v>
      </c>
      <c r="D109" s="35"/>
      <c r="E109" s="35"/>
      <c r="F109" s="36">
        <v>1</v>
      </c>
      <c r="G109" s="35"/>
      <c r="H109" s="35"/>
      <c r="I109" s="36">
        <v>0</v>
      </c>
      <c r="J109" s="35"/>
      <c r="K109" s="35"/>
      <c r="L109" s="35"/>
      <c r="M109" s="35"/>
      <c r="N109" s="36">
        <v>0</v>
      </c>
      <c r="O109" s="41" t="s">
        <v>64</v>
      </c>
      <c r="P109" s="36">
        <v>1</v>
      </c>
      <c r="Q109" s="36">
        <v>2</v>
      </c>
      <c r="R109" s="37"/>
      <c r="S109" s="35"/>
      <c r="T109" s="38">
        <f>SUBTOTAL(9,S111:S111)</f>
        <v>0</v>
      </c>
      <c r="U109" s="39"/>
      <c r="V109" s="41"/>
      <c r="W109" s="41"/>
      <c r="X109" s="41"/>
      <c r="Y109" s="41"/>
      <c r="Z109" s="38">
        <f>SUBTOTAL(9,V111:Y111)</f>
        <v>0</v>
      </c>
      <c r="AA109" s="39"/>
      <c r="AB109" s="41" t="s">
        <v>151</v>
      </c>
      <c r="AC109" s="35"/>
      <c r="AD109" s="35"/>
      <c r="AE109" s="38">
        <f>SUBTOTAL(9,AB111:AD111)</f>
        <v>1</v>
      </c>
      <c r="AF109" s="39"/>
      <c r="AG109" s="41" t="s">
        <v>64</v>
      </c>
      <c r="AH109" s="40">
        <f>SUBTOTAL(9,AG111:AG111)</f>
        <v>1</v>
      </c>
      <c r="AI109" s="41" t="s">
        <v>118</v>
      </c>
      <c r="AJ109" s="41" t="s">
        <v>119</v>
      </c>
      <c r="AK109" s="41"/>
      <c r="AL109" s="35"/>
      <c r="AM109" s="35"/>
      <c r="AN109" s="35"/>
      <c r="AO109" s="40">
        <f>SUBTOTAL(9,AI111:AN111)</f>
        <v>2</v>
      </c>
      <c r="AP109" s="36">
        <f>SUBTOTAL(9,AG111:AN111)</f>
        <v>3</v>
      </c>
      <c r="AQ109" s="37"/>
      <c r="AR109" s="42"/>
      <c r="AS109" s="43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6">
        <f>SUBTOTAL(9,AS111:BP111)</f>
        <v>0</v>
      </c>
      <c r="BR109" s="44"/>
      <c r="BS109" s="35"/>
      <c r="BT109" s="35"/>
      <c r="BU109" s="35"/>
      <c r="BV109" s="35"/>
      <c r="BW109" s="36">
        <f>SUBTOTAL(3,BS109:BV109)</f>
        <v>0</v>
      </c>
      <c r="BX109" s="45"/>
      <c r="BY109" s="46"/>
      <c r="BZ109" s="46"/>
      <c r="CA109" s="47"/>
      <c r="CB109" s="49"/>
      <c r="CC109" s="49"/>
      <c r="CD109" s="49"/>
      <c r="CE109" s="48"/>
      <c r="CF109" s="49"/>
      <c r="CG109" s="114" t="s">
        <v>2</v>
      </c>
      <c r="CH109" s="50"/>
      <c r="CI109" s="16"/>
    </row>
    <row r="110" spans="1:87" ht="11.25" customHeight="1" x14ac:dyDescent="0.25">
      <c r="A110" s="114" t="s">
        <v>2</v>
      </c>
      <c r="B110" s="51" t="s">
        <v>44</v>
      </c>
      <c r="C110" s="58">
        <v>40</v>
      </c>
      <c r="D110" s="52"/>
      <c r="E110" s="52"/>
      <c r="F110" s="53">
        <f>SUBTOTAL(9,C110:E110)</f>
        <v>40</v>
      </c>
      <c r="G110" s="52"/>
      <c r="H110" s="52"/>
      <c r="I110" s="53">
        <f>SUBTOTAL(9,G110:H110)</f>
        <v>0</v>
      </c>
      <c r="J110" s="52"/>
      <c r="K110" s="52"/>
      <c r="L110" s="52"/>
      <c r="M110" s="52"/>
      <c r="N110" s="53">
        <f>SUBTOTAL(9,J110:M110)</f>
        <v>0</v>
      </c>
      <c r="O110" s="58">
        <v>10</v>
      </c>
      <c r="P110" s="53">
        <f>SUBTOTAL(9,O110:O110)</f>
        <v>10</v>
      </c>
      <c r="Q110" s="53">
        <f>SUBTOTAL(9,C110:O110)</f>
        <v>50</v>
      </c>
      <c r="R110" s="54">
        <v>1384</v>
      </c>
      <c r="S110" s="52"/>
      <c r="T110" s="55">
        <f>SUBTOTAL(9,S110:S110)</f>
        <v>0</v>
      </c>
      <c r="U110" s="56">
        <f>T110+IF($B106=2,0,U106)</f>
        <v>38</v>
      </c>
      <c r="V110" s="58">
        <v>2</v>
      </c>
      <c r="W110" s="58">
        <v>0.1</v>
      </c>
      <c r="X110" s="58">
        <v>1.1000000000000001</v>
      </c>
      <c r="Y110" s="58">
        <v>15</v>
      </c>
      <c r="Z110" s="55">
        <f>SUBTOTAL(9,V110:Y110)</f>
        <v>18.2</v>
      </c>
      <c r="AA110" s="56">
        <f>Z110+IF($B106=2,0,AA106)</f>
        <v>30.7</v>
      </c>
      <c r="AB110" s="58">
        <v>4</v>
      </c>
      <c r="AC110" s="52"/>
      <c r="AD110" s="52"/>
      <c r="AE110" s="55">
        <f>SUBTOTAL(9,AB110:AD110)</f>
        <v>4</v>
      </c>
      <c r="AF110" s="56">
        <f>AE110+IF($B106=2,0,AF106)</f>
        <v>122.7</v>
      </c>
      <c r="AG110" s="58">
        <v>1.6</v>
      </c>
      <c r="AH110" s="57">
        <f>SUBTOTAL(9,AG110:AG110)</f>
        <v>1.6</v>
      </c>
      <c r="AI110" s="58">
        <v>1.2</v>
      </c>
      <c r="AJ110" s="58">
        <v>2.2000000000000002</v>
      </c>
      <c r="AK110" s="58">
        <v>1.788</v>
      </c>
      <c r="AL110" s="52"/>
      <c r="AM110" s="52"/>
      <c r="AN110" s="52"/>
      <c r="AO110" s="57">
        <f>SUBTOTAL(9,AI110:AN110)</f>
        <v>5.1880000000000006</v>
      </c>
      <c r="AP110" s="53">
        <f>SUBTOTAL(9,AG110:AN110)</f>
        <v>6.7880000000000003</v>
      </c>
      <c r="AQ110" s="54">
        <f>AP110+IF($B106=2,0,AQ106)</f>
        <v>487.07733333333329</v>
      </c>
      <c r="AR110" s="59">
        <v>1200</v>
      </c>
      <c r="AS110" s="60">
        <v>6.5</v>
      </c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3">
        <f>SUBTOTAL(9,AS110:BP110)</f>
        <v>6.5</v>
      </c>
      <c r="BR110" s="57">
        <f>BQ110+IF($B106=2,0,BR106)</f>
        <v>607.85166666663338</v>
      </c>
      <c r="BS110" s="52"/>
      <c r="BT110" s="52"/>
      <c r="BU110" s="52"/>
      <c r="BV110" s="52"/>
      <c r="BW110" s="53">
        <f>SUBTOTAL(9,BS110:BV110)</f>
        <v>0</v>
      </c>
      <c r="BX110" s="53">
        <f>BW110+IF($B106=2,0,BX106)</f>
        <v>0</v>
      </c>
      <c r="BY110" s="61"/>
      <c r="BZ110" s="61"/>
      <c r="CA110" s="62">
        <f>SUMIF($C$5:BZ$5,"Накопленный эффект, т/сут",$C110:BZ110)+SUMIF($C$5:BZ$5,"Нараст.  по потенциалу",$C110:BZ110)-SUMIF($C$5:BZ$5,"Нараст. по остановкам",$C110:BZ110)-SUMIF($C$5:BZ$5,"ИТОГО перевод в ППД",$C110:BZ110)-SUMIF($C$5:BZ$5,"ИТОГО  нерент, по распоряж.",$C110:BZ110)-SUMIF($C$5:BZ$5,"ИТОГО ост. дебит от ЗБС, Углуб., ПВЛГ/ПНЛГ",$C110:BZ110)</f>
        <v>1454.6256666667</v>
      </c>
      <c r="CB110" s="53">
        <v>0.5</v>
      </c>
      <c r="CC110" s="53">
        <v>22.630192533806799</v>
      </c>
      <c r="CD110" s="53">
        <v>30.404877682742601</v>
      </c>
      <c r="CE110" s="63"/>
      <c r="CF110" s="53">
        <f>SUBTOTAL(9,CB110:CE110)</f>
        <v>53.5350702165494</v>
      </c>
      <c r="CG110" s="114" t="s">
        <v>2</v>
      </c>
      <c r="CH110" s="64">
        <f>CH$4+SUMIF($C$5:CF$5,"Нараст. по остановкам",$C110:CF110)-SUMIF($C$5:CF$5,"Нараст.  по потенциалу",$C110:CF110)</f>
        <v>825.23948657848803</v>
      </c>
      <c r="CI110" s="16"/>
    </row>
    <row r="111" spans="1:87" ht="1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>
        <v>1</v>
      </c>
      <c r="AC111" s="2"/>
      <c r="AD111" s="2"/>
      <c r="AE111" s="2"/>
      <c r="AF111" s="2"/>
      <c r="AG111" s="2">
        <v>1</v>
      </c>
      <c r="AH111" s="2"/>
      <c r="AI111" s="2">
        <v>1</v>
      </c>
      <c r="AJ111" s="2">
        <v>1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16"/>
    </row>
    <row r="112" spans="1:87" ht="11.25" customHeight="1" x14ac:dyDescent="0.25">
      <c r="A112" s="134">
        <v>45408</v>
      </c>
      <c r="B112" s="17" t="s">
        <v>46</v>
      </c>
      <c r="C112" s="24" t="s">
        <v>84</v>
      </c>
      <c r="D112" s="18"/>
      <c r="E112" s="18"/>
      <c r="F112" s="19">
        <v>1080</v>
      </c>
      <c r="G112" s="18"/>
      <c r="H112" s="18"/>
      <c r="I112" s="19">
        <v>0</v>
      </c>
      <c r="J112" s="18"/>
      <c r="K112" s="18"/>
      <c r="L112" s="18"/>
      <c r="M112" s="18"/>
      <c r="N112" s="19">
        <v>334</v>
      </c>
      <c r="O112" s="24" t="s">
        <v>49</v>
      </c>
      <c r="P112" s="19">
        <v>20</v>
      </c>
      <c r="Q112" s="19">
        <v>1434</v>
      </c>
      <c r="R112" s="20"/>
      <c r="S112" s="18"/>
      <c r="T112" s="21"/>
      <c r="U112" s="22"/>
      <c r="V112" s="24" t="s">
        <v>71</v>
      </c>
      <c r="W112" s="24" t="s">
        <v>71</v>
      </c>
      <c r="X112" s="24" t="s">
        <v>115</v>
      </c>
      <c r="Y112" s="18"/>
      <c r="Z112" s="21"/>
      <c r="AA112" s="22"/>
      <c r="AB112" s="24" t="s">
        <v>121</v>
      </c>
      <c r="AC112" s="18"/>
      <c r="AD112" s="18"/>
      <c r="AE112" s="21"/>
      <c r="AF112" s="22"/>
      <c r="AG112" s="24" t="s">
        <v>49</v>
      </c>
      <c r="AH112" s="23">
        <v>37.9</v>
      </c>
      <c r="AI112" s="24" t="s">
        <v>51</v>
      </c>
      <c r="AJ112" s="24"/>
      <c r="AK112" s="18"/>
      <c r="AL112" s="18"/>
      <c r="AM112" s="18"/>
      <c r="AN112" s="18"/>
      <c r="AO112" s="23">
        <v>476.17733333333302</v>
      </c>
      <c r="AP112" s="19">
        <v>514.07733333333294</v>
      </c>
      <c r="AQ112" s="20"/>
      <c r="AR112" s="25"/>
      <c r="AS112" s="26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27"/>
      <c r="BR112" s="28"/>
      <c r="BS112" s="18"/>
      <c r="BT112" s="18"/>
      <c r="BU112" s="18"/>
      <c r="BV112" s="18"/>
      <c r="BW112" s="27"/>
      <c r="BX112" s="27"/>
      <c r="BY112" s="29"/>
      <c r="BZ112" s="29"/>
      <c r="CA112" s="30"/>
      <c r="CB112" s="31"/>
      <c r="CC112" s="32"/>
      <c r="CD112" s="31"/>
      <c r="CE112" s="32"/>
      <c r="CF112" s="32"/>
      <c r="CG112" s="135">
        <f>CG$4+SUMIF($C$5:CF$5,"Нараст. баланс",$C114:CF114)+SUMIF($C$7:CD$7,"Итого (с ВНР)",$C114:CD114)-SUMIF($C$5:CF$5,"Геол. снижение,  т/сут",$C114:CF114)-SUMIF(CE$7:CF$7,"Итого",CE114:CF114)-SUMIF($C$7:CF$7,"Итого (с ВСП)",$C114:CF114)</f>
        <v>30372.794650643293</v>
      </c>
      <c r="CH112" s="33"/>
      <c r="CI112" s="16"/>
    </row>
    <row r="113" spans="1:87" ht="11.25" customHeight="1" x14ac:dyDescent="0.25">
      <c r="A113" s="114" t="s">
        <v>2</v>
      </c>
      <c r="B113" s="34" t="s">
        <v>47</v>
      </c>
      <c r="C113" s="41" t="s">
        <v>152</v>
      </c>
      <c r="D113" s="35"/>
      <c r="E113" s="35"/>
      <c r="F113" s="36">
        <v>1</v>
      </c>
      <c r="G113" s="35"/>
      <c r="H113" s="35"/>
      <c r="I113" s="36">
        <v>0</v>
      </c>
      <c r="J113" s="35"/>
      <c r="K113" s="35"/>
      <c r="L113" s="35"/>
      <c r="M113" s="35"/>
      <c r="N113" s="36">
        <v>0</v>
      </c>
      <c r="O113" s="41" t="s">
        <v>68</v>
      </c>
      <c r="P113" s="36">
        <v>1</v>
      </c>
      <c r="Q113" s="36">
        <v>2</v>
      </c>
      <c r="R113" s="37"/>
      <c r="S113" s="35"/>
      <c r="T113" s="38">
        <f>SUBTOTAL(9,S115:S115)</f>
        <v>0</v>
      </c>
      <c r="U113" s="39"/>
      <c r="V113" s="41"/>
      <c r="W113" s="41"/>
      <c r="X113" s="41"/>
      <c r="Y113" s="35"/>
      <c r="Z113" s="38">
        <f>SUBTOTAL(9,V115:Y115)</f>
        <v>0</v>
      </c>
      <c r="AA113" s="39"/>
      <c r="AB113" s="41" t="s">
        <v>153</v>
      </c>
      <c r="AC113" s="35"/>
      <c r="AD113" s="35"/>
      <c r="AE113" s="38">
        <f>SUBTOTAL(9,AB115:AD115)</f>
        <v>1</v>
      </c>
      <c r="AF113" s="39"/>
      <c r="AG113" s="41" t="s">
        <v>68</v>
      </c>
      <c r="AH113" s="40">
        <f>SUBTOTAL(9,AG115:AG115)</f>
        <v>1</v>
      </c>
      <c r="AI113" s="41" t="s">
        <v>126</v>
      </c>
      <c r="AJ113" s="41"/>
      <c r="AK113" s="35"/>
      <c r="AL113" s="35"/>
      <c r="AM113" s="35"/>
      <c r="AN113" s="35"/>
      <c r="AO113" s="40">
        <f>SUBTOTAL(9,AI115:AN115)</f>
        <v>1</v>
      </c>
      <c r="AP113" s="36">
        <f>SUBTOTAL(9,AG115:AN115)</f>
        <v>2</v>
      </c>
      <c r="AQ113" s="37"/>
      <c r="AR113" s="42"/>
      <c r="AS113" s="43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6">
        <f>SUBTOTAL(9,AS115:BP115)</f>
        <v>0</v>
      </c>
      <c r="BR113" s="44"/>
      <c r="BS113" s="35"/>
      <c r="BT113" s="35"/>
      <c r="BU113" s="35"/>
      <c r="BV113" s="35"/>
      <c r="BW113" s="36">
        <f>SUBTOTAL(3,BS113:BV113)</f>
        <v>0</v>
      </c>
      <c r="BX113" s="45"/>
      <c r="BY113" s="46"/>
      <c r="BZ113" s="46"/>
      <c r="CA113" s="47"/>
      <c r="CB113" s="48"/>
      <c r="CC113" s="49"/>
      <c r="CD113" s="48"/>
      <c r="CE113" s="49"/>
      <c r="CF113" s="49"/>
      <c r="CG113" s="114" t="s">
        <v>2</v>
      </c>
      <c r="CH113" s="50"/>
      <c r="CI113" s="16"/>
    </row>
    <row r="114" spans="1:87" ht="11.25" customHeight="1" x14ac:dyDescent="0.25">
      <c r="A114" s="114" t="s">
        <v>2</v>
      </c>
      <c r="B114" s="51" t="s">
        <v>44</v>
      </c>
      <c r="C114" s="58">
        <v>40</v>
      </c>
      <c r="D114" s="52"/>
      <c r="E114" s="52"/>
      <c r="F114" s="53">
        <f>SUBTOTAL(9,C114:E114)</f>
        <v>40</v>
      </c>
      <c r="G114" s="52"/>
      <c r="H114" s="52"/>
      <c r="I114" s="53">
        <f>SUBTOTAL(9,G114:H114)</f>
        <v>0</v>
      </c>
      <c r="J114" s="52"/>
      <c r="K114" s="52"/>
      <c r="L114" s="52"/>
      <c r="M114" s="52"/>
      <c r="N114" s="53">
        <f>SUBTOTAL(9,J114:M114)</f>
        <v>0</v>
      </c>
      <c r="O114" s="58">
        <v>10</v>
      </c>
      <c r="P114" s="53">
        <f>SUBTOTAL(9,O114:O114)</f>
        <v>10</v>
      </c>
      <c r="Q114" s="53">
        <f>SUBTOTAL(9,C114:O114)</f>
        <v>50</v>
      </c>
      <c r="R114" s="54">
        <v>1434</v>
      </c>
      <c r="S114" s="52"/>
      <c r="T114" s="55">
        <f>SUBTOTAL(9,S114:S114)</f>
        <v>0</v>
      </c>
      <c r="U114" s="56">
        <f>T114+IF($B110=2,0,U110)</f>
        <v>38</v>
      </c>
      <c r="V114" s="58">
        <v>1.4</v>
      </c>
      <c r="W114" s="58">
        <v>0.3</v>
      </c>
      <c r="X114" s="58">
        <v>0.2</v>
      </c>
      <c r="Y114" s="52"/>
      <c r="Z114" s="55">
        <f>SUBTOTAL(9,V114:Y114)</f>
        <v>1.9</v>
      </c>
      <c r="AA114" s="56">
        <f>Z114+IF($B110=2,0,AA110)</f>
        <v>32.6</v>
      </c>
      <c r="AB114" s="58">
        <v>6</v>
      </c>
      <c r="AC114" s="52"/>
      <c r="AD114" s="52"/>
      <c r="AE114" s="55">
        <f>SUBTOTAL(9,AB114:AD114)</f>
        <v>6</v>
      </c>
      <c r="AF114" s="56">
        <f>AE114+IF($B110=2,0,AF110)</f>
        <v>128.69999999999999</v>
      </c>
      <c r="AG114" s="58">
        <v>2.4</v>
      </c>
      <c r="AH114" s="57">
        <f>SUBTOTAL(9,AG114:AG114)</f>
        <v>2.4</v>
      </c>
      <c r="AI114" s="58">
        <v>11.1</v>
      </c>
      <c r="AJ114" s="58">
        <v>13.5</v>
      </c>
      <c r="AK114" s="52"/>
      <c r="AL114" s="52"/>
      <c r="AM114" s="52"/>
      <c r="AN114" s="52"/>
      <c r="AO114" s="57">
        <f>SUBTOTAL(9,AI114:AN114)</f>
        <v>24.6</v>
      </c>
      <c r="AP114" s="53">
        <f>SUBTOTAL(9,AG114:AN114)</f>
        <v>27</v>
      </c>
      <c r="AQ114" s="54">
        <f>AP114+IF($B110=2,0,AQ110)</f>
        <v>514.07733333333329</v>
      </c>
      <c r="AR114" s="59">
        <v>1248</v>
      </c>
      <c r="AS114" s="60">
        <v>34.287999999999997</v>
      </c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3">
        <f>SUBTOTAL(9,AS114:BP114)</f>
        <v>34.287999999999997</v>
      </c>
      <c r="BR114" s="57">
        <f>BQ114+IF($B110=2,0,BR110)</f>
        <v>642.13966666663339</v>
      </c>
      <c r="BS114" s="52"/>
      <c r="BT114" s="52"/>
      <c r="BU114" s="52"/>
      <c r="BV114" s="52"/>
      <c r="BW114" s="53">
        <f>SUBTOTAL(9,BS114:BV114)</f>
        <v>0</v>
      </c>
      <c r="BX114" s="53">
        <f>BW114+IF($B110=2,0,BX110)</f>
        <v>0</v>
      </c>
      <c r="BY114" s="61"/>
      <c r="BZ114" s="61"/>
      <c r="CA114" s="62">
        <f>SUMIF($C$5:BZ$5,"Накопленный эффект, т/сут",$C114:BZ114)+SUMIF($C$5:BZ$5,"Нараст.  по потенциалу",$C114:BZ114)-SUMIF($C$5:BZ$5,"Нараст. по остановкам",$C114:BZ114)-SUMIF($C$5:BZ$5,"ИТОГО перевод в ППД",$C114:BZ114)-SUMIF($C$5:BZ$5,"ИТОГО  нерент, по распоряж.",$C114:BZ114)-SUMIF($C$5:BZ$5,"ИТОГО ост. дебит от ЗБС, Углуб., ПВЛГ/ПНЛГ",$C114:BZ114)</f>
        <v>1505.2376666667001</v>
      </c>
      <c r="CB114" s="63"/>
      <c r="CC114" s="53">
        <v>12.108682690075</v>
      </c>
      <c r="CD114" s="63"/>
      <c r="CE114" s="53">
        <v>0.355333333333333</v>
      </c>
      <c r="CF114" s="53">
        <f>SUBTOTAL(9,CB114:CE114)</f>
        <v>12.464016023408332</v>
      </c>
      <c r="CG114" s="114" t="s">
        <v>2</v>
      </c>
      <c r="CH114" s="64">
        <f>CH$4+SUMIF($C$5:CF$5,"Нараст. по остановкам",$C114:CF114)-SUMIF($C$5:CF$5,"Нараст.  по потенциалу",$C114:CF114)</f>
        <v>832.52748657848804</v>
      </c>
      <c r="CI114" s="16"/>
    </row>
    <row r="115" spans="1:87" ht="1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>
        <v>1</v>
      </c>
      <c r="AC115" s="2"/>
      <c r="AD115" s="2"/>
      <c r="AE115" s="2"/>
      <c r="AF115" s="2"/>
      <c r="AG115" s="2">
        <v>1</v>
      </c>
      <c r="AH115" s="2"/>
      <c r="AI115" s="2">
        <v>1</v>
      </c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16"/>
    </row>
    <row r="116" spans="1:87" ht="11.25" customHeight="1" x14ac:dyDescent="0.25">
      <c r="A116" s="134">
        <v>45409</v>
      </c>
      <c r="B116" s="17" t="s">
        <v>46</v>
      </c>
      <c r="C116" s="24" t="s">
        <v>66</v>
      </c>
      <c r="D116" s="24" t="s">
        <v>154</v>
      </c>
      <c r="E116" s="24" t="s">
        <v>154</v>
      </c>
      <c r="F116" s="19">
        <v>1660</v>
      </c>
      <c r="G116" s="18"/>
      <c r="H116" s="18"/>
      <c r="I116" s="19">
        <v>0</v>
      </c>
      <c r="J116" s="24" t="s">
        <v>48</v>
      </c>
      <c r="K116" s="24" t="s">
        <v>50</v>
      </c>
      <c r="L116" s="24" t="s">
        <v>50</v>
      </c>
      <c r="M116" s="24" t="s">
        <v>155</v>
      </c>
      <c r="N116" s="19">
        <v>419</v>
      </c>
      <c r="O116" s="18"/>
      <c r="P116" s="19">
        <v>20</v>
      </c>
      <c r="Q116" s="19">
        <v>2099</v>
      </c>
      <c r="R116" s="20"/>
      <c r="S116" s="18"/>
      <c r="T116" s="21"/>
      <c r="U116" s="22"/>
      <c r="V116" s="18"/>
      <c r="W116" s="18"/>
      <c r="X116" s="18"/>
      <c r="Y116" s="18"/>
      <c r="Z116" s="21"/>
      <c r="AA116" s="22"/>
      <c r="AB116" s="24" t="s">
        <v>50</v>
      </c>
      <c r="AC116" s="24" t="s">
        <v>121</v>
      </c>
      <c r="AD116" s="18"/>
      <c r="AE116" s="21"/>
      <c r="AF116" s="22"/>
      <c r="AG116" s="18"/>
      <c r="AH116" s="23">
        <v>37.9</v>
      </c>
      <c r="AI116" s="24" t="s">
        <v>50</v>
      </c>
      <c r="AJ116" s="24" t="s">
        <v>61</v>
      </c>
      <c r="AK116" s="24"/>
      <c r="AL116" s="18"/>
      <c r="AM116" s="18"/>
      <c r="AN116" s="18"/>
      <c r="AO116" s="23">
        <v>484.27733333333299</v>
      </c>
      <c r="AP116" s="19">
        <v>522.17733333333297</v>
      </c>
      <c r="AQ116" s="20"/>
      <c r="AR116" s="25"/>
      <c r="AS116" s="26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27"/>
      <c r="BR116" s="28"/>
      <c r="BS116" s="18"/>
      <c r="BT116" s="18"/>
      <c r="BU116" s="18"/>
      <c r="BV116" s="18"/>
      <c r="BW116" s="27"/>
      <c r="BX116" s="27"/>
      <c r="BY116" s="29"/>
      <c r="BZ116" s="29"/>
      <c r="CA116" s="30"/>
      <c r="CB116" s="31"/>
      <c r="CC116" s="32"/>
      <c r="CD116" s="31"/>
      <c r="CE116" s="31"/>
      <c r="CF116" s="32"/>
      <c r="CG116" s="135">
        <f>CG$4+SUMIF($C$5:CF$5,"Нараст. баланс",$C118:CF118)+SUMIF($C$7:CD$7,"Итого (с ВНР)",$C118:CD118)-SUMIF($C$5:CF$5,"Геол. снижение,  т/сут",$C118:CF118)-SUMIF(CE$7:CF$7,"Итого",CE118:CF118)-SUMIF($C$7:CF$7,"Итого (с ВСП)",$C118:CF118)</f>
        <v>30723.60399323871</v>
      </c>
      <c r="CH116" s="33"/>
      <c r="CI116" s="16"/>
    </row>
    <row r="117" spans="1:87" ht="11.25" customHeight="1" x14ac:dyDescent="0.25">
      <c r="A117" s="114" t="s">
        <v>2</v>
      </c>
      <c r="B117" s="34" t="s">
        <v>47</v>
      </c>
      <c r="C117" s="41" t="s">
        <v>156</v>
      </c>
      <c r="D117" s="41" t="s">
        <v>157</v>
      </c>
      <c r="E117" s="41" t="s">
        <v>158</v>
      </c>
      <c r="F117" s="36">
        <v>3</v>
      </c>
      <c r="G117" s="35"/>
      <c r="H117" s="35"/>
      <c r="I117" s="36">
        <v>0</v>
      </c>
      <c r="J117" s="41" t="s">
        <v>159</v>
      </c>
      <c r="K117" s="41" t="s">
        <v>160</v>
      </c>
      <c r="L117" s="41" t="s">
        <v>161</v>
      </c>
      <c r="M117" s="41" t="s">
        <v>162</v>
      </c>
      <c r="N117" s="36">
        <v>4</v>
      </c>
      <c r="O117" s="35"/>
      <c r="P117" s="36">
        <v>0</v>
      </c>
      <c r="Q117" s="36">
        <v>7</v>
      </c>
      <c r="R117" s="37"/>
      <c r="S117" s="35"/>
      <c r="T117" s="38">
        <f>SUBTOTAL(9,S119:S119)</f>
        <v>0</v>
      </c>
      <c r="U117" s="39"/>
      <c r="V117" s="35"/>
      <c r="W117" s="35"/>
      <c r="X117" s="35"/>
      <c r="Y117" s="35"/>
      <c r="Z117" s="38">
        <f>SUBTOTAL(9,V119:Y119)</f>
        <v>0</v>
      </c>
      <c r="AA117" s="39"/>
      <c r="AB117" s="41" t="s">
        <v>163</v>
      </c>
      <c r="AC117" s="41" t="s">
        <v>164</v>
      </c>
      <c r="AD117" s="35"/>
      <c r="AE117" s="38">
        <f>SUBTOTAL(9,AB119:AD119)</f>
        <v>2</v>
      </c>
      <c r="AF117" s="39"/>
      <c r="AG117" s="35"/>
      <c r="AH117" s="40">
        <f>SUBTOTAL(9,AG119:AG119)</f>
        <v>0</v>
      </c>
      <c r="AI117" s="41" t="s">
        <v>133</v>
      </c>
      <c r="AJ117" s="41" t="s">
        <v>134</v>
      </c>
      <c r="AK117" s="41"/>
      <c r="AL117" s="35"/>
      <c r="AM117" s="35"/>
      <c r="AN117" s="35"/>
      <c r="AO117" s="40">
        <f>SUBTOTAL(9,AI119:AN119)</f>
        <v>2</v>
      </c>
      <c r="AP117" s="36">
        <f>SUBTOTAL(9,AG119:AN119)</f>
        <v>2</v>
      </c>
      <c r="AQ117" s="37"/>
      <c r="AR117" s="42"/>
      <c r="AS117" s="43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6">
        <f>SUBTOTAL(9,AS119:BP119)</f>
        <v>0</v>
      </c>
      <c r="BR117" s="44"/>
      <c r="BS117" s="35"/>
      <c r="BT117" s="35"/>
      <c r="BU117" s="35"/>
      <c r="BV117" s="35"/>
      <c r="BW117" s="36">
        <f>SUBTOTAL(3,BS117:BV117)</f>
        <v>0</v>
      </c>
      <c r="BX117" s="45"/>
      <c r="BY117" s="46"/>
      <c r="BZ117" s="46"/>
      <c r="CA117" s="47"/>
      <c r="CB117" s="48"/>
      <c r="CC117" s="49"/>
      <c r="CD117" s="48"/>
      <c r="CE117" s="48"/>
      <c r="CF117" s="49"/>
      <c r="CG117" s="114" t="s">
        <v>2</v>
      </c>
      <c r="CH117" s="50"/>
      <c r="CI117" s="16"/>
    </row>
    <row r="118" spans="1:87" ht="11.25" customHeight="1" x14ac:dyDescent="0.25">
      <c r="A118" s="114" t="s">
        <v>2</v>
      </c>
      <c r="B118" s="51" t="s">
        <v>44</v>
      </c>
      <c r="C118" s="58">
        <v>500</v>
      </c>
      <c r="D118" s="58">
        <v>40</v>
      </c>
      <c r="E118" s="58">
        <v>40</v>
      </c>
      <c r="F118" s="53">
        <f>SUBTOTAL(9,C118:E118)</f>
        <v>580</v>
      </c>
      <c r="G118" s="52"/>
      <c r="H118" s="52"/>
      <c r="I118" s="53">
        <f>SUBTOTAL(9,G118:H118)</f>
        <v>0</v>
      </c>
      <c r="J118" s="58">
        <v>22</v>
      </c>
      <c r="K118" s="58">
        <v>21</v>
      </c>
      <c r="L118" s="58">
        <v>22</v>
      </c>
      <c r="M118" s="58">
        <v>20</v>
      </c>
      <c r="N118" s="53">
        <f>SUBTOTAL(9,J118:M118)</f>
        <v>85</v>
      </c>
      <c r="O118" s="52"/>
      <c r="P118" s="53">
        <f>SUBTOTAL(9,O118:O118)</f>
        <v>0</v>
      </c>
      <c r="Q118" s="53">
        <f>SUBTOTAL(9,C118:O118)</f>
        <v>665</v>
      </c>
      <c r="R118" s="54">
        <v>2099</v>
      </c>
      <c r="S118" s="52"/>
      <c r="T118" s="55">
        <f>SUBTOTAL(9,S118:S118)</f>
        <v>0</v>
      </c>
      <c r="U118" s="56">
        <f>T118+IF($B114=2,0,U114)</f>
        <v>38</v>
      </c>
      <c r="V118" s="52"/>
      <c r="W118" s="52"/>
      <c r="X118" s="52"/>
      <c r="Y118" s="52"/>
      <c r="Z118" s="55">
        <f>SUBTOTAL(9,V118:Y118)</f>
        <v>0</v>
      </c>
      <c r="AA118" s="56">
        <f>Z118+IF($B114=2,0,AA114)</f>
        <v>32.6</v>
      </c>
      <c r="AB118" s="58">
        <v>5</v>
      </c>
      <c r="AC118" s="58">
        <v>7</v>
      </c>
      <c r="AD118" s="52"/>
      <c r="AE118" s="55">
        <f>SUBTOTAL(9,AB118:AD118)</f>
        <v>12</v>
      </c>
      <c r="AF118" s="56">
        <f>AE118+IF($B114=2,0,AF114)</f>
        <v>140.69999999999999</v>
      </c>
      <c r="AG118" s="52"/>
      <c r="AH118" s="57">
        <f>SUBTOTAL(9,AG118:AG118)</f>
        <v>0</v>
      </c>
      <c r="AI118" s="58">
        <v>3.5</v>
      </c>
      <c r="AJ118" s="58">
        <v>2.6</v>
      </c>
      <c r="AK118" s="58">
        <v>2</v>
      </c>
      <c r="AL118" s="52"/>
      <c r="AM118" s="52"/>
      <c r="AN118" s="52"/>
      <c r="AO118" s="57">
        <f>SUBTOTAL(9,AI118:AN118)</f>
        <v>8.1</v>
      </c>
      <c r="AP118" s="53">
        <f>SUBTOTAL(9,AG118:AN118)</f>
        <v>8.1</v>
      </c>
      <c r="AQ118" s="54">
        <f>AP118+IF($B114=2,0,AQ114)</f>
        <v>522.17733333333331</v>
      </c>
      <c r="AR118" s="59">
        <v>1296</v>
      </c>
      <c r="AS118" s="60">
        <v>13.8</v>
      </c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3">
        <f>SUBTOTAL(9,AS118:BP118)</f>
        <v>13.8</v>
      </c>
      <c r="BR118" s="57">
        <f>BQ118+IF($B114=2,0,BR114)</f>
        <v>655.93966666663334</v>
      </c>
      <c r="BS118" s="52"/>
      <c r="BT118" s="52"/>
      <c r="BU118" s="52"/>
      <c r="BV118" s="52"/>
      <c r="BW118" s="53">
        <f>SUBTOTAL(9,BS118:BV118)</f>
        <v>0</v>
      </c>
      <c r="BX118" s="53">
        <f>BW118+IF($B114=2,0,BX114)</f>
        <v>0</v>
      </c>
      <c r="BY118" s="61">
        <v>284.8</v>
      </c>
      <c r="BZ118" s="61">
        <v>284.8</v>
      </c>
      <c r="CA118" s="62">
        <f>SUMIF($C$5:BZ$5,"Накопленный эффект, т/сут",$C118:BZ118)+SUMIF($C$5:BZ$5,"Нараст.  по потенциалу",$C118:BZ118)-SUMIF($C$5:BZ$5,"Нараст. по остановкам",$C118:BZ118)-SUMIF($C$5:BZ$5,"ИТОГО перевод в ППД",$C118:BZ118)-SUMIF($C$5:BZ$5,"ИТОГО  нерент, по распоряж.",$C118:BZ118)-SUMIF($C$5:BZ$5,"ИТОГО ост. дебит от ЗБС, Углуб., ПВЛГ/ПНЛГ",$C118:BZ118)</f>
        <v>2176.5376666666998</v>
      </c>
      <c r="CB118" s="63"/>
      <c r="CC118" s="53">
        <v>0.15467342799188699</v>
      </c>
      <c r="CD118" s="63"/>
      <c r="CE118" s="63"/>
      <c r="CF118" s="53">
        <f>SUBTOTAL(9,CB118:CE118)</f>
        <v>0.15467342799188699</v>
      </c>
      <c r="CG118" s="114" t="s">
        <v>2</v>
      </c>
      <c r="CH118" s="64">
        <f>CH$4+SUMIF($C$5:CF$5,"Нараст. по остановкам",$C118:CF118)-SUMIF($C$5:CF$5,"Нараст.  по потенциалу",$C118:CF118)</f>
        <v>838.2274865784882</v>
      </c>
      <c r="CI118" s="16"/>
    </row>
    <row r="119" spans="1:87" ht="1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>
        <v>1</v>
      </c>
      <c r="AC119" s="2">
        <v>1</v>
      </c>
      <c r="AD119" s="2"/>
      <c r="AE119" s="2"/>
      <c r="AF119" s="2"/>
      <c r="AG119" s="2"/>
      <c r="AH119" s="2"/>
      <c r="AI119" s="2">
        <v>1</v>
      </c>
      <c r="AJ119" s="2">
        <v>1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16"/>
    </row>
    <row r="120" spans="1:87" ht="11.25" customHeight="1" x14ac:dyDescent="0.25">
      <c r="A120" s="134">
        <v>45410</v>
      </c>
      <c r="B120" s="17" t="s">
        <v>46</v>
      </c>
      <c r="C120" s="24" t="s">
        <v>154</v>
      </c>
      <c r="D120" s="18"/>
      <c r="E120" s="18"/>
      <c r="F120" s="19">
        <v>1700</v>
      </c>
      <c r="G120" s="18"/>
      <c r="H120" s="18"/>
      <c r="I120" s="19">
        <v>0</v>
      </c>
      <c r="J120" s="24" t="s">
        <v>48</v>
      </c>
      <c r="K120" s="18"/>
      <c r="L120" s="18"/>
      <c r="M120" s="18"/>
      <c r="N120" s="19">
        <v>439</v>
      </c>
      <c r="O120" s="18"/>
      <c r="P120" s="19">
        <v>20</v>
      </c>
      <c r="Q120" s="19">
        <v>2159</v>
      </c>
      <c r="R120" s="20"/>
      <c r="S120" s="18"/>
      <c r="T120" s="21"/>
      <c r="U120" s="22"/>
      <c r="V120" s="18"/>
      <c r="W120" s="18"/>
      <c r="X120" s="18"/>
      <c r="Y120" s="18"/>
      <c r="Z120" s="21"/>
      <c r="AA120" s="22"/>
      <c r="AB120" s="24" t="s">
        <v>61</v>
      </c>
      <c r="AC120" s="24" t="s">
        <v>71</v>
      </c>
      <c r="AD120" s="18"/>
      <c r="AE120" s="21"/>
      <c r="AF120" s="22"/>
      <c r="AG120" s="18"/>
      <c r="AH120" s="23">
        <v>37.9</v>
      </c>
      <c r="AI120" s="24"/>
      <c r="AJ120" s="18"/>
      <c r="AK120" s="18"/>
      <c r="AL120" s="18"/>
      <c r="AM120" s="18"/>
      <c r="AN120" s="18"/>
      <c r="AO120" s="23">
        <v>514.26533333333305</v>
      </c>
      <c r="AP120" s="19">
        <v>552.16533333333302</v>
      </c>
      <c r="AQ120" s="20"/>
      <c r="AR120" s="25"/>
      <c r="AS120" s="26" t="s">
        <v>51</v>
      </c>
      <c r="AT120" s="26" t="s">
        <v>61</v>
      </c>
      <c r="AU120" s="26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27"/>
      <c r="BR120" s="28"/>
      <c r="BS120" s="18"/>
      <c r="BT120" s="18"/>
      <c r="BU120" s="18"/>
      <c r="BV120" s="18"/>
      <c r="BW120" s="27"/>
      <c r="BX120" s="27"/>
      <c r="BY120" s="29"/>
      <c r="BZ120" s="29"/>
      <c r="CA120" s="30"/>
      <c r="CB120" s="31"/>
      <c r="CC120" s="32"/>
      <c r="CD120" s="31"/>
      <c r="CE120" s="31"/>
      <c r="CF120" s="32"/>
      <c r="CG120" s="135">
        <f>CG$4+SUMIF($C$5:CF$5,"Нараст. баланс",$C122:CF122)+SUMIF($C$7:CD$7,"Итого (с ВНР)",$C122:CD122)-SUMIF($C$5:CF$5,"Геол. снижение,  т/сут",$C122:CF122)-SUMIF(CE$7:CF$7,"Итого",CE122:CF122)-SUMIF($C$7:CF$7,"Итого (с ВСП)",$C122:CF122)</f>
        <v>30747.004438172076</v>
      </c>
      <c r="CH120" s="33"/>
      <c r="CI120" s="16"/>
    </row>
    <row r="121" spans="1:87" ht="11.25" customHeight="1" x14ac:dyDescent="0.25">
      <c r="A121" s="114" t="s">
        <v>2</v>
      </c>
      <c r="B121" s="34" t="s">
        <v>47</v>
      </c>
      <c r="C121" s="41" t="s">
        <v>165</v>
      </c>
      <c r="D121" s="35"/>
      <c r="E121" s="35"/>
      <c r="F121" s="36">
        <v>1</v>
      </c>
      <c r="G121" s="35"/>
      <c r="H121" s="35"/>
      <c r="I121" s="36">
        <v>0</v>
      </c>
      <c r="J121" s="41" t="s">
        <v>166</v>
      </c>
      <c r="K121" s="35"/>
      <c r="L121" s="35"/>
      <c r="M121" s="35"/>
      <c r="N121" s="36">
        <v>1</v>
      </c>
      <c r="O121" s="35"/>
      <c r="P121" s="36">
        <v>0</v>
      </c>
      <c r="Q121" s="36">
        <v>2</v>
      </c>
      <c r="R121" s="37"/>
      <c r="S121" s="35"/>
      <c r="T121" s="38">
        <f>SUBTOTAL(9,S123:S123)</f>
        <v>0</v>
      </c>
      <c r="U121" s="39"/>
      <c r="V121" s="35"/>
      <c r="W121" s="35"/>
      <c r="X121" s="35"/>
      <c r="Y121" s="35"/>
      <c r="Z121" s="38">
        <f>SUBTOTAL(9,V123:Y123)</f>
        <v>0</v>
      </c>
      <c r="AA121" s="39"/>
      <c r="AB121" s="41" t="s">
        <v>167</v>
      </c>
      <c r="AC121" s="41" t="s">
        <v>168</v>
      </c>
      <c r="AD121" s="35"/>
      <c r="AE121" s="38">
        <f>SUBTOTAL(9,AB123:AD123)</f>
        <v>2</v>
      </c>
      <c r="AF121" s="39"/>
      <c r="AG121" s="35"/>
      <c r="AH121" s="40">
        <f>SUBTOTAL(9,AG123:AG123)</f>
        <v>0</v>
      </c>
      <c r="AI121" s="41"/>
      <c r="AJ121" s="35"/>
      <c r="AK121" s="35"/>
      <c r="AL121" s="35"/>
      <c r="AM121" s="35"/>
      <c r="AN121" s="35"/>
      <c r="AO121" s="40">
        <f>SUBTOTAL(9,AI123:AN123)</f>
        <v>0</v>
      </c>
      <c r="AP121" s="36">
        <f>SUBTOTAL(9,AG123:AN123)</f>
        <v>0</v>
      </c>
      <c r="AQ121" s="37"/>
      <c r="AR121" s="42"/>
      <c r="AS121" s="43" t="s">
        <v>169</v>
      </c>
      <c r="AT121" s="43" t="s">
        <v>170</v>
      </c>
      <c r="AU121" s="43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6">
        <f>SUBTOTAL(9,AS123:BP123)</f>
        <v>2</v>
      </c>
      <c r="BR121" s="44"/>
      <c r="BS121" s="35"/>
      <c r="BT121" s="35"/>
      <c r="BU121" s="35"/>
      <c r="BV121" s="35"/>
      <c r="BW121" s="36">
        <f>SUBTOTAL(3,BS121:BV121)</f>
        <v>0</v>
      </c>
      <c r="BX121" s="45"/>
      <c r="BY121" s="46"/>
      <c r="BZ121" s="46"/>
      <c r="CA121" s="47"/>
      <c r="CB121" s="48"/>
      <c r="CC121" s="49"/>
      <c r="CD121" s="48"/>
      <c r="CE121" s="48"/>
      <c r="CF121" s="49"/>
      <c r="CG121" s="114" t="s">
        <v>2</v>
      </c>
      <c r="CH121" s="50"/>
      <c r="CI121" s="16"/>
    </row>
    <row r="122" spans="1:87" ht="11.25" customHeight="1" x14ac:dyDescent="0.25">
      <c r="A122" s="114" t="s">
        <v>2</v>
      </c>
      <c r="B122" s="51" t="s">
        <v>44</v>
      </c>
      <c r="C122" s="58">
        <v>40</v>
      </c>
      <c r="D122" s="52"/>
      <c r="E122" s="52"/>
      <c r="F122" s="53">
        <f>SUBTOTAL(9,C122:E122)</f>
        <v>40</v>
      </c>
      <c r="G122" s="52"/>
      <c r="H122" s="52"/>
      <c r="I122" s="53">
        <f>SUBTOTAL(9,G122:H122)</f>
        <v>0</v>
      </c>
      <c r="J122" s="58">
        <v>20</v>
      </c>
      <c r="K122" s="52"/>
      <c r="L122" s="52"/>
      <c r="M122" s="52"/>
      <c r="N122" s="53">
        <f>SUBTOTAL(9,J122:M122)</f>
        <v>20</v>
      </c>
      <c r="O122" s="52"/>
      <c r="P122" s="53">
        <f>SUBTOTAL(9,O122:O122)</f>
        <v>0</v>
      </c>
      <c r="Q122" s="53">
        <f>SUBTOTAL(9,C122:O122)</f>
        <v>60</v>
      </c>
      <c r="R122" s="54">
        <v>2159</v>
      </c>
      <c r="S122" s="52"/>
      <c r="T122" s="55">
        <f>SUBTOTAL(9,S122:S122)</f>
        <v>0</v>
      </c>
      <c r="U122" s="56">
        <f>T122+IF($B118=2,0,U118)</f>
        <v>38</v>
      </c>
      <c r="V122" s="52"/>
      <c r="W122" s="52"/>
      <c r="X122" s="52"/>
      <c r="Y122" s="52"/>
      <c r="Z122" s="55">
        <f>SUBTOTAL(9,V122:Y122)</f>
        <v>0</v>
      </c>
      <c r="AA122" s="56">
        <f>Z122+IF($B118=2,0,AA118)</f>
        <v>32.6</v>
      </c>
      <c r="AB122" s="58">
        <v>3</v>
      </c>
      <c r="AC122" s="58">
        <v>3</v>
      </c>
      <c r="AD122" s="52"/>
      <c r="AE122" s="55">
        <f>SUBTOTAL(9,AB122:AD122)</f>
        <v>6</v>
      </c>
      <c r="AF122" s="56">
        <f>AE122+IF($B118=2,0,AF118)</f>
        <v>146.69999999999999</v>
      </c>
      <c r="AG122" s="52"/>
      <c r="AH122" s="57">
        <f>SUBTOTAL(9,AG122:AG122)</f>
        <v>0</v>
      </c>
      <c r="AI122" s="58">
        <v>29.988</v>
      </c>
      <c r="AJ122" s="52"/>
      <c r="AK122" s="52"/>
      <c r="AL122" s="52"/>
      <c r="AM122" s="52"/>
      <c r="AN122" s="52"/>
      <c r="AO122" s="57">
        <f>SUBTOTAL(9,AI122:AN122)</f>
        <v>29.988</v>
      </c>
      <c r="AP122" s="53">
        <f>SUBTOTAL(9,AG122:AN122)</f>
        <v>29.988</v>
      </c>
      <c r="AQ122" s="54">
        <f>AP122+IF($B118=2,0,AQ118)</f>
        <v>552.16533333333336</v>
      </c>
      <c r="AR122" s="59">
        <v>1344</v>
      </c>
      <c r="AS122" s="60">
        <v>9.1</v>
      </c>
      <c r="AT122" s="60">
        <v>4.5999999999999996</v>
      </c>
      <c r="AU122" s="60">
        <v>24</v>
      </c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3">
        <f>SUBTOTAL(9,AS122:BP122)</f>
        <v>37.700000000000003</v>
      </c>
      <c r="BR122" s="57">
        <f>BQ122+IF($B118=2,0,BR118)</f>
        <v>693.63966666663339</v>
      </c>
      <c r="BS122" s="52"/>
      <c r="BT122" s="52"/>
      <c r="BU122" s="52"/>
      <c r="BV122" s="52"/>
      <c r="BW122" s="53">
        <f>SUBTOTAL(9,BS122:BV122)</f>
        <v>0</v>
      </c>
      <c r="BX122" s="53">
        <f>BW122+IF($B118=2,0,BX118)</f>
        <v>0</v>
      </c>
      <c r="BY122" s="61">
        <v>271.2</v>
      </c>
      <c r="BZ122" s="61">
        <v>271.2</v>
      </c>
      <c r="CA122" s="62">
        <f>SUMIF($C$5:BZ$5,"Накопленный эффект, т/сут",$C122:BZ122)+SUMIF($C$5:BZ$5,"Нараст.  по потенциалу",$C122:BZ122)-SUMIF($C$5:BZ$5,"Нараст. по остановкам",$C122:BZ122)-SUMIF($C$5:BZ$5,"ИТОГО перевод в ППД",$C122:BZ122)-SUMIF($C$5:BZ$5,"ИТОГО  нерент, по распоряж.",$C122:BZ122)-SUMIF($C$5:BZ$5,"ИТОГО ост. дебит от ЗБС, Углуб., ПВЛГ/ПНЛГ",$C122:BZ122)</f>
        <v>2234.8256666666998</v>
      </c>
      <c r="CB122" s="63"/>
      <c r="CC122" s="53">
        <v>0.64222849462365705</v>
      </c>
      <c r="CD122" s="63"/>
      <c r="CE122" s="63"/>
      <c r="CF122" s="53">
        <f>SUBTOTAL(9,CB122:CE122)</f>
        <v>0.64222849462365705</v>
      </c>
      <c r="CG122" s="114" t="s">
        <v>2</v>
      </c>
      <c r="CH122" s="64">
        <f>CH$4+SUMIF($C$5:CF$5,"Нараст. по остановкам",$C122:CF122)-SUMIF($C$5:CF$5,"Нараст.  по потенциалу",$C122:CF122)</f>
        <v>845.93948657848796</v>
      </c>
      <c r="CI122" s="16"/>
    </row>
    <row r="123" spans="1:87" ht="1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>
        <v>1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>
        <v>1</v>
      </c>
      <c r="AT123" s="2">
        <v>1</v>
      </c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16"/>
    </row>
    <row r="124" spans="1:87" ht="11.25" customHeight="1" x14ac:dyDescent="0.25">
      <c r="A124" s="134">
        <v>45411</v>
      </c>
      <c r="B124" s="17" t="s">
        <v>46</v>
      </c>
      <c r="C124" s="24" t="s">
        <v>50</v>
      </c>
      <c r="D124" s="18"/>
      <c r="E124" s="18"/>
      <c r="F124" s="19">
        <v>1730</v>
      </c>
      <c r="G124" s="18"/>
      <c r="H124" s="18"/>
      <c r="I124" s="19">
        <v>0</v>
      </c>
      <c r="J124" s="18"/>
      <c r="K124" s="18"/>
      <c r="L124" s="18"/>
      <c r="M124" s="18"/>
      <c r="N124" s="19">
        <v>439</v>
      </c>
      <c r="O124" s="18"/>
      <c r="P124" s="19">
        <v>20</v>
      </c>
      <c r="Q124" s="19">
        <v>2189</v>
      </c>
      <c r="R124" s="20"/>
      <c r="S124" s="24" t="s">
        <v>49</v>
      </c>
      <c r="T124" s="21"/>
      <c r="U124" s="22"/>
      <c r="V124" s="24" t="s">
        <v>121</v>
      </c>
      <c r="W124" s="24" t="s">
        <v>51</v>
      </c>
      <c r="X124" s="18"/>
      <c r="Y124" s="18"/>
      <c r="Z124" s="21"/>
      <c r="AA124" s="22"/>
      <c r="AB124" s="24" t="s">
        <v>61</v>
      </c>
      <c r="AC124" s="18"/>
      <c r="AD124" s="18"/>
      <c r="AE124" s="21"/>
      <c r="AF124" s="22"/>
      <c r="AG124" s="24" t="s">
        <v>49</v>
      </c>
      <c r="AH124" s="23">
        <v>74.3</v>
      </c>
      <c r="AI124" s="24" t="s">
        <v>71</v>
      </c>
      <c r="AJ124" s="24" t="s">
        <v>61</v>
      </c>
      <c r="AK124" s="18"/>
      <c r="AL124" s="18"/>
      <c r="AM124" s="18"/>
      <c r="AN124" s="18"/>
      <c r="AO124" s="23">
        <v>523.16533333333302</v>
      </c>
      <c r="AP124" s="19">
        <v>597.46533333333298</v>
      </c>
      <c r="AQ124" s="20"/>
      <c r="AR124" s="25"/>
      <c r="AS124" s="26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27"/>
      <c r="BR124" s="28"/>
      <c r="BS124" s="18"/>
      <c r="BT124" s="18"/>
      <c r="BU124" s="18"/>
      <c r="BV124" s="18"/>
      <c r="BW124" s="27"/>
      <c r="BX124" s="27"/>
      <c r="BY124" s="29"/>
      <c r="BZ124" s="29"/>
      <c r="CA124" s="30"/>
      <c r="CB124" s="31"/>
      <c r="CC124" s="32"/>
      <c r="CD124" s="31"/>
      <c r="CE124" s="31"/>
      <c r="CF124" s="32"/>
      <c r="CG124" s="135">
        <f>CG$4+SUMIF($C$5:CF$5,"Нараст. баланс",$C126:CF126)+SUMIF($C$7:CD$7,"Итого (с ВНР)",$C126:CD126)-SUMIF($C$5:CF$5,"Геол. снижение,  т/сут",$C126:CF126)-SUMIF(CE$7:CF$7,"Итого",CE126:CF126)-SUMIF($C$7:CF$7,"Итого (с ВСП)",$C126:CF126)</f>
        <v>30769.321453161254</v>
      </c>
      <c r="CH124" s="33"/>
      <c r="CI124" s="16"/>
    </row>
    <row r="125" spans="1:87" ht="11.25" customHeight="1" x14ac:dyDescent="0.25">
      <c r="A125" s="114" t="s">
        <v>2</v>
      </c>
      <c r="B125" s="34" t="s">
        <v>47</v>
      </c>
      <c r="C125" s="41" t="s">
        <v>171</v>
      </c>
      <c r="D125" s="35"/>
      <c r="E125" s="35"/>
      <c r="F125" s="36">
        <v>1</v>
      </c>
      <c r="G125" s="35"/>
      <c r="H125" s="35"/>
      <c r="I125" s="36">
        <v>0</v>
      </c>
      <c r="J125" s="35"/>
      <c r="K125" s="35"/>
      <c r="L125" s="35"/>
      <c r="M125" s="35"/>
      <c r="N125" s="36">
        <v>0</v>
      </c>
      <c r="O125" s="35"/>
      <c r="P125" s="36">
        <v>0</v>
      </c>
      <c r="Q125" s="36">
        <v>1</v>
      </c>
      <c r="R125" s="37"/>
      <c r="S125" s="41" t="s">
        <v>147</v>
      </c>
      <c r="T125" s="38">
        <f>SUBTOTAL(9,S127:S127)</f>
        <v>1</v>
      </c>
      <c r="U125" s="39"/>
      <c r="V125" s="41"/>
      <c r="W125" s="41"/>
      <c r="X125" s="35"/>
      <c r="Y125" s="35"/>
      <c r="Z125" s="38">
        <f>SUBTOTAL(9,V127:Y127)</f>
        <v>0</v>
      </c>
      <c r="AA125" s="39"/>
      <c r="AB125" s="41" t="s">
        <v>172</v>
      </c>
      <c r="AC125" s="35"/>
      <c r="AD125" s="35"/>
      <c r="AE125" s="38">
        <f>SUBTOTAL(9,AB127:AD127)</f>
        <v>1</v>
      </c>
      <c r="AF125" s="39"/>
      <c r="AG125" s="41" t="s">
        <v>147</v>
      </c>
      <c r="AH125" s="40">
        <f>SUBTOTAL(9,AG127:AG127)</f>
        <v>1</v>
      </c>
      <c r="AI125" s="41" t="s">
        <v>142</v>
      </c>
      <c r="AJ125" s="41" t="s">
        <v>143</v>
      </c>
      <c r="AK125" s="35"/>
      <c r="AL125" s="35"/>
      <c r="AM125" s="35"/>
      <c r="AN125" s="35"/>
      <c r="AO125" s="40">
        <f>SUBTOTAL(9,AI127:AN127)</f>
        <v>2</v>
      </c>
      <c r="AP125" s="36">
        <f>SUBTOTAL(9,AG127:AN127)</f>
        <v>3</v>
      </c>
      <c r="AQ125" s="37"/>
      <c r="AR125" s="42"/>
      <c r="AS125" s="43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6">
        <f>SUBTOTAL(9,AS127:BP127)</f>
        <v>0</v>
      </c>
      <c r="BR125" s="44"/>
      <c r="BS125" s="35"/>
      <c r="BT125" s="35"/>
      <c r="BU125" s="35"/>
      <c r="BV125" s="35"/>
      <c r="BW125" s="36">
        <f>SUBTOTAL(3,BS125:BV125)</f>
        <v>0</v>
      </c>
      <c r="BX125" s="45"/>
      <c r="BY125" s="46"/>
      <c r="BZ125" s="46"/>
      <c r="CA125" s="47"/>
      <c r="CB125" s="48"/>
      <c r="CC125" s="49"/>
      <c r="CD125" s="48"/>
      <c r="CE125" s="48"/>
      <c r="CF125" s="49"/>
      <c r="CG125" s="114" t="s">
        <v>2</v>
      </c>
      <c r="CH125" s="50"/>
      <c r="CI125" s="16"/>
    </row>
    <row r="126" spans="1:87" ht="11.25" customHeight="1" x14ac:dyDescent="0.25">
      <c r="A126" s="114" t="s">
        <v>2</v>
      </c>
      <c r="B126" s="51" t="s">
        <v>44</v>
      </c>
      <c r="C126" s="58">
        <v>30</v>
      </c>
      <c r="D126" s="52"/>
      <c r="E126" s="52"/>
      <c r="F126" s="53">
        <f>SUBTOTAL(9,C126:E126)</f>
        <v>30</v>
      </c>
      <c r="G126" s="52"/>
      <c r="H126" s="52"/>
      <c r="I126" s="53">
        <f>SUBTOTAL(9,G126:H126)</f>
        <v>0</v>
      </c>
      <c r="J126" s="52"/>
      <c r="K126" s="52"/>
      <c r="L126" s="52"/>
      <c r="M126" s="52"/>
      <c r="N126" s="53">
        <f>SUBTOTAL(9,J126:M126)</f>
        <v>0</v>
      </c>
      <c r="O126" s="52"/>
      <c r="P126" s="53">
        <f>SUBTOTAL(9,O126:O126)</f>
        <v>0</v>
      </c>
      <c r="Q126" s="53">
        <f>SUBTOTAL(9,C126:O126)</f>
        <v>30</v>
      </c>
      <c r="R126" s="54">
        <v>2189</v>
      </c>
      <c r="S126" s="58">
        <v>22</v>
      </c>
      <c r="T126" s="55">
        <f>SUBTOTAL(9,S126:S126)</f>
        <v>22</v>
      </c>
      <c r="U126" s="56">
        <f>T126+IF($B122=2,0,U122)</f>
        <v>60</v>
      </c>
      <c r="V126" s="58">
        <v>0.8</v>
      </c>
      <c r="W126" s="58">
        <v>5</v>
      </c>
      <c r="X126" s="52"/>
      <c r="Y126" s="52"/>
      <c r="Z126" s="55">
        <f>SUBTOTAL(9,V126:Y126)</f>
        <v>5.8</v>
      </c>
      <c r="AA126" s="56">
        <f>Z126+IF($B122=2,0,AA122)</f>
        <v>38.4</v>
      </c>
      <c r="AB126" s="58">
        <v>6</v>
      </c>
      <c r="AC126" s="52"/>
      <c r="AD126" s="52"/>
      <c r="AE126" s="55">
        <f>SUBTOTAL(9,AB126:AD126)</f>
        <v>6</v>
      </c>
      <c r="AF126" s="56">
        <f>AE126+IF($B122=2,0,AF122)</f>
        <v>152.69999999999999</v>
      </c>
      <c r="AG126" s="58">
        <v>36.4</v>
      </c>
      <c r="AH126" s="57">
        <f>SUBTOTAL(9,AG126:AG126)</f>
        <v>36.4</v>
      </c>
      <c r="AI126" s="58">
        <v>7.4</v>
      </c>
      <c r="AJ126" s="58">
        <v>1.5</v>
      </c>
      <c r="AK126" s="52"/>
      <c r="AL126" s="52"/>
      <c r="AM126" s="52"/>
      <c r="AN126" s="52"/>
      <c r="AO126" s="57">
        <f>SUBTOTAL(9,AI126:AN126)</f>
        <v>8.9</v>
      </c>
      <c r="AP126" s="53">
        <f>SUBTOTAL(9,AG126:AN126)</f>
        <v>45.3</v>
      </c>
      <c r="AQ126" s="54">
        <f>AP126+IF($B122=2,0,AQ122)</f>
        <v>597.46533333333332</v>
      </c>
      <c r="AR126" s="59">
        <v>1392</v>
      </c>
      <c r="AS126" s="60">
        <v>43.7</v>
      </c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3">
        <f>SUBTOTAL(9,AS126:BP126)</f>
        <v>43.7</v>
      </c>
      <c r="BR126" s="57">
        <f>BQ126+IF($B122=2,0,BR122)</f>
        <v>737.33966666663343</v>
      </c>
      <c r="BS126" s="52"/>
      <c r="BT126" s="52"/>
      <c r="BU126" s="52"/>
      <c r="BV126" s="52"/>
      <c r="BW126" s="53">
        <f>SUBTOTAL(9,BS126:BV126)</f>
        <v>0</v>
      </c>
      <c r="BX126" s="53">
        <f>BW126+IF($B122=2,0,BX122)</f>
        <v>0</v>
      </c>
      <c r="BY126" s="61">
        <v>257.60000000000002</v>
      </c>
      <c r="BZ126" s="61">
        <v>257.60000000000002</v>
      </c>
      <c r="CA126" s="62">
        <f>SUMIF($C$5:BZ$5,"Накопленный эффект, т/сут",$C126:BZ126)+SUMIF($C$5:BZ$5,"Нараст.  по потенциалу",$C126:BZ126)-SUMIF($C$5:BZ$5,"Нараст. по остановкам",$C126:BZ126)-SUMIF($C$5:BZ$5,"ИТОГО перевод в ППД",$C126:BZ126)-SUMIF($C$5:BZ$5,"ИТОГО  нерент, по распоряж.",$C126:BZ126)-SUMIF($C$5:BZ$5,"ИТОГО ост. дебит от ЗБС, Углуб., ПВЛГ/ПНЛГ",$C126:BZ126)</f>
        <v>2300.2256666666995</v>
      </c>
      <c r="CB126" s="63"/>
      <c r="CC126" s="53">
        <v>9.32521350544725</v>
      </c>
      <c r="CD126" s="63"/>
      <c r="CE126" s="63"/>
      <c r="CF126" s="53">
        <f>SUBTOTAL(9,CB126:CE126)</f>
        <v>9.32521350544725</v>
      </c>
      <c r="CG126" s="114" t="s">
        <v>2</v>
      </c>
      <c r="CH126" s="64">
        <f>CH$4+SUMIF($C$5:CF$5,"Нараст. по остановкам",$C126:CF126)-SUMIF($C$5:CF$5,"Нараст.  по потенциалу",$C126:CF126)</f>
        <v>844.33948657848828</v>
      </c>
      <c r="CI126" s="16"/>
    </row>
    <row r="127" spans="1:87" ht="1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>
        <v>1</v>
      </c>
      <c r="T127" s="2"/>
      <c r="U127" s="2"/>
      <c r="V127" s="2"/>
      <c r="W127" s="2"/>
      <c r="X127" s="2"/>
      <c r="Y127" s="2"/>
      <c r="Z127" s="2"/>
      <c r="AA127" s="2"/>
      <c r="AB127" s="2">
        <v>1</v>
      </c>
      <c r="AC127" s="2"/>
      <c r="AD127" s="2"/>
      <c r="AE127" s="2"/>
      <c r="AF127" s="2"/>
      <c r="AG127" s="2">
        <v>1</v>
      </c>
      <c r="AH127" s="2"/>
      <c r="AI127" s="2">
        <v>1</v>
      </c>
      <c r="AJ127" s="2">
        <v>1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16"/>
    </row>
    <row r="128" spans="1:87" ht="11.25" customHeight="1" x14ac:dyDescent="0.25">
      <c r="A128" s="134">
        <v>45412</v>
      </c>
      <c r="B128" s="17" t="s">
        <v>46</v>
      </c>
      <c r="C128" s="24" t="s">
        <v>173</v>
      </c>
      <c r="D128" s="24" t="s">
        <v>84</v>
      </c>
      <c r="E128" s="18"/>
      <c r="F128" s="19">
        <v>1810</v>
      </c>
      <c r="G128" s="24" t="s">
        <v>155</v>
      </c>
      <c r="H128" s="24" t="s">
        <v>50</v>
      </c>
      <c r="I128" s="19">
        <v>12</v>
      </c>
      <c r="J128" s="24" t="s">
        <v>50</v>
      </c>
      <c r="K128" s="24" t="s">
        <v>50</v>
      </c>
      <c r="L128" s="24" t="s">
        <v>50</v>
      </c>
      <c r="M128" s="18"/>
      <c r="N128" s="19">
        <v>500</v>
      </c>
      <c r="O128" s="18"/>
      <c r="P128" s="19">
        <v>20</v>
      </c>
      <c r="Q128" s="19">
        <v>2342</v>
      </c>
      <c r="R128" s="20"/>
      <c r="S128" s="18"/>
      <c r="T128" s="21"/>
      <c r="U128" s="22"/>
      <c r="V128" s="24" t="s">
        <v>66</v>
      </c>
      <c r="W128" s="24" t="s">
        <v>51</v>
      </c>
      <c r="X128" s="18"/>
      <c r="Y128" s="18"/>
      <c r="Z128" s="21"/>
      <c r="AA128" s="22"/>
      <c r="AB128" s="24" t="s">
        <v>71</v>
      </c>
      <c r="AC128" s="24" t="s">
        <v>48</v>
      </c>
      <c r="AD128" s="18"/>
      <c r="AE128" s="21"/>
      <c r="AF128" s="22"/>
      <c r="AG128" s="24" t="s">
        <v>155</v>
      </c>
      <c r="AH128" s="23">
        <v>79.400000000000006</v>
      </c>
      <c r="AI128" s="24" t="s">
        <v>174</v>
      </c>
      <c r="AJ128" s="24" t="s">
        <v>50</v>
      </c>
      <c r="AK128" s="24" t="s">
        <v>100</v>
      </c>
      <c r="AL128" s="24" t="s">
        <v>100</v>
      </c>
      <c r="AM128" s="24" t="s">
        <v>48</v>
      </c>
      <c r="AN128" s="24"/>
      <c r="AO128" s="23">
        <v>599.76533333333305</v>
      </c>
      <c r="AP128" s="19">
        <v>679.16533333333302</v>
      </c>
      <c r="AQ128" s="20"/>
      <c r="AR128" s="25"/>
      <c r="AS128" s="26" t="s">
        <v>174</v>
      </c>
      <c r="AT128" s="26" t="s">
        <v>100</v>
      </c>
      <c r="AU128" s="26" t="s">
        <v>70</v>
      </c>
      <c r="AV128" s="26" t="s">
        <v>175</v>
      </c>
      <c r="AW128" s="26" t="s">
        <v>100</v>
      </c>
      <c r="AX128" s="26" t="s">
        <v>50</v>
      </c>
      <c r="AY128" s="26" t="s">
        <v>50</v>
      </c>
      <c r="AZ128" s="26" t="s">
        <v>49</v>
      </c>
      <c r="BA128" s="26" t="s">
        <v>50</v>
      </c>
      <c r="BB128" s="26" t="s">
        <v>50</v>
      </c>
      <c r="BC128" s="26" t="s">
        <v>50</v>
      </c>
      <c r="BD128" s="26" t="s">
        <v>71</v>
      </c>
      <c r="BE128" s="26" t="s">
        <v>176</v>
      </c>
      <c r="BF128" s="26" t="s">
        <v>49</v>
      </c>
      <c r="BG128" s="26" t="s">
        <v>48</v>
      </c>
      <c r="BH128" s="26" t="s">
        <v>58</v>
      </c>
      <c r="BI128" s="26" t="s">
        <v>50</v>
      </c>
      <c r="BJ128" s="26" t="s">
        <v>50</v>
      </c>
      <c r="BK128" s="26" t="s">
        <v>49</v>
      </c>
      <c r="BL128" s="26" t="s">
        <v>50</v>
      </c>
      <c r="BM128" s="26" t="s">
        <v>50</v>
      </c>
      <c r="BN128" s="26" t="s">
        <v>50</v>
      </c>
      <c r="BO128" s="26" t="s">
        <v>50</v>
      </c>
      <c r="BP128" s="26"/>
      <c r="BQ128" s="27"/>
      <c r="BR128" s="28"/>
      <c r="BS128" s="26" t="s">
        <v>174</v>
      </c>
      <c r="BT128" s="26" t="s">
        <v>100</v>
      </c>
      <c r="BU128" s="26" t="s">
        <v>100</v>
      </c>
      <c r="BV128" s="26" t="s">
        <v>48</v>
      </c>
      <c r="BW128" s="27"/>
      <c r="BX128" s="27"/>
      <c r="BY128" s="29"/>
      <c r="BZ128" s="29"/>
      <c r="CA128" s="30"/>
      <c r="CB128" s="31"/>
      <c r="CC128" s="31"/>
      <c r="CD128" s="31"/>
      <c r="CE128" s="31"/>
      <c r="CF128" s="32"/>
      <c r="CG128" s="135">
        <f>CG$4+SUMIF($C$5:CF$5,"Нараст. баланс",$C130:CF130)+SUMIF($C$7:CD$7,"Итого (с ВНР)",$C130:CD130)-SUMIF($C$5:CF$5,"Геол. снижение,  т/сут",$C130:CF130)-SUMIF(CE$7:CF$7,"Итого",CE130:CF130)-SUMIF($C$7:CF$7,"Итого (с ВСП)",$C130:CF130)</f>
        <v>30880.658666666699</v>
      </c>
      <c r="CH128" s="33"/>
      <c r="CI128" s="16"/>
    </row>
    <row r="129" spans="1:87" ht="11.25" customHeight="1" x14ac:dyDescent="0.25">
      <c r="A129" s="114" t="s">
        <v>2</v>
      </c>
      <c r="B129" s="34" t="s">
        <v>47</v>
      </c>
      <c r="C129" s="41" t="s">
        <v>177</v>
      </c>
      <c r="D129" s="41" t="s">
        <v>178</v>
      </c>
      <c r="E129" s="35"/>
      <c r="F129" s="36">
        <v>2</v>
      </c>
      <c r="G129" s="41" t="s">
        <v>179</v>
      </c>
      <c r="H129" s="41" t="s">
        <v>180</v>
      </c>
      <c r="I129" s="36">
        <v>2</v>
      </c>
      <c r="J129" s="41" t="s">
        <v>181</v>
      </c>
      <c r="K129" s="41" t="s">
        <v>182</v>
      </c>
      <c r="L129" s="41" t="s">
        <v>183</v>
      </c>
      <c r="M129" s="35"/>
      <c r="N129" s="36">
        <v>3</v>
      </c>
      <c r="O129" s="35"/>
      <c r="P129" s="36">
        <v>0</v>
      </c>
      <c r="Q129" s="36">
        <v>7</v>
      </c>
      <c r="R129" s="37"/>
      <c r="S129" s="35"/>
      <c r="T129" s="38">
        <f>SUBTOTAL(9,S131:S131)</f>
        <v>0</v>
      </c>
      <c r="U129" s="39"/>
      <c r="V129" s="41"/>
      <c r="W129" s="41"/>
      <c r="X129" s="35"/>
      <c r="Y129" s="35"/>
      <c r="Z129" s="38">
        <f>SUBTOTAL(9,V131:Y131)</f>
        <v>0</v>
      </c>
      <c r="AA129" s="39"/>
      <c r="AB129" s="41" t="s">
        <v>184</v>
      </c>
      <c r="AC129" s="41" t="s">
        <v>185</v>
      </c>
      <c r="AD129" s="35"/>
      <c r="AE129" s="38">
        <f>SUBTOTAL(9,AB131:AD131)</f>
        <v>2</v>
      </c>
      <c r="AF129" s="39"/>
      <c r="AG129" s="41" t="s">
        <v>179</v>
      </c>
      <c r="AH129" s="40">
        <f>SUBTOTAL(9,AG131:AG131)</f>
        <v>1</v>
      </c>
      <c r="AI129" s="41" t="s">
        <v>186</v>
      </c>
      <c r="AJ129" s="41" t="s">
        <v>146</v>
      </c>
      <c r="AK129" s="41" t="s">
        <v>187</v>
      </c>
      <c r="AL129" s="41" t="s">
        <v>188</v>
      </c>
      <c r="AM129" s="41" t="s">
        <v>189</v>
      </c>
      <c r="AN129" s="41"/>
      <c r="AO129" s="40">
        <f>SUBTOTAL(9,AI131:AN131)</f>
        <v>5</v>
      </c>
      <c r="AP129" s="36">
        <f>SUBTOTAL(9,AG131:AN131)</f>
        <v>6</v>
      </c>
      <c r="AQ129" s="37"/>
      <c r="AR129" s="42"/>
      <c r="AS129" s="43" t="s">
        <v>186</v>
      </c>
      <c r="AT129" s="43" t="s">
        <v>187</v>
      </c>
      <c r="AU129" s="43" t="s">
        <v>190</v>
      </c>
      <c r="AV129" s="43" t="s">
        <v>191</v>
      </c>
      <c r="AW129" s="43" t="s">
        <v>188</v>
      </c>
      <c r="AX129" s="43" t="s">
        <v>192</v>
      </c>
      <c r="AY129" s="43" t="s">
        <v>193</v>
      </c>
      <c r="AZ129" s="43" t="s">
        <v>194</v>
      </c>
      <c r="BA129" s="43" t="s">
        <v>195</v>
      </c>
      <c r="BB129" s="43" t="s">
        <v>196</v>
      </c>
      <c r="BC129" s="43" t="s">
        <v>197</v>
      </c>
      <c r="BD129" s="43" t="s">
        <v>198</v>
      </c>
      <c r="BE129" s="43" t="s">
        <v>199</v>
      </c>
      <c r="BF129" s="43" t="s">
        <v>200</v>
      </c>
      <c r="BG129" s="43" t="s">
        <v>189</v>
      </c>
      <c r="BH129" s="43" t="s">
        <v>201</v>
      </c>
      <c r="BI129" s="43" t="s">
        <v>202</v>
      </c>
      <c r="BJ129" s="43" t="s">
        <v>203</v>
      </c>
      <c r="BK129" s="43" t="s">
        <v>204</v>
      </c>
      <c r="BL129" s="43" t="s">
        <v>205</v>
      </c>
      <c r="BM129" s="43" t="s">
        <v>206</v>
      </c>
      <c r="BN129" s="43" t="s">
        <v>207</v>
      </c>
      <c r="BO129" s="43" t="s">
        <v>208</v>
      </c>
      <c r="BP129" s="43"/>
      <c r="BQ129" s="36">
        <f>SUBTOTAL(9,AS131:BP131)</f>
        <v>23</v>
      </c>
      <c r="BR129" s="44"/>
      <c r="BS129" s="43" t="s">
        <v>186</v>
      </c>
      <c r="BT129" s="43" t="s">
        <v>187</v>
      </c>
      <c r="BU129" s="43" t="s">
        <v>188</v>
      </c>
      <c r="BV129" s="43" t="s">
        <v>189</v>
      </c>
      <c r="BW129" s="36">
        <f>SUBTOTAL(3,BS129:BV129)</f>
        <v>4</v>
      </c>
      <c r="BX129" s="45"/>
      <c r="BY129" s="46"/>
      <c r="BZ129" s="46"/>
      <c r="CA129" s="47"/>
      <c r="CB129" s="48"/>
      <c r="CC129" s="48"/>
      <c r="CD129" s="48"/>
      <c r="CE129" s="48"/>
      <c r="CF129" s="49"/>
      <c r="CG129" s="114" t="s">
        <v>2</v>
      </c>
      <c r="CH129" s="50"/>
      <c r="CI129" s="16"/>
    </row>
    <row r="130" spans="1:87" ht="11.25" customHeight="1" x14ac:dyDescent="0.25">
      <c r="A130" s="114" t="s">
        <v>2</v>
      </c>
      <c r="B130" s="51" t="s">
        <v>44</v>
      </c>
      <c r="C130" s="58">
        <v>50</v>
      </c>
      <c r="D130" s="58">
        <v>30</v>
      </c>
      <c r="E130" s="52"/>
      <c r="F130" s="53">
        <f>SUBTOTAL(9,C130:E130)</f>
        <v>80</v>
      </c>
      <c r="G130" s="58">
        <v>6</v>
      </c>
      <c r="H130" s="58">
        <v>6</v>
      </c>
      <c r="I130" s="53">
        <f>SUBTOTAL(9,G130:H130)</f>
        <v>12</v>
      </c>
      <c r="J130" s="58">
        <v>20</v>
      </c>
      <c r="K130" s="58">
        <v>21</v>
      </c>
      <c r="L130" s="58">
        <v>20</v>
      </c>
      <c r="M130" s="52"/>
      <c r="N130" s="53">
        <f>SUBTOTAL(9,J130:M130)</f>
        <v>61</v>
      </c>
      <c r="O130" s="52"/>
      <c r="P130" s="53">
        <f>SUBTOTAL(9,O130:O130)</f>
        <v>0</v>
      </c>
      <c r="Q130" s="53">
        <f>SUBTOTAL(9,C130:O130)</f>
        <v>153</v>
      </c>
      <c r="R130" s="54">
        <v>2342</v>
      </c>
      <c r="S130" s="52"/>
      <c r="T130" s="55">
        <f>SUBTOTAL(9,S130:S130)</f>
        <v>0</v>
      </c>
      <c r="U130" s="56">
        <f>T130+IF($B126=2,0,U126)</f>
        <v>60</v>
      </c>
      <c r="V130" s="58">
        <v>-244</v>
      </c>
      <c r="W130" s="58">
        <v>8</v>
      </c>
      <c r="X130" s="52"/>
      <c r="Y130" s="52"/>
      <c r="Z130" s="55">
        <f>SUBTOTAL(9,V130:Y130)</f>
        <v>-236</v>
      </c>
      <c r="AA130" s="56">
        <f>Z130+IF($B126=2,0,AA126)</f>
        <v>-197.6</v>
      </c>
      <c r="AB130" s="58">
        <v>3</v>
      </c>
      <c r="AC130" s="58">
        <v>4</v>
      </c>
      <c r="AD130" s="52"/>
      <c r="AE130" s="55">
        <f>SUBTOTAL(9,AB130:AD130)</f>
        <v>7</v>
      </c>
      <c r="AF130" s="56">
        <f>AE130+IF($B126=2,0,AF126)</f>
        <v>159.69999999999999</v>
      </c>
      <c r="AG130" s="58">
        <v>5.0999999999999996</v>
      </c>
      <c r="AH130" s="57">
        <f>SUBTOTAL(9,AG130:AG130)</f>
        <v>5.0999999999999996</v>
      </c>
      <c r="AI130" s="58">
        <v>5.3</v>
      </c>
      <c r="AJ130" s="58">
        <v>0.7</v>
      </c>
      <c r="AK130" s="58">
        <v>1.6</v>
      </c>
      <c r="AL130" s="58">
        <v>15.5</v>
      </c>
      <c r="AM130" s="58">
        <v>1.9</v>
      </c>
      <c r="AN130" s="58">
        <v>51.6</v>
      </c>
      <c r="AO130" s="57">
        <f>SUBTOTAL(9,AI130:AN130)</f>
        <v>76.599999999999994</v>
      </c>
      <c r="AP130" s="53">
        <f>SUBTOTAL(9,AG130:AN130)</f>
        <v>81.699999999999989</v>
      </c>
      <c r="AQ130" s="54">
        <f>AP130+IF($B126=2,0,AQ126)</f>
        <v>679.16533333333336</v>
      </c>
      <c r="AR130" s="59">
        <v>1440</v>
      </c>
      <c r="AS130" s="60">
        <v>5.3</v>
      </c>
      <c r="AT130" s="60">
        <v>1.6</v>
      </c>
      <c r="AU130" s="60">
        <v>1.5</v>
      </c>
      <c r="AV130" s="60">
        <v>0.3</v>
      </c>
      <c r="AW130" s="60">
        <v>15.5</v>
      </c>
      <c r="AX130" s="60">
        <v>4.0999999999999996</v>
      </c>
      <c r="AY130" s="60">
        <v>1.8</v>
      </c>
      <c r="AZ130" s="60">
        <v>7</v>
      </c>
      <c r="BA130" s="60">
        <v>0.7</v>
      </c>
      <c r="BB130" s="60">
        <v>2.9</v>
      </c>
      <c r="BC130" s="60">
        <v>3.6</v>
      </c>
      <c r="BD130" s="60">
        <v>2.1</v>
      </c>
      <c r="BE130" s="60">
        <v>11.3</v>
      </c>
      <c r="BF130" s="60">
        <v>2.4</v>
      </c>
      <c r="BG130" s="60">
        <v>1.9</v>
      </c>
      <c r="BH130" s="60">
        <v>2.6</v>
      </c>
      <c r="BI130" s="60">
        <v>1.8</v>
      </c>
      <c r="BJ130" s="60">
        <v>1</v>
      </c>
      <c r="BK130" s="60">
        <v>7.3</v>
      </c>
      <c r="BL130" s="60">
        <v>2.2000000000000002</v>
      </c>
      <c r="BM130" s="60">
        <v>2.2999999999999998</v>
      </c>
      <c r="BN130" s="60">
        <v>1.2</v>
      </c>
      <c r="BO130" s="60">
        <v>0.6</v>
      </c>
      <c r="BP130" s="60">
        <v>7.9880000000000004</v>
      </c>
      <c r="BQ130" s="53">
        <f>SUBTOTAL(9,AS130:BP130)</f>
        <v>88.988</v>
      </c>
      <c r="BR130" s="57">
        <f>BQ130+IF($B126=2,0,BR126)</f>
        <v>826.32766666663338</v>
      </c>
      <c r="BS130" s="60">
        <v>5.3</v>
      </c>
      <c r="BT130" s="60">
        <v>1.6</v>
      </c>
      <c r="BU130" s="60">
        <v>15.5</v>
      </c>
      <c r="BV130" s="60">
        <v>1.9</v>
      </c>
      <c r="BW130" s="53">
        <f>SUBTOTAL(9,BS130:BV130)</f>
        <v>24.299999999999997</v>
      </c>
      <c r="BX130" s="53">
        <f>BW130+IF($B126=2,0,BX126)</f>
        <v>24.299999999999997</v>
      </c>
      <c r="BY130" s="61"/>
      <c r="BZ130" s="61"/>
      <c r="CA130" s="62">
        <f>SUMIF($C$5:BZ$5,"Накопленный эффект, т/сут",$C130:BZ130)+SUMIF($C$5:BZ$5,"Нараст.  по потенциалу",$C130:BZ130)-SUMIF($C$5:BZ$5,"Нараст. по остановкам",$C130:BZ130)-SUMIF($C$5:BZ$5,"ИТОГО перевод в ППД",$C130:BZ130)-SUMIF($C$5:BZ$5,"ИТОГО  нерент, по распоряж.",$C130:BZ130)-SUMIF($C$5:BZ$5,"ИТОГО ост. дебит от ЗБС, Углуб., ПВЛГ/ПНЛГ",$C130:BZ130)</f>
        <v>2192.6376666666997</v>
      </c>
      <c r="CB130" s="63"/>
      <c r="CC130" s="63"/>
      <c r="CD130" s="63"/>
      <c r="CE130" s="63"/>
      <c r="CF130" s="53">
        <f>SUBTOTAL(9,CB130:CE130)</f>
        <v>0</v>
      </c>
      <c r="CG130" s="114" t="s">
        <v>2</v>
      </c>
      <c r="CH130" s="64">
        <f>CH$4+SUMIF($C$5:CF$5,"Нараст. по остановкам",$C130:CF130)-SUMIF($C$5:CF$5,"Нараст.  по потенциалу",$C130:CF130)</f>
        <v>851.62748657848806</v>
      </c>
      <c r="CI130" s="16"/>
    </row>
    <row r="131" spans="1:87" ht="1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>
        <v>1</v>
      </c>
      <c r="AC131" s="2">
        <v>1</v>
      </c>
      <c r="AD131" s="2"/>
      <c r="AE131" s="2"/>
      <c r="AF131" s="2"/>
      <c r="AG131" s="2">
        <v>1</v>
      </c>
      <c r="AH131" s="2"/>
      <c r="AI131" s="2">
        <v>1</v>
      </c>
      <c r="AJ131" s="2">
        <v>1</v>
      </c>
      <c r="AK131" s="2">
        <v>1</v>
      </c>
      <c r="AL131" s="2">
        <v>1</v>
      </c>
      <c r="AM131" s="2">
        <v>1</v>
      </c>
      <c r="AN131" s="2"/>
      <c r="AO131" s="2"/>
      <c r="AP131" s="2"/>
      <c r="AQ131" s="2"/>
      <c r="AR131" s="2"/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1</v>
      </c>
      <c r="BD131" s="2">
        <v>1</v>
      </c>
      <c r="BE131" s="2">
        <v>1</v>
      </c>
      <c r="BF131" s="2">
        <v>1</v>
      </c>
      <c r="BG131" s="2">
        <v>1</v>
      </c>
      <c r="BH131" s="2">
        <v>1</v>
      </c>
      <c r="BI131" s="2">
        <v>1</v>
      </c>
      <c r="BJ131" s="2">
        <v>1</v>
      </c>
      <c r="BK131" s="2">
        <v>1</v>
      </c>
      <c r="BL131" s="2">
        <v>1</v>
      </c>
      <c r="BM131" s="2">
        <v>1</v>
      </c>
      <c r="BN131" s="2">
        <v>1</v>
      </c>
      <c r="BO131" s="2">
        <v>1</v>
      </c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16"/>
    </row>
    <row r="132" spans="1:87" ht="24" customHeight="1" x14ac:dyDescent="0.25">
      <c r="A132" s="136" t="s">
        <v>209</v>
      </c>
      <c r="B132" s="137" t="s">
        <v>2</v>
      </c>
      <c r="C132" s="65"/>
      <c r="D132" s="65"/>
      <c r="E132" s="65"/>
      <c r="F132" s="66">
        <v>23</v>
      </c>
      <c r="G132" s="65"/>
      <c r="H132" s="65"/>
      <c r="I132" s="66">
        <v>2</v>
      </c>
      <c r="J132" s="65"/>
      <c r="K132" s="65"/>
      <c r="L132" s="65"/>
      <c r="M132" s="65"/>
      <c r="N132" s="66">
        <v>25</v>
      </c>
      <c r="O132" s="65"/>
      <c r="P132" s="66">
        <v>2</v>
      </c>
      <c r="Q132" s="67">
        <v>52</v>
      </c>
      <c r="R132" s="68"/>
      <c r="S132" s="65"/>
      <c r="T132" s="66">
        <v>4</v>
      </c>
      <c r="U132" s="69"/>
      <c r="V132" s="65"/>
      <c r="W132" s="65"/>
      <c r="X132" s="65"/>
      <c r="Y132" s="65"/>
      <c r="Z132" s="66">
        <v>0</v>
      </c>
      <c r="AA132" s="69"/>
      <c r="AB132" s="65"/>
      <c r="AC132" s="65"/>
      <c r="AD132" s="65"/>
      <c r="AE132" s="66">
        <v>30</v>
      </c>
      <c r="AF132" s="69"/>
      <c r="AG132" s="65"/>
      <c r="AH132" s="66">
        <v>7</v>
      </c>
      <c r="AI132" s="65"/>
      <c r="AJ132" s="65"/>
      <c r="AK132" s="65"/>
      <c r="AL132" s="65"/>
      <c r="AM132" s="65"/>
      <c r="AN132" s="65"/>
      <c r="AO132" s="66">
        <v>24</v>
      </c>
      <c r="AP132" s="70">
        <v>31</v>
      </c>
      <c r="AQ132" s="71"/>
      <c r="AR132" s="72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  <c r="BM132" s="73"/>
      <c r="BN132" s="73"/>
      <c r="BO132" s="73"/>
      <c r="BP132" s="73"/>
      <c r="BQ132" s="70">
        <v>59</v>
      </c>
      <c r="BR132" s="74"/>
      <c r="BS132" s="73"/>
      <c r="BT132" s="73"/>
      <c r="BU132" s="73"/>
      <c r="BV132" s="73"/>
      <c r="BW132" s="75">
        <v>4</v>
      </c>
      <c r="BX132" s="74"/>
      <c r="BY132" s="76"/>
      <c r="BZ132" s="76"/>
      <c r="CA132" s="77"/>
      <c r="CB132" s="78"/>
      <c r="CC132" s="78"/>
      <c r="CD132" s="78"/>
      <c r="CE132" s="78"/>
      <c r="CF132" s="78"/>
      <c r="CG132" s="78"/>
      <c r="CH132" s="79"/>
      <c r="CI132" s="16"/>
    </row>
    <row r="133" spans="1:87" ht="24" customHeight="1" x14ac:dyDescent="0.25">
      <c r="A133" s="138" t="s">
        <v>210</v>
      </c>
      <c r="B133" s="139" t="s">
        <v>2</v>
      </c>
      <c r="C133" s="80"/>
      <c r="D133" s="80"/>
      <c r="E133" s="80"/>
      <c r="F133" s="81">
        <v>1810</v>
      </c>
      <c r="G133" s="80"/>
      <c r="H133" s="80"/>
      <c r="I133" s="81">
        <v>12</v>
      </c>
      <c r="J133" s="80"/>
      <c r="K133" s="80"/>
      <c r="L133" s="80"/>
      <c r="M133" s="80"/>
      <c r="N133" s="81">
        <v>500</v>
      </c>
      <c r="O133" s="80"/>
      <c r="P133" s="81">
        <v>20</v>
      </c>
      <c r="Q133" s="82">
        <v>2342</v>
      </c>
      <c r="R133" s="83"/>
      <c r="S133" s="80"/>
      <c r="T133" s="81">
        <v>60</v>
      </c>
      <c r="U133" s="84"/>
      <c r="V133" s="80"/>
      <c r="W133" s="80"/>
      <c r="X133" s="80"/>
      <c r="Y133" s="80"/>
      <c r="Z133" s="81">
        <v>-197.6</v>
      </c>
      <c r="AA133" s="84"/>
      <c r="AB133" s="80"/>
      <c r="AC133" s="80"/>
      <c r="AD133" s="80"/>
      <c r="AE133" s="81">
        <v>159.69999999999999</v>
      </c>
      <c r="AF133" s="84"/>
      <c r="AG133" s="80"/>
      <c r="AH133" s="81">
        <v>79.400000000000006</v>
      </c>
      <c r="AI133" s="80"/>
      <c r="AJ133" s="80"/>
      <c r="AK133" s="80"/>
      <c r="AL133" s="80"/>
      <c r="AM133" s="80"/>
      <c r="AN133" s="80"/>
      <c r="AO133" s="81">
        <v>599.76533333333305</v>
      </c>
      <c r="AP133" s="85">
        <v>679.16533333333302</v>
      </c>
      <c r="AQ133" s="86"/>
      <c r="AR133" s="87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5">
        <v>826.32766666663395</v>
      </c>
      <c r="BR133" s="89"/>
      <c r="BS133" s="88"/>
      <c r="BT133" s="88"/>
      <c r="BU133" s="88"/>
      <c r="BV133" s="88"/>
      <c r="BW133" s="85">
        <v>24.3</v>
      </c>
      <c r="BX133" s="89"/>
      <c r="BY133" s="90"/>
      <c r="BZ133" s="90"/>
      <c r="CA133" s="91"/>
      <c r="CB133" s="86"/>
      <c r="CC133" s="86"/>
      <c r="CD133" s="86"/>
      <c r="CE133" s="86"/>
      <c r="CF133" s="86"/>
      <c r="CG133" s="92" t="s">
        <v>211</v>
      </c>
      <c r="CH133" s="93"/>
      <c r="CI133" s="16"/>
    </row>
    <row r="134" spans="1:87" ht="24" customHeight="1" x14ac:dyDescent="0.25">
      <c r="A134" s="138" t="s">
        <v>212</v>
      </c>
      <c r="B134" s="139" t="s">
        <v>2</v>
      </c>
      <c r="C134" s="80"/>
      <c r="D134" s="80"/>
      <c r="E134" s="80"/>
      <c r="F134" s="94">
        <v>20990</v>
      </c>
      <c r="G134" s="80"/>
      <c r="H134" s="80"/>
      <c r="I134" s="94">
        <v>12</v>
      </c>
      <c r="J134" s="80"/>
      <c r="K134" s="80"/>
      <c r="L134" s="80"/>
      <c r="M134" s="80"/>
      <c r="N134" s="94">
        <v>7320</v>
      </c>
      <c r="O134" s="80"/>
      <c r="P134" s="94">
        <v>110</v>
      </c>
      <c r="Q134" s="95">
        <v>28432</v>
      </c>
      <c r="R134" s="95">
        <f>SUM(R$12:R130)</f>
        <v>28432</v>
      </c>
      <c r="S134" s="80"/>
      <c r="T134" s="94">
        <f>U134</f>
        <v>552</v>
      </c>
      <c r="U134" s="96">
        <f>SUM(U$12:U130)</f>
        <v>552</v>
      </c>
      <c r="V134" s="80"/>
      <c r="W134" s="80"/>
      <c r="X134" s="80"/>
      <c r="Y134" s="80"/>
      <c r="Z134" s="94">
        <f>AA134</f>
        <v>92.19999999999996</v>
      </c>
      <c r="AA134" s="96">
        <f>SUM(AA$12:AA130)</f>
        <v>92.19999999999996</v>
      </c>
      <c r="AB134" s="80"/>
      <c r="AC134" s="80"/>
      <c r="AD134" s="80"/>
      <c r="AE134" s="94">
        <f>AF134</f>
        <v>2017.3000000000004</v>
      </c>
      <c r="AF134" s="96">
        <f>SUM(AF$12:AF130)</f>
        <v>2017.3000000000004</v>
      </c>
      <c r="AG134" s="80"/>
      <c r="AH134" s="94">
        <v>625.9</v>
      </c>
      <c r="AI134" s="80"/>
      <c r="AJ134" s="80"/>
      <c r="AK134" s="80"/>
      <c r="AL134" s="80"/>
      <c r="AM134" s="80"/>
      <c r="AN134" s="80"/>
      <c r="AO134" s="94">
        <v>8420.8479999999909</v>
      </c>
      <c r="AP134" s="97">
        <v>9046.7479999999905</v>
      </c>
      <c r="AQ134" s="98">
        <f>SUM(AQ$12:AQ130)</f>
        <v>9046.7479999999996</v>
      </c>
      <c r="AR134" s="99">
        <f>SUM(AR$12:AR130)</f>
        <v>22320</v>
      </c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97">
        <f>BR134</f>
        <v>11955.869999999033</v>
      </c>
      <c r="BR134" s="100">
        <f>SUM(BR$12:BR130)</f>
        <v>11955.869999999033</v>
      </c>
      <c r="BS134" s="88"/>
      <c r="BT134" s="88"/>
      <c r="BU134" s="88"/>
      <c r="BV134" s="88"/>
      <c r="BW134" s="85">
        <f>BX134</f>
        <v>24.299999999999997</v>
      </c>
      <c r="BX134" s="101">
        <f>SUM(BX$12:BX130)</f>
        <v>24.299999999999997</v>
      </c>
      <c r="BY134" s="102">
        <f>SUM(BY$14:BY130)</f>
        <v>915.80000000000007</v>
      </c>
      <c r="BZ134" s="102">
        <f>SUM(BZ$14:BZ130)</f>
        <v>915.80000000000007</v>
      </c>
      <c r="CA134" s="103">
        <f>SUM(CA$12:CA130)</f>
        <v>28160.078000000965</v>
      </c>
      <c r="CB134" s="104">
        <f>SUBTOTAL(9,CB$14:CB130)</f>
        <v>873.69999999999993</v>
      </c>
      <c r="CC134" s="104">
        <f>SUBTOTAL(9,CC$14:CC130)</f>
        <v>1787.5707218265331</v>
      </c>
      <c r="CD134" s="104">
        <f>SUBTOTAL(9,CD$14:CD130)</f>
        <v>1434.7599897017783</v>
      </c>
      <c r="CE134" s="104">
        <f>SUBTOTAL(9,CE$14:CE130)</f>
        <v>359.89506649941188</v>
      </c>
      <c r="CF134" s="104">
        <f>SUM(CF$12:CF130)</f>
        <v>4455.9257780277248</v>
      </c>
      <c r="CG134" s="98">
        <f>CG$4*DAY($A128)+SUMIF($C$5:CF$5,"Нараст. баланс",$C134:CF134)+SUMIF($C$7:CD$7,"Итого (с ВНР)",$C134:CD134)-SUMIF($C$5:CF$5,"Геол. снижение,  т/сут",$C134:CF134)-SUMIF(CE$7:CF$7,"Итого",CE134:CF134)-SUMIF($C$7:CF$7,"Итого (с ВСП)",$C134:CF134)</f>
        <v>904308.98222197313</v>
      </c>
      <c r="CH134" s="85">
        <f>SUBTOTAL(1,CH$12:CH130)</f>
        <v>801.4358865784892</v>
      </c>
      <c r="CI134" s="16"/>
    </row>
    <row r="135" spans="1:87" ht="26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105"/>
      <c r="AG135" s="140" t="s">
        <v>213</v>
      </c>
      <c r="AH135" s="109" t="s">
        <v>2</v>
      </c>
      <c r="AI135" s="109" t="s">
        <v>2</v>
      </c>
      <c r="AJ135" s="109" t="s">
        <v>2</v>
      </c>
      <c r="AK135" s="109" t="s">
        <v>2</v>
      </c>
      <c r="AL135" s="109" t="s">
        <v>2</v>
      </c>
      <c r="AM135" s="109" t="s">
        <v>2</v>
      </c>
      <c r="AN135" s="109" t="s">
        <v>2</v>
      </c>
      <c r="AO135" s="109" t="s">
        <v>2</v>
      </c>
      <c r="AP135" s="109" t="s">
        <v>2</v>
      </c>
      <c r="AQ135" s="109" t="s">
        <v>2</v>
      </c>
      <c r="AR135" s="141" t="s">
        <v>214</v>
      </c>
      <c r="AS135" s="109" t="s">
        <v>2</v>
      </c>
      <c r="AT135" s="109" t="s">
        <v>2</v>
      </c>
      <c r="AU135" s="109" t="s">
        <v>2</v>
      </c>
      <c r="AV135" s="109" t="s">
        <v>2</v>
      </c>
      <c r="AW135" s="109" t="s">
        <v>2</v>
      </c>
      <c r="AX135" s="109" t="s">
        <v>2</v>
      </c>
      <c r="AY135" s="109" t="s">
        <v>2</v>
      </c>
      <c r="AZ135" s="109" t="s">
        <v>2</v>
      </c>
      <c r="BA135" s="109" t="s">
        <v>2</v>
      </c>
      <c r="BB135" s="109" t="s">
        <v>2</v>
      </c>
      <c r="BC135" s="109" t="s">
        <v>2</v>
      </c>
      <c r="BD135" s="109" t="s">
        <v>2</v>
      </c>
      <c r="BE135" s="109" t="s">
        <v>2</v>
      </c>
      <c r="BF135" s="109" t="s">
        <v>2</v>
      </c>
      <c r="BG135" s="109" t="s">
        <v>2</v>
      </c>
      <c r="BH135" s="109" t="s">
        <v>2</v>
      </c>
      <c r="BI135" s="109" t="s">
        <v>2</v>
      </c>
      <c r="BJ135" s="109" t="s">
        <v>2</v>
      </c>
      <c r="BK135" s="109" t="s">
        <v>2</v>
      </c>
      <c r="BL135" s="109" t="s">
        <v>2</v>
      </c>
      <c r="BM135" s="109" t="s">
        <v>2</v>
      </c>
      <c r="BN135" s="109" t="s">
        <v>2</v>
      </c>
      <c r="BO135" s="109" t="s">
        <v>2</v>
      </c>
      <c r="BP135" s="109" t="s">
        <v>2</v>
      </c>
      <c r="BQ135" s="109" t="s">
        <v>2</v>
      </c>
      <c r="BR135" s="109" t="s">
        <v>2</v>
      </c>
      <c r="BS135" s="109" t="s">
        <v>2</v>
      </c>
      <c r="BT135" s="109" t="s">
        <v>2</v>
      </c>
      <c r="BU135" s="109" t="s">
        <v>2</v>
      </c>
      <c r="BV135" s="109" t="s">
        <v>2</v>
      </c>
      <c r="BW135" s="109" t="s">
        <v>2</v>
      </c>
      <c r="BX135" s="109" t="s">
        <v>2</v>
      </c>
      <c r="BY135" s="109" t="s">
        <v>2</v>
      </c>
      <c r="BZ135" s="109" t="s">
        <v>2</v>
      </c>
      <c r="CA135" s="109" t="s">
        <v>2</v>
      </c>
      <c r="CB135" s="109" t="s">
        <v>2</v>
      </c>
      <c r="CC135" s="109" t="s">
        <v>2</v>
      </c>
      <c r="CD135" s="109" t="s">
        <v>2</v>
      </c>
      <c r="CE135" s="2"/>
      <c r="CF135" s="2"/>
      <c r="CG135" s="106">
        <f>CG128-SUMIF($C$7:CD$7,"Итого (с ВНР)",$C130:CD130)+SUMIF($C$7:CF$7,"Итого (с ВСП)",$C130:CF130)+SUMIF(CE$7:CF$7,"Итого",CE130:CF130)</f>
        <v>30880.658666666699</v>
      </c>
      <c r="CH135" s="107" t="s">
        <v>215</v>
      </c>
      <c r="CI135" s="16"/>
    </row>
    <row r="136" spans="1:87" ht="15" customHeight="1" x14ac:dyDescent="0.25">
      <c r="A136" s="2"/>
      <c r="B136" s="2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</row>
    <row r="137" spans="1:87" ht="15" customHeight="1" x14ac:dyDescent="0.25">
      <c r="A137" s="2"/>
      <c r="B137" s="2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</row>
    <row r="138" spans="1:87" ht="15" customHeight="1" x14ac:dyDescent="0.25">
      <c r="A138" s="2"/>
      <c r="B138" s="2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</row>
  </sheetData>
  <mergeCells count="119">
    <mergeCell ref="A128:A130"/>
    <mergeCell ref="CG128:CG130"/>
    <mergeCell ref="A132:B132"/>
    <mergeCell ref="A133:B133"/>
    <mergeCell ref="A134:B134"/>
    <mergeCell ref="AG135:AQ135"/>
    <mergeCell ref="AR135:CD135"/>
    <mergeCell ref="A108:A110"/>
    <mergeCell ref="CG108:CG110"/>
    <mergeCell ref="A112:A114"/>
    <mergeCell ref="CG112:CG114"/>
    <mergeCell ref="A116:A118"/>
    <mergeCell ref="CG116:CG118"/>
    <mergeCell ref="A120:A122"/>
    <mergeCell ref="CG120:CG122"/>
    <mergeCell ref="A124:A126"/>
    <mergeCell ref="CG124:CG126"/>
    <mergeCell ref="A88:A90"/>
    <mergeCell ref="CG88:CG90"/>
    <mergeCell ref="A92:A94"/>
    <mergeCell ref="CG92:CG94"/>
    <mergeCell ref="A96:A98"/>
    <mergeCell ref="CG96:CG98"/>
    <mergeCell ref="A100:A102"/>
    <mergeCell ref="CG100:CG102"/>
    <mergeCell ref="A104:A106"/>
    <mergeCell ref="CG104:CG106"/>
    <mergeCell ref="A68:A70"/>
    <mergeCell ref="CG68:CG70"/>
    <mergeCell ref="A72:A74"/>
    <mergeCell ref="CG72:CG74"/>
    <mergeCell ref="A76:A78"/>
    <mergeCell ref="CG76:CG78"/>
    <mergeCell ref="A80:A82"/>
    <mergeCell ref="CG80:CG82"/>
    <mergeCell ref="A84:A86"/>
    <mergeCell ref="CG84:CG86"/>
    <mergeCell ref="A48:A50"/>
    <mergeCell ref="CG48:CG50"/>
    <mergeCell ref="A52:A54"/>
    <mergeCell ref="CG52:CG54"/>
    <mergeCell ref="A56:A58"/>
    <mergeCell ref="CG56:CG58"/>
    <mergeCell ref="A60:A62"/>
    <mergeCell ref="CG60:CG62"/>
    <mergeCell ref="A64:A66"/>
    <mergeCell ref="CG64:CG66"/>
    <mergeCell ref="A28:A30"/>
    <mergeCell ref="CG28:CG30"/>
    <mergeCell ref="A32:A34"/>
    <mergeCell ref="CG32:CG34"/>
    <mergeCell ref="A36:A38"/>
    <mergeCell ref="CG36:CG38"/>
    <mergeCell ref="A40:A42"/>
    <mergeCell ref="CG40:CG42"/>
    <mergeCell ref="A44:A46"/>
    <mergeCell ref="CG44:CG46"/>
    <mergeCell ref="AS10:BQ10"/>
    <mergeCell ref="BS10:BW10"/>
    <mergeCell ref="A12:A14"/>
    <mergeCell ref="CG12:CG14"/>
    <mergeCell ref="A16:A18"/>
    <mergeCell ref="CG16:CG18"/>
    <mergeCell ref="A20:A22"/>
    <mergeCell ref="CG20:CG22"/>
    <mergeCell ref="A24:A26"/>
    <mergeCell ref="CG24:CG26"/>
    <mergeCell ref="C10:F10"/>
    <mergeCell ref="G10:I10"/>
    <mergeCell ref="J10:N10"/>
    <mergeCell ref="O10:P10"/>
    <mergeCell ref="S10:T10"/>
    <mergeCell ref="V10:Z10"/>
    <mergeCell ref="AB10:AE10"/>
    <mergeCell ref="AG10:AH10"/>
    <mergeCell ref="AI10:AO10"/>
    <mergeCell ref="CA5:CA9"/>
    <mergeCell ref="CB5:CF5"/>
    <mergeCell ref="CG5:CG9"/>
    <mergeCell ref="CH5:CH9"/>
    <mergeCell ref="C6:F7"/>
    <mergeCell ref="G6:I7"/>
    <mergeCell ref="J6:N7"/>
    <mergeCell ref="O6:P7"/>
    <mergeCell ref="Q6:Q9"/>
    <mergeCell ref="AG6:AH7"/>
    <mergeCell ref="AI6:AO7"/>
    <mergeCell ref="AP6:AP9"/>
    <mergeCell ref="BY7:BY9"/>
    <mergeCell ref="BZ7:BZ9"/>
    <mergeCell ref="CB7:CB9"/>
    <mergeCell ref="CC7:CC9"/>
    <mergeCell ref="CD7:CD9"/>
    <mergeCell ref="CE7:CE9"/>
    <mergeCell ref="CF7:CF9"/>
    <mergeCell ref="C1:AC1"/>
    <mergeCell ref="C2:AB2"/>
    <mergeCell ref="C3:K3"/>
    <mergeCell ref="A4:B4"/>
    <mergeCell ref="C4:AQ4"/>
    <mergeCell ref="AR4:CF4"/>
    <mergeCell ref="A5:A9"/>
    <mergeCell ref="B5:B9"/>
    <mergeCell ref="C5:Q5"/>
    <mergeCell ref="R5:R9"/>
    <mergeCell ref="S5:T7"/>
    <mergeCell ref="U5:U9"/>
    <mergeCell ref="V5:Z7"/>
    <mergeCell ref="AA5:AA9"/>
    <mergeCell ref="AB5:AE7"/>
    <mergeCell ref="AF5:AF9"/>
    <mergeCell ref="AG5:AP5"/>
    <mergeCell ref="AQ5:AQ9"/>
    <mergeCell ref="AR5:AR9"/>
    <mergeCell ref="AS5:BQ7"/>
    <mergeCell ref="BR5:BR9"/>
    <mergeCell ref="BS5:BW7"/>
    <mergeCell ref="BX5:BX9"/>
    <mergeCell ref="BY5:BZ6"/>
  </mergeCells>
  <pageMargins left="0" right="0" top="0" bottom="0" header="0" footer="0"/>
  <pageSetup paperSize="8" scale="75" orientation="landscape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График_Суточной_Добычи_Нефть</vt:lpstr>
      <vt:lpstr>Расч_сут_добычи_итоги</vt:lpstr>
      <vt:lpstr>Расчет_Суточной_Добычи_По_Датам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Марков Александр Сергеевич</dc:creator>
  <cp:lastModifiedBy> </cp:lastModifiedBy>
  <dcterms:created xsi:type="dcterms:W3CDTF">2024-03-31T13:10:19Z</dcterms:created>
  <dcterms:modified xsi:type="dcterms:W3CDTF">2024-03-31T15:18:19Z</dcterms:modified>
</cp:coreProperties>
</file>