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oj-ng-fs2\СИП\1. ГИП\2024\01\Рассылка\ВН\Чистовой\"/>
    </mc:Choice>
  </mc:AlternateContent>
  <bookViews>
    <workbookView xWindow="0" yWindow="0" windowWidth="28800" windowHeight="13500"/>
  </bookViews>
  <sheets>
    <sheet name="График_Суточной_Добычи_Нефть" sheetId="6" r:id="rId1"/>
    <sheet name="Расч_сут_добычи_итоги" sheetId="5" r:id="rId2"/>
    <sheet name="Расчет_Суточной_Добычи_По_Датам" sheetId="4" r:id="rId3"/>
  </sheets>
  <calcPr calcId="162913"/>
</workbook>
</file>

<file path=xl/calcChain.xml><?xml version="1.0" encoding="utf-8"?>
<calcChain xmlns="http://schemas.openxmlformats.org/spreadsheetml/2006/main">
  <c r="M8" i="6" l="1"/>
  <c r="W8" i="6"/>
  <c r="AT8" i="6"/>
  <c r="AU8" i="6"/>
  <c r="M9" i="6"/>
  <c r="AU10" i="6" s="1"/>
  <c r="W9" i="6"/>
  <c r="AU24" i="6" s="1"/>
  <c r="AT9" i="6"/>
  <c r="M10" i="6"/>
  <c r="M39" i="6" s="1"/>
  <c r="W10" i="6"/>
  <c r="AT10" i="6"/>
  <c r="M11" i="6"/>
  <c r="W11" i="6"/>
  <c r="AT11" i="6"/>
  <c r="M12" i="6"/>
  <c r="W12" i="6"/>
  <c r="AT12" i="6"/>
  <c r="M13" i="6"/>
  <c r="W13" i="6"/>
  <c r="AT13" i="6"/>
  <c r="M14" i="6"/>
  <c r="W14" i="6"/>
  <c r="AT14" i="6"/>
  <c r="M15" i="6"/>
  <c r="W15" i="6"/>
  <c r="AT15" i="6"/>
  <c r="M16" i="6"/>
  <c r="W16" i="6"/>
  <c r="AT16" i="6"/>
  <c r="M17" i="6"/>
  <c r="W17" i="6"/>
  <c r="AT17" i="6"/>
  <c r="M18" i="6"/>
  <c r="W18" i="6"/>
  <c r="AT18" i="6"/>
  <c r="M19" i="6"/>
  <c r="W19" i="6"/>
  <c r="AT19" i="6"/>
  <c r="M20" i="6"/>
  <c r="W20" i="6"/>
  <c r="AT20" i="6"/>
  <c r="M21" i="6"/>
  <c r="W21" i="6"/>
  <c r="AT21" i="6"/>
  <c r="M22" i="6"/>
  <c r="W22" i="6"/>
  <c r="AT22" i="6"/>
  <c r="M23" i="6"/>
  <c r="W23" i="6"/>
  <c r="AT23" i="6"/>
  <c r="M24" i="6"/>
  <c r="W24" i="6"/>
  <c r="AT24" i="6"/>
  <c r="M25" i="6"/>
  <c r="W25" i="6"/>
  <c r="AT25" i="6"/>
  <c r="M26" i="6"/>
  <c r="W26" i="6"/>
  <c r="AT26" i="6"/>
  <c r="M27" i="6"/>
  <c r="W27" i="6"/>
  <c r="AT27" i="6"/>
  <c r="M28" i="6"/>
  <c r="W28" i="6"/>
  <c r="AT28" i="6"/>
  <c r="M29" i="6"/>
  <c r="W29" i="6"/>
  <c r="AT29" i="6"/>
  <c r="M30" i="6"/>
  <c r="W30" i="6"/>
  <c r="AT30" i="6"/>
  <c r="M31" i="6"/>
  <c r="W31" i="6"/>
  <c r="AT31" i="6"/>
  <c r="M32" i="6"/>
  <c r="W32" i="6"/>
  <c r="AT32" i="6"/>
  <c r="AU32" i="6"/>
  <c r="M33" i="6"/>
  <c r="W33" i="6"/>
  <c r="AT33" i="6"/>
  <c r="AU33" i="6"/>
  <c r="M34" i="6"/>
  <c r="W34" i="6"/>
  <c r="AT34" i="6"/>
  <c r="AU34" i="6"/>
  <c r="M35" i="6"/>
  <c r="W35" i="6"/>
  <c r="AT35" i="6"/>
  <c r="AU35" i="6"/>
  <c r="M36" i="6"/>
  <c r="W36" i="6"/>
  <c r="AT36" i="6"/>
  <c r="AU36" i="6"/>
  <c r="M37" i="6"/>
  <c r="W37" i="6"/>
  <c r="AT37" i="6"/>
  <c r="AU37" i="6"/>
  <c r="M38" i="6"/>
  <c r="W38" i="6"/>
  <c r="AT38" i="6"/>
  <c r="AU38" i="6"/>
  <c r="D39" i="6"/>
  <c r="E39" i="6"/>
  <c r="F39" i="6"/>
  <c r="G39" i="6"/>
  <c r="H39" i="6"/>
  <c r="I39" i="6"/>
  <c r="J39" i="6"/>
  <c r="K39" i="6"/>
  <c r="L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M41" i="6"/>
  <c r="M43" i="6" s="1"/>
  <c r="W41" i="6"/>
  <c r="AT41" i="6"/>
  <c r="AT43" i="6" s="1"/>
  <c r="AU41" i="6"/>
  <c r="D43" i="6"/>
  <c r="E43" i="6"/>
  <c r="F43" i="6"/>
  <c r="G43" i="6"/>
  <c r="H43" i="6"/>
  <c r="I43" i="6"/>
  <c r="J43" i="6"/>
  <c r="K43" i="6"/>
  <c r="L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M45" i="6"/>
  <c r="W45" i="6"/>
  <c r="AT45" i="6"/>
  <c r="AU45" i="6"/>
  <c r="AU31" i="6" l="1"/>
  <c r="AU30" i="6"/>
  <c r="AU29" i="6"/>
  <c r="AU28" i="6"/>
  <c r="AU27" i="6"/>
  <c r="AU26" i="6"/>
  <c r="AU25" i="6"/>
  <c r="AU23" i="6"/>
  <c r="AU22" i="6"/>
  <c r="AU21" i="6"/>
  <c r="AU20" i="6"/>
  <c r="AU19" i="6"/>
  <c r="AU18" i="6"/>
  <c r="AU17" i="6"/>
  <c r="AU16" i="6"/>
  <c r="AU15" i="6"/>
  <c r="AU14" i="6"/>
  <c r="AU13" i="6"/>
  <c r="AU12" i="6"/>
  <c r="AU11" i="6"/>
  <c r="AU39" i="6" s="1"/>
  <c r="AU43" i="6" s="1"/>
  <c r="O79" i="5" l="1"/>
  <c r="Q58" i="5" l="1"/>
  <c r="Q53" i="5" s="1"/>
  <c r="Q43" i="5" s="1"/>
  <c r="P58" i="5"/>
  <c r="Q55" i="5"/>
  <c r="P55" i="5"/>
  <c r="Q7" i="5"/>
  <c r="J7" i="5"/>
  <c r="J26" i="5"/>
  <c r="L26" i="5" s="1"/>
  <c r="J23" i="5"/>
  <c r="O58" i="5"/>
  <c r="N58" i="5"/>
  <c r="O55" i="5"/>
  <c r="N55" i="5"/>
  <c r="N53" i="5" s="1"/>
  <c r="N43" i="5" s="1"/>
  <c r="O53" i="5"/>
  <c r="O43" i="5"/>
  <c r="O41" i="5"/>
  <c r="N41" i="5"/>
  <c r="O38" i="5"/>
  <c r="N38" i="5"/>
  <c r="N34" i="5" s="1"/>
  <c r="O35" i="5"/>
  <c r="N35" i="5"/>
  <c r="O34" i="5"/>
  <c r="O23" i="5"/>
  <c r="N23" i="5"/>
  <c r="O9" i="5"/>
  <c r="N9" i="5"/>
  <c r="O8" i="5"/>
  <c r="N8" i="5"/>
  <c r="G43" i="5"/>
  <c r="F43" i="5"/>
  <c r="E43" i="5"/>
  <c r="E33" i="5" s="1"/>
  <c r="G41" i="5"/>
  <c r="F41" i="5"/>
  <c r="G38" i="5"/>
  <c r="F38" i="5"/>
  <c r="G35" i="5"/>
  <c r="G34" i="5" s="1"/>
  <c r="G33" i="5" s="1"/>
  <c r="G62" i="5" s="1"/>
  <c r="F35" i="5"/>
  <c r="F34" i="5"/>
  <c r="F33" i="5" s="1"/>
  <c r="G23" i="5"/>
  <c r="F23" i="5"/>
  <c r="E23" i="5"/>
  <c r="G9" i="5"/>
  <c r="F9" i="5"/>
  <c r="F8" i="5" s="1"/>
  <c r="F62" i="5" s="1"/>
  <c r="E9" i="5"/>
  <c r="E8" i="5" s="1"/>
  <c r="G8" i="5"/>
  <c r="J41" i="5"/>
  <c r="J27" i="5"/>
  <c r="K27" i="5" s="1"/>
  <c r="L42" i="5"/>
  <c r="L41" i="5" s="1"/>
  <c r="J24" i="5"/>
  <c r="J14" i="5"/>
  <c r="K7" i="5"/>
  <c r="L7" i="5"/>
  <c r="R7" i="5"/>
  <c r="S7" i="5"/>
  <c r="C9" i="5"/>
  <c r="D9" i="5"/>
  <c r="D8" i="5" s="1"/>
  <c r="H9" i="5"/>
  <c r="H8" i="5" s="1"/>
  <c r="I9" i="5"/>
  <c r="I8" i="5" s="1"/>
  <c r="J9" i="5"/>
  <c r="M9" i="5"/>
  <c r="M8" i="5" s="1"/>
  <c r="P9" i="5"/>
  <c r="P8" i="5" s="1"/>
  <c r="Q9" i="5"/>
  <c r="Q8" i="5" s="1"/>
  <c r="K10" i="5"/>
  <c r="L10" i="5"/>
  <c r="R10" i="5"/>
  <c r="S10" i="5"/>
  <c r="K11" i="5"/>
  <c r="L11" i="5"/>
  <c r="R11" i="5"/>
  <c r="S11" i="5"/>
  <c r="K12" i="5"/>
  <c r="L12" i="5"/>
  <c r="R12" i="5"/>
  <c r="S12" i="5"/>
  <c r="K13" i="5"/>
  <c r="L13" i="5"/>
  <c r="R13" i="5"/>
  <c r="S13" i="5"/>
  <c r="K14" i="5"/>
  <c r="L14" i="5"/>
  <c r="R14" i="5"/>
  <c r="S14" i="5"/>
  <c r="K15" i="5"/>
  <c r="L15" i="5"/>
  <c r="R15" i="5"/>
  <c r="S15" i="5"/>
  <c r="K16" i="5"/>
  <c r="L16" i="5"/>
  <c r="R16" i="5"/>
  <c r="S16" i="5"/>
  <c r="K17" i="5"/>
  <c r="L17" i="5"/>
  <c r="R17" i="5"/>
  <c r="S17" i="5"/>
  <c r="K18" i="5"/>
  <c r="L18" i="5"/>
  <c r="R18" i="5"/>
  <c r="S18" i="5"/>
  <c r="K19" i="5"/>
  <c r="L19" i="5"/>
  <c r="R19" i="5"/>
  <c r="S19" i="5"/>
  <c r="K20" i="5"/>
  <c r="L20" i="5"/>
  <c r="R20" i="5"/>
  <c r="S20" i="5"/>
  <c r="K21" i="5"/>
  <c r="L21" i="5"/>
  <c r="R21" i="5"/>
  <c r="S21" i="5"/>
  <c r="K22" i="5"/>
  <c r="L22" i="5"/>
  <c r="R22" i="5"/>
  <c r="S22" i="5"/>
  <c r="C23" i="5"/>
  <c r="C8" i="5" s="1"/>
  <c r="D23" i="5"/>
  <c r="H23" i="5"/>
  <c r="I23" i="5"/>
  <c r="M23" i="5"/>
  <c r="P23" i="5"/>
  <c r="Q23" i="5"/>
  <c r="K24" i="5"/>
  <c r="L24" i="5"/>
  <c r="R24" i="5"/>
  <c r="R23" i="5" s="1"/>
  <c r="S24" i="5"/>
  <c r="K25" i="5"/>
  <c r="L25" i="5"/>
  <c r="R25" i="5"/>
  <c r="S25" i="5"/>
  <c r="R26" i="5"/>
  <c r="S26" i="5"/>
  <c r="L27" i="5"/>
  <c r="R27" i="5"/>
  <c r="S27" i="5"/>
  <c r="K28" i="5"/>
  <c r="L28" i="5"/>
  <c r="R28" i="5"/>
  <c r="S28" i="5"/>
  <c r="L29" i="5"/>
  <c r="S29" i="5"/>
  <c r="S30" i="5"/>
  <c r="I35" i="5"/>
  <c r="J35" i="5"/>
  <c r="P35" i="5"/>
  <c r="Q35" i="5"/>
  <c r="L36" i="5"/>
  <c r="L35" i="5" s="1"/>
  <c r="S36" i="5"/>
  <c r="L37" i="5"/>
  <c r="S37" i="5"/>
  <c r="I38" i="5"/>
  <c r="J38" i="5"/>
  <c r="P38" i="5"/>
  <c r="P34" i="5" s="1"/>
  <c r="Q38" i="5"/>
  <c r="Q34" i="5" s="1"/>
  <c r="L39" i="5"/>
  <c r="S39" i="5"/>
  <c r="S38" i="5" s="1"/>
  <c r="L40" i="5"/>
  <c r="L38" i="5" s="1"/>
  <c r="S40" i="5"/>
  <c r="I41" i="5"/>
  <c r="P41" i="5"/>
  <c r="Q41" i="5"/>
  <c r="S41" i="5"/>
  <c r="S42" i="5"/>
  <c r="H43" i="5"/>
  <c r="H33" i="5" s="1"/>
  <c r="I43" i="5"/>
  <c r="J43" i="5"/>
  <c r="L44" i="5"/>
  <c r="S44" i="5"/>
  <c r="L45" i="5"/>
  <c r="S45" i="5"/>
  <c r="L46" i="5"/>
  <c r="S46" i="5"/>
  <c r="L47" i="5"/>
  <c r="S47" i="5"/>
  <c r="L48" i="5"/>
  <c r="S48" i="5"/>
  <c r="L49" i="5"/>
  <c r="S49" i="5"/>
  <c r="L50" i="5"/>
  <c r="S50" i="5"/>
  <c r="L51" i="5"/>
  <c r="S51" i="5"/>
  <c r="L52" i="5"/>
  <c r="S52" i="5"/>
  <c r="S54" i="5"/>
  <c r="P53" i="5"/>
  <c r="P43" i="5" s="1"/>
  <c r="S56" i="5"/>
  <c r="S57" i="5"/>
  <c r="S55" i="5" s="1"/>
  <c r="S59" i="5"/>
  <c r="S60" i="5"/>
  <c r="S61" i="5"/>
  <c r="E72" i="5"/>
  <c r="G72" i="5"/>
  <c r="H72" i="5"/>
  <c r="J72" i="5"/>
  <c r="O72" i="5"/>
  <c r="Q72" i="5"/>
  <c r="C79" i="5"/>
  <c r="E79" i="5"/>
  <c r="G79" i="5"/>
  <c r="G133" i="5" s="1"/>
  <c r="H79" i="5"/>
  <c r="I79" i="5"/>
  <c r="J79" i="5"/>
  <c r="K79" i="5"/>
  <c r="L79" i="5"/>
  <c r="P79" i="5"/>
  <c r="Q79" i="5"/>
  <c r="R79" i="5"/>
  <c r="S79" i="5"/>
  <c r="C80" i="5"/>
  <c r="D80" i="5"/>
  <c r="D79" i="5" s="1"/>
  <c r="E80" i="5"/>
  <c r="F80" i="5"/>
  <c r="F79" i="5" s="1"/>
  <c r="F133" i="5" s="1"/>
  <c r="G80" i="5"/>
  <c r="M80" i="5"/>
  <c r="M79" i="5" s="1"/>
  <c r="N80" i="5"/>
  <c r="N79" i="5" s="1"/>
  <c r="O80" i="5"/>
  <c r="O133" i="5" s="1"/>
  <c r="C94" i="5"/>
  <c r="D94" i="5"/>
  <c r="E94" i="5"/>
  <c r="F94" i="5"/>
  <c r="G94" i="5"/>
  <c r="M94" i="5"/>
  <c r="N94" i="5"/>
  <c r="O94" i="5"/>
  <c r="F106" i="5"/>
  <c r="F105" i="5" s="1"/>
  <c r="F104" i="5" s="1"/>
  <c r="G106" i="5"/>
  <c r="G105" i="5" s="1"/>
  <c r="G104" i="5" s="1"/>
  <c r="N106" i="5"/>
  <c r="N105" i="5" s="1"/>
  <c r="O106" i="5"/>
  <c r="O105" i="5" s="1"/>
  <c r="O104" i="5" s="1"/>
  <c r="F109" i="5"/>
  <c r="G109" i="5"/>
  <c r="N109" i="5"/>
  <c r="O109" i="5"/>
  <c r="F112" i="5"/>
  <c r="G112" i="5"/>
  <c r="N112" i="5"/>
  <c r="O112" i="5"/>
  <c r="E114" i="5"/>
  <c r="E104" i="5" s="1"/>
  <c r="F114" i="5"/>
  <c r="G114" i="5"/>
  <c r="N126" i="5"/>
  <c r="N124" i="5" s="1"/>
  <c r="N114" i="5" s="1"/>
  <c r="O126" i="5"/>
  <c r="O124" i="5" s="1"/>
  <c r="O114" i="5" s="1"/>
  <c r="N129" i="5"/>
  <c r="O129" i="5"/>
  <c r="S132" i="5"/>
  <c r="E143" i="5"/>
  <c r="G143" i="5"/>
  <c r="H143" i="5"/>
  <c r="J143" i="5"/>
  <c r="O143" i="5"/>
  <c r="Q143" i="5"/>
  <c r="V13" i="4"/>
  <c r="Z13" i="4"/>
  <c r="AF13" i="4"/>
  <c r="AJ13" i="4"/>
  <c r="AN13" i="4"/>
  <c r="AO13" i="4"/>
  <c r="BH13" i="4"/>
  <c r="BL13" i="4"/>
  <c r="G14" i="4"/>
  <c r="J14" i="4"/>
  <c r="S14" i="4" s="1"/>
  <c r="R14" i="4"/>
  <c r="V14" i="4"/>
  <c r="W14" i="4"/>
  <c r="Z14" i="4"/>
  <c r="AA14" i="4"/>
  <c r="AF14" i="4"/>
  <c r="AG14" i="4"/>
  <c r="AG18" i="4" s="1"/>
  <c r="AJ14" i="4"/>
  <c r="AO14" i="4" s="1"/>
  <c r="AP14" i="4" s="1"/>
  <c r="AN14" i="4"/>
  <c r="BH14" i="4"/>
  <c r="BI14" i="4"/>
  <c r="BL14" i="4"/>
  <c r="BM14" i="4"/>
  <c r="BM18" i="4" s="1"/>
  <c r="BS14" i="4"/>
  <c r="V17" i="4"/>
  <c r="Z17" i="4"/>
  <c r="AF17" i="4"/>
  <c r="AJ17" i="4"/>
  <c r="AN17" i="4"/>
  <c r="AO17" i="4"/>
  <c r="BH17" i="4"/>
  <c r="BL17" i="4"/>
  <c r="G18" i="4"/>
  <c r="J18" i="4"/>
  <c r="R18" i="4"/>
  <c r="S18" i="4"/>
  <c r="V18" i="4"/>
  <c r="Z18" i="4"/>
  <c r="AA18" i="4"/>
  <c r="AA22" i="4" s="1"/>
  <c r="AF18" i="4"/>
  <c r="AJ18" i="4"/>
  <c r="AN18" i="4"/>
  <c r="AO18" i="4"/>
  <c r="BH18" i="4"/>
  <c r="BI18" i="4"/>
  <c r="BL18" i="4"/>
  <c r="BS18" i="4"/>
  <c r="V21" i="4"/>
  <c r="Z21" i="4"/>
  <c r="AF21" i="4"/>
  <c r="AJ21" i="4"/>
  <c r="AN21" i="4"/>
  <c r="AO21" i="4"/>
  <c r="BH21" i="4"/>
  <c r="BL21" i="4"/>
  <c r="G22" i="4"/>
  <c r="J22" i="4"/>
  <c r="S22" i="4" s="1"/>
  <c r="R22" i="4"/>
  <c r="V22" i="4"/>
  <c r="Z22" i="4"/>
  <c r="AF22" i="4"/>
  <c r="AG22" i="4"/>
  <c r="AG26" i="4" s="1"/>
  <c r="AJ22" i="4"/>
  <c r="AO22" i="4" s="1"/>
  <c r="AN22" i="4"/>
  <c r="BH22" i="4"/>
  <c r="BL22" i="4"/>
  <c r="BM22" i="4"/>
  <c r="BM26" i="4" s="1"/>
  <c r="BM30" i="4" s="1"/>
  <c r="BM34" i="4" s="1"/>
  <c r="BM38" i="4" s="1"/>
  <c r="BS22" i="4"/>
  <c r="V25" i="4"/>
  <c r="Z25" i="4"/>
  <c r="AF25" i="4"/>
  <c r="AJ25" i="4"/>
  <c r="AN25" i="4"/>
  <c r="AO25" i="4"/>
  <c r="BH25" i="4"/>
  <c r="BL25" i="4"/>
  <c r="G26" i="4"/>
  <c r="J26" i="4"/>
  <c r="R26" i="4"/>
  <c r="S26" i="4"/>
  <c r="V26" i="4"/>
  <c r="Z26" i="4"/>
  <c r="AA26" i="4"/>
  <c r="AA30" i="4" s="1"/>
  <c r="AF26" i="4"/>
  <c r="AJ26" i="4"/>
  <c r="AN26" i="4"/>
  <c r="AO26" i="4"/>
  <c r="BH26" i="4"/>
  <c r="BL26" i="4"/>
  <c r="BS26" i="4"/>
  <c r="V29" i="4"/>
  <c r="Z29" i="4"/>
  <c r="AF29" i="4"/>
  <c r="AJ29" i="4"/>
  <c r="AN29" i="4"/>
  <c r="AO29" i="4"/>
  <c r="BH29" i="4"/>
  <c r="BL29" i="4"/>
  <c r="G30" i="4"/>
  <c r="J30" i="4"/>
  <c r="S30" i="4" s="1"/>
  <c r="R30" i="4"/>
  <c r="V30" i="4"/>
  <c r="Z30" i="4"/>
  <c r="AF30" i="4"/>
  <c r="AG30" i="4"/>
  <c r="AG34" i="4" s="1"/>
  <c r="AJ30" i="4"/>
  <c r="AO30" i="4" s="1"/>
  <c r="AN30" i="4"/>
  <c r="BH30" i="4"/>
  <c r="BL30" i="4"/>
  <c r="BS30" i="4"/>
  <c r="V33" i="4"/>
  <c r="Z33" i="4"/>
  <c r="AF33" i="4"/>
  <c r="AJ33" i="4"/>
  <c r="AN33" i="4"/>
  <c r="AO33" i="4"/>
  <c r="BH33" i="4"/>
  <c r="BL33" i="4"/>
  <c r="G34" i="4"/>
  <c r="J34" i="4"/>
  <c r="R34" i="4"/>
  <c r="S34" i="4"/>
  <c r="V34" i="4"/>
  <c r="Z34" i="4"/>
  <c r="AA34" i="4"/>
  <c r="AA38" i="4" s="1"/>
  <c r="AA42" i="4" s="1"/>
  <c r="AF34" i="4"/>
  <c r="AJ34" i="4"/>
  <c r="AN34" i="4"/>
  <c r="AO34" i="4"/>
  <c r="BH34" i="4"/>
  <c r="BL34" i="4"/>
  <c r="BS34" i="4"/>
  <c r="V37" i="4"/>
  <c r="Z37" i="4"/>
  <c r="AF37" i="4"/>
  <c r="AJ37" i="4"/>
  <c r="AN37" i="4"/>
  <c r="AO37" i="4"/>
  <c r="BH37" i="4"/>
  <c r="BL37" i="4"/>
  <c r="G38" i="4"/>
  <c r="J38" i="4"/>
  <c r="S38" i="4" s="1"/>
  <c r="R38" i="4"/>
  <c r="V38" i="4"/>
  <c r="Z38" i="4"/>
  <c r="AF38" i="4"/>
  <c r="AG38" i="4"/>
  <c r="AJ38" i="4"/>
  <c r="AO38" i="4" s="1"/>
  <c r="AN38" i="4"/>
  <c r="BH38" i="4"/>
  <c r="BL38" i="4"/>
  <c r="BS38" i="4"/>
  <c r="V41" i="4"/>
  <c r="Z41" i="4"/>
  <c r="AF41" i="4"/>
  <c r="AJ41" i="4"/>
  <c r="AN41" i="4"/>
  <c r="AO41" i="4"/>
  <c r="BH41" i="4"/>
  <c r="BL41" i="4"/>
  <c r="G42" i="4"/>
  <c r="J42" i="4"/>
  <c r="R42" i="4"/>
  <c r="S42" i="4"/>
  <c r="V42" i="4"/>
  <c r="Z42" i="4"/>
  <c r="AF42" i="4"/>
  <c r="AG42" i="4" s="1"/>
  <c r="AG46" i="4" s="1"/>
  <c r="AJ42" i="4"/>
  <c r="AN42" i="4"/>
  <c r="AO42" i="4"/>
  <c r="BH42" i="4"/>
  <c r="BL42" i="4"/>
  <c r="BS42" i="4"/>
  <c r="V45" i="4"/>
  <c r="Z45" i="4"/>
  <c r="AF45" i="4"/>
  <c r="AJ45" i="4"/>
  <c r="AN45" i="4"/>
  <c r="AO45" i="4"/>
  <c r="BH45" i="4"/>
  <c r="BL45" i="4"/>
  <c r="G46" i="4"/>
  <c r="J46" i="4"/>
  <c r="S46" i="4" s="1"/>
  <c r="R46" i="4"/>
  <c r="V46" i="4"/>
  <c r="Z46" i="4"/>
  <c r="AF46" i="4"/>
  <c r="AJ46" i="4"/>
  <c r="AO46" i="4" s="1"/>
  <c r="AN46" i="4"/>
  <c r="BH46" i="4"/>
  <c r="BL46" i="4"/>
  <c r="BS46" i="4"/>
  <c r="V49" i="4"/>
  <c r="Z49" i="4"/>
  <c r="AF49" i="4"/>
  <c r="AJ49" i="4"/>
  <c r="AN49" i="4"/>
  <c r="AO49" i="4"/>
  <c r="BH49" i="4"/>
  <c r="BL49" i="4"/>
  <c r="G50" i="4"/>
  <c r="J50" i="4"/>
  <c r="R50" i="4"/>
  <c r="S50" i="4"/>
  <c r="V50" i="4"/>
  <c r="Z50" i="4"/>
  <c r="AF50" i="4"/>
  <c r="AJ50" i="4"/>
  <c r="AN50" i="4"/>
  <c r="AO50" i="4"/>
  <c r="BH50" i="4"/>
  <c r="BL50" i="4"/>
  <c r="BS50" i="4"/>
  <c r="V53" i="4"/>
  <c r="Z53" i="4"/>
  <c r="AF53" i="4"/>
  <c r="AJ53" i="4"/>
  <c r="AN53" i="4"/>
  <c r="AO53" i="4"/>
  <c r="BH53" i="4"/>
  <c r="BL53" i="4"/>
  <c r="G54" i="4"/>
  <c r="J54" i="4"/>
  <c r="R54" i="4"/>
  <c r="V54" i="4"/>
  <c r="Z54" i="4"/>
  <c r="AF54" i="4"/>
  <c r="AJ54" i="4"/>
  <c r="AO54" i="4" s="1"/>
  <c r="AN54" i="4"/>
  <c r="BH54" i="4"/>
  <c r="BL54" i="4"/>
  <c r="BS54" i="4"/>
  <c r="V57" i="4"/>
  <c r="Z57" i="4"/>
  <c r="AF57" i="4"/>
  <c r="AJ57" i="4"/>
  <c r="AN57" i="4"/>
  <c r="AO57" i="4"/>
  <c r="BH57" i="4"/>
  <c r="BL57" i="4"/>
  <c r="G58" i="4"/>
  <c r="J58" i="4"/>
  <c r="R58" i="4"/>
  <c r="S58" i="4"/>
  <c r="V58" i="4"/>
  <c r="Z58" i="4"/>
  <c r="AF58" i="4"/>
  <c r="AJ58" i="4"/>
  <c r="AN58" i="4"/>
  <c r="AO58" i="4"/>
  <c r="BH58" i="4"/>
  <c r="BL58" i="4"/>
  <c r="BS58" i="4"/>
  <c r="V61" i="4"/>
  <c r="Z61" i="4"/>
  <c r="AF61" i="4"/>
  <c r="AJ61" i="4"/>
  <c r="AN61" i="4"/>
  <c r="AO61" i="4"/>
  <c r="BH61" i="4"/>
  <c r="BL61" i="4"/>
  <c r="G62" i="4"/>
  <c r="J62" i="4"/>
  <c r="R62" i="4"/>
  <c r="V62" i="4"/>
  <c r="Z62" i="4"/>
  <c r="AF62" i="4"/>
  <c r="AJ62" i="4"/>
  <c r="AO62" i="4" s="1"/>
  <c r="AN62" i="4"/>
  <c r="BH62" i="4"/>
  <c r="BL62" i="4"/>
  <c r="BS62" i="4"/>
  <c r="V65" i="4"/>
  <c r="Z65" i="4"/>
  <c r="AF65" i="4"/>
  <c r="AJ65" i="4"/>
  <c r="AN65" i="4"/>
  <c r="AO65" i="4"/>
  <c r="BH65" i="4"/>
  <c r="BL65" i="4"/>
  <c r="G66" i="4"/>
  <c r="J66" i="4"/>
  <c r="R66" i="4"/>
  <c r="S66" i="4"/>
  <c r="V66" i="4"/>
  <c r="Z66" i="4"/>
  <c r="AF66" i="4"/>
  <c r="AJ66" i="4"/>
  <c r="AO66" i="4" s="1"/>
  <c r="AN66" i="4"/>
  <c r="BH66" i="4"/>
  <c r="BL66" i="4"/>
  <c r="BS66" i="4"/>
  <c r="V69" i="4"/>
  <c r="Z69" i="4"/>
  <c r="AF69" i="4"/>
  <c r="AJ69" i="4"/>
  <c r="AN69" i="4"/>
  <c r="AO69" i="4"/>
  <c r="BH69" i="4"/>
  <c r="BL69" i="4"/>
  <c r="G70" i="4"/>
  <c r="S70" i="4" s="1"/>
  <c r="J70" i="4"/>
  <c r="R70" i="4"/>
  <c r="V70" i="4"/>
  <c r="Z70" i="4"/>
  <c r="AF70" i="4"/>
  <c r="AJ70" i="4"/>
  <c r="AO70" i="4" s="1"/>
  <c r="AN70" i="4"/>
  <c r="BH70" i="4"/>
  <c r="BL70" i="4"/>
  <c r="BS70" i="4"/>
  <c r="V73" i="4"/>
  <c r="Z73" i="4"/>
  <c r="AF73" i="4"/>
  <c r="AJ73" i="4"/>
  <c r="AN73" i="4"/>
  <c r="AO73" i="4"/>
  <c r="BH73" i="4"/>
  <c r="BL73" i="4"/>
  <c r="G74" i="4"/>
  <c r="J74" i="4"/>
  <c r="R74" i="4"/>
  <c r="S74" i="4"/>
  <c r="V74" i="4"/>
  <c r="Z74" i="4"/>
  <c r="AF74" i="4"/>
  <c r="AJ74" i="4"/>
  <c r="AO74" i="4" s="1"/>
  <c r="AN74" i="4"/>
  <c r="BH74" i="4"/>
  <c r="BL74" i="4"/>
  <c r="BS74" i="4"/>
  <c r="V77" i="4"/>
  <c r="Z77" i="4"/>
  <c r="AF77" i="4"/>
  <c r="AJ77" i="4"/>
  <c r="AN77" i="4"/>
  <c r="AO77" i="4"/>
  <c r="BH77" i="4"/>
  <c r="BL77" i="4"/>
  <c r="G78" i="4"/>
  <c r="J78" i="4"/>
  <c r="R78" i="4"/>
  <c r="V78" i="4"/>
  <c r="Z78" i="4"/>
  <c r="AF78" i="4"/>
  <c r="AJ78" i="4"/>
  <c r="AO78" i="4" s="1"/>
  <c r="AN78" i="4"/>
  <c r="BH78" i="4"/>
  <c r="BL78" i="4"/>
  <c r="BS78" i="4"/>
  <c r="V81" i="4"/>
  <c r="Z81" i="4"/>
  <c r="AF81" i="4"/>
  <c r="AJ81" i="4"/>
  <c r="AN81" i="4"/>
  <c r="AO81" i="4"/>
  <c r="BH81" i="4"/>
  <c r="BL81" i="4"/>
  <c r="G82" i="4"/>
  <c r="J82" i="4"/>
  <c r="R82" i="4"/>
  <c r="S82" i="4"/>
  <c r="V82" i="4"/>
  <c r="Z82" i="4"/>
  <c r="AF82" i="4"/>
  <c r="AJ82" i="4"/>
  <c r="AO82" i="4" s="1"/>
  <c r="AN82" i="4"/>
  <c r="BH82" i="4"/>
  <c r="BL82" i="4"/>
  <c r="BS82" i="4"/>
  <c r="V85" i="4"/>
  <c r="Z85" i="4"/>
  <c r="AF85" i="4"/>
  <c r="AJ85" i="4"/>
  <c r="AN85" i="4"/>
  <c r="AO85" i="4"/>
  <c r="BH85" i="4"/>
  <c r="BL85" i="4"/>
  <c r="G86" i="4"/>
  <c r="S86" i="4" s="1"/>
  <c r="J86" i="4"/>
  <c r="R86" i="4"/>
  <c r="V86" i="4"/>
  <c r="Z86" i="4"/>
  <c r="AF86" i="4"/>
  <c r="AJ86" i="4"/>
  <c r="AO86" i="4" s="1"/>
  <c r="AN86" i="4"/>
  <c r="BH86" i="4"/>
  <c r="BL86" i="4"/>
  <c r="BS86" i="4"/>
  <c r="V89" i="4"/>
  <c r="Z89" i="4"/>
  <c r="AF89" i="4"/>
  <c r="AJ89" i="4"/>
  <c r="AN89" i="4"/>
  <c r="AO89" i="4"/>
  <c r="BH89" i="4"/>
  <c r="BL89" i="4"/>
  <c r="G90" i="4"/>
  <c r="S90" i="4" s="1"/>
  <c r="J90" i="4"/>
  <c r="R90" i="4"/>
  <c r="V90" i="4"/>
  <c r="Z90" i="4"/>
  <c r="AF90" i="4"/>
  <c r="AJ90" i="4"/>
  <c r="AO90" i="4" s="1"/>
  <c r="AN90" i="4"/>
  <c r="BH90" i="4"/>
  <c r="BL90" i="4"/>
  <c r="BS90" i="4"/>
  <c r="V93" i="4"/>
  <c r="Z93" i="4"/>
  <c r="AF93" i="4"/>
  <c r="AJ93" i="4"/>
  <c r="AN93" i="4"/>
  <c r="AO93" i="4"/>
  <c r="BH93" i="4"/>
  <c r="BL93" i="4"/>
  <c r="G94" i="4"/>
  <c r="S94" i="4" s="1"/>
  <c r="J94" i="4"/>
  <c r="R94" i="4"/>
  <c r="V94" i="4"/>
  <c r="Z94" i="4"/>
  <c r="AF94" i="4"/>
  <c r="AJ94" i="4"/>
  <c r="AO94" i="4" s="1"/>
  <c r="AN94" i="4"/>
  <c r="BH94" i="4"/>
  <c r="BL94" i="4"/>
  <c r="BS94" i="4"/>
  <c r="V97" i="4"/>
  <c r="Z97" i="4"/>
  <c r="AF97" i="4"/>
  <c r="AJ97" i="4"/>
  <c r="AN97" i="4"/>
  <c r="AO97" i="4"/>
  <c r="BH97" i="4"/>
  <c r="BL97" i="4"/>
  <c r="G98" i="4"/>
  <c r="S98" i="4" s="1"/>
  <c r="J98" i="4"/>
  <c r="R98" i="4"/>
  <c r="V98" i="4"/>
  <c r="Z98" i="4"/>
  <c r="AF98" i="4"/>
  <c r="AJ98" i="4"/>
  <c r="AO98" i="4" s="1"/>
  <c r="AN98" i="4"/>
  <c r="BH98" i="4"/>
  <c r="BL98" i="4"/>
  <c r="BS98" i="4"/>
  <c r="V101" i="4"/>
  <c r="Z101" i="4"/>
  <c r="AF101" i="4"/>
  <c r="AJ101" i="4"/>
  <c r="AN101" i="4"/>
  <c r="AO101" i="4"/>
  <c r="BH101" i="4"/>
  <c r="BL101" i="4"/>
  <c r="G102" i="4"/>
  <c r="S102" i="4" s="1"/>
  <c r="J102" i="4"/>
  <c r="R102" i="4"/>
  <c r="V102" i="4"/>
  <c r="Z102" i="4"/>
  <c r="AF102" i="4"/>
  <c r="AJ102" i="4"/>
  <c r="AN102" i="4"/>
  <c r="AO102" i="4"/>
  <c r="BH102" i="4"/>
  <c r="BL102" i="4"/>
  <c r="BS102" i="4"/>
  <c r="V105" i="4"/>
  <c r="Z105" i="4"/>
  <c r="AF105" i="4"/>
  <c r="AJ105" i="4"/>
  <c r="AN105" i="4"/>
  <c r="AO105" i="4"/>
  <c r="BH105" i="4"/>
  <c r="BL105" i="4"/>
  <c r="G106" i="4"/>
  <c r="J106" i="4"/>
  <c r="R106" i="4"/>
  <c r="S106" i="4"/>
  <c r="V106" i="4"/>
  <c r="Z106" i="4"/>
  <c r="AF106" i="4"/>
  <c r="AJ106" i="4"/>
  <c r="AO106" i="4" s="1"/>
  <c r="AN106" i="4"/>
  <c r="BH106" i="4"/>
  <c r="BL106" i="4"/>
  <c r="BS106" i="4"/>
  <c r="V109" i="4"/>
  <c r="Z109" i="4"/>
  <c r="AF109" i="4"/>
  <c r="AJ109" i="4"/>
  <c r="AN109" i="4"/>
  <c r="AO109" i="4"/>
  <c r="BH109" i="4"/>
  <c r="BL109" i="4"/>
  <c r="G110" i="4"/>
  <c r="S110" i="4" s="1"/>
  <c r="J110" i="4"/>
  <c r="R110" i="4"/>
  <c r="V110" i="4"/>
  <c r="Z110" i="4"/>
  <c r="AF110" i="4"/>
  <c r="AJ110" i="4"/>
  <c r="AN110" i="4"/>
  <c r="AO110" i="4"/>
  <c r="BH110" i="4"/>
  <c r="BL110" i="4"/>
  <c r="BS110" i="4"/>
  <c r="V113" i="4"/>
  <c r="Z113" i="4"/>
  <c r="AF113" i="4"/>
  <c r="AJ113" i="4"/>
  <c r="AN113" i="4"/>
  <c r="AO113" i="4"/>
  <c r="BH113" i="4"/>
  <c r="BL113" i="4"/>
  <c r="G114" i="4"/>
  <c r="J114" i="4"/>
  <c r="R114" i="4"/>
  <c r="S114" i="4"/>
  <c r="V114" i="4"/>
  <c r="Z114" i="4"/>
  <c r="AF114" i="4"/>
  <c r="AJ114" i="4"/>
  <c r="AO114" i="4" s="1"/>
  <c r="AN114" i="4"/>
  <c r="BH114" i="4"/>
  <c r="BL114" i="4"/>
  <c r="BS114" i="4"/>
  <c r="V117" i="4"/>
  <c r="Z117" i="4"/>
  <c r="AF117" i="4"/>
  <c r="AJ117" i="4"/>
  <c r="AN117" i="4"/>
  <c r="AO117" i="4"/>
  <c r="BH117" i="4"/>
  <c r="BL117" i="4"/>
  <c r="G118" i="4"/>
  <c r="S118" i="4" s="1"/>
  <c r="J118" i="4"/>
  <c r="R118" i="4"/>
  <c r="V118" i="4"/>
  <c r="Z118" i="4"/>
  <c r="AF118" i="4"/>
  <c r="AJ118" i="4"/>
  <c r="AN118" i="4"/>
  <c r="AO118" i="4"/>
  <c r="BH118" i="4"/>
  <c r="BL118" i="4"/>
  <c r="BS118" i="4"/>
  <c r="V121" i="4"/>
  <c r="Z121" i="4"/>
  <c r="AF121" i="4"/>
  <c r="AJ121" i="4"/>
  <c r="AN121" i="4"/>
  <c r="AO121" i="4"/>
  <c r="BH121" i="4"/>
  <c r="BL121" i="4"/>
  <c r="G122" i="4"/>
  <c r="J122" i="4"/>
  <c r="R122" i="4"/>
  <c r="S122" i="4"/>
  <c r="V122" i="4"/>
  <c r="Z122" i="4"/>
  <c r="AF122" i="4"/>
  <c r="AJ122" i="4"/>
  <c r="AO122" i="4" s="1"/>
  <c r="AN122" i="4"/>
  <c r="BH122" i="4"/>
  <c r="BL122" i="4"/>
  <c r="BS122" i="4"/>
  <c r="BS130" i="4" s="1"/>
  <c r="V125" i="4"/>
  <c r="Z125" i="4"/>
  <c r="AF125" i="4"/>
  <c r="AJ125" i="4"/>
  <c r="AN125" i="4"/>
  <c r="AO125" i="4"/>
  <c r="BH125" i="4"/>
  <c r="BL125" i="4"/>
  <c r="G126" i="4"/>
  <c r="S126" i="4" s="1"/>
  <c r="J126" i="4"/>
  <c r="R126" i="4"/>
  <c r="V126" i="4"/>
  <c r="Z126" i="4"/>
  <c r="AF126" i="4"/>
  <c r="AJ126" i="4"/>
  <c r="AN126" i="4"/>
  <c r="AO126" i="4"/>
  <c r="BH126" i="4"/>
  <c r="BL126" i="4"/>
  <c r="BS126" i="4"/>
  <c r="T130" i="4"/>
  <c r="AQ130" i="4"/>
  <c r="AR130" i="4"/>
  <c r="AS130" i="4"/>
  <c r="BO130" i="4"/>
  <c r="BO6" i="4" s="1"/>
  <c r="BP130" i="4"/>
  <c r="BP6" i="4" s="1"/>
  <c r="BQ130" i="4"/>
  <c r="BQ6" i="4" s="1"/>
  <c r="BR130" i="4"/>
  <c r="BR6" i="4" s="1"/>
  <c r="O33" i="5" l="1"/>
  <c r="Q33" i="5"/>
  <c r="Q62" i="5" s="1"/>
  <c r="Z62" i="5" s="1"/>
  <c r="K26" i="5"/>
  <c r="K23" i="5" s="1"/>
  <c r="N33" i="5"/>
  <c r="S23" i="5"/>
  <c r="S58" i="5"/>
  <c r="S35" i="5"/>
  <c r="S34" i="5" s="1"/>
  <c r="L43" i="5"/>
  <c r="L9" i="5"/>
  <c r="I34" i="5"/>
  <c r="I33" i="5" s="1"/>
  <c r="L23" i="5"/>
  <c r="L8" i="5" s="1"/>
  <c r="J8" i="5"/>
  <c r="R9" i="5"/>
  <c r="S9" i="5"/>
  <c r="S8" i="5" s="1"/>
  <c r="J34" i="5"/>
  <c r="J33" i="5" s="1"/>
  <c r="K9" i="5"/>
  <c r="O136" i="5"/>
  <c r="G134" i="5"/>
  <c r="G136" i="5" s="1"/>
  <c r="N62" i="5"/>
  <c r="F63" i="5" s="1"/>
  <c r="I62" i="5"/>
  <c r="N104" i="5"/>
  <c r="N133" i="5" s="1"/>
  <c r="F134" i="5" s="1"/>
  <c r="S43" i="5"/>
  <c r="S33" i="5" s="1"/>
  <c r="P33" i="5"/>
  <c r="P62" i="5" s="1"/>
  <c r="I63" i="5" s="1"/>
  <c r="O62" i="5"/>
  <c r="S53" i="5"/>
  <c r="L34" i="5"/>
  <c r="R8" i="5"/>
  <c r="BS6" i="4"/>
  <c r="AP18" i="4"/>
  <c r="AP22" i="4" s="1"/>
  <c r="AP26" i="4" s="1"/>
  <c r="AP30" i="4" s="1"/>
  <c r="AP34" i="4" s="1"/>
  <c r="AP38" i="4" s="1"/>
  <c r="AP42" i="4" s="1"/>
  <c r="AP46" i="4" s="1"/>
  <c r="AP50" i="4" s="1"/>
  <c r="AP54" i="4" s="1"/>
  <c r="AP58" i="4" s="1"/>
  <c r="AP62" i="4" s="1"/>
  <c r="AP66" i="4" s="1"/>
  <c r="AP70" i="4" s="1"/>
  <c r="AP74" i="4" s="1"/>
  <c r="AP78" i="4" s="1"/>
  <c r="AP82" i="4" s="1"/>
  <c r="AP86" i="4" s="1"/>
  <c r="AP90" i="4" s="1"/>
  <c r="AP94" i="4" s="1"/>
  <c r="AP98" i="4" s="1"/>
  <c r="AP102" i="4" s="1"/>
  <c r="AP106" i="4" s="1"/>
  <c r="AP110" i="4" s="1"/>
  <c r="AP114" i="4" s="1"/>
  <c r="AP118" i="4" s="1"/>
  <c r="AP122" i="4" s="1"/>
  <c r="AP126" i="4" s="1"/>
  <c r="S54" i="4"/>
  <c r="AG50" i="4"/>
  <c r="AG54" i="4" s="1"/>
  <c r="BU14" i="4"/>
  <c r="S78" i="4"/>
  <c r="S62" i="4"/>
  <c r="AG58" i="4"/>
  <c r="AG62" i="4" s="1"/>
  <c r="AG66" i="4" s="1"/>
  <c r="AG70" i="4" s="1"/>
  <c r="AG74" i="4" s="1"/>
  <c r="AG78" i="4" s="1"/>
  <c r="AG82" i="4" s="1"/>
  <c r="AG86" i="4" s="1"/>
  <c r="AG90" i="4" s="1"/>
  <c r="AG94" i="4" s="1"/>
  <c r="AG98" i="4" s="1"/>
  <c r="AG102" i="4" s="1"/>
  <c r="AG106" i="4" s="1"/>
  <c r="AG110" i="4" s="1"/>
  <c r="AG114" i="4" s="1"/>
  <c r="AG118" i="4" s="1"/>
  <c r="AG122" i="4" s="1"/>
  <c r="AG126" i="4" s="1"/>
  <c r="BM42" i="4"/>
  <c r="BM46" i="4" s="1"/>
  <c r="BM50" i="4" s="1"/>
  <c r="BM54" i="4" s="1"/>
  <c r="BM58" i="4" s="1"/>
  <c r="BM62" i="4" s="1"/>
  <c r="BM66" i="4" s="1"/>
  <c r="BM70" i="4" s="1"/>
  <c r="BM74" i="4" s="1"/>
  <c r="BM78" i="4" s="1"/>
  <c r="BM82" i="4" s="1"/>
  <c r="BM86" i="4" s="1"/>
  <c r="BM90" i="4" s="1"/>
  <c r="BM94" i="4" s="1"/>
  <c r="BM98" i="4" s="1"/>
  <c r="BM102" i="4" s="1"/>
  <c r="BM106" i="4" s="1"/>
  <c r="BM110" i="4" s="1"/>
  <c r="BM114" i="4" s="1"/>
  <c r="BM118" i="4" s="1"/>
  <c r="BM122" i="4" s="1"/>
  <c r="BM126" i="4" s="1"/>
  <c r="BN14" i="4"/>
  <c r="W18" i="4"/>
  <c r="BU18" i="4"/>
  <c r="BI22" i="4"/>
  <c r="AA46" i="4"/>
  <c r="K8" i="5" l="1"/>
  <c r="L33" i="5"/>
  <c r="J62" i="5"/>
  <c r="L62" i="5" s="1"/>
  <c r="O65" i="5"/>
  <c r="G63" i="5"/>
  <c r="G65" i="5" s="1"/>
  <c r="J63" i="5"/>
  <c r="Q65" i="5"/>
  <c r="S62" i="5"/>
  <c r="BT12" i="4"/>
  <c r="BU22" i="4"/>
  <c r="BI26" i="4"/>
  <c r="AG130" i="4"/>
  <c r="AF130" i="4" s="1"/>
  <c r="AA50" i="4"/>
  <c r="AA54" i="4" s="1"/>
  <c r="AA58" i="4" s="1"/>
  <c r="AA62" i="4" s="1"/>
  <c r="AA66" i="4" s="1"/>
  <c r="AA70" i="4" s="1"/>
  <c r="AA74" i="4" s="1"/>
  <c r="AA78" i="4" s="1"/>
  <c r="AA82" i="4" s="1"/>
  <c r="AA86" i="4" s="1"/>
  <c r="AA90" i="4" s="1"/>
  <c r="AA94" i="4" s="1"/>
  <c r="AA98" i="4" s="1"/>
  <c r="AA102" i="4" s="1"/>
  <c r="AA106" i="4" s="1"/>
  <c r="AA110" i="4" s="1"/>
  <c r="AA114" i="4" s="1"/>
  <c r="AA118" i="4" s="1"/>
  <c r="AA122" i="4" s="1"/>
  <c r="AA126" i="4" s="1"/>
  <c r="AA130" i="4"/>
  <c r="Z130" i="4" s="1"/>
  <c r="BN18" i="4"/>
  <c r="BT16" i="4" s="1"/>
  <c r="W22" i="4"/>
  <c r="BM130" i="4"/>
  <c r="BL130" i="4" s="1"/>
  <c r="AP130" i="4"/>
  <c r="L63" i="5" l="1"/>
  <c r="J65" i="5"/>
  <c r="BU26" i="4"/>
  <c r="BI30" i="4"/>
  <c r="BN22" i="4"/>
  <c r="BT20" i="4" s="1"/>
  <c r="W26" i="4"/>
  <c r="BU30" i="4" l="1"/>
  <c r="BI34" i="4"/>
  <c r="BN26" i="4"/>
  <c r="BT24" i="4" s="1"/>
  <c r="W30" i="4"/>
  <c r="BU34" i="4" l="1"/>
  <c r="BI38" i="4"/>
  <c r="BN30" i="4"/>
  <c r="BT28" i="4" s="1"/>
  <c r="W34" i="4"/>
  <c r="BU38" i="4" l="1"/>
  <c r="BI42" i="4"/>
  <c r="BN34" i="4"/>
  <c r="BT32" i="4" s="1"/>
  <c r="W38" i="4"/>
  <c r="BU42" i="4" l="1"/>
  <c r="BI46" i="4"/>
  <c r="BN38" i="4"/>
  <c r="BT36" i="4" s="1"/>
  <c r="W42" i="4"/>
  <c r="BU46" i="4" l="1"/>
  <c r="BI50" i="4"/>
  <c r="BN42" i="4"/>
  <c r="BT40" i="4" s="1"/>
  <c r="W46" i="4"/>
  <c r="BU50" i="4" l="1"/>
  <c r="BI54" i="4"/>
  <c r="BN46" i="4"/>
  <c r="BT44" i="4" s="1"/>
  <c r="W50" i="4"/>
  <c r="BU54" i="4" l="1"/>
  <c r="BI58" i="4"/>
  <c r="BN50" i="4"/>
  <c r="BT48" i="4" s="1"/>
  <c r="W54" i="4"/>
  <c r="BU58" i="4" l="1"/>
  <c r="BI62" i="4"/>
  <c r="BN54" i="4"/>
  <c r="BT52" i="4" s="1"/>
  <c r="W58" i="4"/>
  <c r="BU62" i="4" l="1"/>
  <c r="BI66" i="4"/>
  <c r="BN58" i="4"/>
  <c r="BT56" i="4" s="1"/>
  <c r="W62" i="4"/>
  <c r="BU66" i="4" l="1"/>
  <c r="BI70" i="4"/>
  <c r="BN62" i="4"/>
  <c r="BT60" i="4" s="1"/>
  <c r="W66" i="4"/>
  <c r="BN66" i="4" l="1"/>
  <c r="BT64" i="4" s="1"/>
  <c r="W70" i="4"/>
  <c r="BU70" i="4"/>
  <c r="BI74" i="4"/>
  <c r="BU74" i="4" l="1"/>
  <c r="BI78" i="4"/>
  <c r="BN70" i="4"/>
  <c r="BT68" i="4" s="1"/>
  <c r="W74" i="4"/>
  <c r="BN74" i="4" l="1"/>
  <c r="BT72" i="4" s="1"/>
  <c r="W78" i="4"/>
  <c r="BU78" i="4"/>
  <c r="BI82" i="4"/>
  <c r="BU82" i="4" l="1"/>
  <c r="BI86" i="4"/>
  <c r="BN78" i="4"/>
  <c r="BT76" i="4" s="1"/>
  <c r="W82" i="4"/>
  <c r="BU86" i="4" l="1"/>
  <c r="BI90" i="4"/>
  <c r="BN82" i="4"/>
  <c r="BT80" i="4" s="1"/>
  <c r="W86" i="4"/>
  <c r="BN86" i="4" l="1"/>
  <c r="BT84" i="4" s="1"/>
  <c r="W90" i="4"/>
  <c r="BU90" i="4"/>
  <c r="BI94" i="4"/>
  <c r="BN90" i="4" l="1"/>
  <c r="BT88" i="4" s="1"/>
  <c r="W94" i="4"/>
  <c r="BU94" i="4"/>
  <c r="BI98" i="4"/>
  <c r="BU98" i="4" l="1"/>
  <c r="BI102" i="4"/>
  <c r="BN94" i="4"/>
  <c r="BT92" i="4" s="1"/>
  <c r="W98" i="4"/>
  <c r="BI106" i="4" l="1"/>
  <c r="BU102" i="4"/>
  <c r="BN98" i="4"/>
  <c r="BT96" i="4" s="1"/>
  <c r="W102" i="4"/>
  <c r="BN102" i="4" l="1"/>
  <c r="BT100" i="4" s="1"/>
  <c r="W106" i="4"/>
  <c r="BU106" i="4"/>
  <c r="BI110" i="4"/>
  <c r="BI114" i="4" l="1"/>
  <c r="BU110" i="4"/>
  <c r="BN106" i="4"/>
  <c r="BT104" i="4" s="1"/>
  <c r="W110" i="4"/>
  <c r="BN110" i="4" l="1"/>
  <c r="BT108" i="4" s="1"/>
  <c r="W114" i="4"/>
  <c r="BU114" i="4"/>
  <c r="BI118" i="4"/>
  <c r="BU118" i="4" l="1"/>
  <c r="BI122" i="4"/>
  <c r="W118" i="4"/>
  <c r="BN114" i="4"/>
  <c r="BT112" i="4" s="1"/>
  <c r="BN118" i="4" l="1"/>
  <c r="BT116" i="4" s="1"/>
  <c r="W122" i="4"/>
  <c r="BU122" i="4"/>
  <c r="BI126" i="4"/>
  <c r="BU126" i="4" l="1"/>
  <c r="BU130" i="4" s="1"/>
  <c r="BI130" i="4"/>
  <c r="BH130" i="4" s="1"/>
  <c r="BN122" i="4"/>
  <c r="BT120" i="4" s="1"/>
  <c r="W126" i="4"/>
  <c r="BN126" i="4" l="1"/>
  <c r="W130" i="4"/>
  <c r="V130" i="4" s="1"/>
  <c r="BT124" i="4" l="1"/>
  <c r="BT131" i="4" s="1"/>
  <c r="BN130" i="4"/>
  <c r="BT130" i="4" s="1"/>
</calcChain>
</file>

<file path=xl/sharedStrings.xml><?xml version="1.0" encoding="utf-8"?>
<sst xmlns="http://schemas.openxmlformats.org/spreadsheetml/2006/main" count="1864" uniqueCount="377">
  <si>
    <t/>
  </si>
  <si>
    <t>v.3</t>
  </si>
  <si>
    <t>Расчет суточной добычи нефти и ГТМ (итоги)</t>
  </si>
  <si>
    <t>№
п/п</t>
  </si>
  <si>
    <t>Показатели отчетного месяца</t>
  </si>
  <si>
    <t>БП</t>
  </si>
  <si>
    <t>Суточная добыча</t>
  </si>
  <si>
    <t>+/-</t>
  </si>
  <si>
    <t>Абсолютная добыча</t>
  </si>
  <si>
    <t>Примечание</t>
  </si>
  <si>
    <t>График</t>
  </si>
  <si>
    <t>Факт</t>
  </si>
  <si>
    <t>к БП</t>
  </si>
  <si>
    <t>к графику</t>
  </si>
  <si>
    <t>БП
(тонн)</t>
  </si>
  <si>
    <t>скв.</t>
  </si>
  <si>
    <t>т/сут</t>
  </si>
  <si>
    <t>м3/сут</t>
  </si>
  <si>
    <t>скв</t>
  </si>
  <si>
    <t>м3</t>
  </si>
  <si>
    <t>тн</t>
  </si>
  <si>
    <t>Входная добыча</t>
  </si>
  <si>
    <t>0</t>
  </si>
  <si>
    <t>Прирост добычи нефти, в том числе:</t>
  </si>
  <si>
    <t>2.1</t>
  </si>
  <si>
    <t>Основные ГТМ</t>
  </si>
  <si>
    <t>2.1.1</t>
  </si>
  <si>
    <t>Ввод новых скважин</t>
  </si>
  <si>
    <t>2.1.2</t>
  </si>
  <si>
    <t>Ввод из других категорий</t>
  </si>
  <si>
    <t>2.1.3</t>
  </si>
  <si>
    <t>Расконсервация разведочных скважин</t>
  </si>
  <si>
    <t>2.1.4</t>
  </si>
  <si>
    <t>ГРП</t>
  </si>
  <si>
    <t>2.1.5</t>
  </si>
  <si>
    <t>Зарезка бокового ствола</t>
  </si>
  <si>
    <t>2.1.6</t>
  </si>
  <si>
    <t>Углубление</t>
  </si>
  <si>
    <t>2.1.7</t>
  </si>
  <si>
    <t>Оптимизация (целевая)</t>
  </si>
  <si>
    <t>2.1.8</t>
  </si>
  <si>
    <t>ОПЗ (целевая)</t>
  </si>
  <si>
    <t>2.1.9</t>
  </si>
  <si>
    <t>Возврат</t>
  </si>
  <si>
    <t>2.1.10</t>
  </si>
  <si>
    <t>РИР</t>
  </si>
  <si>
    <t>2.1.11</t>
  </si>
  <si>
    <t>Ликвидация аварий</t>
  </si>
  <si>
    <t>2.1.12</t>
  </si>
  <si>
    <t>ЛНЭК</t>
  </si>
  <si>
    <t>2.1.13</t>
  </si>
  <si>
    <t>Ввод из БД</t>
  </si>
  <si>
    <t>2.2</t>
  </si>
  <si>
    <t>Работа с фондом</t>
  </si>
  <si>
    <t>2.2.1</t>
  </si>
  <si>
    <t>Оптимизация</t>
  </si>
  <si>
    <t>2.2.2</t>
  </si>
  <si>
    <t>Приросты от мероприятий на базовом фонде</t>
  </si>
  <si>
    <t>2.2.3</t>
  </si>
  <si>
    <t>Работа с переходящим фондом</t>
  </si>
  <si>
    <t>2.2.4</t>
  </si>
  <si>
    <t>Ввод из БД ТГ (без инвест.), в т.ч.:</t>
  </si>
  <si>
    <t>ограничение добычи (ОПЕК)</t>
  </si>
  <si>
    <t>2.3.</t>
  </si>
  <si>
    <t>Сокращение потенциала простоя</t>
  </si>
  <si>
    <t>2.4.</t>
  </si>
  <si>
    <t>Прочая добыча (отраб.скв, амбары, стравливание…)</t>
  </si>
  <si>
    <t>Потери добычи нефти, в том числе:</t>
  </si>
  <si>
    <t>3.1</t>
  </si>
  <si>
    <t>Падение по базовому фонду, ГТМ</t>
  </si>
  <si>
    <t>3.1.1</t>
  </si>
  <si>
    <t>От среднесложившегося падения, в т.ч:</t>
  </si>
  <si>
    <t>3.1.1.1</t>
  </si>
  <si>
    <t>среднесложившееся падение по базовому фонду</t>
  </si>
  <si>
    <t>3.1.1.2</t>
  </si>
  <si>
    <t>среднесложившееся падение по фонду ГТМ</t>
  </si>
  <si>
    <t>0 т/сут</t>
  </si>
  <si>
    <t>3.1.2</t>
  </si>
  <si>
    <t>От сверхнормативного снижения, в т.ч:</t>
  </si>
  <si>
    <t>3.1.2.1</t>
  </si>
  <si>
    <t>сверхнормативное снижение по базовому фонду</t>
  </si>
  <si>
    <t>3.1.2.2</t>
  </si>
  <si>
    <t>сверхнормативное снижение по фонду ГТМ</t>
  </si>
  <si>
    <t>3.1.3</t>
  </si>
  <si>
    <t>Потери по  ГТМ отчетного месяца</t>
  </si>
  <si>
    <t>3.1.3.1</t>
  </si>
  <si>
    <t>по снижению дебита на последнее число</t>
  </si>
  <si>
    <t>3.2.</t>
  </si>
  <si>
    <t>От технологических причин, в т.ч:</t>
  </si>
  <si>
    <t>3.2.1</t>
  </si>
  <si>
    <t>Рост потенциала простоя</t>
  </si>
  <si>
    <t>3.2.1.1</t>
  </si>
  <si>
    <t>Потери по отказу скважин</t>
  </si>
  <si>
    <t>3.2.1.2</t>
  </si>
  <si>
    <t>Остановка  под КРС для выполнения ГТМ</t>
  </si>
  <si>
    <t>3.2.2</t>
  </si>
  <si>
    <t>Ост. дебит от ЗБС, Углуб., ПВЛГ/ПНЛГ</t>
  </si>
  <si>
    <t>3.2.3</t>
  </si>
  <si>
    <t>Остановка по распоряжению, в т.ч.:</t>
  </si>
  <si>
    <t>3.2.4</t>
  </si>
  <si>
    <t>Остановка нерентабельного фонда</t>
  </si>
  <si>
    <t>3.2.5</t>
  </si>
  <si>
    <t>Остановка для перевода в ППД</t>
  </si>
  <si>
    <t>3.2.6</t>
  </si>
  <si>
    <t>Прочие потери</t>
  </si>
  <si>
    <t>3.2.7</t>
  </si>
  <si>
    <t>Потери нефти по ОТМ</t>
  </si>
  <si>
    <t>3.2.7.1</t>
  </si>
  <si>
    <t>Потери из-за исследования скважин</t>
  </si>
  <si>
    <t>3.2.7.2</t>
  </si>
  <si>
    <t>Потери при работе на трубопроводах</t>
  </si>
  <si>
    <t>плановые потери при ОТМ</t>
  </si>
  <si>
    <t>аварийные потери от порывов</t>
  </si>
  <si>
    <t>3.2.7.3</t>
  </si>
  <si>
    <t>Отключение электроэнергии, в т.ч:</t>
  </si>
  <si>
    <t>плановое отключение</t>
  </si>
  <si>
    <t>аварийное отключение</t>
  </si>
  <si>
    <t>3.2.7.4</t>
  </si>
  <si>
    <t>Потери ОТМ УДНГ</t>
  </si>
  <si>
    <t>Выходная добыча</t>
  </si>
  <si>
    <t>среднесуточная</t>
  </si>
  <si>
    <t>+/- к бизнес-плану</t>
  </si>
  <si>
    <t>Ож. простой на 0 дату (граф)</t>
  </si>
  <si>
    <t>Ср. слож простой (3 мес.)</t>
  </si>
  <si>
    <t>Прост на 0 дату (факт)</t>
  </si>
  <si>
    <t>0.1</t>
  </si>
  <si>
    <t>Потенциал простоя (возвратные потери)</t>
  </si>
  <si>
    <t>0.2</t>
  </si>
  <si>
    <t>Остановка по распоряжению</t>
  </si>
  <si>
    <t>0.3</t>
  </si>
  <si>
    <t>Итого простаивающий фонд</t>
  </si>
  <si>
    <t>1</t>
  </si>
  <si>
    <t>Входная на Март</t>
  </si>
  <si>
    <t>Изменение потенциала простоя, +,- к 1 числу</t>
  </si>
  <si>
    <t>Накопленная добыча,тн.</t>
  </si>
  <si>
    <t>Итого:</t>
  </si>
  <si>
    <t>Сум.прир. деб.тн/сут.</t>
  </si>
  <si>
    <t>ИТОГО: мер-тий</t>
  </si>
  <si>
    <t>Эффект</t>
  </si>
  <si>
    <t>712</t>
  </si>
  <si>
    <t>607</t>
  </si>
  <si>
    <t>N,N скважин</t>
  </si>
  <si>
    <t>Западно-Чатылькинское</t>
  </si>
  <si>
    <t>Местор.</t>
  </si>
  <si>
    <t>Скв.</t>
  </si>
  <si>
    <t>№</t>
  </si>
  <si>
    <t>Итого</t>
  </si>
  <si>
    <t>УДНГ, т/сут</t>
  </si>
  <si>
    <t>Откл. Эл.Эн., т/сут</t>
  </si>
  <si>
    <t>Исследования, т/сут</t>
  </si>
  <si>
    <t>Итого (с ВНР)</t>
  </si>
  <si>
    <t>ВНР</t>
  </si>
  <si>
    <t>Текущий простой</t>
  </si>
  <si>
    <t>Потенциал по графику</t>
  </si>
  <si>
    <t>Расчетный график добычи, т/сут</t>
  </si>
  <si>
    <t>Нараст. баланс</t>
  </si>
  <si>
    <t>Нараст. по остановкам</t>
  </si>
  <si>
    <t>Рост потенциала простоя (в т.ч.остановки скв. для ГТМ, оптимизацию, нерентабельный фонд, по распоряжению)</t>
  </si>
  <si>
    <t>Геол. снижение,  т/сут</t>
  </si>
  <si>
    <t>Прочая добыча</t>
  </si>
  <si>
    <t>Нараст.  по потенциалу</t>
  </si>
  <si>
    <t>Восстановление потенциала простоя</t>
  </si>
  <si>
    <t>Накопленный эффект, т/сут</t>
  </si>
  <si>
    <t>Ввод из БД ТГ (без инвест.)</t>
  </si>
  <si>
    <t>Наименование</t>
  </si>
  <si>
    <t>День месяца</t>
  </si>
  <si>
    <t>Потери добычи нефти</t>
  </si>
  <si>
    <t>Прирост добычи нефти</t>
  </si>
  <si>
    <t>Расчет суточной добычи нефти по датам</t>
  </si>
  <si>
    <t>v.2</t>
  </si>
  <si>
    <t>4941Б</t>
  </si>
  <si>
    <t>2527</t>
  </si>
  <si>
    <t>2460</t>
  </si>
  <si>
    <t>1932</t>
  </si>
  <si>
    <t>19</t>
  </si>
  <si>
    <t>1751</t>
  </si>
  <si>
    <t>155P</t>
  </si>
  <si>
    <t>1531</t>
  </si>
  <si>
    <t>1347</t>
  </si>
  <si>
    <t>1226</t>
  </si>
  <si>
    <t>1154</t>
  </si>
  <si>
    <t>1128</t>
  </si>
  <si>
    <t>7080</t>
  </si>
  <si>
    <t>241</t>
  </si>
  <si>
    <t>1011</t>
  </si>
  <si>
    <t>8369</t>
  </si>
  <si>
    <t>618</t>
  </si>
  <si>
    <t>3133</t>
  </si>
  <si>
    <t>32</t>
  </si>
  <si>
    <t>636</t>
  </si>
  <si>
    <t>4980</t>
  </si>
  <si>
    <t>4468</t>
  </si>
  <si>
    <t>2578</t>
  </si>
  <si>
    <t>2406</t>
  </si>
  <si>
    <t>2248</t>
  </si>
  <si>
    <t>1054</t>
  </si>
  <si>
    <t>6494</t>
  </si>
  <si>
    <t>6028</t>
  </si>
  <si>
    <t>558</t>
  </si>
  <si>
    <t>5217</t>
  </si>
  <si>
    <t>Вынгапур</t>
  </si>
  <si>
    <t>Вынгаях</t>
  </si>
  <si>
    <t>Сугм</t>
  </si>
  <si>
    <t>Спор</t>
  </si>
  <si>
    <t>Карам</t>
  </si>
  <si>
    <t>Сут</t>
  </si>
  <si>
    <t>Холм</t>
  </si>
  <si>
    <t>Умс</t>
  </si>
  <si>
    <t>Нов</t>
  </si>
  <si>
    <t>Еты-П</t>
  </si>
  <si>
    <t>Погр</t>
  </si>
  <si>
    <t>Новогоднее</t>
  </si>
  <si>
    <t>Спорышевское</t>
  </si>
  <si>
    <t>5638</t>
  </si>
  <si>
    <t>5407</t>
  </si>
  <si>
    <t>4490</t>
  </si>
  <si>
    <t>3794</t>
  </si>
  <si>
    <t>2045Г</t>
  </si>
  <si>
    <t>1068</t>
  </si>
  <si>
    <t>Яр</t>
  </si>
  <si>
    <t>2203</t>
  </si>
  <si>
    <t>7523</t>
  </si>
  <si>
    <t>1006Г</t>
  </si>
  <si>
    <t>6734</t>
  </si>
  <si>
    <t>452</t>
  </si>
  <si>
    <t>Сев-Янг</t>
  </si>
  <si>
    <t>Сугмутское</t>
  </si>
  <si>
    <t>8K</t>
  </si>
  <si>
    <t>891</t>
  </si>
  <si>
    <t>2633</t>
  </si>
  <si>
    <t>6594</t>
  </si>
  <si>
    <t>1573</t>
  </si>
  <si>
    <t>6397</t>
  </si>
  <si>
    <t>502</t>
  </si>
  <si>
    <t>556</t>
  </si>
  <si>
    <t>4331</t>
  </si>
  <si>
    <t>1131</t>
  </si>
  <si>
    <t>1091</t>
  </si>
  <si>
    <t>Валын</t>
  </si>
  <si>
    <t>Карамовское</t>
  </si>
  <si>
    <t>Романовское</t>
  </si>
  <si>
    <t>Ром</t>
  </si>
  <si>
    <t>2338</t>
  </si>
  <si>
    <t>767</t>
  </si>
  <si>
    <t>3017</t>
  </si>
  <si>
    <t>1001</t>
  </si>
  <si>
    <t>8700</t>
  </si>
  <si>
    <t>441</t>
  </si>
  <si>
    <t>3029</t>
  </si>
  <si>
    <t>845</t>
  </si>
  <si>
    <t>794</t>
  </si>
  <si>
    <t>634</t>
  </si>
  <si>
    <t>3034</t>
  </si>
  <si>
    <t>8353</t>
  </si>
  <si>
    <t>1817</t>
  </si>
  <si>
    <t>3869</t>
  </si>
  <si>
    <t>4300</t>
  </si>
  <si>
    <t>2303</t>
  </si>
  <si>
    <t>517</t>
  </si>
  <si>
    <t>917</t>
  </si>
  <si>
    <t>387</t>
  </si>
  <si>
    <t>17</t>
  </si>
  <si>
    <t>5660</t>
  </si>
  <si>
    <t>1541</t>
  </si>
  <si>
    <t>2937</t>
  </si>
  <si>
    <t>7401</t>
  </si>
  <si>
    <t>5220</t>
  </si>
  <si>
    <t>1386</t>
  </si>
  <si>
    <t>2791</t>
  </si>
  <si>
    <t>805</t>
  </si>
  <si>
    <t>4262</t>
  </si>
  <si>
    <t>462</t>
  </si>
  <si>
    <t>1064</t>
  </si>
  <si>
    <t>1002</t>
  </si>
  <si>
    <t>4786</t>
  </si>
  <si>
    <t>2619</t>
  </si>
  <si>
    <t>525</t>
  </si>
  <si>
    <t>3081</t>
  </si>
  <si>
    <t>401Г</t>
  </si>
  <si>
    <t>В-Пяк</t>
  </si>
  <si>
    <t>1026</t>
  </si>
  <si>
    <t>519Z</t>
  </si>
  <si>
    <t>6389</t>
  </si>
  <si>
    <t>6577</t>
  </si>
  <si>
    <t>1895</t>
  </si>
  <si>
    <t>6000</t>
  </si>
  <si>
    <t>2309</t>
  </si>
  <si>
    <t>2233</t>
  </si>
  <si>
    <t>707</t>
  </si>
  <si>
    <t>616</t>
  </si>
  <si>
    <t>8361</t>
  </si>
  <si>
    <t>1943</t>
  </si>
  <si>
    <t>174</t>
  </si>
  <si>
    <t>3823</t>
  </si>
  <si>
    <t>1739</t>
  </si>
  <si>
    <t>6386</t>
  </si>
  <si>
    <t>6511</t>
  </si>
  <si>
    <t>6733</t>
  </si>
  <si>
    <t>5408</t>
  </si>
  <si>
    <t>Край</t>
  </si>
  <si>
    <t>Крайнее</t>
  </si>
  <si>
    <t>1523</t>
  </si>
  <si>
    <t>524</t>
  </si>
  <si>
    <t>1038</t>
  </si>
  <si>
    <t>4394</t>
  </si>
  <si>
    <t>626</t>
  </si>
  <si>
    <t>6456</t>
  </si>
  <si>
    <t>4323</t>
  </si>
  <si>
    <t>157</t>
  </si>
  <si>
    <t>614</t>
  </si>
  <si>
    <t>Cкв.</t>
  </si>
  <si>
    <t>УЭТ, т/сут</t>
  </si>
  <si>
    <t>Базовый дебит ГТМ и Оптимизация скважин</t>
  </si>
  <si>
    <t>ИТОГО перевод в ППД</t>
  </si>
  <si>
    <t>Перевод скважин в ППД</t>
  </si>
  <si>
    <t>ГЕОЛОГО - ТЕХНИЧЕСКИЕ МЕРОПРИЯТИЯ</t>
  </si>
  <si>
    <t>50 тн/сут</t>
  </si>
  <si>
    <t>АО Газпромнефть - ННГ</t>
  </si>
  <si>
    <t>Февраль  2024</t>
  </si>
  <si>
    <t>6 т/сут</t>
  </si>
  <si>
    <t>44 т/сут</t>
  </si>
  <si>
    <t>50 т/сут</t>
  </si>
  <si>
    <t>Январь   2024</t>
  </si>
  <si>
    <t>Увеличение частот по НГДП ОГМ</t>
  </si>
  <si>
    <t>График суточной добычи нефти АО Газпромнефть - ННГ на ФЕВРАЛЬ  2024</t>
  </si>
  <si>
    <t>тн/сут</t>
  </si>
  <si>
    <t>Падение по обвод.</t>
  </si>
  <si>
    <t>тыс.тн</t>
  </si>
  <si>
    <t>+ -</t>
  </si>
  <si>
    <t>Бизнес план</t>
  </si>
  <si>
    <t>ИТОГО по графику:</t>
  </si>
  <si>
    <t>Еты-Пуровское</t>
  </si>
  <si>
    <t>Вынгаяхинское</t>
  </si>
  <si>
    <t>Валынтойское</t>
  </si>
  <si>
    <t>Ямпинское</t>
  </si>
  <si>
    <t>Умсейское + Южно-Пурпейское</t>
  </si>
  <si>
    <t>Северо-Янгтинское</t>
  </si>
  <si>
    <t>Северо-Пямалияхское</t>
  </si>
  <si>
    <t>Северо-Пякутинское</t>
  </si>
  <si>
    <t>Саимлорское</t>
  </si>
  <si>
    <t>Пякутинское</t>
  </si>
  <si>
    <t>Муравленковское</t>
  </si>
  <si>
    <t>Мало-Пякутинское</t>
  </si>
  <si>
    <t>Восточно-Саимлорское</t>
  </si>
  <si>
    <t>Верхне-Надымское</t>
  </si>
  <si>
    <t>Южно-Пякутинское</t>
  </si>
  <si>
    <t>Суторминское</t>
  </si>
  <si>
    <t>Средне-Итурское (Сев-Карам лиц. уч.)</t>
  </si>
  <si>
    <t>Новое</t>
  </si>
  <si>
    <t>Восточно-Пякутинское</t>
  </si>
  <si>
    <t>Южно-Удмуртское</t>
  </si>
  <si>
    <t>Чатылькинское</t>
  </si>
  <si>
    <t>Холмистое</t>
  </si>
  <si>
    <t>Равнинное</t>
  </si>
  <si>
    <t>Воргенское</t>
  </si>
  <si>
    <t>Ярайнерское</t>
  </si>
  <si>
    <t>Вынгапуровское</t>
  </si>
  <si>
    <t>Южно-Ноябрьское</t>
  </si>
  <si>
    <t>Холмогорское</t>
  </si>
  <si>
    <t>Средне-Итурское</t>
  </si>
  <si>
    <t>Северо-Карамовское</t>
  </si>
  <si>
    <t>Пограничное</t>
  </si>
  <si>
    <t>Отдельное</t>
  </si>
  <si>
    <t>Источное</t>
  </si>
  <si>
    <t>ЦДНГ-10</t>
  </si>
  <si>
    <t>ЦДНГ-3</t>
  </si>
  <si>
    <t>ЦДНГ-2</t>
  </si>
  <si>
    <t>ЦДНГ-9</t>
  </si>
  <si>
    <t>ЦДНГ-7</t>
  </si>
  <si>
    <t>ЦДНГ-1</t>
  </si>
  <si>
    <t>РИТС-2</t>
  </si>
  <si>
    <t>РИТС-1</t>
  </si>
  <si>
    <t>Ед.изм</t>
  </si>
  <si>
    <t>Показатели</t>
  </si>
  <si>
    <t>Дата:</t>
  </si>
  <si>
    <t>Подразделение:</t>
  </si>
  <si>
    <t>График суточной добычи нефти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</si>
</sst>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;\-0;;@"/>
    <numFmt numFmtId="165" formatCode="#,##0_ ;[Red]\-#,##0\ "/>
    <numFmt numFmtId="167" formatCode="#,##0.0"/>
    <numFmt numFmtId="168" formatCode="0.0;\-0.0;;@"/>
    <numFmt numFmtId="169" formatCode="0.0"/>
    <numFmt numFmtId="170" formatCode="#,##0.0;\-#,##0.0;;@"/>
    <numFmt numFmtId="171" formatCode="dd"/>
    <numFmt numFmtId="172" formatCode="#,##0.000"/>
    <numFmt numFmtId="173" formatCode="0.000;\-0.000;;@"/>
    <numFmt numFmtId="174" formatCode="mmmm\ yyyy"/>
  </numFmts>
  <fonts count="58" x14ac:knownFonts="1">
    <font>
      <sz val="11"/>
      <color rgb="FF000000"/>
      <name val="Calibri"/>
    </font>
    <font>
      <sz val="12"/>
      <color rgb="FF000000"/>
      <name val="FreeSetCTT"/>
      <charset val="204"/>
    </font>
    <font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80000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b/>
      <u/>
      <sz val="10"/>
      <color rgb="FF00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0"/>
      <color rgb="FF800000"/>
      <name val="Arial"/>
      <family val="2"/>
      <charset val="204"/>
    </font>
    <font>
      <b/>
      <sz val="10"/>
      <color rgb="FFFF0000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color rgb="FF800000"/>
      <name val="Arial"/>
      <family val="2"/>
      <charset val="204"/>
    </font>
    <font>
      <sz val="10"/>
      <color rgb="FFFF0000"/>
      <name val="Arial"/>
      <family val="2"/>
      <charset val="204"/>
    </font>
    <font>
      <i/>
      <u/>
      <sz val="10"/>
      <color rgb="FF000000"/>
      <name val="Arial"/>
      <family val="2"/>
      <charset val="204"/>
    </font>
    <font>
      <i/>
      <sz val="10"/>
      <color rgb="FFFFFFFF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i/>
      <sz val="10"/>
      <color rgb="FF000000"/>
      <name val="FreeSetCTT"/>
      <charset val="204"/>
    </font>
    <font>
      <b/>
      <u/>
      <sz val="10"/>
      <color rgb="FF000000"/>
      <name val="FreeSetCTT"/>
      <charset val="204"/>
    </font>
    <font>
      <b/>
      <sz val="12"/>
      <color rgb="FF000000"/>
      <name val="FreeSetCTT"/>
      <charset val="204"/>
    </font>
    <font>
      <b/>
      <sz val="10"/>
      <color rgb="FFFFFF99"/>
      <name val="FreeSetCTT"/>
      <charset val="204"/>
    </font>
    <font>
      <b/>
      <sz val="10"/>
      <color rgb="FF000000"/>
      <name val="FreeSetCTT"/>
      <charset val="204"/>
    </font>
    <font>
      <sz val="10"/>
      <color rgb="FF000000"/>
      <name val="FreeSetCTT"/>
      <charset val="204"/>
    </font>
    <font>
      <b/>
      <sz val="10"/>
      <color rgb="FFFF0000"/>
      <name val="FreeSetCTT"/>
      <charset val="204"/>
    </font>
    <font>
      <b/>
      <sz val="10"/>
      <color rgb="FF800000"/>
      <name val="FreeSetCTT"/>
      <charset val="204"/>
    </font>
    <font>
      <sz val="10"/>
      <color rgb="FFFFFFFF"/>
      <name val="FreeSetCTT"/>
      <charset val="204"/>
    </font>
    <font>
      <i/>
      <sz val="10"/>
      <color rgb="FF000000"/>
      <name val="FreeSetCTT"/>
      <charset val="204"/>
    </font>
    <font>
      <sz val="10"/>
      <color rgb="FF333399"/>
      <name val="FreeSetCTT"/>
      <charset val="204"/>
    </font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9"/>
      <color rgb="FFCCFFCC"/>
      <name val="Arial"/>
      <family val="2"/>
      <charset val="204"/>
    </font>
    <font>
      <b/>
      <sz val="9"/>
      <color rgb="FFCCFFFF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sz val="16"/>
      <color rgb="FF8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theme="0" tint="-0.14999847407452621"/>
      <name val="Calibri"/>
      <family val="2"/>
      <charset val="204"/>
    </font>
    <font>
      <sz val="9"/>
      <color rgb="FF000000"/>
      <name val="Calibri"/>
      <family val="2"/>
      <charset val="204"/>
    </font>
    <font>
      <b/>
      <i/>
      <sz val="10"/>
      <color rgb="FF000000"/>
      <name val="Calibri"/>
      <family val="2"/>
      <charset val="204"/>
    </font>
    <font>
      <b/>
      <sz val="10"/>
      <color rgb="FF000000"/>
      <name val="Arial Cyr"/>
    </font>
    <font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9"/>
      <color rgb="FFFFFFFF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color rgb="FFFF0000"/>
      <name val="Calibri"/>
      <family val="2"/>
      <charset val="204"/>
    </font>
    <font>
      <b/>
      <sz val="9"/>
      <color rgb="FFFF0000"/>
      <name val="Calibri"/>
      <family val="2"/>
      <charset val="204"/>
    </font>
    <font>
      <b/>
      <sz val="12"/>
      <color rgb="FF0000FF"/>
      <name val="Times New Roman"/>
      <family val="1"/>
      <charset val="204"/>
    </font>
    <font>
      <b/>
      <sz val="12"/>
      <color rgb="FFEC111F"/>
      <name val="Calibri"/>
      <family val="2"/>
      <charset val="204"/>
    </font>
    <font>
      <i/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FFACD"/>
      </patternFill>
    </fill>
    <fill>
      <patternFill patternType="solid">
        <fgColor rgb="FFFFDEAD"/>
      </patternFill>
    </fill>
    <fill>
      <patternFill patternType="solid">
        <fgColor rgb="FFCCFFCC"/>
      </patternFill>
    </fill>
    <fill>
      <patternFill patternType="solid">
        <fgColor rgb="FF808080"/>
      </patternFill>
    </fill>
    <fill>
      <patternFill patternType="solid">
        <fgColor rgb="FFFFC0CB"/>
      </patternFill>
    </fill>
    <fill>
      <patternFill patternType="solid">
        <fgColor rgb="FFCCFFFF"/>
      </patternFill>
    </fill>
    <fill>
      <patternFill patternType="solid">
        <fgColor rgb="FFE6E6FA"/>
      </patternFill>
    </fill>
    <fill>
      <patternFill patternType="solid">
        <fgColor rgb="FFAFEEEE"/>
      </patternFill>
    </fill>
    <fill>
      <patternFill patternType="solid">
        <fgColor rgb="FFFFE4E1"/>
      </patternFill>
    </fill>
    <fill>
      <patternFill patternType="solid">
        <fgColor rgb="FFFAEBD7"/>
      </patternFill>
    </fill>
    <fill>
      <patternFill patternType="solid">
        <fgColor rgb="FFF0FFF0"/>
      </patternFill>
    </fill>
    <fill>
      <patternFill patternType="solid">
        <fgColor rgb="FFE0FFFF"/>
      </patternFill>
    </fill>
    <fill>
      <patternFill patternType="solid">
        <fgColor rgb="FFFFF8D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</patternFill>
    </fill>
    <fill>
      <patternFill patternType="solid">
        <fgColor rgb="FFC0C0C0"/>
      </patternFill>
    </fill>
    <fill>
      <patternFill patternType="solid">
        <fgColor rgb="FFFFFF00"/>
      </patternFill>
    </fill>
    <fill>
      <patternFill patternType="solid">
        <fgColor rgb="FFFFFF99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1" fillId="0" borderId="1"/>
  </cellStyleXfs>
  <cellXfs count="334">
    <xf numFmtId="0" fontId="0" fillId="0" borderId="0" xfId="0"/>
    <xf numFmtId="0" fontId="31" fillId="0" borderId="1" xfId="1"/>
    <xf numFmtId="0" fontId="3" fillId="0" borderId="1" xfId="1" applyNumberFormat="1" applyFont="1" applyFill="1" applyBorder="1" applyAlignment="1">
      <alignment horizontal="left" wrapText="1"/>
    </xf>
    <xf numFmtId="0" fontId="3" fillId="0" borderId="1" xfId="1" applyNumberFormat="1" applyFont="1" applyFill="1" applyBorder="1" applyAlignment="1">
      <alignment horizontal="left" vertical="top" wrapText="1"/>
    </xf>
    <xf numFmtId="0" fontId="32" fillId="0" borderId="1" xfId="1" applyNumberFormat="1" applyFont="1" applyFill="1" applyBorder="1" applyAlignment="1">
      <alignment horizontal="left" wrapText="1"/>
    </xf>
    <xf numFmtId="167" fontId="33" fillId="0" borderId="6" xfId="1" applyNumberFormat="1" applyFont="1" applyFill="1" applyBorder="1" applyAlignment="1">
      <alignment horizontal="center" wrapText="1"/>
    </xf>
    <xf numFmtId="167" fontId="33" fillId="0" borderId="1" xfId="1" applyNumberFormat="1" applyFont="1" applyFill="1" applyBorder="1" applyAlignment="1">
      <alignment horizontal="center" wrapText="1"/>
    </xf>
    <xf numFmtId="0" fontId="31" fillId="0" borderId="1" xfId="1" applyNumberFormat="1" applyFill="1" applyBorder="1"/>
    <xf numFmtId="0" fontId="32" fillId="0" borderId="1" xfId="1" applyNumberFormat="1" applyFont="1" applyFill="1" applyBorder="1" applyAlignment="1">
      <alignment horizontal="right" wrapText="1"/>
    </xf>
    <xf numFmtId="49" fontId="5" fillId="4" borderId="1" xfId="1" applyNumberFormat="1" applyFont="1" applyFill="1" applyBorder="1" applyAlignment="1">
      <alignment horizontal="left" wrapText="1"/>
    </xf>
    <xf numFmtId="168" fontId="33" fillId="2" borderId="6" xfId="1" applyNumberFormat="1" applyFont="1" applyFill="1" applyBorder="1" applyAlignment="1">
      <alignment horizontal="center" wrapText="1"/>
    </xf>
    <xf numFmtId="167" fontId="33" fillId="4" borderId="6" xfId="1" applyNumberFormat="1" applyFont="1" applyFill="1" applyBorder="1" applyAlignment="1">
      <alignment horizontal="center" wrapText="1"/>
    </xf>
    <xf numFmtId="168" fontId="33" fillId="4" borderId="6" xfId="1" applyNumberFormat="1" applyFont="1" applyFill="1" applyBorder="1" applyAlignment="1">
      <alignment horizontal="center" wrapText="1"/>
    </xf>
    <xf numFmtId="167" fontId="33" fillId="8" borderId="6" xfId="1" applyNumberFormat="1" applyFont="1" applyFill="1" applyBorder="1" applyAlignment="1">
      <alignment horizontal="center" wrapText="1"/>
    </xf>
    <xf numFmtId="167" fontId="33" fillId="9" borderId="6" xfId="1" applyNumberFormat="1" applyFont="1" applyFill="1" applyBorder="1" applyAlignment="1">
      <alignment horizontal="center" wrapText="1"/>
    </xf>
    <xf numFmtId="167" fontId="33" fillId="2" borderId="6" xfId="1" applyNumberFormat="1" applyFont="1" applyFill="1" applyBorder="1" applyAlignment="1">
      <alignment horizontal="center" wrapText="1"/>
    </xf>
    <xf numFmtId="0" fontId="32" fillId="0" borderId="6" xfId="1" applyNumberFormat="1" applyFont="1" applyFill="1" applyBorder="1" applyAlignment="1">
      <alignment horizontal="left" wrapText="1"/>
    </xf>
    <xf numFmtId="167" fontId="33" fillId="10" borderId="6" xfId="1" applyNumberFormat="1" applyFont="1" applyFill="1" applyBorder="1" applyAlignment="1">
      <alignment horizontal="center" wrapText="1"/>
    </xf>
    <xf numFmtId="168" fontId="33" fillId="11" borderId="10" xfId="1" applyNumberFormat="1" applyFont="1" applyFill="1" applyBorder="1" applyAlignment="1">
      <alignment horizontal="center" wrapText="1"/>
    </xf>
    <xf numFmtId="167" fontId="33" fillId="2" borderId="10" xfId="1" applyNumberFormat="1" applyFont="1" applyFill="1" applyBorder="1" applyAlignment="1">
      <alignment horizontal="center" wrapText="1"/>
    </xf>
    <xf numFmtId="0" fontId="32" fillId="0" borderId="10" xfId="1" applyNumberFormat="1" applyFont="1" applyFill="1" applyBorder="1" applyAlignment="1">
      <alignment horizontal="left" wrapText="1"/>
    </xf>
    <xf numFmtId="167" fontId="33" fillId="9" borderId="10" xfId="1" applyNumberFormat="1" applyFont="1" applyFill="1" applyBorder="1" applyAlignment="1">
      <alignment horizontal="center" wrapText="1"/>
    </xf>
    <xf numFmtId="0" fontId="31" fillId="0" borderId="10" xfId="1" applyNumberFormat="1" applyFill="1" applyBorder="1"/>
    <xf numFmtId="0" fontId="33" fillId="4" borderId="10" xfId="1" applyNumberFormat="1" applyFont="1" applyFill="1" applyBorder="1" applyAlignment="1">
      <alignment horizontal="left" wrapText="1"/>
    </xf>
    <xf numFmtId="169" fontId="33" fillId="2" borderId="6" xfId="1" applyNumberFormat="1" applyFont="1" applyFill="1" applyBorder="1" applyAlignment="1">
      <alignment horizontal="center" wrapText="1"/>
    </xf>
    <xf numFmtId="169" fontId="33" fillId="4" borderId="6" xfId="1" applyNumberFormat="1" applyFont="1" applyFill="1" applyBorder="1" applyAlignment="1">
      <alignment horizontal="left" wrapText="1"/>
    </xf>
    <xf numFmtId="169" fontId="33" fillId="4" borderId="6" xfId="1" applyNumberFormat="1" applyFont="1" applyFill="1" applyBorder="1" applyAlignment="1">
      <alignment horizontal="center" wrapText="1"/>
    </xf>
    <xf numFmtId="169" fontId="33" fillId="8" borderId="6" xfId="1" applyNumberFormat="1" applyFont="1" applyFill="1" applyBorder="1" applyAlignment="1">
      <alignment horizontal="center" wrapText="1"/>
    </xf>
    <xf numFmtId="169" fontId="33" fillId="9" borderId="6" xfId="1" applyNumberFormat="1" applyFont="1" applyFill="1" applyBorder="1" applyAlignment="1">
      <alignment horizontal="right" wrapText="1"/>
    </xf>
    <xf numFmtId="169" fontId="33" fillId="10" borderId="6" xfId="1" applyNumberFormat="1" applyFont="1" applyFill="1" applyBorder="1" applyAlignment="1">
      <alignment horizontal="left" wrapText="1"/>
    </xf>
    <xf numFmtId="169" fontId="33" fillId="11" borderId="10" xfId="1" applyNumberFormat="1" applyFont="1" applyFill="1" applyBorder="1" applyAlignment="1">
      <alignment horizontal="center" wrapText="1"/>
    </xf>
    <xf numFmtId="168" fontId="33" fillId="2" borderId="10" xfId="1" applyNumberFormat="1" applyFont="1" applyFill="1" applyBorder="1" applyAlignment="1">
      <alignment horizontal="center" wrapText="1"/>
    </xf>
    <xf numFmtId="169" fontId="33" fillId="9" borderId="10" xfId="1" applyNumberFormat="1" applyFont="1" applyFill="1" applyBorder="1" applyAlignment="1">
      <alignment horizontal="center" wrapText="1"/>
    </xf>
    <xf numFmtId="169" fontId="32" fillId="2" borderId="15" xfId="1" applyNumberFormat="1" applyFont="1" applyFill="1" applyBorder="1" applyAlignment="1">
      <alignment horizontal="center" wrapText="1"/>
    </xf>
    <xf numFmtId="169" fontId="33" fillId="4" borderId="15" xfId="1" applyNumberFormat="1" applyFont="1" applyFill="1" applyBorder="1" applyAlignment="1">
      <alignment horizontal="left" wrapText="1"/>
    </xf>
    <xf numFmtId="169" fontId="33" fillId="8" borderId="15" xfId="1" applyNumberFormat="1" applyFont="1" applyFill="1" applyBorder="1" applyAlignment="1">
      <alignment horizontal="center" wrapText="1"/>
    </xf>
    <xf numFmtId="169" fontId="33" fillId="9" borderId="15" xfId="1" applyNumberFormat="1" applyFont="1" applyFill="1" applyBorder="1" applyAlignment="1">
      <alignment horizontal="right" wrapText="1"/>
    </xf>
    <xf numFmtId="164" fontId="33" fillId="2" borderId="15" xfId="1" applyNumberFormat="1" applyFont="1" applyFill="1" applyBorder="1" applyAlignment="1">
      <alignment horizontal="center" wrapText="1"/>
    </xf>
    <xf numFmtId="0" fontId="32" fillId="0" borderId="15" xfId="1" applyNumberFormat="1" applyFont="1" applyFill="1" applyBorder="1" applyAlignment="1">
      <alignment horizontal="left" wrapText="1"/>
    </xf>
    <xf numFmtId="169" fontId="33" fillId="10" borderId="15" xfId="1" applyNumberFormat="1" applyFont="1" applyFill="1" applyBorder="1" applyAlignment="1">
      <alignment horizontal="left" wrapText="1"/>
    </xf>
    <xf numFmtId="169" fontId="33" fillId="11" borderId="14" xfId="1" applyNumberFormat="1" applyFont="1" applyFill="1" applyBorder="1" applyAlignment="1">
      <alignment horizontal="center" wrapText="1"/>
    </xf>
    <xf numFmtId="169" fontId="33" fillId="4" borderId="15" xfId="1" applyNumberFormat="1" applyFont="1" applyFill="1" applyBorder="1" applyAlignment="1">
      <alignment horizontal="center" wrapText="1"/>
    </xf>
    <xf numFmtId="164" fontId="33" fillId="2" borderId="14" xfId="1" applyNumberFormat="1" applyFont="1" applyFill="1" applyBorder="1" applyAlignment="1">
      <alignment horizontal="center" wrapText="1"/>
    </xf>
    <xf numFmtId="0" fontId="32" fillId="0" borderId="14" xfId="1" applyNumberFormat="1" applyFont="1" applyFill="1" applyBorder="1" applyAlignment="1">
      <alignment horizontal="left" wrapText="1"/>
    </xf>
    <xf numFmtId="169" fontId="32" fillId="9" borderId="14" xfId="1" applyNumberFormat="1" applyFont="1" applyFill="1" applyBorder="1" applyAlignment="1">
      <alignment horizontal="left" wrapText="1"/>
    </xf>
    <xf numFmtId="0" fontId="31" fillId="0" borderId="14" xfId="1" applyNumberFormat="1" applyFill="1" applyBorder="1"/>
    <xf numFmtId="0" fontId="33" fillId="4" borderId="14" xfId="1" applyNumberFormat="1" applyFont="1" applyFill="1" applyBorder="1" applyAlignment="1">
      <alignment horizontal="left" wrapText="1"/>
    </xf>
    <xf numFmtId="170" fontId="33" fillId="2" borderId="10" xfId="1" applyNumberFormat="1" applyFont="1" applyFill="1" applyBorder="1" applyAlignment="1">
      <alignment horizontal="center" wrapText="1"/>
    </xf>
    <xf numFmtId="0" fontId="31" fillId="0" borderId="2" xfId="1" applyNumberFormat="1" applyFill="1" applyBorder="1"/>
    <xf numFmtId="170" fontId="33" fillId="4" borderId="10" xfId="1" applyNumberFormat="1" applyFont="1" applyFill="1" applyBorder="1" applyAlignment="1">
      <alignment horizontal="center" wrapText="1"/>
    </xf>
    <xf numFmtId="1" fontId="5" fillId="4" borderId="10" xfId="1" applyNumberFormat="1" applyFont="1" applyFill="1" applyBorder="1" applyAlignment="1">
      <alignment horizontal="center" wrapText="1"/>
    </xf>
    <xf numFmtId="170" fontId="33" fillId="8" borderId="10" xfId="1" applyNumberFormat="1" applyFont="1" applyFill="1" applyBorder="1" applyAlignment="1">
      <alignment horizontal="center" wrapText="1"/>
    </xf>
    <xf numFmtId="170" fontId="33" fillId="4" borderId="17" xfId="1" applyNumberFormat="1" applyFont="1" applyFill="1" applyBorder="1" applyAlignment="1">
      <alignment horizontal="center" wrapText="1"/>
    </xf>
    <xf numFmtId="170" fontId="32" fillId="9" borderId="10" xfId="1" applyNumberFormat="1" applyFont="1" applyFill="1" applyBorder="1" applyAlignment="1">
      <alignment horizontal="center" wrapText="1"/>
    </xf>
    <xf numFmtId="169" fontId="33" fillId="10" borderId="10" xfId="1" applyNumberFormat="1" applyFont="1" applyFill="1" applyBorder="1" applyAlignment="1">
      <alignment horizontal="center" wrapText="1"/>
    </xf>
    <xf numFmtId="0" fontId="5" fillId="11" borderId="10" xfId="1" applyNumberFormat="1" applyFont="1" applyFill="1" applyBorder="1" applyAlignment="1">
      <alignment horizontal="center" wrapText="1"/>
    </xf>
    <xf numFmtId="170" fontId="33" fillId="4" borderId="6" xfId="1" applyNumberFormat="1" applyFont="1" applyFill="1" applyBorder="1" applyAlignment="1">
      <alignment horizontal="center" wrapText="1"/>
    </xf>
    <xf numFmtId="170" fontId="32" fillId="12" borderId="10" xfId="1" applyNumberFormat="1" applyFont="1" applyFill="1" applyBorder="1" applyAlignment="1">
      <alignment horizontal="center" wrapText="1"/>
    </xf>
    <xf numFmtId="170" fontId="33" fillId="9" borderId="17" xfId="1" applyNumberFormat="1" applyFont="1" applyFill="1" applyBorder="1" applyAlignment="1">
      <alignment horizontal="center" wrapText="1"/>
    </xf>
    <xf numFmtId="170" fontId="33" fillId="12" borderId="10" xfId="1" applyNumberFormat="1" applyFont="1" applyFill="1" applyBorder="1" applyAlignment="1">
      <alignment horizontal="center" wrapText="1"/>
    </xf>
    <xf numFmtId="0" fontId="34" fillId="4" borderId="6" xfId="1" applyNumberFormat="1" applyFont="1" applyFill="1" applyBorder="1" applyAlignment="1">
      <alignment horizontal="left" vertical="center" wrapText="1"/>
    </xf>
    <xf numFmtId="169" fontId="33" fillId="2" borderId="11" xfId="1" applyNumberFormat="1" applyFont="1" applyFill="1" applyBorder="1" applyAlignment="1">
      <alignment horizontal="center" wrapText="1"/>
    </xf>
    <xf numFmtId="169" fontId="33" fillId="4" borderId="11" xfId="1" applyNumberFormat="1" applyFont="1" applyFill="1" applyBorder="1" applyAlignment="1">
      <alignment horizontal="left" wrapText="1"/>
    </xf>
    <xf numFmtId="0" fontId="5" fillId="4" borderId="11" xfId="1" applyNumberFormat="1" applyFont="1" applyFill="1" applyBorder="1" applyAlignment="1">
      <alignment horizontal="left" wrapText="1"/>
    </xf>
    <xf numFmtId="169" fontId="33" fillId="8" borderId="11" xfId="1" applyNumberFormat="1" applyFont="1" applyFill="1" applyBorder="1" applyAlignment="1">
      <alignment horizontal="center" wrapText="1"/>
    </xf>
    <xf numFmtId="169" fontId="35" fillId="4" borderId="1" xfId="1" applyNumberFormat="1" applyFont="1" applyFill="1" applyBorder="1" applyAlignment="1">
      <alignment horizontal="center" wrapText="1"/>
    </xf>
    <xf numFmtId="164" fontId="33" fillId="4" borderId="11" xfId="1" applyNumberFormat="1" applyFont="1" applyFill="1" applyBorder="1" applyAlignment="1">
      <alignment horizontal="center" wrapText="1"/>
    </xf>
    <xf numFmtId="169" fontId="32" fillId="9" borderId="11" xfId="1" applyNumberFormat="1" applyFont="1" applyFill="1" applyBorder="1" applyAlignment="1">
      <alignment horizontal="center" wrapText="1"/>
    </xf>
    <xf numFmtId="169" fontId="33" fillId="10" borderId="11" xfId="1" applyNumberFormat="1" applyFont="1" applyFill="1" applyBorder="1" applyAlignment="1">
      <alignment horizontal="left" wrapText="1"/>
    </xf>
    <xf numFmtId="0" fontId="5" fillId="11" borderId="11" xfId="1" applyNumberFormat="1" applyFont="1" applyFill="1" applyBorder="1" applyAlignment="1">
      <alignment horizontal="center" wrapText="1"/>
    </xf>
    <xf numFmtId="169" fontId="33" fillId="4" borderId="12" xfId="1" applyNumberFormat="1" applyFont="1" applyFill="1" applyBorder="1" applyAlignment="1">
      <alignment horizontal="center" wrapText="1"/>
    </xf>
    <xf numFmtId="164" fontId="33" fillId="4" borderId="1" xfId="1" applyNumberFormat="1" applyFont="1" applyFill="1" applyBorder="1" applyAlignment="1">
      <alignment horizontal="center" wrapText="1"/>
    </xf>
    <xf numFmtId="169" fontId="32" fillId="12" borderId="11" xfId="1" applyNumberFormat="1" applyFont="1" applyFill="1" applyBorder="1" applyAlignment="1">
      <alignment horizontal="center" wrapText="1"/>
    </xf>
    <xf numFmtId="169" fontId="32" fillId="9" borderId="1" xfId="1" applyNumberFormat="1" applyFont="1" applyFill="1" applyBorder="1" applyAlignment="1">
      <alignment horizontal="left" wrapText="1"/>
    </xf>
    <xf numFmtId="164" fontId="33" fillId="12" borderId="11" xfId="1" applyNumberFormat="1" applyFont="1" applyFill="1" applyBorder="1" applyAlignment="1">
      <alignment horizontal="center" wrapText="1"/>
    </xf>
    <xf numFmtId="0" fontId="34" fillId="4" borderId="12" xfId="1" applyNumberFormat="1" applyFont="1" applyFill="1" applyBorder="1" applyAlignment="1">
      <alignment horizontal="left" vertical="center" wrapText="1"/>
    </xf>
    <xf numFmtId="169" fontId="33" fillId="2" borderId="18" xfId="1" applyNumberFormat="1" applyFont="1" applyFill="1" applyBorder="1" applyAlignment="1">
      <alignment horizontal="center" wrapText="1"/>
    </xf>
    <xf numFmtId="170" fontId="33" fillId="0" borderId="2" xfId="1" applyNumberFormat="1" applyFont="1" applyFill="1" applyBorder="1" applyAlignment="1">
      <alignment horizontal="center" wrapText="1"/>
    </xf>
    <xf numFmtId="169" fontId="36" fillId="4" borderId="18" xfId="1" applyNumberFormat="1" applyFont="1" applyFill="1" applyBorder="1" applyAlignment="1">
      <alignment horizontal="left" wrapText="1"/>
    </xf>
    <xf numFmtId="0" fontId="16" fillId="4" borderId="18" xfId="1" applyNumberFormat="1" applyFont="1" applyFill="1" applyBorder="1" applyAlignment="1">
      <alignment horizontal="left" wrapText="1"/>
    </xf>
    <xf numFmtId="169" fontId="35" fillId="8" borderId="18" xfId="1" applyNumberFormat="1" applyFont="1" applyFill="1" applyBorder="1" applyAlignment="1">
      <alignment horizontal="center" wrapText="1"/>
    </xf>
    <xf numFmtId="169" fontId="35" fillId="4" borderId="19" xfId="1" applyNumberFormat="1" applyFont="1" applyFill="1" applyBorder="1" applyAlignment="1">
      <alignment horizontal="center" wrapText="1"/>
    </xf>
    <xf numFmtId="169" fontId="35" fillId="4" borderId="18" xfId="1" applyNumberFormat="1" applyFont="1" applyFill="1" applyBorder="1" applyAlignment="1">
      <alignment horizontal="center" wrapText="1"/>
    </xf>
    <xf numFmtId="169" fontId="32" fillId="9" borderId="18" xfId="1" applyNumberFormat="1" applyFont="1" applyFill="1" applyBorder="1" applyAlignment="1">
      <alignment horizontal="center" wrapText="1"/>
    </xf>
    <xf numFmtId="169" fontId="33" fillId="10" borderId="18" xfId="1" applyNumberFormat="1" applyFont="1" applyFill="1" applyBorder="1" applyAlignment="1">
      <alignment horizontal="left" wrapText="1"/>
    </xf>
    <xf numFmtId="0" fontId="12" fillId="11" borderId="18" xfId="1" applyNumberFormat="1" applyFont="1" applyFill="1" applyBorder="1" applyAlignment="1">
      <alignment horizontal="center" wrapText="1"/>
    </xf>
    <xf numFmtId="169" fontId="33" fillId="4" borderId="20" xfId="1" applyNumberFormat="1" applyFont="1" applyFill="1" applyBorder="1" applyAlignment="1">
      <alignment horizontal="center" wrapText="1"/>
    </xf>
    <xf numFmtId="169" fontId="37" fillId="4" borderId="18" xfId="1" applyNumberFormat="1" applyFont="1" applyFill="1" applyBorder="1" applyAlignment="1">
      <alignment horizontal="center" wrapText="1"/>
    </xf>
    <xf numFmtId="169" fontId="37" fillId="4" borderId="19" xfId="1" applyNumberFormat="1" applyFont="1" applyFill="1" applyBorder="1" applyAlignment="1">
      <alignment horizontal="center" wrapText="1"/>
    </xf>
    <xf numFmtId="169" fontId="32" fillId="12" borderId="18" xfId="1" applyNumberFormat="1" applyFont="1" applyFill="1" applyBorder="1" applyAlignment="1">
      <alignment horizontal="center" wrapText="1"/>
    </xf>
    <xf numFmtId="169" fontId="32" fillId="9" borderId="19" xfId="1" applyNumberFormat="1" applyFont="1" applyFill="1" applyBorder="1" applyAlignment="1">
      <alignment horizontal="left" wrapText="1"/>
    </xf>
    <xf numFmtId="169" fontId="38" fillId="12" borderId="18" xfId="1" applyNumberFormat="1" applyFont="1" applyFill="1" applyBorder="1" applyAlignment="1">
      <alignment horizontal="center" wrapText="1"/>
    </xf>
    <xf numFmtId="0" fontId="34" fillId="4" borderId="20" xfId="1" applyNumberFormat="1" applyFont="1" applyFill="1" applyBorder="1" applyAlignment="1">
      <alignment horizontal="left" vertical="center" wrapText="1"/>
    </xf>
    <xf numFmtId="171" fontId="33" fillId="4" borderId="2" xfId="1" applyNumberFormat="1" applyFont="1" applyFill="1" applyBorder="1" applyAlignment="1">
      <alignment horizontal="center" vertical="center" wrapText="1"/>
    </xf>
    <xf numFmtId="0" fontId="3" fillId="0" borderId="10" xfId="1" applyNumberFormat="1" applyFont="1" applyFill="1" applyBorder="1" applyAlignment="1">
      <alignment horizontal="left" wrapText="1"/>
    </xf>
    <xf numFmtId="170" fontId="33" fillId="11" borderId="10" xfId="1" applyNumberFormat="1" applyFont="1" applyFill="1" applyBorder="1" applyAlignment="1">
      <alignment horizontal="center" wrapText="1"/>
    </xf>
    <xf numFmtId="0" fontId="3" fillId="0" borderId="21" xfId="1" applyNumberFormat="1" applyFont="1" applyFill="1" applyBorder="1" applyAlignment="1">
      <alignment horizontal="left" wrapText="1"/>
    </xf>
    <xf numFmtId="169" fontId="33" fillId="11" borderId="11" xfId="1" applyNumberFormat="1" applyFont="1" applyFill="1" applyBorder="1" applyAlignment="1">
      <alignment horizontal="center" wrapText="1"/>
    </xf>
    <xf numFmtId="0" fontId="3" fillId="0" borderId="22" xfId="1" applyNumberFormat="1" applyFont="1" applyFill="1" applyBorder="1" applyAlignment="1">
      <alignment horizontal="left" wrapText="1"/>
    </xf>
    <xf numFmtId="169" fontId="35" fillId="11" borderId="18" xfId="1" applyNumberFormat="1" applyFont="1" applyFill="1" applyBorder="1" applyAlignment="1">
      <alignment horizontal="center" wrapText="1"/>
    </xf>
    <xf numFmtId="0" fontId="33" fillId="0" borderId="6" xfId="1" applyNumberFormat="1" applyFont="1" applyFill="1" applyBorder="1" applyAlignment="1">
      <alignment horizontal="center" vertical="center" wrapText="1"/>
    </xf>
    <xf numFmtId="0" fontId="31" fillId="0" borderId="6" xfId="1" applyNumberFormat="1" applyFill="1" applyBorder="1"/>
    <xf numFmtId="0" fontId="33" fillId="0" borderId="6" xfId="1" applyNumberFormat="1" applyFont="1" applyFill="1" applyBorder="1" applyAlignment="1">
      <alignment horizontal="center" vertical="center" wrapText="1"/>
    </xf>
    <xf numFmtId="0" fontId="33" fillId="0" borderId="6" xfId="1" applyNumberFormat="1" applyFont="1" applyFill="1" applyBorder="1" applyAlignment="1">
      <alignment horizontal="center" vertical="center"/>
    </xf>
    <xf numFmtId="0" fontId="34" fillId="0" borderId="10" xfId="1" applyNumberFormat="1" applyFont="1" applyFill="1" applyBorder="1" applyAlignment="1">
      <alignment horizontal="center" vertical="center" wrapText="1"/>
    </xf>
    <xf numFmtId="0" fontId="31" fillId="0" borderId="3" xfId="1" applyNumberFormat="1" applyFill="1" applyBorder="1"/>
    <xf numFmtId="0" fontId="32" fillId="4" borderId="10" xfId="1" applyNumberFormat="1" applyFont="1" applyFill="1" applyBorder="1" applyAlignment="1">
      <alignment horizontal="center" wrapText="1"/>
    </xf>
    <xf numFmtId="0" fontId="32" fillId="13" borderId="10" xfId="1" applyNumberFormat="1" applyFont="1" applyFill="1" applyBorder="1" applyAlignment="1">
      <alignment horizontal="center" wrapText="1"/>
    </xf>
    <xf numFmtId="0" fontId="32" fillId="4" borderId="18" xfId="1" applyNumberFormat="1" applyFont="1" applyFill="1" applyBorder="1" applyAlignment="1">
      <alignment horizontal="center" wrapText="1"/>
    </xf>
    <xf numFmtId="0" fontId="32" fillId="13" borderId="18" xfId="1" applyNumberFormat="1" applyFont="1" applyFill="1" applyBorder="1" applyAlignment="1">
      <alignment horizontal="center" wrapText="1"/>
    </xf>
    <xf numFmtId="0" fontId="34" fillId="4" borderId="6" xfId="1" applyNumberFormat="1" applyFont="1" applyFill="1" applyBorder="1" applyAlignment="1">
      <alignment horizontal="center" vertical="center" wrapText="1"/>
    </xf>
    <xf numFmtId="0" fontId="34" fillId="11" borderId="2" xfId="1" applyNumberFormat="1" applyFont="1" applyFill="1" applyBorder="1" applyAlignment="1">
      <alignment horizontal="center" vertical="center" wrapText="1"/>
    </xf>
    <xf numFmtId="0" fontId="31" fillId="0" borderId="23" xfId="1" applyNumberFormat="1" applyFill="1" applyBorder="1"/>
    <xf numFmtId="169" fontId="39" fillId="14" borderId="6" xfId="1" applyNumberFormat="1" applyFont="1" applyFill="1" applyBorder="1" applyAlignment="1">
      <alignment horizontal="center" wrapText="1"/>
    </xf>
    <xf numFmtId="0" fontId="34" fillId="4" borderId="3" xfId="1" applyNumberFormat="1" applyFont="1" applyFill="1" applyBorder="1" applyAlignment="1">
      <alignment horizontal="center" vertical="center" wrapText="1"/>
    </xf>
    <xf numFmtId="0" fontId="34" fillId="8" borderId="3" xfId="1" applyNumberFormat="1" applyFont="1" applyFill="1" applyBorder="1" applyAlignment="1">
      <alignment horizontal="center" vertical="center" wrapText="1"/>
    </xf>
    <xf numFmtId="0" fontId="34" fillId="10" borderId="3" xfId="1" applyNumberFormat="1" applyFont="1" applyFill="1" applyBorder="1" applyAlignment="1">
      <alignment horizontal="center" vertical="center" wrapText="1"/>
    </xf>
    <xf numFmtId="0" fontId="34" fillId="4" borderId="3" xfId="1" applyNumberFormat="1" applyFont="1" applyFill="1" applyBorder="1" applyAlignment="1">
      <alignment horizontal="center" wrapText="1"/>
    </xf>
    <xf numFmtId="49" fontId="34" fillId="9" borderId="2" xfId="1" applyNumberFormat="1" applyFont="1" applyFill="1" applyBorder="1" applyAlignment="1">
      <alignment horizontal="center" vertical="center" wrapText="1"/>
    </xf>
    <xf numFmtId="0" fontId="34" fillId="13" borderId="23" xfId="1" applyNumberFormat="1" applyFont="1" applyFill="1" applyBorder="1" applyAlignment="1">
      <alignment horizontal="center" vertical="center" wrapText="1"/>
    </xf>
    <xf numFmtId="0" fontId="39" fillId="4" borderId="3" xfId="1" applyNumberFormat="1" applyFont="1" applyFill="1" applyBorder="1" applyAlignment="1">
      <alignment horizontal="center" vertical="center" wrapText="1"/>
    </xf>
    <xf numFmtId="0" fontId="39" fillId="4" borderId="2" xfId="1" applyNumberFormat="1" applyFont="1" applyFill="1" applyBorder="1" applyAlignment="1">
      <alignment horizontal="center" vertical="center" textRotation="90" wrapText="1"/>
    </xf>
    <xf numFmtId="169" fontId="34" fillId="14" borderId="3" xfId="1" applyNumberFormat="1" applyFont="1" applyFill="1" applyBorder="1" applyAlignment="1">
      <alignment horizontal="center" vertical="center" wrapText="1"/>
    </xf>
    <xf numFmtId="167" fontId="34" fillId="14" borderId="2" xfId="1" applyNumberFormat="1" applyFont="1" applyFill="1" applyBorder="1" applyAlignment="1">
      <alignment horizontal="center" vertical="center" wrapText="1"/>
    </xf>
    <xf numFmtId="0" fontId="40" fillId="7" borderId="2" xfId="1" applyNumberFormat="1" applyFont="1" applyFill="1" applyBorder="1" applyAlignment="1">
      <alignment horizontal="center" wrapText="1"/>
    </xf>
    <xf numFmtId="0" fontId="34" fillId="3" borderId="2" xfId="1" applyNumberFormat="1" applyFont="1" applyFill="1" applyBorder="1" applyAlignment="1">
      <alignment horizontal="center" vertical="center" wrapText="1"/>
    </xf>
    <xf numFmtId="0" fontId="34" fillId="0" borderId="1" xfId="1" applyNumberFormat="1" applyFont="1" applyFill="1" applyBorder="1" applyAlignment="1">
      <alignment horizontal="center" vertical="center" wrapText="1"/>
    </xf>
    <xf numFmtId="0" fontId="34" fillId="10" borderId="1" xfId="1" applyNumberFormat="1" applyFont="1" applyFill="1" applyBorder="1" applyAlignment="1">
      <alignment horizont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41" fillId="0" borderId="1" xfId="1" applyNumberFormat="1" applyFont="1" applyFill="1" applyBorder="1" applyAlignment="1">
      <alignment horizontal="center" wrapText="1"/>
    </xf>
    <xf numFmtId="0" fontId="42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wrapText="1"/>
    </xf>
    <xf numFmtId="0" fontId="2" fillId="0" borderId="1" xfId="1" applyNumberFormat="1" applyFont="1" applyFill="1" applyBorder="1" applyAlignment="1">
      <alignment horizontal="left" wrapText="1"/>
    </xf>
    <xf numFmtId="3" fontId="4" fillId="2" borderId="9" xfId="1" applyNumberFormat="1" applyFont="1" applyFill="1" applyBorder="1" applyAlignment="1">
      <alignment horizontal="center" vertical="center" wrapText="1"/>
    </xf>
    <xf numFmtId="164" fontId="6" fillId="2" borderId="8" xfId="1" applyNumberFormat="1" applyFont="1" applyFill="1" applyBorder="1" applyAlignment="1">
      <alignment horizontal="center" vertical="center" wrapText="1"/>
    </xf>
    <xf numFmtId="164" fontId="7" fillId="2" borderId="8" xfId="1" applyNumberFormat="1" applyFont="1" applyFill="1" applyBorder="1" applyAlignment="1">
      <alignment horizontal="center" vertical="center" wrapText="1"/>
    </xf>
    <xf numFmtId="164" fontId="4" fillId="3" borderId="5" xfId="1" applyNumberFormat="1" applyFont="1" applyFill="1" applyBorder="1" applyAlignment="1">
      <alignment horizontal="center" vertical="center" wrapText="1"/>
    </xf>
    <xf numFmtId="164" fontId="6" fillId="3" borderId="6" xfId="1" applyNumberFormat="1" applyFont="1" applyFill="1" applyBorder="1" applyAlignment="1">
      <alignment horizontal="center" vertical="center" wrapText="1"/>
    </xf>
    <xf numFmtId="164" fontId="7" fillId="3" borderId="6" xfId="1" applyNumberFormat="1" applyFont="1" applyFill="1" applyBorder="1" applyAlignment="1">
      <alignment horizontal="center" vertical="center" wrapText="1"/>
    </xf>
    <xf numFmtId="164" fontId="5" fillId="4" borderId="5" xfId="1" applyNumberFormat="1" applyFont="1" applyFill="1" applyBorder="1" applyAlignment="1">
      <alignment horizontal="center" vertical="center" wrapText="1"/>
    </xf>
    <xf numFmtId="164" fontId="10" fillId="4" borderId="6" xfId="1" applyNumberFormat="1" applyFont="1" applyFill="1" applyBorder="1" applyAlignment="1">
      <alignment horizontal="center" vertical="center" wrapText="1"/>
    </xf>
    <xf numFmtId="164" fontId="11" fillId="4" borderId="6" xfId="1" applyNumberFormat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 wrapText="1"/>
    </xf>
    <xf numFmtId="164" fontId="14" fillId="0" borderId="6" xfId="1" applyNumberFormat="1" applyFont="1" applyFill="1" applyBorder="1" applyAlignment="1">
      <alignment horizontal="center" vertical="center" wrapText="1"/>
    </xf>
    <xf numFmtId="164" fontId="15" fillId="0" borderId="6" xfId="1" applyNumberFormat="1" applyFont="1" applyFill="1" applyBorder="1" applyAlignment="1">
      <alignment horizontal="center" vertical="center" wrapText="1"/>
    </xf>
    <xf numFmtId="164" fontId="3" fillId="4" borderId="5" xfId="1" applyNumberFormat="1" applyFont="1" applyFill="1" applyBorder="1" applyAlignment="1">
      <alignment horizontal="center" vertical="center" wrapText="1"/>
    </xf>
    <xf numFmtId="164" fontId="14" fillId="4" borderId="6" xfId="1" applyNumberFormat="1" applyFont="1" applyFill="1" applyBorder="1" applyAlignment="1">
      <alignment horizontal="center" vertical="center" wrapText="1"/>
    </xf>
    <xf numFmtId="164" fontId="15" fillId="4" borderId="6" xfId="1" applyNumberFormat="1" applyFont="1" applyFill="1" applyBorder="1" applyAlignment="1">
      <alignment horizontal="center" vertical="center" wrapText="1"/>
    </xf>
    <xf numFmtId="3" fontId="5" fillId="4" borderId="5" xfId="1" applyNumberFormat="1" applyFont="1" applyFill="1" applyBorder="1" applyAlignment="1">
      <alignment horizontal="center" vertical="center" wrapText="1"/>
    </xf>
    <xf numFmtId="3" fontId="5" fillId="4" borderId="6" xfId="1" applyNumberFormat="1" applyFont="1" applyFill="1" applyBorder="1" applyAlignment="1">
      <alignment horizontal="center" vertical="center" wrapText="1"/>
    </xf>
    <xf numFmtId="1" fontId="5" fillId="5" borderId="13" xfId="1" applyNumberFormat="1" applyFont="1" applyFill="1" applyBorder="1" applyAlignment="1">
      <alignment horizontal="center" vertical="center" wrapText="1"/>
    </xf>
    <xf numFmtId="1" fontId="5" fillId="5" borderId="12" xfId="1" applyNumberFormat="1" applyFont="1" applyFill="1" applyBorder="1" applyAlignment="1">
      <alignment horizontal="center" vertical="center" wrapText="1"/>
    </xf>
    <xf numFmtId="164" fontId="4" fillId="6" borderId="16" xfId="1" applyNumberFormat="1" applyFont="1" applyFill="1" applyBorder="1" applyAlignment="1">
      <alignment horizontal="center" vertical="center" wrapText="1"/>
    </xf>
    <xf numFmtId="164" fontId="6" fillId="6" borderId="15" xfId="1" applyNumberFormat="1" applyFont="1" applyFill="1" applyBorder="1" applyAlignment="1">
      <alignment horizontal="center" vertical="center" wrapText="1"/>
    </xf>
    <xf numFmtId="164" fontId="7" fillId="6" borderId="15" xfId="1" applyNumberFormat="1" applyFont="1" applyFill="1" applyBorder="1" applyAlignment="1">
      <alignment horizontal="center" vertical="center" wrapText="1"/>
    </xf>
    <xf numFmtId="3" fontId="5" fillId="0" borderId="5" xfId="1" applyNumberFormat="1" applyFont="1" applyFill="1" applyBorder="1" applyAlignment="1">
      <alignment horizontal="center" vertical="center" wrapText="1"/>
    </xf>
    <xf numFmtId="164" fontId="10" fillId="0" borderId="6" xfId="1" applyNumberFormat="1" applyFont="1" applyFill="1" applyBorder="1" applyAlignment="1">
      <alignment horizontal="center" vertical="center" wrapText="1"/>
    </xf>
    <xf numFmtId="164" fontId="11" fillId="0" borderId="6" xfId="1" applyNumberFormat="1" applyFont="1" applyFill="1" applyBorder="1" applyAlignment="1">
      <alignment horizontal="center" vertical="center" wrapText="1"/>
    </xf>
    <xf numFmtId="0" fontId="3" fillId="0" borderId="5" xfId="1" applyNumberFormat="1" applyFont="1" applyFill="1" applyBorder="1" applyAlignment="1">
      <alignment horizontal="center" vertical="center" wrapText="1"/>
    </xf>
    <xf numFmtId="3" fontId="3" fillId="0" borderId="5" xfId="1" applyNumberFormat="1" applyFon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3" fontId="14" fillId="0" borderId="6" xfId="1" applyNumberFormat="1" applyFont="1" applyFill="1" applyBorder="1" applyAlignment="1">
      <alignment horizontal="center" vertical="center" wrapText="1"/>
    </xf>
    <xf numFmtId="3" fontId="15" fillId="0" borderId="6" xfId="1" applyNumberFormat="1" applyFont="1" applyFill="1" applyBorder="1" applyAlignment="1">
      <alignment horizontal="center" vertical="center" wrapText="1"/>
    </xf>
    <xf numFmtId="3" fontId="3" fillId="0" borderId="6" xfId="1" applyNumberFormat="1" applyFont="1" applyFill="1" applyBorder="1" applyAlignment="1">
      <alignment horizontal="center" vertical="center" wrapText="1"/>
    </xf>
    <xf numFmtId="168" fontId="33" fillId="9" borderId="6" xfId="1" applyNumberFormat="1" applyFont="1" applyFill="1" applyBorder="1" applyAlignment="1">
      <alignment horizontal="center" wrapText="1"/>
    </xf>
    <xf numFmtId="167" fontId="33" fillId="4" borderId="10" xfId="1" applyNumberFormat="1" applyFont="1" applyFill="1" applyBorder="1" applyAlignment="1">
      <alignment horizontal="center" wrapText="1"/>
    </xf>
    <xf numFmtId="169" fontId="33" fillId="4" borderId="10" xfId="1" applyNumberFormat="1" applyFont="1" applyFill="1" applyBorder="1" applyAlignment="1">
      <alignment horizontal="center" wrapText="1"/>
    </xf>
    <xf numFmtId="168" fontId="33" fillId="4" borderId="10" xfId="1" applyNumberFormat="1" applyFont="1" applyFill="1" applyBorder="1" applyAlignment="1">
      <alignment horizontal="center" wrapText="1"/>
    </xf>
    <xf numFmtId="168" fontId="33" fillId="2" borderId="15" xfId="1" applyNumberFormat="1" applyFont="1" applyFill="1" applyBorder="1" applyAlignment="1">
      <alignment horizontal="center" wrapText="1"/>
    </xf>
    <xf numFmtId="169" fontId="32" fillId="4" borderId="14" xfId="1" applyNumberFormat="1" applyFont="1" applyFill="1" applyBorder="1" applyAlignment="1">
      <alignment horizontal="left" wrapText="1"/>
    </xf>
    <xf numFmtId="164" fontId="33" fillId="4" borderId="14" xfId="1" applyNumberFormat="1" applyFont="1" applyFill="1" applyBorder="1" applyAlignment="1">
      <alignment horizontal="center" wrapText="1"/>
    </xf>
    <xf numFmtId="169" fontId="33" fillId="4" borderId="11" xfId="1" applyNumberFormat="1" applyFont="1" applyFill="1" applyBorder="1" applyAlignment="1">
      <alignment horizontal="center" wrapText="1"/>
    </xf>
    <xf numFmtId="0" fontId="33" fillId="0" borderId="10" xfId="1" applyNumberFormat="1" applyFont="1" applyFill="1" applyBorder="1" applyAlignment="1">
      <alignment horizontal="center" vertical="center" wrapText="1"/>
    </xf>
    <xf numFmtId="0" fontId="34" fillId="4" borderId="2" xfId="1" applyNumberFormat="1" applyFont="1" applyFill="1" applyBorder="1" applyAlignment="1">
      <alignment horizontal="center" vertical="center" wrapText="1"/>
    </xf>
    <xf numFmtId="49" fontId="34" fillId="4" borderId="2" xfId="1" applyNumberFormat="1" applyFont="1" applyFill="1" applyBorder="1" applyAlignment="1">
      <alignment horizontal="center" vertical="center" wrapText="1"/>
    </xf>
    <xf numFmtId="0" fontId="39" fillId="4" borderId="3" xfId="1" applyNumberFormat="1" applyFont="1" applyFill="1" applyBorder="1" applyAlignment="1">
      <alignment horizontal="center" wrapText="1"/>
    </xf>
    <xf numFmtId="0" fontId="25" fillId="0" borderId="1" xfId="1" applyNumberFormat="1" applyFont="1" applyFill="1" applyBorder="1" applyAlignment="1">
      <alignment horizontal="left" vertical="center" wrapText="1"/>
    </xf>
    <xf numFmtId="165" fontId="24" fillId="0" borderId="1" xfId="1" applyNumberFormat="1" applyFont="1" applyFill="1" applyBorder="1" applyAlignment="1">
      <alignment horizontal="center" vertical="center" wrapText="1"/>
    </xf>
    <xf numFmtId="0" fontId="24" fillId="0" borderId="1" xfId="1" applyNumberFormat="1" applyFont="1" applyFill="1" applyBorder="1" applyAlignment="1">
      <alignment horizontal="left" vertical="center" wrapText="1"/>
    </xf>
    <xf numFmtId="0" fontId="29" fillId="0" borderId="1" xfId="1" applyNumberFormat="1" applyFont="1" applyFill="1" applyBorder="1" applyAlignment="1">
      <alignment horizontal="center" vertical="center" wrapText="1"/>
    </xf>
    <xf numFmtId="164" fontId="5" fillId="0" borderId="6" xfId="1" applyNumberFormat="1" applyFon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3" fontId="3" fillId="0" borderId="10" xfId="1" applyNumberFormat="1" applyFont="1" applyFill="1" applyBorder="1" applyAlignment="1">
      <alignment horizontal="center" vertical="center" wrapText="1"/>
    </xf>
    <xf numFmtId="165" fontId="30" fillId="0" borderId="1" xfId="1" applyNumberFormat="1" applyFont="1" applyFill="1" applyBorder="1" applyAlignment="1">
      <alignment horizontal="center" vertical="center" wrapText="1"/>
    </xf>
    <xf numFmtId="165" fontId="25" fillId="0" borderId="1" xfId="1" applyNumberFormat="1" applyFont="1" applyFill="1" applyBorder="1" applyAlignment="1">
      <alignment horizontal="center" vertical="center" wrapText="1"/>
    </xf>
    <xf numFmtId="0" fontId="29" fillId="0" borderId="1" xfId="1" applyNumberFormat="1" applyFont="1" applyFill="1" applyBorder="1" applyAlignment="1">
      <alignment horizontal="left" vertical="center" wrapText="1"/>
    </xf>
    <xf numFmtId="0" fontId="28" fillId="0" borderId="1" xfId="1" applyNumberFormat="1" applyFont="1" applyFill="1" applyBorder="1" applyAlignment="1">
      <alignment horizontal="right" vertical="center" wrapText="1"/>
    </xf>
    <xf numFmtId="165" fontId="24" fillId="0" borderId="1" xfId="1" applyNumberFormat="1" applyFont="1" applyFill="1" applyBorder="1" applyAlignment="1">
      <alignment horizontal="left" vertical="center" wrapText="1"/>
    </xf>
    <xf numFmtId="164" fontId="3" fillId="0" borderId="6" xfId="1" applyNumberFormat="1" applyFont="1" applyFill="1" applyBorder="1" applyAlignment="1">
      <alignment horizontal="center" vertical="center" wrapText="1"/>
    </xf>
    <xf numFmtId="164" fontId="3" fillId="0" borderId="10" xfId="1" applyNumberFormat="1" applyFont="1" applyFill="1" applyBorder="1" applyAlignment="1">
      <alignment horizontal="center" vertical="center" wrapText="1"/>
    </xf>
    <xf numFmtId="0" fontId="25" fillId="0" borderId="6" xfId="1" applyNumberFormat="1" applyFont="1" applyFill="1" applyBorder="1" applyAlignment="1">
      <alignment horizontal="center" vertical="center" wrapText="1"/>
    </xf>
    <xf numFmtId="0" fontId="25" fillId="0" borderId="10" xfId="1" applyNumberFormat="1" applyFont="1" applyFill="1" applyBorder="1" applyAlignment="1">
      <alignment horizontal="center" vertical="center" wrapText="1"/>
    </xf>
    <xf numFmtId="0" fontId="25" fillId="0" borderId="1" xfId="1" applyNumberFormat="1" applyFont="1" applyFill="1" applyBorder="1" applyAlignment="1">
      <alignment horizontal="right" vertical="center" wrapText="1"/>
    </xf>
    <xf numFmtId="0" fontId="24" fillId="0" borderId="2" xfId="1" applyNumberFormat="1" applyFont="1" applyFill="1" applyBorder="1" applyAlignment="1">
      <alignment horizontal="center" vertical="center" wrapText="1"/>
    </xf>
    <xf numFmtId="0" fontId="24" fillId="0" borderId="3" xfId="1" applyNumberFormat="1" applyFont="1" applyFill="1" applyBorder="1" applyAlignment="1">
      <alignment horizontal="center" vertical="center" wrapText="1"/>
    </xf>
    <xf numFmtId="0" fontId="24" fillId="0" borderId="1" xfId="1" applyNumberFormat="1" applyFont="1" applyFill="1" applyBorder="1" applyAlignment="1">
      <alignment horizontal="right" vertical="center" wrapText="1"/>
    </xf>
    <xf numFmtId="165" fontId="20" fillId="0" borderId="1" xfId="1" applyNumberFormat="1" applyFont="1" applyFill="1" applyBorder="1" applyAlignment="1">
      <alignment horizontal="center" vertical="center" wrapText="1"/>
    </xf>
    <xf numFmtId="1" fontId="24" fillId="7" borderId="5" xfId="1" applyNumberFormat="1" applyFont="1" applyFill="1" applyBorder="1" applyAlignment="1">
      <alignment horizontal="center" vertical="center" wrapText="1"/>
    </xf>
    <xf numFmtId="3" fontId="24" fillId="7" borderId="6" xfId="1" applyNumberFormat="1" applyFont="1" applyFill="1" applyBorder="1" applyAlignment="1">
      <alignment horizontal="center" vertical="center" wrapText="1"/>
    </xf>
    <xf numFmtId="164" fontId="27" fillId="7" borderId="6" xfId="1" applyNumberFormat="1" applyFont="1" applyFill="1" applyBorder="1" applyAlignment="1">
      <alignment horizontal="center" vertical="center" wrapText="1"/>
    </xf>
    <xf numFmtId="164" fontId="24" fillId="7" borderId="6" xfId="1" applyNumberFormat="1" applyFont="1" applyFill="1" applyBorder="1" applyAlignment="1">
      <alignment horizontal="center" vertical="center" wrapText="1"/>
    </xf>
    <xf numFmtId="3" fontId="24" fillId="7" borderId="5" xfId="1" applyNumberFormat="1" applyFont="1" applyFill="1" applyBorder="1" applyAlignment="1">
      <alignment horizontal="center" vertical="center" wrapText="1"/>
    </xf>
    <xf numFmtId="3" fontId="24" fillId="7" borderId="6" xfId="1" applyNumberFormat="1" applyFont="1" applyFill="1" applyBorder="1" applyAlignment="1">
      <alignment horizontal="right" vertical="center" wrapText="1"/>
    </xf>
    <xf numFmtId="0" fontId="25" fillId="7" borderId="6" xfId="1" applyNumberFormat="1" applyFont="1" applyFill="1" applyBorder="1" applyAlignment="1">
      <alignment horizontal="left" wrapText="1"/>
    </xf>
    <xf numFmtId="0" fontId="24" fillId="7" borderId="10" xfId="1" applyNumberFormat="1" applyFont="1" applyFill="1" applyBorder="1" applyAlignment="1">
      <alignment horizontal="left" wrapText="1"/>
    </xf>
    <xf numFmtId="1" fontId="5" fillId="7" borderId="5" xfId="1" applyNumberFormat="1" applyFont="1" applyFill="1" applyBorder="1" applyAlignment="1">
      <alignment horizontal="center" vertical="center" wrapText="1"/>
    </xf>
    <xf numFmtId="3" fontId="5" fillId="7" borderId="6" xfId="1" applyNumberFormat="1" applyFont="1" applyFill="1" applyBorder="1" applyAlignment="1">
      <alignment horizontal="center" vertical="center" wrapText="1"/>
    </xf>
    <xf numFmtId="3" fontId="11" fillId="7" borderId="6" xfId="1" applyNumberFormat="1" applyFont="1" applyFill="1" applyBorder="1" applyAlignment="1">
      <alignment horizontal="center" vertical="center" wrapText="1"/>
    </xf>
    <xf numFmtId="3" fontId="10" fillId="7" borderId="6" xfId="1" applyNumberFormat="1" applyFont="1" applyFill="1" applyBorder="1" applyAlignment="1">
      <alignment horizontal="center" vertical="center" wrapText="1"/>
    </xf>
    <xf numFmtId="3" fontId="5" fillId="7" borderId="5" xfId="1" applyNumberFormat="1" applyFont="1" applyFill="1" applyBorder="1" applyAlignment="1">
      <alignment horizontal="center" vertical="center" wrapText="1"/>
    </xf>
    <xf numFmtId="3" fontId="5" fillId="7" borderId="6" xfId="1" applyNumberFormat="1" applyFont="1" applyFill="1" applyBorder="1" applyAlignment="1">
      <alignment horizontal="right" vertical="center" wrapText="1"/>
    </xf>
    <xf numFmtId="0" fontId="24" fillId="7" borderId="6" xfId="1" applyNumberFormat="1" applyFont="1" applyFill="1" applyBorder="1" applyAlignment="1">
      <alignment horizontal="left" vertical="center" wrapText="1"/>
    </xf>
    <xf numFmtId="0" fontId="24" fillId="7" borderId="10" xfId="1" applyNumberFormat="1" applyFont="1" applyFill="1" applyBorder="1" applyAlignment="1">
      <alignment horizontal="left" vertical="center" wrapText="1"/>
    </xf>
    <xf numFmtId="1" fontId="5" fillId="2" borderId="5" xfId="1" applyNumberFormat="1" applyFont="1" applyFill="1" applyBorder="1" applyAlignment="1">
      <alignment horizontal="center" vertical="center" wrapText="1"/>
    </xf>
    <xf numFmtId="3" fontId="5" fillId="2" borderId="6" xfId="1" applyNumberFormat="1" applyFont="1" applyFill="1" applyBorder="1" applyAlignment="1">
      <alignment horizontal="center" vertical="center" wrapText="1"/>
    </xf>
    <xf numFmtId="3" fontId="11" fillId="2" borderId="6" xfId="1" applyNumberFormat="1" applyFont="1" applyFill="1" applyBorder="1" applyAlignment="1">
      <alignment horizontal="center" vertical="center" wrapText="1"/>
    </xf>
    <xf numFmtId="3" fontId="10" fillId="2" borderId="6" xfId="1" applyNumberFormat="1" applyFont="1" applyFill="1" applyBorder="1" applyAlignment="1">
      <alignment horizontal="center" vertical="center" wrapText="1"/>
    </xf>
    <xf numFmtId="3" fontId="5" fillId="2" borderId="5" xfId="1" applyNumberFormat="1" applyFont="1" applyFill="1" applyBorder="1" applyAlignment="1">
      <alignment horizontal="center" vertical="center" wrapText="1"/>
    </xf>
    <xf numFmtId="164" fontId="5" fillId="2" borderId="6" xfId="1" applyNumberFormat="1" applyFont="1" applyFill="1" applyBorder="1" applyAlignment="1">
      <alignment horizontal="center" vertical="center" wrapText="1"/>
    </xf>
    <xf numFmtId="164" fontId="11" fillId="2" borderId="6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0" fontId="21" fillId="2" borderId="6" xfId="1" applyNumberFormat="1" applyFont="1" applyFill="1" applyBorder="1" applyAlignment="1">
      <alignment horizontal="right" vertical="center" wrapText="1"/>
    </xf>
    <xf numFmtId="0" fontId="23" fillId="2" borderId="10" xfId="1" applyNumberFormat="1" applyFont="1" applyFill="1" applyBorder="1" applyAlignment="1">
      <alignment horizontal="left" vertical="center" wrapText="1"/>
    </xf>
    <xf numFmtId="1" fontId="5" fillId="2" borderId="16" xfId="1" applyNumberFormat="1" applyFont="1" applyFill="1" applyBorder="1" applyAlignment="1">
      <alignment horizontal="center" vertical="center" wrapText="1"/>
    </xf>
    <xf numFmtId="164" fontId="5" fillId="2" borderId="15" xfId="1" applyNumberFormat="1" applyFont="1" applyFill="1" applyBorder="1" applyAlignment="1">
      <alignment horizontal="center" vertical="center" wrapText="1"/>
    </xf>
    <xf numFmtId="164" fontId="11" fillId="2" borderId="15" xfId="1" applyNumberFormat="1" applyFont="1" applyFill="1" applyBorder="1" applyAlignment="1">
      <alignment horizontal="center" vertical="center" wrapText="1"/>
    </xf>
    <xf numFmtId="164" fontId="10" fillId="2" borderId="15" xfId="1" applyNumberFormat="1" applyFont="1" applyFill="1" applyBorder="1" applyAlignment="1">
      <alignment horizontal="center" vertical="center" wrapText="1"/>
    </xf>
    <xf numFmtId="164" fontId="5" fillId="2" borderId="16" xfId="1" applyNumberFormat="1" applyFont="1" applyFill="1" applyBorder="1" applyAlignment="1">
      <alignment horizontal="center" vertical="center" wrapText="1"/>
    </xf>
    <xf numFmtId="3" fontId="5" fillId="2" borderId="15" xfId="1" applyNumberFormat="1" applyFont="1" applyFill="1" applyBorder="1" applyAlignment="1">
      <alignment horizontal="center" vertical="center" wrapText="1"/>
    </xf>
    <xf numFmtId="3" fontId="5" fillId="2" borderId="16" xfId="1" applyNumberFormat="1" applyFont="1" applyFill="1" applyBorder="1" applyAlignment="1">
      <alignment horizontal="center" vertical="center" wrapText="1"/>
    </xf>
    <xf numFmtId="0" fontId="22" fillId="2" borderId="15" xfId="1" applyNumberFormat="1" applyFont="1" applyFill="1" applyBorder="1" applyAlignment="1">
      <alignment horizontal="left" vertical="center" wrapText="1"/>
    </xf>
    <xf numFmtId="0" fontId="22" fillId="2" borderId="14" xfId="1" applyNumberFormat="1" applyFont="1" applyFill="1" applyBorder="1" applyAlignment="1">
      <alignment horizontal="center" vertical="center" wrapText="1"/>
    </xf>
    <xf numFmtId="1" fontId="3" fillId="0" borderId="5" xfId="1" applyNumberFormat="1" applyFont="1" applyFill="1" applyBorder="1" applyAlignment="1">
      <alignment horizontal="center" vertical="center" wrapText="1"/>
    </xf>
    <xf numFmtId="0" fontId="13" fillId="0" borderId="6" xfId="1" applyNumberFormat="1" applyFont="1" applyFill="1" applyBorder="1" applyAlignment="1">
      <alignment horizontal="left" vertical="center" wrapText="1"/>
    </xf>
    <xf numFmtId="0" fontId="13" fillId="0" borderId="10" xfId="1" applyNumberFormat="1" applyFont="1" applyFill="1" applyBorder="1" applyAlignment="1">
      <alignment horizontal="center" vertical="center"/>
    </xf>
    <xf numFmtId="0" fontId="13" fillId="0" borderId="6" xfId="1" applyNumberFormat="1" applyFont="1" applyFill="1" applyBorder="1" applyAlignment="1">
      <alignment horizontal="right" vertical="center" wrapText="1"/>
    </xf>
    <xf numFmtId="1" fontId="5" fillId="4" borderId="5" xfId="1" applyNumberFormat="1" applyFont="1" applyFill="1" applyBorder="1" applyAlignment="1">
      <alignment horizontal="center" vertical="center" wrapText="1"/>
    </xf>
    <xf numFmtId="164" fontId="5" fillId="4" borderId="6" xfId="1" applyNumberFormat="1" applyFont="1" applyFill="1" applyBorder="1" applyAlignment="1">
      <alignment horizontal="center" vertical="center" wrapText="1"/>
    </xf>
    <xf numFmtId="0" fontId="17" fillId="4" borderId="6" xfId="1" applyNumberFormat="1" applyFont="1" applyFill="1" applyBorder="1" applyAlignment="1">
      <alignment horizontal="left" vertical="center" wrapText="1"/>
    </xf>
    <xf numFmtId="0" fontId="13" fillId="4" borderId="10" xfId="1" applyNumberFormat="1" applyFont="1" applyFill="1" applyBorder="1" applyAlignment="1">
      <alignment horizontal="center" vertical="center" wrapText="1"/>
    </xf>
    <xf numFmtId="0" fontId="17" fillId="0" borderId="6" xfId="1" applyNumberFormat="1" applyFont="1" applyFill="1" applyBorder="1" applyAlignment="1">
      <alignment horizontal="left" vertical="center" wrapText="1"/>
    </xf>
    <xf numFmtId="0" fontId="13" fillId="0" borderId="10" xfId="1" applyNumberFormat="1" applyFont="1" applyFill="1" applyBorder="1" applyAlignment="1">
      <alignment horizontal="center" vertical="center" wrapText="1"/>
    </xf>
    <xf numFmtId="1" fontId="5" fillId="0" borderId="5" xfId="1" applyNumberFormat="1" applyFont="1" applyFill="1" applyBorder="1" applyAlignment="1">
      <alignment horizontal="center" vertical="center" wrapText="1"/>
    </xf>
    <xf numFmtId="3" fontId="5" fillId="0" borderId="6" xfId="1" applyNumberFormat="1" applyFont="1" applyFill="1" applyBorder="1" applyAlignment="1">
      <alignment horizontal="center" vertical="center" wrapText="1"/>
    </xf>
    <xf numFmtId="0" fontId="21" fillId="4" borderId="6" xfId="1" applyNumberFormat="1" applyFont="1" applyFill="1" applyBorder="1" applyAlignment="1">
      <alignment horizontal="left" vertical="center" wrapText="1"/>
    </xf>
    <xf numFmtId="0" fontId="20" fillId="4" borderId="10" xfId="1" applyNumberFormat="1" applyFont="1" applyFill="1" applyBorder="1" applyAlignment="1">
      <alignment horizontal="center" vertical="center" wrapText="1"/>
    </xf>
    <xf numFmtId="0" fontId="3" fillId="0" borderId="6" xfId="1" applyNumberFormat="1" applyFont="1" applyFill="1" applyBorder="1" applyAlignment="1">
      <alignment horizontal="center" vertical="center" wrapText="1"/>
    </xf>
    <xf numFmtId="0" fontId="9" fillId="4" borderId="6" xfId="1" applyNumberFormat="1" applyFont="1" applyFill="1" applyBorder="1" applyAlignment="1">
      <alignment horizontal="left" vertical="center" wrapText="1"/>
    </xf>
    <xf numFmtId="0" fontId="8" fillId="4" borderId="10" xfId="1" applyNumberFormat="1" applyFont="1" applyFill="1" applyBorder="1" applyAlignment="1">
      <alignment horizontal="center" vertical="center" wrapText="1"/>
    </xf>
    <xf numFmtId="1" fontId="4" fillId="6" borderId="16" xfId="1" applyNumberFormat="1" applyFont="1" applyFill="1" applyBorder="1" applyAlignment="1">
      <alignment horizontal="center" vertical="center" wrapText="1"/>
    </xf>
    <xf numFmtId="164" fontId="4" fillId="6" borderId="15" xfId="1" applyNumberFormat="1" applyFont="1" applyFill="1" applyBorder="1" applyAlignment="1">
      <alignment horizontal="center" vertical="center" wrapText="1"/>
    </xf>
    <xf numFmtId="3" fontId="4" fillId="6" borderId="16" xfId="1" applyNumberFormat="1" applyFont="1" applyFill="1" applyBorder="1" applyAlignment="1">
      <alignment horizontal="center" vertical="center" wrapText="1"/>
    </xf>
    <xf numFmtId="3" fontId="4" fillId="6" borderId="15" xfId="1" applyNumberFormat="1" applyFont="1" applyFill="1" applyBorder="1" applyAlignment="1">
      <alignment horizontal="center" vertical="center" wrapText="1"/>
    </xf>
    <xf numFmtId="0" fontId="4" fillId="6" borderId="15" xfId="1" applyNumberFormat="1" applyFont="1" applyFill="1" applyBorder="1" applyAlignment="1">
      <alignment horizontal="left" vertical="center" wrapText="1"/>
    </xf>
    <xf numFmtId="0" fontId="4" fillId="6" borderId="14" xfId="1" applyNumberFormat="1" applyFont="1" applyFill="1" applyBorder="1" applyAlignment="1">
      <alignment horizontal="center" vertical="center" wrapText="1"/>
    </xf>
    <xf numFmtId="1" fontId="13" fillId="5" borderId="12" xfId="1" applyNumberFormat="1" applyFont="1" applyFill="1" applyBorder="1" applyAlignment="1">
      <alignment horizontal="center" vertical="center" wrapText="1"/>
    </xf>
    <xf numFmtId="0" fontId="13" fillId="5" borderId="12" xfId="1" applyNumberFormat="1" applyFont="1" applyFill="1" applyBorder="1" applyAlignment="1">
      <alignment horizontal="left" vertical="center" wrapText="1"/>
    </xf>
    <xf numFmtId="0" fontId="18" fillId="5" borderId="11" xfId="1" applyNumberFormat="1" applyFont="1" applyFill="1" applyBorder="1" applyAlignment="1">
      <alignment horizontal="center" vertical="center" wrapText="1"/>
    </xf>
    <xf numFmtId="1" fontId="3" fillId="4" borderId="5" xfId="1" applyNumberFormat="1" applyFont="1" applyFill="1" applyBorder="1" applyAlignment="1">
      <alignment horizontal="center" vertical="center" wrapText="1"/>
    </xf>
    <xf numFmtId="164" fontId="3" fillId="4" borderId="6" xfId="1" applyNumberFormat="1" applyFont="1" applyFill="1" applyBorder="1" applyAlignment="1">
      <alignment horizontal="center" vertical="center" wrapText="1"/>
    </xf>
    <xf numFmtId="3" fontId="3" fillId="4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164" fontId="4" fillId="3" borderId="6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left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2" borderId="9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3" fontId="4" fillId="2" borderId="8" xfId="1" applyNumberFormat="1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left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31" fillId="0" borderId="4" xfId="1" applyNumberFormat="1" applyFill="1" applyBorder="1"/>
    <xf numFmtId="0" fontId="5" fillId="0" borderId="6" xfId="1" applyNumberFormat="1" applyFont="1" applyFill="1" applyBorder="1" applyAlignment="1">
      <alignment horizontal="center" vertical="center" wrapText="1"/>
    </xf>
    <xf numFmtId="0" fontId="31" fillId="0" borderId="5" xfId="1" applyNumberFormat="1" applyFill="1" applyBorder="1"/>
    <xf numFmtId="0" fontId="5" fillId="0" borderId="5" xfId="1" applyNumberFormat="1" applyFont="1" applyFill="1" applyBorder="1" applyAlignment="1">
      <alignment horizontal="center" vertical="center" wrapText="1"/>
    </xf>
    <xf numFmtId="0" fontId="5" fillId="0" borderId="6" xfId="1" applyNumberFormat="1" applyFont="1" applyFill="1" applyBorder="1" applyAlignment="1">
      <alignment horizontal="center" vertical="center" wrapText="1"/>
    </xf>
    <xf numFmtId="0" fontId="5" fillId="0" borderId="5" xfId="1" applyNumberFormat="1" applyFont="1" applyFill="1" applyBorder="1" applyAlignment="1">
      <alignment horizontal="center" vertical="center" wrapText="1"/>
    </xf>
    <xf numFmtId="0" fontId="5" fillId="0" borderId="4" xfId="1" applyNumberFormat="1" applyFont="1" applyFill="1" applyBorder="1" applyAlignment="1">
      <alignment horizontal="center" vertical="center" wrapText="1"/>
    </xf>
    <xf numFmtId="0" fontId="5" fillId="0" borderId="3" xfId="1" applyNumberFormat="1" applyFont="1" applyFill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164" fontId="26" fillId="7" borderId="6" xfId="1" applyNumberFormat="1" applyFont="1" applyFill="1" applyBorder="1" applyAlignment="1">
      <alignment horizontal="center" vertical="center" wrapText="1"/>
    </xf>
    <xf numFmtId="164" fontId="16" fillId="0" borderId="6" xfId="1" applyNumberFormat="1" applyFont="1" applyFill="1" applyBorder="1" applyAlignment="1">
      <alignment horizontal="center" vertical="center" wrapText="1"/>
    </xf>
    <xf numFmtId="164" fontId="12" fillId="0" borderId="6" xfId="1" applyNumberFormat="1" applyFont="1" applyFill="1" applyBorder="1" applyAlignment="1">
      <alignment horizontal="center" vertical="center" wrapText="1"/>
    </xf>
    <xf numFmtId="164" fontId="12" fillId="4" borderId="6" xfId="1" applyNumberFormat="1" applyFont="1" applyFill="1" applyBorder="1" applyAlignment="1">
      <alignment horizontal="center" vertical="center" wrapText="1"/>
    </xf>
    <xf numFmtId="164" fontId="19" fillId="6" borderId="15" xfId="1" applyNumberFormat="1" applyFont="1" applyFill="1" applyBorder="1" applyAlignment="1">
      <alignment horizontal="center" vertical="center" wrapText="1"/>
    </xf>
    <xf numFmtId="0" fontId="1" fillId="0" borderId="1" xfId="1" applyNumberFormat="1" applyFont="1" applyFill="1" applyBorder="1" applyAlignment="1">
      <alignment horizontal="center" vertical="center" wrapText="1"/>
    </xf>
    <xf numFmtId="164" fontId="15" fillId="15" borderId="6" xfId="1" applyNumberFormat="1" applyFont="1" applyFill="1" applyBorder="1" applyAlignment="1">
      <alignment horizontal="center" vertical="center" wrapText="1"/>
    </xf>
    <xf numFmtId="3" fontId="3" fillId="15" borderId="6" xfId="1" applyNumberFormat="1" applyFont="1" applyFill="1" applyBorder="1" applyAlignment="1">
      <alignment horizontal="center" vertical="center" wrapText="1"/>
    </xf>
    <xf numFmtId="164" fontId="14" fillId="15" borderId="6" xfId="1" applyNumberFormat="1" applyFont="1" applyFill="1" applyBorder="1" applyAlignment="1">
      <alignment horizontal="center" vertical="center" wrapText="1"/>
    </xf>
    <xf numFmtId="164" fontId="31" fillId="0" borderId="1" xfId="1" applyNumberFormat="1"/>
    <xf numFmtId="164" fontId="11" fillId="15" borderId="6" xfId="1" applyNumberFormat="1" applyFont="1" applyFill="1" applyBorder="1" applyAlignment="1">
      <alignment horizontal="center" vertical="center" wrapText="1"/>
    </xf>
    <xf numFmtId="0" fontId="43" fillId="0" borderId="1" xfId="1" applyFont="1"/>
    <xf numFmtId="164" fontId="43" fillId="0" borderId="1" xfId="1" applyNumberFormat="1" applyFont="1"/>
    <xf numFmtId="0" fontId="44" fillId="0" borderId="1" xfId="1" applyNumberFormat="1" applyFont="1" applyFill="1" applyBorder="1" applyAlignment="1">
      <alignment horizontal="center"/>
    </xf>
    <xf numFmtId="168" fontId="45" fillId="16" borderId="3" xfId="1" applyNumberFormat="1" applyFont="1" applyFill="1" applyBorder="1" applyAlignment="1">
      <alignment horizontal="right" vertical="center" wrapText="1"/>
    </xf>
    <xf numFmtId="167" fontId="46" fillId="16" borderId="3" xfId="1" applyNumberFormat="1" applyFont="1" applyFill="1" applyBorder="1" applyAlignment="1">
      <alignment horizontal="right" vertical="center" wrapText="1"/>
    </xf>
    <xf numFmtId="0" fontId="45" fillId="16" borderId="3" xfId="1" applyNumberFormat="1" applyFont="1" applyFill="1" applyBorder="1" applyAlignment="1">
      <alignment horizontal="center" wrapText="1"/>
    </xf>
    <xf numFmtId="0" fontId="45" fillId="16" borderId="2" xfId="1" applyNumberFormat="1" applyFont="1" applyFill="1" applyBorder="1" applyAlignment="1">
      <alignment horizontal="center" wrapText="1"/>
    </xf>
    <xf numFmtId="172" fontId="3" fillId="0" borderId="1" xfId="1" applyNumberFormat="1" applyFont="1" applyFill="1" applyBorder="1" applyAlignment="1">
      <alignment horizontal="left" wrapText="1"/>
    </xf>
    <xf numFmtId="0" fontId="46" fillId="0" borderId="1" xfId="1" applyNumberFormat="1" applyFont="1" applyFill="1" applyBorder="1" applyAlignment="1">
      <alignment horizontal="center" wrapText="1"/>
    </xf>
    <xf numFmtId="173" fontId="45" fillId="17" borderId="3" xfId="1" applyNumberFormat="1" applyFont="1" applyFill="1" applyBorder="1" applyAlignment="1">
      <alignment horizontal="right" vertical="center" wrapText="1"/>
    </xf>
    <xf numFmtId="0" fontId="45" fillId="17" borderId="3" xfId="1" applyNumberFormat="1" applyFont="1" applyFill="1" applyBorder="1" applyAlignment="1">
      <alignment horizontal="center" wrapText="1"/>
    </xf>
    <xf numFmtId="0" fontId="45" fillId="17" borderId="2" xfId="1" applyNumberFormat="1" applyFont="1" applyFill="1" applyBorder="1" applyAlignment="1">
      <alignment horizontal="center" wrapText="1"/>
    </xf>
    <xf numFmtId="173" fontId="45" fillId="18" borderId="3" xfId="1" applyNumberFormat="1" applyFont="1" applyFill="1" applyBorder="1" applyAlignment="1">
      <alignment horizontal="right" vertical="center" wrapText="1"/>
    </xf>
    <xf numFmtId="167" fontId="46" fillId="18" borderId="3" xfId="1" applyNumberFormat="1" applyFont="1" applyFill="1" applyBorder="1" applyAlignment="1">
      <alignment horizontal="right" wrapText="1"/>
    </xf>
    <xf numFmtId="0" fontId="45" fillId="18" borderId="3" xfId="1" applyNumberFormat="1" applyFont="1" applyFill="1" applyBorder="1" applyAlignment="1">
      <alignment horizontal="center" wrapText="1"/>
    </xf>
    <xf numFmtId="0" fontId="45" fillId="18" borderId="2" xfId="1" applyNumberFormat="1" applyFont="1" applyFill="1" applyBorder="1" applyAlignment="1">
      <alignment horizontal="center" wrapText="1"/>
    </xf>
    <xf numFmtId="173" fontId="45" fillId="4" borderId="14" xfId="1" applyNumberFormat="1" applyFont="1" applyFill="1" applyBorder="1" applyAlignment="1">
      <alignment horizontal="right" vertical="center" wrapText="1"/>
    </xf>
    <xf numFmtId="49" fontId="45" fillId="4" borderId="15" xfId="1" applyNumberFormat="1" applyFont="1" applyFill="1" applyBorder="1" applyAlignment="1">
      <alignment horizontal="center" wrapText="1"/>
    </xf>
    <xf numFmtId="49" fontId="45" fillId="4" borderId="14" xfId="1" applyNumberFormat="1" applyFont="1" applyFill="1" applyBorder="1" applyAlignment="1">
      <alignment horizontal="center" wrapText="1"/>
    </xf>
    <xf numFmtId="1" fontId="2" fillId="0" borderId="1" xfId="1" applyNumberFormat="1" applyFont="1" applyFill="1" applyBorder="1" applyAlignment="1">
      <alignment horizontal="left" wrapText="1"/>
    </xf>
    <xf numFmtId="164" fontId="47" fillId="0" borderId="18" xfId="1" applyNumberFormat="1" applyFont="1" applyFill="1" applyBorder="1" applyAlignment="1">
      <alignment horizontal="right" vertical="center" wrapText="1"/>
    </xf>
    <xf numFmtId="0" fontId="44" fillId="0" borderId="18" xfId="1" applyNumberFormat="1" applyFont="1" applyFill="1" applyBorder="1" applyAlignment="1">
      <alignment horizontal="center" vertical="center" wrapText="1"/>
    </xf>
    <xf numFmtId="1" fontId="44" fillId="0" borderId="24" xfId="1" applyNumberFormat="1" applyFont="1" applyFill="1" applyBorder="1" applyAlignment="1">
      <alignment horizontal="center" vertical="center" wrapText="1"/>
    </xf>
    <xf numFmtId="3" fontId="48" fillId="0" borderId="1" xfId="1" applyNumberFormat="1" applyFont="1" applyFill="1" applyBorder="1" applyAlignment="1">
      <alignment horizontal="left" wrapText="1"/>
    </xf>
    <xf numFmtId="1" fontId="49" fillId="0" borderId="1" xfId="1" applyNumberFormat="1" applyFont="1" applyFill="1" applyBorder="1" applyAlignment="1">
      <alignment horizontal="center" vertical="center" wrapText="1"/>
    </xf>
    <xf numFmtId="168" fontId="50" fillId="0" borderId="25" xfId="1" applyNumberFormat="1" applyFont="1" applyFill="1" applyBorder="1" applyAlignment="1">
      <alignment horizontal="right" vertical="center" wrapText="1"/>
    </xf>
    <xf numFmtId="168" fontId="51" fillId="0" borderId="25" xfId="1" applyNumberFormat="1" applyFont="1" applyFill="1" applyBorder="1" applyAlignment="1">
      <alignment horizontal="right" vertical="center" wrapText="1"/>
    </xf>
    <xf numFmtId="0" fontId="52" fillId="0" borderId="26" xfId="1" applyNumberFormat="1" applyFont="1" applyFill="1" applyBorder="1" applyAlignment="1">
      <alignment horizontal="center" vertical="center" wrapText="1"/>
    </xf>
    <xf numFmtId="0" fontId="52" fillId="19" borderId="25" xfId="1" applyNumberFormat="1" applyFont="1" applyFill="1" applyBorder="1" applyAlignment="1">
      <alignment horizontal="center" vertical="center" wrapText="1"/>
    </xf>
    <xf numFmtId="0" fontId="44" fillId="7" borderId="10" xfId="1" applyNumberFormat="1" applyFont="1" applyFill="1" applyBorder="1" applyAlignment="1">
      <alignment horizontal="center" vertical="center" wrapText="1"/>
    </xf>
    <xf numFmtId="0" fontId="44" fillId="7" borderId="2" xfId="1" applyNumberFormat="1" applyFont="1" applyFill="1" applyBorder="1" applyAlignment="1">
      <alignment horizontal="center" vertical="center" wrapText="1"/>
    </xf>
    <xf numFmtId="0" fontId="47" fillId="7" borderId="2" xfId="1" applyNumberFormat="1" applyFont="1" applyFill="1" applyBorder="1" applyAlignment="1">
      <alignment horizontal="center" vertical="center" wrapText="1"/>
    </xf>
    <xf numFmtId="0" fontId="47" fillId="7" borderId="2" xfId="1" applyNumberFormat="1" applyFont="1" applyFill="1" applyBorder="1" applyAlignment="1">
      <alignment horizontal="center" vertical="center"/>
    </xf>
    <xf numFmtId="0" fontId="31" fillId="0" borderId="27" xfId="1" applyNumberFormat="1" applyFill="1" applyBorder="1"/>
    <xf numFmtId="0" fontId="47" fillId="7" borderId="27" xfId="1" applyNumberFormat="1" applyFont="1" applyFill="1" applyBorder="1" applyAlignment="1">
      <alignment horizontal="center" vertical="center"/>
    </xf>
    <xf numFmtId="0" fontId="44" fillId="7" borderId="3" xfId="1" applyNumberFormat="1" applyFont="1" applyFill="1" applyBorder="1" applyAlignment="1">
      <alignment horizontal="center" vertical="center" wrapText="1"/>
    </xf>
    <xf numFmtId="0" fontId="44" fillId="7" borderId="2" xfId="1" applyNumberFormat="1" applyFont="1" applyFill="1" applyBorder="1" applyAlignment="1">
      <alignment horizontal="center" vertical="center" wrapText="1"/>
    </xf>
    <xf numFmtId="0" fontId="53" fillId="0" borderId="1" xfId="1" applyNumberFormat="1" applyFont="1" applyFill="1" applyBorder="1" applyAlignment="1">
      <alignment horizontal="left" vertical="center" wrapText="1"/>
    </xf>
    <xf numFmtId="174" fontId="54" fillId="0" borderId="1" xfId="1" applyNumberFormat="1" applyFont="1" applyFill="1" applyBorder="1" applyAlignment="1">
      <alignment horizontal="left" vertical="center" wrapText="1"/>
    </xf>
    <xf numFmtId="0" fontId="55" fillId="0" borderId="1" xfId="1" applyNumberFormat="1" applyFont="1" applyFill="1" applyBorder="1" applyAlignment="1">
      <alignment horizontal="right" wrapText="1"/>
    </xf>
    <xf numFmtId="0" fontId="56" fillId="0" borderId="1" xfId="1" applyNumberFormat="1" applyFont="1" applyFill="1" applyBorder="1" applyAlignment="1">
      <alignment horizontal="left" wrapText="1"/>
    </xf>
    <xf numFmtId="0" fontId="57" fillId="0" borderId="1" xfId="1" applyNumberFormat="1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1800" b="0" i="0" u="none">
                <a:latin typeface="Calibri" pitchFamily="18" charset="0"/>
              </a:defRPr>
            </a:pP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Итого</c:v>
          </c:tx>
          <c:spPr>
            <a:ln w="12700">
              <a:solidFill>
                <a:srgbClr val="000000"/>
              </a:solidFill>
            </a:ln>
          </c:spPr>
          <c:marker>
            <c:symbol val="circle"/>
            <c:size val="4"/>
            <c:spPr>
              <a:solidFill>
                <a:srgbClr val="000000"/>
              </a:solidFill>
              <a:ln w="12700"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1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График_Суточной_Добычи_Нефть!$B$9:$B$38</c:f>
              <c:numCache>
                <c:formatCode>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График_Суточной_Добычи_Нефть!$AT$9:$AT$38</c:f>
              <c:numCache>
                <c:formatCode>0;\-0;;@</c:formatCode>
                <c:ptCount val="30"/>
                <c:pt idx="0" formatCode="General">
                  <c:v>-1</c:v>
                </c:pt>
                <c:pt idx="1">
                  <c:v>10220.484</c:v>
                </c:pt>
                <c:pt idx="2">
                  <c:v>10148.448</c:v>
                </c:pt>
                <c:pt idx="3">
                  <c:v>10143.118999999999</c:v>
                </c:pt>
                <c:pt idx="4">
                  <c:v>10132.433999999999</c:v>
                </c:pt>
                <c:pt idx="5">
                  <c:v>10065.573</c:v>
                </c:pt>
                <c:pt idx="6">
                  <c:v>10064.953000000001</c:v>
                </c:pt>
                <c:pt idx="7">
                  <c:v>9937.7749999999996</c:v>
                </c:pt>
                <c:pt idx="8">
                  <c:v>10067.956000000002</c:v>
                </c:pt>
                <c:pt idx="9">
                  <c:v>10094.807999999999</c:v>
                </c:pt>
                <c:pt idx="10">
                  <c:v>10116.673999999999</c:v>
                </c:pt>
                <c:pt idx="11">
                  <c:v>10167.114</c:v>
                </c:pt>
                <c:pt idx="12">
                  <c:v>10165.022000000001</c:v>
                </c:pt>
                <c:pt idx="13">
                  <c:v>10174.829999999998</c:v>
                </c:pt>
                <c:pt idx="14">
                  <c:v>10169.376</c:v>
                </c:pt>
                <c:pt idx="15">
                  <c:v>10024.902</c:v>
                </c:pt>
                <c:pt idx="16">
                  <c:v>10132.598000000002</c:v>
                </c:pt>
                <c:pt idx="17">
                  <c:v>10156.664000000001</c:v>
                </c:pt>
                <c:pt idx="18">
                  <c:v>10148.056</c:v>
                </c:pt>
                <c:pt idx="19">
                  <c:v>10085.680999999999</c:v>
                </c:pt>
                <c:pt idx="20">
                  <c:v>10064.689000000002</c:v>
                </c:pt>
                <c:pt idx="21">
                  <c:v>10006.057000000001</c:v>
                </c:pt>
                <c:pt idx="22">
                  <c:v>10072.394</c:v>
                </c:pt>
                <c:pt idx="23">
                  <c:v>10100.412</c:v>
                </c:pt>
                <c:pt idx="24">
                  <c:v>10101.062</c:v>
                </c:pt>
                <c:pt idx="25">
                  <c:v>10173.001999999999</c:v>
                </c:pt>
                <c:pt idx="26">
                  <c:v>10149.493</c:v>
                </c:pt>
                <c:pt idx="27">
                  <c:v>10187.446</c:v>
                </c:pt>
                <c:pt idx="28">
                  <c:v>10203.161999999998</c:v>
                </c:pt>
                <c:pt idx="29">
                  <c:v>10292.731999999998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5-46C8-99F0-DFFFF5901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50112"/>
        <c:axId val="48672768"/>
      </c:scatterChart>
      <c:valAx>
        <c:axId val="48650112"/>
        <c:scaling>
          <c:orientation val="minMax"/>
          <c:max val="29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000" b="0" i="0" u="none">
                    <a:latin typeface="Arial" pitchFamily="10" charset="0"/>
                  </a:defRPr>
                </a:pPr>
                <a:endParaRPr lang="ru-RU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48672768"/>
        <c:crosses val="autoZero"/>
        <c:crossBetween val="midCat"/>
        <c:majorUnit val="1"/>
      </c:valAx>
      <c:valAx>
        <c:axId val="48672768"/>
        <c:scaling>
          <c:orientation val="minMax"/>
          <c:max val="34896"/>
          <c:min val="27601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000" b="0" i="0" u="none">
                    <a:latin typeface="Arial" pitchFamily="10" charset="0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cross"/>
        <c:minorTickMark val="none"/>
        <c:tickLblPos val="nextTo"/>
        <c:crossAx val="48650112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</c:legend>
    <c:plotVisOnly val="1"/>
    <c:dispBlanksAs val="gap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50</xdr:row>
      <xdr:rowOff>0</xdr:rowOff>
    </xdr:from>
    <xdr:to>
      <xdr:col>46</xdr:col>
      <xdr:colOff>0</xdr:colOff>
      <xdr:row>70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47"/>
  <sheetViews>
    <sheetView tabSelected="1" zoomScale="75" workbookViewId="0"/>
  </sheetViews>
  <sheetFormatPr defaultRowHeight="15" x14ac:dyDescent="0.25"/>
  <cols>
    <col min="1" max="1" width="3.85546875" style="1" customWidth="1"/>
    <col min="2" max="2" width="21" style="1" customWidth="1"/>
    <col min="3" max="3" width="9.28515625" style="1" customWidth="1"/>
    <col min="4" max="5" width="13.28515625" style="1" customWidth="1"/>
    <col min="6" max="6" width="13.7109375" style="1" customWidth="1"/>
    <col min="7" max="46" width="13.28515625" style="1" customWidth="1"/>
    <col min="47" max="47" width="13.7109375" style="1" customWidth="1"/>
    <col min="48" max="48" width="9.28515625" style="1" customWidth="1"/>
    <col min="49" max="16384" width="9.140625" style="1"/>
  </cols>
  <sheetData>
    <row r="1" spans="1:48" ht="15" customHeight="1" x14ac:dyDescent="0.25">
      <c r="A1" s="132" t="s">
        <v>169</v>
      </c>
      <c r="B1" s="2"/>
      <c r="C1" s="2"/>
      <c r="D1" s="2"/>
      <c r="E1" s="2"/>
      <c r="F1" s="333" t="s">
        <v>376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25">
      <c r="A2" s="2"/>
      <c r="B2" s="331" t="s">
        <v>375</v>
      </c>
      <c r="C2" s="332" t="s">
        <v>317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15" customHeight="1" x14ac:dyDescent="0.25">
      <c r="A3" s="2"/>
      <c r="B3" s="331" t="s">
        <v>374</v>
      </c>
      <c r="C3" s="330">
        <v>45323</v>
      </c>
      <c r="D3" s="7" t="s">
        <v>0</v>
      </c>
      <c r="E3" s="329"/>
      <c r="F3" s="329"/>
      <c r="G3" s="3"/>
      <c r="H3" s="3"/>
      <c r="I3" s="329"/>
      <c r="J3" s="329"/>
      <c r="K3" s="329"/>
      <c r="L3" s="329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15" customHeight="1" x14ac:dyDescent="0.25">
      <c r="A5" s="2"/>
      <c r="B5" s="328" t="s">
        <v>373</v>
      </c>
      <c r="C5" s="327" t="s">
        <v>372</v>
      </c>
      <c r="D5" s="326" t="s">
        <v>371</v>
      </c>
      <c r="E5" s="325" t="s">
        <v>0</v>
      </c>
      <c r="F5" s="325" t="s">
        <v>0</v>
      </c>
      <c r="G5" s="325" t="s">
        <v>0</v>
      </c>
      <c r="H5" s="325" t="s">
        <v>0</v>
      </c>
      <c r="I5" s="325" t="s">
        <v>0</v>
      </c>
      <c r="J5" s="325" t="s">
        <v>0</v>
      </c>
      <c r="K5" s="325" t="s">
        <v>0</v>
      </c>
      <c r="L5" s="325" t="s">
        <v>0</v>
      </c>
      <c r="M5" s="324" t="s">
        <v>371</v>
      </c>
      <c r="N5" s="326" t="s">
        <v>370</v>
      </c>
      <c r="O5" s="325" t="s">
        <v>0</v>
      </c>
      <c r="P5" s="325" t="s">
        <v>0</v>
      </c>
      <c r="Q5" s="325" t="s">
        <v>0</v>
      </c>
      <c r="R5" s="325" t="s">
        <v>0</v>
      </c>
      <c r="S5" s="325" t="s">
        <v>0</v>
      </c>
      <c r="T5" s="325" t="s">
        <v>0</v>
      </c>
      <c r="U5" s="325" t="s">
        <v>0</v>
      </c>
      <c r="V5" s="325" t="s">
        <v>0</v>
      </c>
      <c r="W5" s="324" t="s">
        <v>370</v>
      </c>
      <c r="X5" s="326"/>
      <c r="Y5" s="325" t="s">
        <v>0</v>
      </c>
      <c r="Z5" s="325" t="s">
        <v>0</v>
      </c>
      <c r="AA5" s="325" t="s">
        <v>0</v>
      </c>
      <c r="AB5" s="325" t="s">
        <v>0</v>
      </c>
      <c r="AC5" s="325" t="s">
        <v>0</v>
      </c>
      <c r="AD5" s="325" t="s">
        <v>0</v>
      </c>
      <c r="AE5" s="325" t="s">
        <v>0</v>
      </c>
      <c r="AF5" s="325" t="s">
        <v>0</v>
      </c>
      <c r="AG5" s="325" t="s">
        <v>0</v>
      </c>
      <c r="AH5" s="325" t="s">
        <v>0</v>
      </c>
      <c r="AI5" s="325" t="s">
        <v>0</v>
      </c>
      <c r="AJ5" s="325" t="s">
        <v>0</v>
      </c>
      <c r="AK5" s="325" t="s">
        <v>0</v>
      </c>
      <c r="AL5" s="325" t="s">
        <v>0</v>
      </c>
      <c r="AM5" s="325" t="s">
        <v>0</v>
      </c>
      <c r="AN5" s="325" t="s">
        <v>0</v>
      </c>
      <c r="AO5" s="325" t="s">
        <v>0</v>
      </c>
      <c r="AP5" s="325" t="s">
        <v>0</v>
      </c>
      <c r="AQ5" s="325" t="s">
        <v>0</v>
      </c>
      <c r="AR5" s="325" t="s">
        <v>0</v>
      </c>
      <c r="AS5" s="325" t="s">
        <v>0</v>
      </c>
      <c r="AT5" s="324"/>
      <c r="AU5" s="323" t="s">
        <v>146</v>
      </c>
      <c r="AV5" s="3"/>
    </row>
    <row r="6" spans="1:48" ht="14.1" customHeight="1" x14ac:dyDescent="0.25">
      <c r="A6" s="2"/>
      <c r="B6" s="48" t="s">
        <v>0</v>
      </c>
      <c r="C6" s="105" t="s">
        <v>0</v>
      </c>
      <c r="D6" s="322" t="s">
        <v>369</v>
      </c>
      <c r="E6" s="322" t="s">
        <v>369</v>
      </c>
      <c r="F6" s="322" t="s">
        <v>369</v>
      </c>
      <c r="G6" s="322" t="s">
        <v>369</v>
      </c>
      <c r="H6" s="322" t="s">
        <v>369</v>
      </c>
      <c r="I6" s="322" t="s">
        <v>369</v>
      </c>
      <c r="J6" s="322" t="s">
        <v>369</v>
      </c>
      <c r="K6" s="322" t="s">
        <v>369</v>
      </c>
      <c r="L6" s="322" t="s">
        <v>369</v>
      </c>
      <c r="M6" s="48" t="s">
        <v>0</v>
      </c>
      <c r="N6" s="322" t="s">
        <v>368</v>
      </c>
      <c r="O6" s="322" t="s">
        <v>368</v>
      </c>
      <c r="P6" s="322" t="s">
        <v>368</v>
      </c>
      <c r="Q6" s="322" t="s">
        <v>367</v>
      </c>
      <c r="R6" s="322" t="s">
        <v>367</v>
      </c>
      <c r="S6" s="322" t="s">
        <v>367</v>
      </c>
      <c r="T6" s="322" t="s">
        <v>367</v>
      </c>
      <c r="U6" s="322" t="s">
        <v>367</v>
      </c>
      <c r="V6" s="322" t="s">
        <v>367</v>
      </c>
      <c r="W6" s="48" t="s">
        <v>0</v>
      </c>
      <c r="X6" s="322" t="s">
        <v>366</v>
      </c>
      <c r="Y6" s="322" t="s">
        <v>366</v>
      </c>
      <c r="Z6" s="322" t="s">
        <v>366</v>
      </c>
      <c r="AA6" s="322" t="s">
        <v>366</v>
      </c>
      <c r="AB6" s="322" t="s">
        <v>366</v>
      </c>
      <c r="AC6" s="322" t="s">
        <v>366</v>
      </c>
      <c r="AD6" s="322" t="s">
        <v>365</v>
      </c>
      <c r="AE6" s="322" t="s">
        <v>365</v>
      </c>
      <c r="AF6" s="322" t="s">
        <v>365</v>
      </c>
      <c r="AG6" s="322" t="s">
        <v>365</v>
      </c>
      <c r="AH6" s="322" t="s">
        <v>365</v>
      </c>
      <c r="AI6" s="322" t="s">
        <v>365</v>
      </c>
      <c r="AJ6" s="322" t="s">
        <v>365</v>
      </c>
      <c r="AK6" s="322" t="s">
        <v>365</v>
      </c>
      <c r="AL6" s="322" t="s">
        <v>365</v>
      </c>
      <c r="AM6" s="322" t="s">
        <v>365</v>
      </c>
      <c r="AN6" s="322" t="s">
        <v>365</v>
      </c>
      <c r="AO6" s="322" t="s">
        <v>365</v>
      </c>
      <c r="AP6" s="322" t="s">
        <v>365</v>
      </c>
      <c r="AQ6" s="322" t="s">
        <v>364</v>
      </c>
      <c r="AR6" s="322" t="s">
        <v>364</v>
      </c>
      <c r="AS6" s="322" t="s">
        <v>364</v>
      </c>
      <c r="AT6" s="48" t="s">
        <v>0</v>
      </c>
      <c r="AU6" s="48" t="s">
        <v>0</v>
      </c>
      <c r="AV6" s="3"/>
    </row>
    <row r="7" spans="1:48" ht="36.950000000000003" customHeight="1" thickBot="1" x14ac:dyDescent="0.3">
      <c r="A7" s="2"/>
      <c r="B7" s="48" t="s">
        <v>0</v>
      </c>
      <c r="C7" s="105" t="s">
        <v>0</v>
      </c>
      <c r="D7" s="321" t="s">
        <v>363</v>
      </c>
      <c r="E7" s="321" t="s">
        <v>239</v>
      </c>
      <c r="F7" s="321" t="s">
        <v>362</v>
      </c>
      <c r="G7" s="321" t="s">
        <v>361</v>
      </c>
      <c r="H7" s="321" t="s">
        <v>360</v>
      </c>
      <c r="I7" s="321" t="s">
        <v>212</v>
      </c>
      <c r="J7" s="321" t="s">
        <v>359</v>
      </c>
      <c r="K7" s="321" t="s">
        <v>358</v>
      </c>
      <c r="L7" s="321" t="s">
        <v>357</v>
      </c>
      <c r="M7" s="48" t="s">
        <v>0</v>
      </c>
      <c r="N7" s="321" t="s">
        <v>356</v>
      </c>
      <c r="O7" s="321" t="s">
        <v>211</v>
      </c>
      <c r="P7" s="321" t="s">
        <v>355</v>
      </c>
      <c r="Q7" s="321" t="s">
        <v>354</v>
      </c>
      <c r="R7" s="321" t="s">
        <v>142</v>
      </c>
      <c r="S7" s="321" t="s">
        <v>353</v>
      </c>
      <c r="T7" s="321" t="s">
        <v>352</v>
      </c>
      <c r="U7" s="321" t="s">
        <v>351</v>
      </c>
      <c r="V7" s="321" t="s">
        <v>350</v>
      </c>
      <c r="W7" s="48" t="s">
        <v>0</v>
      </c>
      <c r="X7" s="321" t="s">
        <v>349</v>
      </c>
      <c r="Y7" s="321" t="s">
        <v>300</v>
      </c>
      <c r="Z7" s="321" t="s">
        <v>348</v>
      </c>
      <c r="AA7" s="321" t="s">
        <v>347</v>
      </c>
      <c r="AB7" s="321" t="s">
        <v>346</v>
      </c>
      <c r="AC7" s="321" t="s">
        <v>345</v>
      </c>
      <c r="AD7" s="321" t="s">
        <v>344</v>
      </c>
      <c r="AE7" s="321" t="s">
        <v>343</v>
      </c>
      <c r="AF7" s="321" t="s">
        <v>342</v>
      </c>
      <c r="AG7" s="321" t="s">
        <v>341</v>
      </c>
      <c r="AH7" s="321" t="s">
        <v>340</v>
      </c>
      <c r="AI7" s="321" t="s">
        <v>240</v>
      </c>
      <c r="AJ7" s="321" t="s">
        <v>339</v>
      </c>
      <c r="AK7" s="321" t="s">
        <v>338</v>
      </c>
      <c r="AL7" s="321" t="s">
        <v>337</v>
      </c>
      <c r="AM7" s="321" t="s">
        <v>336</v>
      </c>
      <c r="AN7" s="321" t="s">
        <v>226</v>
      </c>
      <c r="AO7" s="321" t="s">
        <v>335</v>
      </c>
      <c r="AP7" s="321" t="s">
        <v>334</v>
      </c>
      <c r="AQ7" s="321" t="s">
        <v>333</v>
      </c>
      <c r="AR7" s="321" t="s">
        <v>332</v>
      </c>
      <c r="AS7" s="321" t="s">
        <v>331</v>
      </c>
      <c r="AT7" s="48" t="s">
        <v>0</v>
      </c>
      <c r="AU7" s="48" t="s">
        <v>0</v>
      </c>
      <c r="AV7" s="3"/>
    </row>
    <row r="8" spans="1:48" ht="14.1" customHeight="1" thickBot="1" x14ac:dyDescent="0.3">
      <c r="A8" s="2"/>
      <c r="B8" s="320" t="s">
        <v>21</v>
      </c>
      <c r="C8" s="319" t="s">
        <v>16</v>
      </c>
      <c r="D8" s="318">
        <v>0</v>
      </c>
      <c r="E8" s="318">
        <v>2359.9549999999999</v>
      </c>
      <c r="F8" s="318">
        <v>685</v>
      </c>
      <c r="G8" s="318">
        <v>205.02099999999999</v>
      </c>
      <c r="H8" s="318">
        <v>0</v>
      </c>
      <c r="I8" s="318">
        <v>1219.954</v>
      </c>
      <c r="J8" s="318">
        <v>410.00900000000001</v>
      </c>
      <c r="K8" s="318">
        <v>840.00800000000004</v>
      </c>
      <c r="L8" s="318">
        <v>65</v>
      </c>
      <c r="M8" s="317">
        <f>SUMIF(D$9:L$9,"&gt;0",D8:L8)</f>
        <v>5784.9470000000001</v>
      </c>
      <c r="N8" s="318">
        <v>5197.1059999999998</v>
      </c>
      <c r="O8" s="318">
        <v>1179.9590000000001</v>
      </c>
      <c r="P8" s="318">
        <v>969.97400000000005</v>
      </c>
      <c r="Q8" s="318">
        <v>0</v>
      </c>
      <c r="R8" s="318">
        <v>6980.0540000000001</v>
      </c>
      <c r="S8" s="318">
        <v>0</v>
      </c>
      <c r="T8" s="318">
        <v>69.98</v>
      </c>
      <c r="U8" s="318">
        <v>149.98099999999999</v>
      </c>
      <c r="V8" s="318">
        <v>0</v>
      </c>
      <c r="W8" s="317">
        <f>SUMIF(N$9:V$9,"&gt;0",N8:V8)</f>
        <v>14547.054</v>
      </c>
      <c r="X8" s="318">
        <v>344.99</v>
      </c>
      <c r="Y8" s="318">
        <v>1053.0419999999999</v>
      </c>
      <c r="Z8" s="318">
        <v>0</v>
      </c>
      <c r="AA8" s="318">
        <v>5</v>
      </c>
      <c r="AB8" s="318">
        <v>2056.9630000000002</v>
      </c>
      <c r="AC8" s="318">
        <v>0</v>
      </c>
      <c r="AD8" s="318">
        <v>0</v>
      </c>
      <c r="AE8" s="318">
        <v>0</v>
      </c>
      <c r="AF8" s="318">
        <v>15</v>
      </c>
      <c r="AG8" s="318">
        <v>251.04499999999999</v>
      </c>
      <c r="AH8" s="318">
        <v>0</v>
      </c>
      <c r="AI8" s="318">
        <v>1319.9949999999999</v>
      </c>
      <c r="AJ8" s="318">
        <v>0</v>
      </c>
      <c r="AK8" s="318">
        <v>0</v>
      </c>
      <c r="AL8" s="318">
        <v>20.04</v>
      </c>
      <c r="AM8" s="318">
        <v>273.99400000000003</v>
      </c>
      <c r="AN8" s="318">
        <v>770.03800000000001</v>
      </c>
      <c r="AO8" s="318">
        <v>85.003</v>
      </c>
      <c r="AP8" s="318">
        <v>0</v>
      </c>
      <c r="AQ8" s="318">
        <v>74.989999999999995</v>
      </c>
      <c r="AR8" s="318">
        <v>2365.0259999999998</v>
      </c>
      <c r="AS8" s="318">
        <v>1594.9179999999999</v>
      </c>
      <c r="AT8" s="317">
        <f>SUMIF(X$9:AS$9,"&gt;0",X8:AS8)</f>
        <v>10230.044</v>
      </c>
      <c r="AU8" s="312">
        <f>SUMIF(D$9:AS$9,"&gt;0",D8:AS8)</f>
        <v>30562.045000000002</v>
      </c>
      <c r="AV8" s="3"/>
    </row>
    <row r="9" spans="1:48" ht="14.1" customHeight="1" x14ac:dyDescent="0.25">
      <c r="A9" s="2"/>
      <c r="B9" s="316">
        <v>0</v>
      </c>
      <c r="C9" s="3"/>
      <c r="D9" s="132">
        <v>1</v>
      </c>
      <c r="E9" s="132">
        <v>1</v>
      </c>
      <c r="F9" s="132">
        <v>1</v>
      </c>
      <c r="G9" s="132">
        <v>1</v>
      </c>
      <c r="H9" s="132">
        <v>1</v>
      </c>
      <c r="I9" s="132">
        <v>1</v>
      </c>
      <c r="J9" s="132">
        <v>1</v>
      </c>
      <c r="K9" s="132">
        <v>1</v>
      </c>
      <c r="L9" s="132">
        <v>1</v>
      </c>
      <c r="M9" s="132">
        <f>-1</f>
        <v>-1</v>
      </c>
      <c r="N9" s="132">
        <v>1</v>
      </c>
      <c r="O9" s="132">
        <v>1</v>
      </c>
      <c r="P9" s="132">
        <v>1</v>
      </c>
      <c r="Q9" s="132">
        <v>1</v>
      </c>
      <c r="R9" s="132">
        <v>1</v>
      </c>
      <c r="S9" s="132">
        <v>1</v>
      </c>
      <c r="T9" s="132">
        <v>1</v>
      </c>
      <c r="U9" s="132">
        <v>1</v>
      </c>
      <c r="V9" s="132">
        <v>1</v>
      </c>
      <c r="W9" s="132">
        <f>-1</f>
        <v>-1</v>
      </c>
      <c r="X9" s="132">
        <v>1</v>
      </c>
      <c r="Y9" s="132">
        <v>1</v>
      </c>
      <c r="Z9" s="132">
        <v>1</v>
      </c>
      <c r="AA9" s="132">
        <v>1</v>
      </c>
      <c r="AB9" s="132">
        <v>1</v>
      </c>
      <c r="AC9" s="132">
        <v>1</v>
      </c>
      <c r="AD9" s="132">
        <v>1</v>
      </c>
      <c r="AE9" s="132">
        <v>1</v>
      </c>
      <c r="AF9" s="132">
        <v>1</v>
      </c>
      <c r="AG9" s="132">
        <v>1</v>
      </c>
      <c r="AH9" s="132">
        <v>1</v>
      </c>
      <c r="AI9" s="132">
        <v>1</v>
      </c>
      <c r="AJ9" s="132">
        <v>1</v>
      </c>
      <c r="AK9" s="132">
        <v>1</v>
      </c>
      <c r="AL9" s="132">
        <v>1</v>
      </c>
      <c r="AM9" s="132">
        <v>1</v>
      </c>
      <c r="AN9" s="132">
        <v>1</v>
      </c>
      <c r="AO9" s="132">
        <v>1</v>
      </c>
      <c r="AP9" s="132">
        <v>1</v>
      </c>
      <c r="AQ9" s="132">
        <v>1</v>
      </c>
      <c r="AR9" s="132">
        <v>1</v>
      </c>
      <c r="AS9" s="132">
        <v>1</v>
      </c>
      <c r="AT9" s="132">
        <f>-1</f>
        <v>-1</v>
      </c>
      <c r="AU9" s="315">
        <v>31599.091</v>
      </c>
      <c r="AV9" s="311">
        <v>0</v>
      </c>
    </row>
    <row r="10" spans="1:48" ht="15" customHeight="1" x14ac:dyDescent="0.25">
      <c r="A10" s="2"/>
      <c r="B10" s="314">
        <v>1</v>
      </c>
      <c r="C10" s="313" t="s">
        <v>16</v>
      </c>
      <c r="D10" s="312">
        <v>0</v>
      </c>
      <c r="E10" s="312">
        <v>2352.855</v>
      </c>
      <c r="F10" s="312">
        <v>684.8</v>
      </c>
      <c r="G10" s="312">
        <v>205.011</v>
      </c>
      <c r="H10" s="312">
        <v>0</v>
      </c>
      <c r="I10" s="312">
        <v>1218.954</v>
      </c>
      <c r="J10" s="312">
        <v>409.85899999999998</v>
      </c>
      <c r="K10" s="312">
        <v>839.90800000000002</v>
      </c>
      <c r="L10" s="312">
        <v>65</v>
      </c>
      <c r="M10" s="312">
        <f>SUMIF(D$9:L$9,"&gt;0",D10:L10)</f>
        <v>5776.3870000000006</v>
      </c>
      <c r="N10" s="312">
        <v>5185.4859999999999</v>
      </c>
      <c r="O10" s="312">
        <v>1172.559</v>
      </c>
      <c r="P10" s="312">
        <v>968.17399999999998</v>
      </c>
      <c r="Q10" s="312">
        <v>0</v>
      </c>
      <c r="R10" s="312">
        <v>6980.0540000000001</v>
      </c>
      <c r="S10" s="312">
        <v>0</v>
      </c>
      <c r="T10" s="312">
        <v>69.97</v>
      </c>
      <c r="U10" s="312">
        <v>149.93100000000001</v>
      </c>
      <c r="V10" s="312">
        <v>0</v>
      </c>
      <c r="W10" s="312">
        <f>SUMIF(N$9:V$9,"&gt;0",N10:V10)</f>
        <v>14526.174000000001</v>
      </c>
      <c r="X10" s="312">
        <v>344.79</v>
      </c>
      <c r="Y10" s="312">
        <v>1052.662</v>
      </c>
      <c r="Z10" s="312">
        <v>0</v>
      </c>
      <c r="AA10" s="312">
        <v>5</v>
      </c>
      <c r="AB10" s="312">
        <v>2056.663</v>
      </c>
      <c r="AC10" s="312">
        <v>0</v>
      </c>
      <c r="AD10" s="312">
        <v>0</v>
      </c>
      <c r="AE10" s="312">
        <v>0</v>
      </c>
      <c r="AF10" s="312">
        <v>15</v>
      </c>
      <c r="AG10" s="312">
        <v>251.02500000000001</v>
      </c>
      <c r="AH10" s="312">
        <v>0</v>
      </c>
      <c r="AI10" s="312">
        <v>1316.7950000000001</v>
      </c>
      <c r="AJ10" s="312">
        <v>0</v>
      </c>
      <c r="AK10" s="312">
        <v>0</v>
      </c>
      <c r="AL10" s="312">
        <v>20.02</v>
      </c>
      <c r="AM10" s="312">
        <v>273.69400000000002</v>
      </c>
      <c r="AN10" s="312">
        <v>769.43799999999999</v>
      </c>
      <c r="AO10" s="312">
        <v>84.962999999999994</v>
      </c>
      <c r="AP10" s="312">
        <v>0</v>
      </c>
      <c r="AQ10" s="312">
        <v>74.89</v>
      </c>
      <c r="AR10" s="312">
        <v>2362.1260000000002</v>
      </c>
      <c r="AS10" s="312">
        <v>1593.4179999999999</v>
      </c>
      <c r="AT10" s="312">
        <f>SUMIF(X$9:AS$9,"&gt;0",X10:AS10)</f>
        <v>10220.484</v>
      </c>
      <c r="AU10" s="312">
        <f>SUMIF(D$9:AS$9,"&gt;0",D10:AS10)</f>
        <v>30523.045000000006</v>
      </c>
      <c r="AV10" s="311">
        <v>1</v>
      </c>
    </row>
    <row r="11" spans="1:48" ht="15" customHeight="1" x14ac:dyDescent="0.25">
      <c r="A11" s="2"/>
      <c r="B11" s="314">
        <v>2</v>
      </c>
      <c r="C11" s="313" t="s">
        <v>16</v>
      </c>
      <c r="D11" s="312">
        <v>0</v>
      </c>
      <c r="E11" s="312">
        <v>2288.259</v>
      </c>
      <c r="F11" s="312">
        <v>684.6</v>
      </c>
      <c r="G11" s="312">
        <v>205.001</v>
      </c>
      <c r="H11" s="312">
        <v>0</v>
      </c>
      <c r="I11" s="312">
        <v>1213.354</v>
      </c>
      <c r="J11" s="312">
        <v>409.12900000000002</v>
      </c>
      <c r="K11" s="312">
        <v>842.80799999999999</v>
      </c>
      <c r="L11" s="312">
        <v>65</v>
      </c>
      <c r="M11" s="312">
        <f>SUMIF(D$9:L$9,"&gt;0",D11:L11)</f>
        <v>5708.1509999999998</v>
      </c>
      <c r="N11" s="312">
        <v>5105.1030000000001</v>
      </c>
      <c r="O11" s="312">
        <v>1164.0840000000001</v>
      </c>
      <c r="P11" s="312">
        <v>966.37400000000002</v>
      </c>
      <c r="Q11" s="312">
        <v>0</v>
      </c>
      <c r="R11" s="312">
        <v>6980.1540000000005</v>
      </c>
      <c r="S11" s="312">
        <v>0</v>
      </c>
      <c r="T11" s="312">
        <v>69.959999999999994</v>
      </c>
      <c r="U11" s="312">
        <v>149.881</v>
      </c>
      <c r="V11" s="312">
        <v>0</v>
      </c>
      <c r="W11" s="312">
        <f>SUMIF(N$9:V$9,"&gt;0",N11:V11)</f>
        <v>14435.555999999999</v>
      </c>
      <c r="X11" s="312">
        <v>344.59</v>
      </c>
      <c r="Y11" s="312">
        <v>1044.682</v>
      </c>
      <c r="Z11" s="312">
        <v>0</v>
      </c>
      <c r="AA11" s="312">
        <v>5</v>
      </c>
      <c r="AB11" s="312">
        <v>2051.15</v>
      </c>
      <c r="AC11" s="312">
        <v>0</v>
      </c>
      <c r="AD11" s="312">
        <v>0</v>
      </c>
      <c r="AE11" s="312">
        <v>0</v>
      </c>
      <c r="AF11" s="312">
        <v>15</v>
      </c>
      <c r="AG11" s="312">
        <v>251.005</v>
      </c>
      <c r="AH11" s="312">
        <v>0</v>
      </c>
      <c r="AI11" s="312">
        <v>1313.595</v>
      </c>
      <c r="AJ11" s="312">
        <v>0</v>
      </c>
      <c r="AK11" s="312">
        <v>0</v>
      </c>
      <c r="AL11" s="312">
        <v>20</v>
      </c>
      <c r="AM11" s="312">
        <v>273.39400000000001</v>
      </c>
      <c r="AN11" s="312">
        <v>768.83799999999997</v>
      </c>
      <c r="AO11" s="312">
        <v>84.923000000000002</v>
      </c>
      <c r="AP11" s="312">
        <v>0</v>
      </c>
      <c r="AQ11" s="312">
        <v>74.790000000000006</v>
      </c>
      <c r="AR11" s="312">
        <v>2323.819</v>
      </c>
      <c r="AS11" s="312">
        <v>1577.662</v>
      </c>
      <c r="AT11" s="312">
        <f>SUMIF(X$9:AS$9,"&gt;0",X11:AS11)</f>
        <v>10148.448</v>
      </c>
      <c r="AU11" s="312">
        <f>SUMIF(D$9:AS$9,"&gt;0",D11:AS11)</f>
        <v>30292.155000000006</v>
      </c>
      <c r="AV11" s="311">
        <v>2</v>
      </c>
    </row>
    <row r="12" spans="1:48" ht="15" customHeight="1" x14ac:dyDescent="0.25">
      <c r="A12" s="2"/>
      <c r="B12" s="314">
        <v>3</v>
      </c>
      <c r="C12" s="313" t="s">
        <v>16</v>
      </c>
      <c r="D12" s="312">
        <v>0</v>
      </c>
      <c r="E12" s="312">
        <v>2314.6550000000002</v>
      </c>
      <c r="F12" s="312">
        <v>684.4</v>
      </c>
      <c r="G12" s="312">
        <v>204.99100000000001</v>
      </c>
      <c r="H12" s="312">
        <v>0</v>
      </c>
      <c r="I12" s="312">
        <v>1212.354</v>
      </c>
      <c r="J12" s="312">
        <v>409.55900000000003</v>
      </c>
      <c r="K12" s="312">
        <v>842.70799999999997</v>
      </c>
      <c r="L12" s="312">
        <v>65</v>
      </c>
      <c r="M12" s="312">
        <f>SUMIF(D$9:L$9,"&gt;0",D12:L12)</f>
        <v>5733.6670000000004</v>
      </c>
      <c r="N12" s="312">
        <v>5153.6149999999998</v>
      </c>
      <c r="O12" s="312">
        <v>1156.663</v>
      </c>
      <c r="P12" s="312">
        <v>964.57399999999996</v>
      </c>
      <c r="Q12" s="312">
        <v>0</v>
      </c>
      <c r="R12" s="312">
        <v>6980.2539999999999</v>
      </c>
      <c r="S12" s="312">
        <v>0</v>
      </c>
      <c r="T12" s="312">
        <v>69.95</v>
      </c>
      <c r="U12" s="312">
        <v>149.83099999999999</v>
      </c>
      <c r="V12" s="312">
        <v>0</v>
      </c>
      <c r="W12" s="312">
        <f>SUMIF(N$9:V$9,"&gt;0",N12:V12)</f>
        <v>14474.887000000001</v>
      </c>
      <c r="X12" s="312">
        <v>344.39</v>
      </c>
      <c r="Y12" s="312">
        <v>1036.702</v>
      </c>
      <c r="Z12" s="312">
        <v>0</v>
      </c>
      <c r="AA12" s="312">
        <v>5</v>
      </c>
      <c r="AB12" s="312">
        <v>2056.0630000000001</v>
      </c>
      <c r="AC12" s="312">
        <v>0</v>
      </c>
      <c r="AD12" s="312">
        <v>0</v>
      </c>
      <c r="AE12" s="312">
        <v>0</v>
      </c>
      <c r="AF12" s="312">
        <v>15</v>
      </c>
      <c r="AG12" s="312">
        <v>250.98500000000001</v>
      </c>
      <c r="AH12" s="312">
        <v>0</v>
      </c>
      <c r="AI12" s="312">
        <v>1310.395</v>
      </c>
      <c r="AJ12" s="312">
        <v>0</v>
      </c>
      <c r="AK12" s="312">
        <v>0</v>
      </c>
      <c r="AL12" s="312">
        <v>19.98</v>
      </c>
      <c r="AM12" s="312">
        <v>273.09399999999999</v>
      </c>
      <c r="AN12" s="312">
        <v>768.23800000000006</v>
      </c>
      <c r="AO12" s="312">
        <v>84.882999999999996</v>
      </c>
      <c r="AP12" s="312">
        <v>0</v>
      </c>
      <c r="AQ12" s="312">
        <v>74.69</v>
      </c>
      <c r="AR12" s="312">
        <v>2323.058</v>
      </c>
      <c r="AS12" s="312">
        <v>1580.6410000000001</v>
      </c>
      <c r="AT12" s="312">
        <f>SUMIF(X$9:AS$9,"&gt;0",X12:AS12)</f>
        <v>10143.118999999999</v>
      </c>
      <c r="AU12" s="312">
        <f>SUMIF(D$9:AS$9,"&gt;0",D12:AS12)</f>
        <v>30351.673000000006</v>
      </c>
      <c r="AV12" s="311">
        <v>3</v>
      </c>
    </row>
    <row r="13" spans="1:48" ht="15" customHeight="1" x14ac:dyDescent="0.25">
      <c r="A13" s="2"/>
      <c r="B13" s="314">
        <v>4</v>
      </c>
      <c r="C13" s="313" t="s">
        <v>16</v>
      </c>
      <c r="D13" s="312">
        <v>0</v>
      </c>
      <c r="E13" s="312">
        <v>2307.5549999999998</v>
      </c>
      <c r="F13" s="312">
        <v>684.2</v>
      </c>
      <c r="G13" s="312">
        <v>204.98099999999999</v>
      </c>
      <c r="H13" s="312">
        <v>0</v>
      </c>
      <c r="I13" s="312">
        <v>1211.354</v>
      </c>
      <c r="J13" s="312">
        <v>409.40899999999999</v>
      </c>
      <c r="K13" s="312">
        <v>833.65200000000004</v>
      </c>
      <c r="L13" s="312">
        <v>65</v>
      </c>
      <c r="M13" s="312">
        <f>SUMIF(D$9:L$9,"&gt;0",D13:L13)</f>
        <v>5716.1509999999998</v>
      </c>
      <c r="N13" s="312">
        <v>5150.25</v>
      </c>
      <c r="O13" s="312">
        <v>1150.3589999999999</v>
      </c>
      <c r="P13" s="312">
        <v>962.774</v>
      </c>
      <c r="Q13" s="312">
        <v>0</v>
      </c>
      <c r="R13" s="312">
        <v>6980.3280000000004</v>
      </c>
      <c r="S13" s="312">
        <v>0</v>
      </c>
      <c r="T13" s="312">
        <v>69.94</v>
      </c>
      <c r="U13" s="312">
        <v>149.78100000000001</v>
      </c>
      <c r="V13" s="312">
        <v>0</v>
      </c>
      <c r="W13" s="312">
        <f>SUMIF(N$9:V$9,"&gt;0",N13:V13)</f>
        <v>14463.432000000003</v>
      </c>
      <c r="X13" s="312">
        <v>344.19</v>
      </c>
      <c r="Y13" s="312">
        <v>1036.3219999999999</v>
      </c>
      <c r="Z13" s="312">
        <v>0</v>
      </c>
      <c r="AA13" s="312">
        <v>5</v>
      </c>
      <c r="AB13" s="312">
        <v>2046.5630000000001</v>
      </c>
      <c r="AC13" s="312">
        <v>0</v>
      </c>
      <c r="AD13" s="312">
        <v>0</v>
      </c>
      <c r="AE13" s="312">
        <v>0</v>
      </c>
      <c r="AF13" s="312">
        <v>15</v>
      </c>
      <c r="AG13" s="312">
        <v>250.965</v>
      </c>
      <c r="AH13" s="312">
        <v>0</v>
      </c>
      <c r="AI13" s="312">
        <v>1307.1949999999999</v>
      </c>
      <c r="AJ13" s="312">
        <v>0</v>
      </c>
      <c r="AK13" s="312">
        <v>0</v>
      </c>
      <c r="AL13" s="312">
        <v>19.96</v>
      </c>
      <c r="AM13" s="312">
        <v>272.79399999999998</v>
      </c>
      <c r="AN13" s="312">
        <v>767.63800000000003</v>
      </c>
      <c r="AO13" s="312">
        <v>84.843000000000004</v>
      </c>
      <c r="AP13" s="312">
        <v>0</v>
      </c>
      <c r="AQ13" s="312">
        <v>77.855999999999995</v>
      </c>
      <c r="AR13" s="312">
        <v>2323.39</v>
      </c>
      <c r="AS13" s="312">
        <v>1580.7180000000001</v>
      </c>
      <c r="AT13" s="312">
        <f>SUMIF(X$9:AS$9,"&gt;0",X13:AS13)</f>
        <v>10132.433999999999</v>
      </c>
      <c r="AU13" s="312">
        <f>SUMIF(D$9:AS$9,"&gt;0",D13:AS13)</f>
        <v>30312.016999999996</v>
      </c>
      <c r="AV13" s="311">
        <v>4</v>
      </c>
    </row>
    <row r="14" spans="1:48" ht="15" customHeight="1" x14ac:dyDescent="0.25">
      <c r="A14" s="2"/>
      <c r="B14" s="314">
        <v>5</v>
      </c>
      <c r="C14" s="313" t="s">
        <v>16</v>
      </c>
      <c r="D14" s="312">
        <v>0</v>
      </c>
      <c r="E14" s="312">
        <v>2283.1179999999999</v>
      </c>
      <c r="F14" s="312">
        <v>684</v>
      </c>
      <c r="G14" s="312">
        <v>204.971</v>
      </c>
      <c r="H14" s="312">
        <v>0</v>
      </c>
      <c r="I14" s="312">
        <v>1219.6790000000001</v>
      </c>
      <c r="J14" s="312">
        <v>406.35899999999998</v>
      </c>
      <c r="K14" s="312">
        <v>836.77200000000005</v>
      </c>
      <c r="L14" s="312">
        <v>65</v>
      </c>
      <c r="M14" s="312">
        <f>SUMIF(D$9:L$9,"&gt;0",D14:L14)</f>
        <v>5699.8990000000003</v>
      </c>
      <c r="N14" s="312">
        <v>5133.9279999999999</v>
      </c>
      <c r="O14" s="312">
        <v>1142.9590000000001</v>
      </c>
      <c r="P14" s="312">
        <v>960.97400000000005</v>
      </c>
      <c r="Q14" s="312">
        <v>0</v>
      </c>
      <c r="R14" s="312">
        <v>6980.3540000000003</v>
      </c>
      <c r="S14" s="312">
        <v>0</v>
      </c>
      <c r="T14" s="312">
        <v>69.930000000000007</v>
      </c>
      <c r="U14" s="312">
        <v>149.73099999999999</v>
      </c>
      <c r="V14" s="312">
        <v>0</v>
      </c>
      <c r="W14" s="312">
        <f>SUMIF(N$9:V$9,"&gt;0",N14:V14)</f>
        <v>14437.876</v>
      </c>
      <c r="X14" s="312">
        <v>343.99</v>
      </c>
      <c r="Y14" s="312">
        <v>1032.6669999999999</v>
      </c>
      <c r="Z14" s="312">
        <v>0</v>
      </c>
      <c r="AA14" s="312">
        <v>5</v>
      </c>
      <c r="AB14" s="312">
        <v>2037.876</v>
      </c>
      <c r="AC14" s="312">
        <v>0</v>
      </c>
      <c r="AD14" s="312">
        <v>0</v>
      </c>
      <c r="AE14" s="312">
        <v>0</v>
      </c>
      <c r="AF14" s="312">
        <v>15</v>
      </c>
      <c r="AG14" s="312">
        <v>250.94499999999999</v>
      </c>
      <c r="AH14" s="312">
        <v>0</v>
      </c>
      <c r="AI14" s="312">
        <v>1300.221</v>
      </c>
      <c r="AJ14" s="312">
        <v>0</v>
      </c>
      <c r="AK14" s="312">
        <v>0</v>
      </c>
      <c r="AL14" s="312">
        <v>19.940000000000001</v>
      </c>
      <c r="AM14" s="312">
        <v>272.49400000000003</v>
      </c>
      <c r="AN14" s="312">
        <v>767.03800000000001</v>
      </c>
      <c r="AO14" s="312">
        <v>84.802999999999997</v>
      </c>
      <c r="AP14" s="312">
        <v>0</v>
      </c>
      <c r="AQ14" s="312">
        <v>77.531000000000006</v>
      </c>
      <c r="AR14" s="312">
        <v>2293.8960000000002</v>
      </c>
      <c r="AS14" s="312">
        <v>1564.172</v>
      </c>
      <c r="AT14" s="312">
        <f>SUMIF(X$9:AS$9,"&gt;0",X14:AS14)</f>
        <v>10065.573</v>
      </c>
      <c r="AU14" s="312">
        <f>SUMIF(D$9:AS$9,"&gt;0",D14:AS14)</f>
        <v>30203.348000000002</v>
      </c>
      <c r="AV14" s="311">
        <v>5</v>
      </c>
    </row>
    <row r="15" spans="1:48" ht="15" customHeight="1" x14ac:dyDescent="0.25">
      <c r="A15" s="2"/>
      <c r="B15" s="314">
        <v>6</v>
      </c>
      <c r="C15" s="313" t="s">
        <v>16</v>
      </c>
      <c r="D15" s="312">
        <v>0</v>
      </c>
      <c r="E15" s="312">
        <v>2283.7550000000001</v>
      </c>
      <c r="F15" s="312">
        <v>683.8</v>
      </c>
      <c r="G15" s="312">
        <v>204.96100000000001</v>
      </c>
      <c r="H15" s="312">
        <v>0</v>
      </c>
      <c r="I15" s="312">
        <v>1217.2470000000001</v>
      </c>
      <c r="J15" s="312">
        <v>392.62400000000002</v>
      </c>
      <c r="K15" s="312">
        <v>836.67200000000003</v>
      </c>
      <c r="L15" s="312">
        <v>65</v>
      </c>
      <c r="M15" s="312">
        <f>SUMIF(D$9:L$9,"&gt;0",D15:L15)</f>
        <v>5684.0590000000011</v>
      </c>
      <c r="N15" s="312">
        <v>5116.8230000000003</v>
      </c>
      <c r="O15" s="312">
        <v>1135.559</v>
      </c>
      <c r="P15" s="312">
        <v>956.81299999999999</v>
      </c>
      <c r="Q15" s="312">
        <v>0</v>
      </c>
      <c r="R15" s="312">
        <v>6983.0540000000001</v>
      </c>
      <c r="S15" s="312">
        <v>0</v>
      </c>
      <c r="T15" s="312">
        <v>69.92</v>
      </c>
      <c r="U15" s="312">
        <v>146.98099999999999</v>
      </c>
      <c r="V15" s="312">
        <v>0</v>
      </c>
      <c r="W15" s="312">
        <f>SUMIF(N$9:V$9,"&gt;0",N15:V15)</f>
        <v>14409.15</v>
      </c>
      <c r="X15" s="312">
        <v>343.79</v>
      </c>
      <c r="Y15" s="312">
        <v>1032.1369999999999</v>
      </c>
      <c r="Z15" s="312">
        <v>0</v>
      </c>
      <c r="AA15" s="312">
        <v>5</v>
      </c>
      <c r="AB15" s="312">
        <v>2029.135</v>
      </c>
      <c r="AC15" s="312">
        <v>0</v>
      </c>
      <c r="AD15" s="312">
        <v>0</v>
      </c>
      <c r="AE15" s="312">
        <v>0</v>
      </c>
      <c r="AF15" s="312">
        <v>15</v>
      </c>
      <c r="AG15" s="312">
        <v>249.029</v>
      </c>
      <c r="AH15" s="312">
        <v>0</v>
      </c>
      <c r="AI15" s="312">
        <v>1300.7950000000001</v>
      </c>
      <c r="AJ15" s="312">
        <v>0</v>
      </c>
      <c r="AK15" s="312">
        <v>0</v>
      </c>
      <c r="AL15" s="312">
        <v>19.920000000000002</v>
      </c>
      <c r="AM15" s="312">
        <v>272.19400000000002</v>
      </c>
      <c r="AN15" s="312">
        <v>756.62599999999998</v>
      </c>
      <c r="AO15" s="312">
        <v>84.763000000000005</v>
      </c>
      <c r="AP15" s="312">
        <v>0</v>
      </c>
      <c r="AQ15" s="312">
        <v>77.656000000000006</v>
      </c>
      <c r="AR15" s="312">
        <v>2317.59</v>
      </c>
      <c r="AS15" s="312">
        <v>1561.318</v>
      </c>
      <c r="AT15" s="312">
        <f>SUMIF(X$9:AS$9,"&gt;0",X15:AS15)</f>
        <v>10064.953000000001</v>
      </c>
      <c r="AU15" s="312">
        <f>SUMIF(D$9:AS$9,"&gt;0",D15:AS15)</f>
        <v>30158.161999999989</v>
      </c>
      <c r="AV15" s="311">
        <v>6</v>
      </c>
    </row>
    <row r="16" spans="1:48" ht="15" customHeight="1" x14ac:dyDescent="0.25">
      <c r="A16" s="2"/>
      <c r="B16" s="314">
        <v>7</v>
      </c>
      <c r="C16" s="313" t="s">
        <v>16</v>
      </c>
      <c r="D16" s="312">
        <v>0</v>
      </c>
      <c r="E16" s="312">
        <v>2276.6550000000002</v>
      </c>
      <c r="F16" s="312">
        <v>683.6</v>
      </c>
      <c r="G16" s="312">
        <v>78.316000000000003</v>
      </c>
      <c r="H16" s="312">
        <v>0</v>
      </c>
      <c r="I16" s="312">
        <v>1219.2539999999999</v>
      </c>
      <c r="J16" s="312">
        <v>408.75900000000001</v>
      </c>
      <c r="K16" s="312">
        <v>841.00800000000004</v>
      </c>
      <c r="L16" s="312">
        <v>65</v>
      </c>
      <c r="M16" s="312">
        <f>SUMIF(D$9:L$9,"&gt;0",D16:L16)</f>
        <v>5572.5919999999996</v>
      </c>
      <c r="N16" s="312">
        <v>5117.5230000000001</v>
      </c>
      <c r="O16" s="312">
        <v>1195.8320000000001</v>
      </c>
      <c r="P16" s="312">
        <v>941.87400000000002</v>
      </c>
      <c r="Q16" s="312">
        <v>0</v>
      </c>
      <c r="R16" s="312">
        <v>6983.1540000000005</v>
      </c>
      <c r="S16" s="312">
        <v>0</v>
      </c>
      <c r="T16" s="312">
        <v>69.91</v>
      </c>
      <c r="U16" s="312">
        <v>146.93100000000001</v>
      </c>
      <c r="V16" s="312">
        <v>0</v>
      </c>
      <c r="W16" s="312">
        <f>SUMIF(N$9:V$9,"&gt;0",N16:V16)</f>
        <v>14455.224000000002</v>
      </c>
      <c r="X16" s="312">
        <v>343.00599999999997</v>
      </c>
      <c r="Y16" s="312">
        <v>1020.619</v>
      </c>
      <c r="Z16" s="312">
        <v>0</v>
      </c>
      <c r="AA16" s="312">
        <v>5</v>
      </c>
      <c r="AB16" s="312">
        <v>2037.1690000000001</v>
      </c>
      <c r="AC16" s="312">
        <v>0</v>
      </c>
      <c r="AD16" s="312">
        <v>0</v>
      </c>
      <c r="AE16" s="312">
        <v>0</v>
      </c>
      <c r="AF16" s="312">
        <v>15</v>
      </c>
      <c r="AG16" s="312">
        <v>250.905</v>
      </c>
      <c r="AH16" s="312">
        <v>0</v>
      </c>
      <c r="AI16" s="312">
        <v>1292.124</v>
      </c>
      <c r="AJ16" s="312">
        <v>0</v>
      </c>
      <c r="AK16" s="312">
        <v>0</v>
      </c>
      <c r="AL16" s="312">
        <v>19.899999999999999</v>
      </c>
      <c r="AM16" s="312">
        <v>271.89400000000001</v>
      </c>
      <c r="AN16" s="312">
        <v>760.13599999999997</v>
      </c>
      <c r="AO16" s="312">
        <v>84.722999999999999</v>
      </c>
      <c r="AP16" s="312">
        <v>0</v>
      </c>
      <c r="AQ16" s="312">
        <v>77.555999999999997</v>
      </c>
      <c r="AR16" s="312">
        <v>2314.69</v>
      </c>
      <c r="AS16" s="312">
        <v>1445.0530000000001</v>
      </c>
      <c r="AT16" s="312">
        <f>SUMIF(X$9:AS$9,"&gt;0",X16:AS16)</f>
        <v>9937.7749999999996</v>
      </c>
      <c r="AU16" s="312">
        <f>SUMIF(D$9:AS$9,"&gt;0",D16:AS16)</f>
        <v>29965.591</v>
      </c>
      <c r="AV16" s="311">
        <v>7</v>
      </c>
    </row>
    <row r="17" spans="1:48" ht="15" customHeight="1" x14ac:dyDescent="0.25">
      <c r="A17" s="2"/>
      <c r="B17" s="314">
        <v>8</v>
      </c>
      <c r="C17" s="313" t="s">
        <v>16</v>
      </c>
      <c r="D17" s="312">
        <v>0</v>
      </c>
      <c r="E17" s="312">
        <v>2269.5549999999998</v>
      </c>
      <c r="F17" s="312">
        <v>683.4</v>
      </c>
      <c r="G17" s="312">
        <v>195.04300000000001</v>
      </c>
      <c r="H17" s="312">
        <v>0</v>
      </c>
      <c r="I17" s="312">
        <v>1218.2539999999999</v>
      </c>
      <c r="J17" s="312">
        <v>408.60899999999998</v>
      </c>
      <c r="K17" s="312">
        <v>840.90800000000002</v>
      </c>
      <c r="L17" s="312">
        <v>65</v>
      </c>
      <c r="M17" s="312">
        <f>SUMIF(D$9:L$9,"&gt;0",D17:L17)</f>
        <v>5680.7690000000011</v>
      </c>
      <c r="N17" s="312">
        <v>5106.424</v>
      </c>
      <c r="O17" s="312">
        <v>1190.759</v>
      </c>
      <c r="P17" s="312">
        <v>940.07399999999996</v>
      </c>
      <c r="Q17" s="312">
        <v>0</v>
      </c>
      <c r="R17" s="312">
        <v>6983.2539999999999</v>
      </c>
      <c r="S17" s="312">
        <v>0</v>
      </c>
      <c r="T17" s="312">
        <v>69.900000000000006</v>
      </c>
      <c r="U17" s="312">
        <v>146.881</v>
      </c>
      <c r="V17" s="312">
        <v>0</v>
      </c>
      <c r="W17" s="312">
        <f>SUMIF(N$9:V$9,"&gt;0",N17:V17)</f>
        <v>14437.291999999998</v>
      </c>
      <c r="X17" s="312">
        <v>343.39</v>
      </c>
      <c r="Y17" s="312">
        <v>1030.414</v>
      </c>
      <c r="Z17" s="312">
        <v>0</v>
      </c>
      <c r="AA17" s="312">
        <v>5</v>
      </c>
      <c r="AB17" s="312">
        <v>2034.8630000000001</v>
      </c>
      <c r="AC17" s="312">
        <v>0</v>
      </c>
      <c r="AD17" s="312">
        <v>0</v>
      </c>
      <c r="AE17" s="312">
        <v>0</v>
      </c>
      <c r="AF17" s="312">
        <v>15</v>
      </c>
      <c r="AG17" s="312">
        <v>250.88499999999999</v>
      </c>
      <c r="AH17" s="312">
        <v>0</v>
      </c>
      <c r="AI17" s="312">
        <v>1282.3579999999999</v>
      </c>
      <c r="AJ17" s="312">
        <v>0</v>
      </c>
      <c r="AK17" s="312">
        <v>0</v>
      </c>
      <c r="AL17" s="312">
        <v>19.88</v>
      </c>
      <c r="AM17" s="312">
        <v>271.59399999999999</v>
      </c>
      <c r="AN17" s="312">
        <v>763.91499999999996</v>
      </c>
      <c r="AO17" s="312">
        <v>84.683000000000007</v>
      </c>
      <c r="AP17" s="312">
        <v>0</v>
      </c>
      <c r="AQ17" s="312">
        <v>77.456000000000003</v>
      </c>
      <c r="AR17" s="312">
        <v>2331.607</v>
      </c>
      <c r="AS17" s="312">
        <v>1556.9110000000001</v>
      </c>
      <c r="AT17" s="312">
        <f>SUMIF(X$9:AS$9,"&gt;0",X17:AS17)</f>
        <v>10067.956000000002</v>
      </c>
      <c r="AU17" s="312">
        <f>SUMIF(D$9:AS$9,"&gt;0",D17:AS17)</f>
        <v>30186.017000000007</v>
      </c>
      <c r="AV17" s="311">
        <v>8</v>
      </c>
    </row>
    <row r="18" spans="1:48" ht="15" customHeight="1" x14ac:dyDescent="0.25">
      <c r="A18" s="2"/>
      <c r="B18" s="314">
        <v>9</v>
      </c>
      <c r="C18" s="313" t="s">
        <v>16</v>
      </c>
      <c r="D18" s="312">
        <v>0</v>
      </c>
      <c r="E18" s="312">
        <v>2262.4549999999999</v>
      </c>
      <c r="F18" s="312">
        <v>683.2</v>
      </c>
      <c r="G18" s="312">
        <v>195.03299999999999</v>
      </c>
      <c r="H18" s="312">
        <v>0</v>
      </c>
      <c r="I18" s="312">
        <v>1216.0409999999999</v>
      </c>
      <c r="J18" s="312">
        <v>408.459</v>
      </c>
      <c r="K18" s="312">
        <v>840.80799999999999</v>
      </c>
      <c r="L18" s="312">
        <v>65</v>
      </c>
      <c r="M18" s="312">
        <f>SUMIF(D$9:L$9,"&gt;0",D18:L18)</f>
        <v>5670.9959999999992</v>
      </c>
      <c r="N18" s="312">
        <v>5125.01</v>
      </c>
      <c r="O18" s="312">
        <v>1281.4069999999999</v>
      </c>
      <c r="P18" s="312">
        <v>938.274</v>
      </c>
      <c r="Q18" s="312">
        <v>0</v>
      </c>
      <c r="R18" s="312">
        <v>6983.2539999999999</v>
      </c>
      <c r="S18" s="312">
        <v>0</v>
      </c>
      <c r="T18" s="312">
        <v>69.89</v>
      </c>
      <c r="U18" s="312">
        <v>146.83099999999999</v>
      </c>
      <c r="V18" s="312">
        <v>0</v>
      </c>
      <c r="W18" s="312">
        <f>SUMIF(N$9:V$9,"&gt;0",N18:V18)</f>
        <v>14544.665999999999</v>
      </c>
      <c r="X18" s="312">
        <v>343.19</v>
      </c>
      <c r="Y18" s="312">
        <v>1065.0650000000001</v>
      </c>
      <c r="Z18" s="312">
        <v>0</v>
      </c>
      <c r="AA18" s="312">
        <v>5</v>
      </c>
      <c r="AB18" s="312">
        <v>2033.904</v>
      </c>
      <c r="AC18" s="312">
        <v>0</v>
      </c>
      <c r="AD18" s="312">
        <v>0</v>
      </c>
      <c r="AE18" s="312">
        <v>0</v>
      </c>
      <c r="AF18" s="312">
        <v>15</v>
      </c>
      <c r="AG18" s="312">
        <v>250.86500000000001</v>
      </c>
      <c r="AH18" s="312">
        <v>0</v>
      </c>
      <c r="AI18" s="312">
        <v>1291.1949999999999</v>
      </c>
      <c r="AJ18" s="312">
        <v>0</v>
      </c>
      <c r="AK18" s="312">
        <v>0</v>
      </c>
      <c r="AL18" s="312">
        <v>19.86</v>
      </c>
      <c r="AM18" s="312">
        <v>271.29399999999998</v>
      </c>
      <c r="AN18" s="312">
        <v>763.58900000000006</v>
      </c>
      <c r="AO18" s="312">
        <v>84.643000000000001</v>
      </c>
      <c r="AP18" s="312">
        <v>0</v>
      </c>
      <c r="AQ18" s="312">
        <v>77.355999999999995</v>
      </c>
      <c r="AR18" s="312">
        <v>2328.89</v>
      </c>
      <c r="AS18" s="312">
        <v>1544.9570000000001</v>
      </c>
      <c r="AT18" s="312">
        <f>SUMIF(X$9:AS$9,"&gt;0",X18:AS18)</f>
        <v>10094.807999999999</v>
      </c>
      <c r="AU18" s="312">
        <f>SUMIF(D$9:AS$9,"&gt;0",D18:AS18)</f>
        <v>30310.469999999994</v>
      </c>
      <c r="AV18" s="311">
        <v>9</v>
      </c>
    </row>
    <row r="19" spans="1:48" ht="15" customHeight="1" x14ac:dyDescent="0.25">
      <c r="A19" s="2"/>
      <c r="B19" s="314">
        <v>10</v>
      </c>
      <c r="C19" s="313" t="s">
        <v>16</v>
      </c>
      <c r="D19" s="312">
        <v>0</v>
      </c>
      <c r="E19" s="312">
        <v>2255.355</v>
      </c>
      <c r="F19" s="312">
        <v>683</v>
      </c>
      <c r="G19" s="312">
        <v>195.023</v>
      </c>
      <c r="H19" s="312">
        <v>0</v>
      </c>
      <c r="I19" s="312">
        <v>1216.2539999999999</v>
      </c>
      <c r="J19" s="312">
        <v>408.30900000000003</v>
      </c>
      <c r="K19" s="312">
        <v>840.70799999999997</v>
      </c>
      <c r="L19" s="312">
        <v>65</v>
      </c>
      <c r="M19" s="312">
        <f>SUMIF(D$9:L$9,"&gt;0",D19:L19)</f>
        <v>5663.6489999999994</v>
      </c>
      <c r="N19" s="312">
        <v>5113.8980000000001</v>
      </c>
      <c r="O19" s="312">
        <v>1275.9590000000001</v>
      </c>
      <c r="P19" s="312">
        <v>936.47400000000005</v>
      </c>
      <c r="Q19" s="312">
        <v>0</v>
      </c>
      <c r="R19" s="312">
        <v>6983.3450000000003</v>
      </c>
      <c r="S19" s="312">
        <v>0</v>
      </c>
      <c r="T19" s="312">
        <v>69.88</v>
      </c>
      <c r="U19" s="312">
        <v>146.78100000000001</v>
      </c>
      <c r="V19" s="312">
        <v>0</v>
      </c>
      <c r="W19" s="312">
        <f>SUMIF(N$9:V$9,"&gt;0",N19:V19)</f>
        <v>14526.337</v>
      </c>
      <c r="X19" s="312">
        <v>323.08999999999997</v>
      </c>
      <c r="Y19" s="312">
        <v>1070.5419999999999</v>
      </c>
      <c r="Z19" s="312">
        <v>0</v>
      </c>
      <c r="AA19" s="312">
        <v>5</v>
      </c>
      <c r="AB19" s="312">
        <v>2058.7629999999999</v>
      </c>
      <c r="AC19" s="312">
        <v>0</v>
      </c>
      <c r="AD19" s="312">
        <v>0</v>
      </c>
      <c r="AE19" s="312">
        <v>0</v>
      </c>
      <c r="AF19" s="312">
        <v>15</v>
      </c>
      <c r="AG19" s="312">
        <v>250.845</v>
      </c>
      <c r="AH19" s="312">
        <v>0</v>
      </c>
      <c r="AI19" s="312">
        <v>1287.9949999999999</v>
      </c>
      <c r="AJ19" s="312">
        <v>0</v>
      </c>
      <c r="AK19" s="312">
        <v>0</v>
      </c>
      <c r="AL19" s="312">
        <v>19.84</v>
      </c>
      <c r="AM19" s="312">
        <v>270.99400000000003</v>
      </c>
      <c r="AN19" s="312">
        <v>768.43799999999999</v>
      </c>
      <c r="AO19" s="312">
        <v>84.602999999999994</v>
      </c>
      <c r="AP19" s="312">
        <v>0</v>
      </c>
      <c r="AQ19" s="312">
        <v>77.256</v>
      </c>
      <c r="AR19" s="312">
        <v>2325.9899999999998</v>
      </c>
      <c r="AS19" s="312">
        <v>1558.318</v>
      </c>
      <c r="AT19" s="312">
        <f>SUMIF(X$9:AS$9,"&gt;0",X19:AS19)</f>
        <v>10116.673999999999</v>
      </c>
      <c r="AU19" s="312">
        <f>SUMIF(D$9:AS$9,"&gt;0",D19:AS19)</f>
        <v>30306.659999999996</v>
      </c>
      <c r="AV19" s="311">
        <v>10</v>
      </c>
    </row>
    <row r="20" spans="1:48" ht="15" customHeight="1" x14ac:dyDescent="0.25">
      <c r="A20" s="2"/>
      <c r="B20" s="314">
        <v>11</v>
      </c>
      <c r="C20" s="313" t="s">
        <v>16</v>
      </c>
      <c r="D20" s="312">
        <v>0</v>
      </c>
      <c r="E20" s="312">
        <v>2248.2550000000001</v>
      </c>
      <c r="F20" s="312">
        <v>682.8</v>
      </c>
      <c r="G20" s="312">
        <v>190.06399999999999</v>
      </c>
      <c r="H20" s="312">
        <v>0</v>
      </c>
      <c r="I20" s="312">
        <v>1217.954</v>
      </c>
      <c r="J20" s="312">
        <v>408.15899999999999</v>
      </c>
      <c r="K20" s="312">
        <v>845.04499999999996</v>
      </c>
      <c r="L20" s="312">
        <v>65</v>
      </c>
      <c r="M20" s="312">
        <f>SUMIF(D$9:L$9,"&gt;0",D20:L20)</f>
        <v>5657.277</v>
      </c>
      <c r="N20" s="312">
        <v>5108.1760000000004</v>
      </c>
      <c r="O20" s="312">
        <v>1268.559</v>
      </c>
      <c r="P20" s="312">
        <v>934.67399999999998</v>
      </c>
      <c r="Q20" s="312">
        <v>0</v>
      </c>
      <c r="R20" s="312">
        <v>6983.3540000000003</v>
      </c>
      <c r="S20" s="312">
        <v>0</v>
      </c>
      <c r="T20" s="312">
        <v>69.87</v>
      </c>
      <c r="U20" s="312">
        <v>146.73099999999999</v>
      </c>
      <c r="V20" s="312">
        <v>0</v>
      </c>
      <c r="W20" s="312">
        <f>SUMIF(N$9:V$9,"&gt;0",N20:V20)</f>
        <v>14511.364000000001</v>
      </c>
      <c r="X20" s="312">
        <v>322.89</v>
      </c>
      <c r="Y20" s="312">
        <v>1070.162</v>
      </c>
      <c r="Z20" s="312">
        <v>0</v>
      </c>
      <c r="AA20" s="312">
        <v>5</v>
      </c>
      <c r="AB20" s="312">
        <v>2058.4630000000002</v>
      </c>
      <c r="AC20" s="312">
        <v>0</v>
      </c>
      <c r="AD20" s="312">
        <v>0</v>
      </c>
      <c r="AE20" s="312">
        <v>0</v>
      </c>
      <c r="AF20" s="312">
        <v>15</v>
      </c>
      <c r="AG20" s="312">
        <v>250.82499999999999</v>
      </c>
      <c r="AH20" s="312">
        <v>0</v>
      </c>
      <c r="AI20" s="312">
        <v>1284.7950000000001</v>
      </c>
      <c r="AJ20" s="312">
        <v>0</v>
      </c>
      <c r="AK20" s="312">
        <v>0</v>
      </c>
      <c r="AL20" s="312">
        <v>19.82</v>
      </c>
      <c r="AM20" s="312">
        <v>270.69400000000002</v>
      </c>
      <c r="AN20" s="312">
        <v>767.83799999999997</v>
      </c>
      <c r="AO20" s="312">
        <v>84.563000000000002</v>
      </c>
      <c r="AP20" s="312">
        <v>0</v>
      </c>
      <c r="AQ20" s="312">
        <v>77.156000000000006</v>
      </c>
      <c r="AR20" s="312">
        <v>2353.09</v>
      </c>
      <c r="AS20" s="312">
        <v>1586.818</v>
      </c>
      <c r="AT20" s="312">
        <f>SUMIF(X$9:AS$9,"&gt;0",X20:AS20)</f>
        <v>10167.114</v>
      </c>
      <c r="AU20" s="312">
        <f>SUMIF(D$9:AS$9,"&gt;0",D20:AS20)</f>
        <v>30335.754999999994</v>
      </c>
      <c r="AV20" s="311">
        <v>11</v>
      </c>
    </row>
    <row r="21" spans="1:48" ht="15" customHeight="1" x14ac:dyDescent="0.25">
      <c r="A21" s="2"/>
      <c r="B21" s="314">
        <v>12</v>
      </c>
      <c r="C21" s="313" t="s">
        <v>16</v>
      </c>
      <c r="D21" s="312">
        <v>0</v>
      </c>
      <c r="E21" s="312">
        <v>2232.9670000000001</v>
      </c>
      <c r="F21" s="312">
        <v>682.6</v>
      </c>
      <c r="G21" s="312">
        <v>190.054</v>
      </c>
      <c r="H21" s="312">
        <v>0</v>
      </c>
      <c r="I21" s="312">
        <v>1216.954</v>
      </c>
      <c r="J21" s="312">
        <v>406.98</v>
      </c>
      <c r="K21" s="312">
        <v>826.30799999999999</v>
      </c>
      <c r="L21" s="312">
        <v>65</v>
      </c>
      <c r="M21" s="312">
        <f>SUMIF(D$9:L$9,"&gt;0",D21:L21)</f>
        <v>5620.8630000000003</v>
      </c>
      <c r="N21" s="312">
        <v>5123.9399999999996</v>
      </c>
      <c r="O21" s="312">
        <v>1261.1590000000001</v>
      </c>
      <c r="P21" s="312">
        <v>917.37400000000002</v>
      </c>
      <c r="Q21" s="312">
        <v>0</v>
      </c>
      <c r="R21" s="312">
        <v>6983.4539999999997</v>
      </c>
      <c r="S21" s="312">
        <v>0</v>
      </c>
      <c r="T21" s="312">
        <v>69.86</v>
      </c>
      <c r="U21" s="312">
        <v>146.68100000000001</v>
      </c>
      <c r="V21" s="312">
        <v>0</v>
      </c>
      <c r="W21" s="312">
        <f>SUMIF(N$9:V$9,"&gt;0",N21:V21)</f>
        <v>14502.468000000001</v>
      </c>
      <c r="X21" s="312">
        <v>322.69</v>
      </c>
      <c r="Y21" s="312">
        <v>1067.039</v>
      </c>
      <c r="Z21" s="312">
        <v>0</v>
      </c>
      <c r="AA21" s="312">
        <v>5</v>
      </c>
      <c r="AB21" s="312">
        <v>2058.2930000000001</v>
      </c>
      <c r="AC21" s="312">
        <v>0</v>
      </c>
      <c r="AD21" s="312">
        <v>0</v>
      </c>
      <c r="AE21" s="312">
        <v>0</v>
      </c>
      <c r="AF21" s="312">
        <v>15</v>
      </c>
      <c r="AG21" s="312">
        <v>249.70500000000001</v>
      </c>
      <c r="AH21" s="312">
        <v>0</v>
      </c>
      <c r="AI21" s="312">
        <v>1279.615</v>
      </c>
      <c r="AJ21" s="312">
        <v>0</v>
      </c>
      <c r="AK21" s="312">
        <v>0</v>
      </c>
      <c r="AL21" s="312">
        <v>19.8</v>
      </c>
      <c r="AM21" s="312">
        <v>270.39400000000001</v>
      </c>
      <c r="AN21" s="312">
        <v>768.33799999999997</v>
      </c>
      <c r="AO21" s="312">
        <v>103.523</v>
      </c>
      <c r="AP21" s="312">
        <v>0</v>
      </c>
      <c r="AQ21" s="312">
        <v>77.055999999999997</v>
      </c>
      <c r="AR21" s="312">
        <v>2350.19</v>
      </c>
      <c r="AS21" s="312">
        <v>1578.3789999999999</v>
      </c>
      <c r="AT21" s="312">
        <f>SUMIF(X$9:AS$9,"&gt;0",X21:AS21)</f>
        <v>10165.022000000001</v>
      </c>
      <c r="AU21" s="312">
        <f>SUMIF(D$9:AS$9,"&gt;0",D21:AS21)</f>
        <v>30288.353000000006</v>
      </c>
      <c r="AV21" s="311">
        <v>12</v>
      </c>
    </row>
    <row r="22" spans="1:48" ht="15" customHeight="1" x14ac:dyDescent="0.25">
      <c r="A22" s="2"/>
      <c r="B22" s="314">
        <v>13</v>
      </c>
      <c r="C22" s="313" t="s">
        <v>16</v>
      </c>
      <c r="D22" s="312">
        <v>0</v>
      </c>
      <c r="E22" s="312">
        <v>2234.0549999999998</v>
      </c>
      <c r="F22" s="312">
        <v>682.4</v>
      </c>
      <c r="G22" s="312">
        <v>194.99299999999999</v>
      </c>
      <c r="H22" s="312">
        <v>0</v>
      </c>
      <c r="I22" s="312">
        <v>1207.0940000000001</v>
      </c>
      <c r="J22" s="312">
        <v>407.85899999999998</v>
      </c>
      <c r="K22" s="312">
        <v>844.84500000000003</v>
      </c>
      <c r="L22" s="312">
        <v>65</v>
      </c>
      <c r="M22" s="312">
        <f>SUMIF(D$9:L$9,"&gt;0",D22:L22)</f>
        <v>5636.2460000000001</v>
      </c>
      <c r="N22" s="312">
        <v>5145.0789999999997</v>
      </c>
      <c r="O22" s="312">
        <v>1271.759</v>
      </c>
      <c r="P22" s="312">
        <v>915.57399999999996</v>
      </c>
      <c r="Q22" s="312">
        <v>0</v>
      </c>
      <c r="R22" s="312">
        <v>6980.8540000000003</v>
      </c>
      <c r="S22" s="312">
        <v>0</v>
      </c>
      <c r="T22" s="312">
        <v>69.849999999999994</v>
      </c>
      <c r="U22" s="312">
        <v>149.33099999999999</v>
      </c>
      <c r="V22" s="312">
        <v>0</v>
      </c>
      <c r="W22" s="312">
        <f>SUMIF(N$9:V$9,"&gt;0",N22:V22)</f>
        <v>14532.447</v>
      </c>
      <c r="X22" s="312">
        <v>342.49</v>
      </c>
      <c r="Y22" s="312">
        <v>1061.8140000000001</v>
      </c>
      <c r="Z22" s="312">
        <v>0</v>
      </c>
      <c r="AA22" s="312">
        <v>5</v>
      </c>
      <c r="AB22" s="312">
        <v>2057.9929999999999</v>
      </c>
      <c r="AC22" s="312">
        <v>0</v>
      </c>
      <c r="AD22" s="312">
        <v>0</v>
      </c>
      <c r="AE22" s="312">
        <v>0</v>
      </c>
      <c r="AF22" s="312">
        <v>15</v>
      </c>
      <c r="AG22" s="312">
        <v>249.685</v>
      </c>
      <c r="AH22" s="312">
        <v>0</v>
      </c>
      <c r="AI22" s="312">
        <v>1278.395</v>
      </c>
      <c r="AJ22" s="312">
        <v>0</v>
      </c>
      <c r="AK22" s="312">
        <v>0</v>
      </c>
      <c r="AL22" s="312">
        <v>19.78</v>
      </c>
      <c r="AM22" s="312">
        <v>270.09399999999999</v>
      </c>
      <c r="AN22" s="312">
        <v>770.12800000000004</v>
      </c>
      <c r="AO22" s="312">
        <v>102.25700000000001</v>
      </c>
      <c r="AP22" s="312">
        <v>0</v>
      </c>
      <c r="AQ22" s="312">
        <v>76.956000000000003</v>
      </c>
      <c r="AR22" s="312">
        <v>2341.42</v>
      </c>
      <c r="AS22" s="312">
        <v>1583.818</v>
      </c>
      <c r="AT22" s="312">
        <f>SUMIF(X$9:AS$9,"&gt;0",X22:AS22)</f>
        <v>10174.829999999998</v>
      </c>
      <c r="AU22" s="312">
        <f>SUMIF(D$9:AS$9,"&gt;0",D22:AS22)</f>
        <v>30343.523000000001</v>
      </c>
      <c r="AV22" s="311">
        <v>13</v>
      </c>
    </row>
    <row r="23" spans="1:48" ht="15" customHeight="1" x14ac:dyDescent="0.25">
      <c r="A23" s="2"/>
      <c r="B23" s="314">
        <v>14</v>
      </c>
      <c r="C23" s="313" t="s">
        <v>16</v>
      </c>
      <c r="D23" s="312">
        <v>0</v>
      </c>
      <c r="E23" s="312">
        <v>2226.9549999999999</v>
      </c>
      <c r="F23" s="312">
        <v>682.2</v>
      </c>
      <c r="G23" s="312">
        <v>204.881</v>
      </c>
      <c r="H23" s="312">
        <v>0</v>
      </c>
      <c r="I23" s="312">
        <v>1193.6130000000001</v>
      </c>
      <c r="J23" s="312">
        <v>407.709</v>
      </c>
      <c r="K23" s="312">
        <v>830.22500000000002</v>
      </c>
      <c r="L23" s="312">
        <v>65</v>
      </c>
      <c r="M23" s="312">
        <f>SUMIF(D$9:L$9,"&gt;0",D23:L23)</f>
        <v>5610.5829999999996</v>
      </c>
      <c r="N23" s="312">
        <v>5136.8320000000003</v>
      </c>
      <c r="O23" s="312">
        <v>1262.376</v>
      </c>
      <c r="P23" s="312">
        <v>913.774</v>
      </c>
      <c r="Q23" s="312">
        <v>0</v>
      </c>
      <c r="R23" s="312">
        <v>6980.8540000000003</v>
      </c>
      <c r="S23" s="312">
        <v>0</v>
      </c>
      <c r="T23" s="312">
        <v>69.84</v>
      </c>
      <c r="U23" s="312">
        <v>149.28100000000001</v>
      </c>
      <c r="V23" s="312">
        <v>0</v>
      </c>
      <c r="W23" s="312">
        <f>SUMIF(N$9:V$9,"&gt;0",N23:V23)</f>
        <v>14512.957000000002</v>
      </c>
      <c r="X23" s="312">
        <v>342.29</v>
      </c>
      <c r="Y23" s="312">
        <v>1062.2940000000001</v>
      </c>
      <c r="Z23" s="312">
        <v>0</v>
      </c>
      <c r="AA23" s="312">
        <v>5</v>
      </c>
      <c r="AB23" s="312">
        <v>2061.1529999999998</v>
      </c>
      <c r="AC23" s="312">
        <v>0</v>
      </c>
      <c r="AD23" s="312">
        <v>0</v>
      </c>
      <c r="AE23" s="312">
        <v>0</v>
      </c>
      <c r="AF23" s="312">
        <v>15</v>
      </c>
      <c r="AG23" s="312">
        <v>249.66499999999999</v>
      </c>
      <c r="AH23" s="312">
        <v>0</v>
      </c>
      <c r="AI23" s="312">
        <v>1272.095</v>
      </c>
      <c r="AJ23" s="312">
        <v>0</v>
      </c>
      <c r="AK23" s="312">
        <v>0</v>
      </c>
      <c r="AL23" s="312">
        <v>19.760000000000002</v>
      </c>
      <c r="AM23" s="312">
        <v>269.79399999999998</v>
      </c>
      <c r="AN23" s="312">
        <v>769.84799999999996</v>
      </c>
      <c r="AO23" s="312">
        <v>103.443</v>
      </c>
      <c r="AP23" s="312">
        <v>0</v>
      </c>
      <c r="AQ23" s="312">
        <v>76.855999999999995</v>
      </c>
      <c r="AR23" s="312">
        <v>2348.06</v>
      </c>
      <c r="AS23" s="312">
        <v>1574.1179999999999</v>
      </c>
      <c r="AT23" s="312">
        <f>SUMIF(X$9:AS$9,"&gt;0",X23:AS23)</f>
        <v>10169.376</v>
      </c>
      <c r="AU23" s="312">
        <f>SUMIF(D$9:AS$9,"&gt;0",D23:AS23)</f>
        <v>30292.916000000005</v>
      </c>
      <c r="AV23" s="311">
        <v>14</v>
      </c>
    </row>
    <row r="24" spans="1:48" ht="15" customHeight="1" x14ac:dyDescent="0.25">
      <c r="A24" s="2"/>
      <c r="B24" s="314">
        <v>15</v>
      </c>
      <c r="C24" s="313" t="s">
        <v>16</v>
      </c>
      <c r="D24" s="312">
        <v>0</v>
      </c>
      <c r="E24" s="312">
        <v>2220.4090000000001</v>
      </c>
      <c r="F24" s="312">
        <v>682</v>
      </c>
      <c r="G24" s="312">
        <v>204.87100000000001</v>
      </c>
      <c r="H24" s="312">
        <v>0</v>
      </c>
      <c r="I24" s="312">
        <v>1192.6130000000001</v>
      </c>
      <c r="J24" s="312">
        <v>408.613</v>
      </c>
      <c r="K24" s="312">
        <v>845.94500000000005</v>
      </c>
      <c r="L24" s="312">
        <v>65</v>
      </c>
      <c r="M24" s="312">
        <f>SUMIF(D$9:L$9,"&gt;0",D24:L24)</f>
        <v>5619.451</v>
      </c>
      <c r="N24" s="312">
        <v>5115.2489999999998</v>
      </c>
      <c r="O24" s="312">
        <v>1256.9590000000001</v>
      </c>
      <c r="P24" s="312">
        <v>931.97400000000005</v>
      </c>
      <c r="Q24" s="312">
        <v>0</v>
      </c>
      <c r="R24" s="312">
        <v>6980.9539999999997</v>
      </c>
      <c r="S24" s="312">
        <v>0</v>
      </c>
      <c r="T24" s="312">
        <v>69.83</v>
      </c>
      <c r="U24" s="312">
        <v>149.23099999999999</v>
      </c>
      <c r="V24" s="312">
        <v>0</v>
      </c>
      <c r="W24" s="312">
        <f>SUMIF(N$9:V$9,"&gt;0",N24:V24)</f>
        <v>14504.196999999998</v>
      </c>
      <c r="X24" s="312">
        <v>334.59</v>
      </c>
      <c r="Y24" s="312">
        <v>1066.307</v>
      </c>
      <c r="Z24" s="312">
        <v>0</v>
      </c>
      <c r="AA24" s="312">
        <v>5</v>
      </c>
      <c r="AB24" s="312">
        <v>2060.5390000000002</v>
      </c>
      <c r="AC24" s="312">
        <v>0</v>
      </c>
      <c r="AD24" s="312">
        <v>0</v>
      </c>
      <c r="AE24" s="312">
        <v>0</v>
      </c>
      <c r="AF24" s="312">
        <v>15</v>
      </c>
      <c r="AG24" s="312">
        <v>227.06</v>
      </c>
      <c r="AH24" s="312">
        <v>0</v>
      </c>
      <c r="AI24" s="312">
        <v>1268.895</v>
      </c>
      <c r="AJ24" s="312">
        <v>0</v>
      </c>
      <c r="AK24" s="312">
        <v>0</v>
      </c>
      <c r="AL24" s="312">
        <v>19.739999999999998</v>
      </c>
      <c r="AM24" s="312">
        <v>269.49400000000003</v>
      </c>
      <c r="AN24" s="312">
        <v>772.17600000000004</v>
      </c>
      <c r="AO24" s="312">
        <v>103.40300000000001</v>
      </c>
      <c r="AP24" s="312">
        <v>0</v>
      </c>
      <c r="AQ24" s="312">
        <v>76.756</v>
      </c>
      <c r="AR24" s="312">
        <v>2228.3240000000001</v>
      </c>
      <c r="AS24" s="312">
        <v>1577.6179999999999</v>
      </c>
      <c r="AT24" s="312">
        <f>SUMIF(X$9:AS$9,"&gt;0",X24:AS24)</f>
        <v>10024.902</v>
      </c>
      <c r="AU24" s="312">
        <f>SUMIF(D$9:AS$9,"&gt;0",D24:AS24)</f>
        <v>30148.550000000003</v>
      </c>
      <c r="AV24" s="311">
        <v>15</v>
      </c>
    </row>
    <row r="25" spans="1:48" ht="15" customHeight="1" x14ac:dyDescent="0.25">
      <c r="A25" s="2"/>
      <c r="B25" s="314">
        <v>16</v>
      </c>
      <c r="C25" s="313" t="s">
        <v>16</v>
      </c>
      <c r="D25" s="312">
        <v>0</v>
      </c>
      <c r="E25" s="312">
        <v>2214.4549999999999</v>
      </c>
      <c r="F25" s="312">
        <v>681.8</v>
      </c>
      <c r="G25" s="312">
        <v>204.86099999999999</v>
      </c>
      <c r="H25" s="312">
        <v>0</v>
      </c>
      <c r="I25" s="312">
        <v>1210.6130000000001</v>
      </c>
      <c r="J25" s="312">
        <v>410.02</v>
      </c>
      <c r="K25" s="312">
        <v>841.78599999999994</v>
      </c>
      <c r="L25" s="312">
        <v>65</v>
      </c>
      <c r="M25" s="312">
        <f>SUMIF(D$9:L$9,"&gt;0",D25:L25)</f>
        <v>5628.5349999999999</v>
      </c>
      <c r="N25" s="312">
        <v>5116.8180000000002</v>
      </c>
      <c r="O25" s="312">
        <v>1249.559</v>
      </c>
      <c r="P25" s="312">
        <v>930.17399999999998</v>
      </c>
      <c r="Q25" s="312">
        <v>0</v>
      </c>
      <c r="R25" s="312">
        <v>6980.9539999999997</v>
      </c>
      <c r="S25" s="312">
        <v>0</v>
      </c>
      <c r="T25" s="312">
        <v>69.819999999999993</v>
      </c>
      <c r="U25" s="312">
        <v>149.18100000000001</v>
      </c>
      <c r="V25" s="312">
        <v>0</v>
      </c>
      <c r="W25" s="312">
        <f>SUMIF(N$9:V$9,"&gt;0",N25:V25)</f>
        <v>14496.506000000001</v>
      </c>
      <c r="X25" s="312">
        <v>334.39</v>
      </c>
      <c r="Y25" s="312">
        <v>1068.2619999999999</v>
      </c>
      <c r="Z25" s="312">
        <v>0</v>
      </c>
      <c r="AA25" s="312">
        <v>5</v>
      </c>
      <c r="AB25" s="312">
        <v>2059.893</v>
      </c>
      <c r="AC25" s="312">
        <v>0</v>
      </c>
      <c r="AD25" s="312">
        <v>0</v>
      </c>
      <c r="AE25" s="312">
        <v>0</v>
      </c>
      <c r="AF25" s="312">
        <v>15</v>
      </c>
      <c r="AG25" s="312">
        <v>246.32499999999999</v>
      </c>
      <c r="AH25" s="312">
        <v>0</v>
      </c>
      <c r="AI25" s="312">
        <v>1237.366</v>
      </c>
      <c r="AJ25" s="312">
        <v>0</v>
      </c>
      <c r="AK25" s="312">
        <v>0</v>
      </c>
      <c r="AL25" s="312">
        <v>19.72</v>
      </c>
      <c r="AM25" s="312">
        <v>269.19400000000002</v>
      </c>
      <c r="AN25" s="312">
        <v>771.93799999999999</v>
      </c>
      <c r="AO25" s="312">
        <v>103.363</v>
      </c>
      <c r="AP25" s="312">
        <v>0</v>
      </c>
      <c r="AQ25" s="312">
        <v>76.656000000000006</v>
      </c>
      <c r="AR25" s="312">
        <v>2349.373</v>
      </c>
      <c r="AS25" s="312">
        <v>1576.1179999999999</v>
      </c>
      <c r="AT25" s="312">
        <f>SUMIF(X$9:AS$9,"&gt;0",X25:AS25)</f>
        <v>10132.598000000002</v>
      </c>
      <c r="AU25" s="312">
        <f>SUMIF(D$9:AS$9,"&gt;0",D25:AS25)</f>
        <v>30257.638999999999</v>
      </c>
      <c r="AV25" s="311">
        <v>16</v>
      </c>
    </row>
    <row r="26" spans="1:48" ht="15" customHeight="1" x14ac:dyDescent="0.25">
      <c r="A26" s="2"/>
      <c r="B26" s="314">
        <v>17</v>
      </c>
      <c r="C26" s="313" t="s">
        <v>16</v>
      </c>
      <c r="D26" s="312">
        <v>0</v>
      </c>
      <c r="E26" s="312">
        <v>2247.355</v>
      </c>
      <c r="F26" s="312">
        <v>681.6</v>
      </c>
      <c r="G26" s="312">
        <v>204.851</v>
      </c>
      <c r="H26" s="312">
        <v>0</v>
      </c>
      <c r="I26" s="312">
        <v>1209.6130000000001</v>
      </c>
      <c r="J26" s="312">
        <v>409.75900000000001</v>
      </c>
      <c r="K26" s="312">
        <v>853.35199999999998</v>
      </c>
      <c r="L26" s="312">
        <v>65</v>
      </c>
      <c r="M26" s="312">
        <f>SUMIF(D$9:L$9,"&gt;0",D26:L26)</f>
        <v>5671.53</v>
      </c>
      <c r="N26" s="312">
        <v>5105.5150000000003</v>
      </c>
      <c r="O26" s="312">
        <v>1242.1590000000001</v>
      </c>
      <c r="P26" s="312">
        <v>928.37400000000002</v>
      </c>
      <c r="Q26" s="312">
        <v>0</v>
      </c>
      <c r="R26" s="312">
        <v>6981.0540000000001</v>
      </c>
      <c r="S26" s="312">
        <v>0</v>
      </c>
      <c r="T26" s="312">
        <v>69.81</v>
      </c>
      <c r="U26" s="312">
        <v>149.131</v>
      </c>
      <c r="V26" s="312">
        <v>0</v>
      </c>
      <c r="W26" s="312">
        <f>SUMIF(N$9:V$9,"&gt;0",N26:V26)</f>
        <v>14476.043</v>
      </c>
      <c r="X26" s="312">
        <v>334.19</v>
      </c>
      <c r="Y26" s="312">
        <v>1067.8820000000001</v>
      </c>
      <c r="Z26" s="312">
        <v>0</v>
      </c>
      <c r="AA26" s="312">
        <v>5</v>
      </c>
      <c r="AB26" s="312">
        <v>2059.5929999999998</v>
      </c>
      <c r="AC26" s="312">
        <v>0</v>
      </c>
      <c r="AD26" s="312">
        <v>0</v>
      </c>
      <c r="AE26" s="312">
        <v>0</v>
      </c>
      <c r="AF26" s="312">
        <v>15</v>
      </c>
      <c r="AG26" s="312">
        <v>248.505</v>
      </c>
      <c r="AH26" s="312">
        <v>0</v>
      </c>
      <c r="AI26" s="312">
        <v>1262.4949999999999</v>
      </c>
      <c r="AJ26" s="312">
        <v>0</v>
      </c>
      <c r="AK26" s="312">
        <v>0</v>
      </c>
      <c r="AL26" s="312">
        <v>19.7</v>
      </c>
      <c r="AM26" s="312">
        <v>268.89400000000001</v>
      </c>
      <c r="AN26" s="312">
        <v>771.53800000000001</v>
      </c>
      <c r="AO26" s="312">
        <v>103.32299999999999</v>
      </c>
      <c r="AP26" s="312">
        <v>0</v>
      </c>
      <c r="AQ26" s="312">
        <v>76.555999999999997</v>
      </c>
      <c r="AR26" s="312">
        <v>2349.37</v>
      </c>
      <c r="AS26" s="312">
        <v>1574.6179999999999</v>
      </c>
      <c r="AT26" s="312">
        <f>SUMIF(X$9:AS$9,"&gt;0",X26:AS26)</f>
        <v>10156.664000000001</v>
      </c>
      <c r="AU26" s="312">
        <f>SUMIF(D$9:AS$9,"&gt;0",D26:AS26)</f>
        <v>30304.237000000001</v>
      </c>
      <c r="AV26" s="311">
        <v>17</v>
      </c>
    </row>
    <row r="27" spans="1:48" ht="15" customHeight="1" x14ac:dyDescent="0.25">
      <c r="A27" s="2"/>
      <c r="B27" s="314">
        <v>18</v>
      </c>
      <c r="C27" s="313" t="s">
        <v>16</v>
      </c>
      <c r="D27" s="312">
        <v>0</v>
      </c>
      <c r="E27" s="312">
        <v>2240.2550000000001</v>
      </c>
      <c r="F27" s="312">
        <v>681.4</v>
      </c>
      <c r="G27" s="312">
        <v>204.84100000000001</v>
      </c>
      <c r="H27" s="312">
        <v>0</v>
      </c>
      <c r="I27" s="312">
        <v>1208.6130000000001</v>
      </c>
      <c r="J27" s="312">
        <v>409.26</v>
      </c>
      <c r="K27" s="312">
        <v>867.64499999999998</v>
      </c>
      <c r="L27" s="312">
        <v>65</v>
      </c>
      <c r="M27" s="312">
        <f>SUMIF(D$9:L$9,"&gt;0",D27:L27)</f>
        <v>5677.014000000001</v>
      </c>
      <c r="N27" s="312">
        <v>5094.0460000000003</v>
      </c>
      <c r="O27" s="312">
        <v>1234.759</v>
      </c>
      <c r="P27" s="312">
        <v>926.57399999999996</v>
      </c>
      <c r="Q27" s="312">
        <v>0</v>
      </c>
      <c r="R27" s="312">
        <v>6981.1540000000005</v>
      </c>
      <c r="S27" s="312">
        <v>0</v>
      </c>
      <c r="T27" s="312">
        <v>69.8</v>
      </c>
      <c r="U27" s="312">
        <v>149.08099999999999</v>
      </c>
      <c r="V27" s="312">
        <v>0</v>
      </c>
      <c r="W27" s="312">
        <f>SUMIF(N$9:V$9,"&gt;0",N27:V27)</f>
        <v>14455.413999999999</v>
      </c>
      <c r="X27" s="312">
        <v>333.99</v>
      </c>
      <c r="Y27" s="312">
        <v>1067.502</v>
      </c>
      <c r="Z27" s="312">
        <v>0</v>
      </c>
      <c r="AA27" s="312">
        <v>5</v>
      </c>
      <c r="AB27" s="312">
        <v>2058.9929999999999</v>
      </c>
      <c r="AC27" s="312">
        <v>0</v>
      </c>
      <c r="AD27" s="312">
        <v>0</v>
      </c>
      <c r="AE27" s="312">
        <v>0</v>
      </c>
      <c r="AF27" s="312">
        <v>15</v>
      </c>
      <c r="AG27" s="312">
        <v>248.48500000000001</v>
      </c>
      <c r="AH27" s="312">
        <v>0</v>
      </c>
      <c r="AI27" s="312">
        <v>1259.2950000000001</v>
      </c>
      <c r="AJ27" s="312">
        <v>0</v>
      </c>
      <c r="AK27" s="312">
        <v>0</v>
      </c>
      <c r="AL27" s="312">
        <v>19.68</v>
      </c>
      <c r="AM27" s="312">
        <v>268.59399999999999</v>
      </c>
      <c r="AN27" s="312">
        <v>770.93799999999999</v>
      </c>
      <c r="AO27" s="312">
        <v>103.283</v>
      </c>
      <c r="AP27" s="312">
        <v>0</v>
      </c>
      <c r="AQ27" s="312">
        <v>76.456000000000003</v>
      </c>
      <c r="AR27" s="312">
        <v>2347.7220000000002</v>
      </c>
      <c r="AS27" s="312">
        <v>1573.1179999999999</v>
      </c>
      <c r="AT27" s="312">
        <f>SUMIF(X$9:AS$9,"&gt;0",X27:AS27)</f>
        <v>10148.056</v>
      </c>
      <c r="AU27" s="312">
        <f>SUMIF(D$9:AS$9,"&gt;0",D27:AS27)</f>
        <v>30280.483999999997</v>
      </c>
      <c r="AV27" s="311">
        <v>18</v>
      </c>
    </row>
    <row r="28" spans="1:48" ht="15" customHeight="1" x14ac:dyDescent="0.25">
      <c r="A28" s="2"/>
      <c r="B28" s="314">
        <v>19</v>
      </c>
      <c r="C28" s="313" t="s">
        <v>16</v>
      </c>
      <c r="D28" s="312">
        <v>0</v>
      </c>
      <c r="E28" s="312">
        <v>2184.194</v>
      </c>
      <c r="F28" s="312">
        <v>681.2</v>
      </c>
      <c r="G28" s="312">
        <v>204.83099999999999</v>
      </c>
      <c r="H28" s="312">
        <v>0</v>
      </c>
      <c r="I28" s="312">
        <v>1204.93</v>
      </c>
      <c r="J28" s="312">
        <v>407.61500000000001</v>
      </c>
      <c r="K28" s="312">
        <v>857.79399999999998</v>
      </c>
      <c r="L28" s="312">
        <v>65</v>
      </c>
      <c r="M28" s="312">
        <f>SUMIF(D$9:L$9,"&gt;0",D28:L28)</f>
        <v>5605.5640000000003</v>
      </c>
      <c r="N28" s="312">
        <v>5107.4690000000001</v>
      </c>
      <c r="O28" s="312">
        <v>1280.1959999999999</v>
      </c>
      <c r="P28" s="312">
        <v>924.774</v>
      </c>
      <c r="Q28" s="312">
        <v>0</v>
      </c>
      <c r="R28" s="312">
        <v>6981.1540000000005</v>
      </c>
      <c r="S28" s="312">
        <v>0</v>
      </c>
      <c r="T28" s="312">
        <v>69.790000000000006</v>
      </c>
      <c r="U28" s="312">
        <v>149.03100000000001</v>
      </c>
      <c r="V28" s="312">
        <v>0</v>
      </c>
      <c r="W28" s="312">
        <f>SUMIF(N$9:V$9,"&gt;0",N28:V28)</f>
        <v>14512.414000000002</v>
      </c>
      <c r="X28" s="312">
        <v>333.79</v>
      </c>
      <c r="Y28" s="312">
        <v>1065.3219999999999</v>
      </c>
      <c r="Z28" s="312">
        <v>0</v>
      </c>
      <c r="AA28" s="312">
        <v>5</v>
      </c>
      <c r="AB28" s="312">
        <v>2056.9720000000002</v>
      </c>
      <c r="AC28" s="312">
        <v>0</v>
      </c>
      <c r="AD28" s="312">
        <v>0</v>
      </c>
      <c r="AE28" s="312">
        <v>0</v>
      </c>
      <c r="AF28" s="312">
        <v>15</v>
      </c>
      <c r="AG28" s="312">
        <v>244.86500000000001</v>
      </c>
      <c r="AH28" s="312">
        <v>0</v>
      </c>
      <c r="AI28" s="312">
        <v>1255.095</v>
      </c>
      <c r="AJ28" s="312">
        <v>0</v>
      </c>
      <c r="AK28" s="312">
        <v>0</v>
      </c>
      <c r="AL28" s="312">
        <v>19.66</v>
      </c>
      <c r="AM28" s="312">
        <v>268.29399999999998</v>
      </c>
      <c r="AN28" s="312">
        <v>733.52300000000002</v>
      </c>
      <c r="AO28" s="312">
        <v>103.24299999999999</v>
      </c>
      <c r="AP28" s="312">
        <v>0</v>
      </c>
      <c r="AQ28" s="312">
        <v>76.355999999999995</v>
      </c>
      <c r="AR28" s="312">
        <v>2338.8049999999998</v>
      </c>
      <c r="AS28" s="312">
        <v>1569.7560000000001</v>
      </c>
      <c r="AT28" s="312">
        <f>SUMIF(X$9:AS$9,"&gt;0",X28:AS28)</f>
        <v>10085.680999999999</v>
      </c>
      <c r="AU28" s="312">
        <f>SUMIF(D$9:AS$9,"&gt;0",D28:AS28)</f>
        <v>30203.659000000007</v>
      </c>
      <c r="AV28" s="311">
        <v>19</v>
      </c>
    </row>
    <row r="29" spans="1:48" ht="15" customHeight="1" x14ac:dyDescent="0.25">
      <c r="A29" s="2"/>
      <c r="B29" s="314">
        <v>20</v>
      </c>
      <c r="C29" s="313" t="s">
        <v>16</v>
      </c>
      <c r="D29" s="312">
        <v>0</v>
      </c>
      <c r="E29" s="312">
        <v>2226.0549999999998</v>
      </c>
      <c r="F29" s="312">
        <v>681</v>
      </c>
      <c r="G29" s="312">
        <v>188.66499999999999</v>
      </c>
      <c r="H29" s="312">
        <v>0</v>
      </c>
      <c r="I29" s="312">
        <v>1237.5440000000001</v>
      </c>
      <c r="J29" s="312">
        <v>405.875</v>
      </c>
      <c r="K29" s="312">
        <v>787.09299999999996</v>
      </c>
      <c r="L29" s="312">
        <v>65</v>
      </c>
      <c r="M29" s="312">
        <f>SUMIF(D$9:L$9,"&gt;0",D29:L29)</f>
        <v>5591.232</v>
      </c>
      <c r="N29" s="312">
        <v>5075.8090000000002</v>
      </c>
      <c r="O29" s="312">
        <v>1273.9590000000001</v>
      </c>
      <c r="P29" s="312">
        <v>922.97400000000005</v>
      </c>
      <c r="Q29" s="312">
        <v>0</v>
      </c>
      <c r="R29" s="312">
        <v>6981.2539999999999</v>
      </c>
      <c r="S29" s="312">
        <v>0</v>
      </c>
      <c r="T29" s="312">
        <v>69.78</v>
      </c>
      <c r="U29" s="312">
        <v>148.98099999999999</v>
      </c>
      <c r="V29" s="312">
        <v>0</v>
      </c>
      <c r="W29" s="312">
        <f>SUMIF(N$9:V$9,"&gt;0",N29:V29)</f>
        <v>14472.757</v>
      </c>
      <c r="X29" s="312">
        <v>333.59</v>
      </c>
      <c r="Y29" s="312">
        <v>1060.8130000000001</v>
      </c>
      <c r="Z29" s="312">
        <v>0</v>
      </c>
      <c r="AA29" s="312">
        <v>5</v>
      </c>
      <c r="AB29" s="312">
        <v>2047.4179999999999</v>
      </c>
      <c r="AC29" s="312">
        <v>0</v>
      </c>
      <c r="AD29" s="312">
        <v>0</v>
      </c>
      <c r="AE29" s="312">
        <v>0</v>
      </c>
      <c r="AF29" s="312">
        <v>15</v>
      </c>
      <c r="AG29" s="312">
        <v>247.82</v>
      </c>
      <c r="AH29" s="312">
        <v>0</v>
      </c>
      <c r="AI29" s="312">
        <v>1251.895</v>
      </c>
      <c r="AJ29" s="312">
        <v>0</v>
      </c>
      <c r="AK29" s="312">
        <v>0</v>
      </c>
      <c r="AL29" s="312">
        <v>17.739999999999998</v>
      </c>
      <c r="AM29" s="312">
        <v>250.637</v>
      </c>
      <c r="AN29" s="312">
        <v>770.93799999999999</v>
      </c>
      <c r="AO29" s="312">
        <v>96.933999999999997</v>
      </c>
      <c r="AP29" s="312">
        <v>0</v>
      </c>
      <c r="AQ29" s="312">
        <v>76.256</v>
      </c>
      <c r="AR29" s="312">
        <v>2321.7510000000002</v>
      </c>
      <c r="AS29" s="312">
        <v>1568.8969999999999</v>
      </c>
      <c r="AT29" s="312">
        <f>SUMIF(X$9:AS$9,"&gt;0",X29:AS29)</f>
        <v>10064.689000000002</v>
      </c>
      <c r="AU29" s="312">
        <f>SUMIF(D$9:AS$9,"&gt;0",D29:AS29)</f>
        <v>30128.678000000004</v>
      </c>
      <c r="AV29" s="311">
        <v>20</v>
      </c>
    </row>
    <row r="30" spans="1:48" ht="15" customHeight="1" x14ac:dyDescent="0.25">
      <c r="A30" s="2"/>
      <c r="B30" s="314">
        <v>21</v>
      </c>
      <c r="C30" s="313" t="s">
        <v>16</v>
      </c>
      <c r="D30" s="312">
        <v>0</v>
      </c>
      <c r="E30" s="312">
        <v>2255.9569999999999</v>
      </c>
      <c r="F30" s="312">
        <v>680.8</v>
      </c>
      <c r="G30" s="312">
        <v>189.964</v>
      </c>
      <c r="H30" s="312">
        <v>0</v>
      </c>
      <c r="I30" s="312">
        <v>1244.942</v>
      </c>
      <c r="J30" s="312">
        <v>405.76100000000002</v>
      </c>
      <c r="K30" s="312">
        <v>854.03499999999997</v>
      </c>
      <c r="L30" s="312">
        <v>65</v>
      </c>
      <c r="M30" s="312">
        <f>SUMIF(D$9:L$9,"&gt;0",D30:L30)</f>
        <v>5696.4589999999998</v>
      </c>
      <c r="N30" s="312">
        <v>5108.3130000000001</v>
      </c>
      <c r="O30" s="312">
        <v>1266.559</v>
      </c>
      <c r="P30" s="312">
        <v>921.17399999999998</v>
      </c>
      <c r="Q30" s="312">
        <v>0</v>
      </c>
      <c r="R30" s="312">
        <v>6981.2539999999999</v>
      </c>
      <c r="S30" s="312">
        <v>0</v>
      </c>
      <c r="T30" s="312">
        <v>69.77</v>
      </c>
      <c r="U30" s="312">
        <v>148.93100000000001</v>
      </c>
      <c r="V30" s="312">
        <v>0</v>
      </c>
      <c r="W30" s="312">
        <f>SUMIF(N$9:V$9,"&gt;0",N30:V30)</f>
        <v>14496.001</v>
      </c>
      <c r="X30" s="312">
        <v>323.97300000000001</v>
      </c>
      <c r="Y30" s="312">
        <v>1064.5619999999999</v>
      </c>
      <c r="Z30" s="312">
        <v>0</v>
      </c>
      <c r="AA30" s="312">
        <v>5</v>
      </c>
      <c r="AB30" s="312">
        <v>2050.6669999999999</v>
      </c>
      <c r="AC30" s="312">
        <v>0</v>
      </c>
      <c r="AD30" s="312">
        <v>0</v>
      </c>
      <c r="AE30" s="312">
        <v>0</v>
      </c>
      <c r="AF30" s="312">
        <v>15</v>
      </c>
      <c r="AG30" s="312">
        <v>241.393</v>
      </c>
      <c r="AH30" s="312">
        <v>0</v>
      </c>
      <c r="AI30" s="312">
        <v>1248.6949999999999</v>
      </c>
      <c r="AJ30" s="312">
        <v>0</v>
      </c>
      <c r="AK30" s="312">
        <v>0</v>
      </c>
      <c r="AL30" s="312">
        <v>17.72</v>
      </c>
      <c r="AM30" s="312">
        <v>266.10399999999998</v>
      </c>
      <c r="AN30" s="312">
        <v>774.33799999999997</v>
      </c>
      <c r="AO30" s="312">
        <v>97.863</v>
      </c>
      <c r="AP30" s="312">
        <v>0</v>
      </c>
      <c r="AQ30" s="312">
        <v>76.156000000000006</v>
      </c>
      <c r="AR30" s="312">
        <v>2258.4920000000002</v>
      </c>
      <c r="AS30" s="312">
        <v>1566.0940000000001</v>
      </c>
      <c r="AT30" s="312">
        <f>SUMIF(X$9:AS$9,"&gt;0",X30:AS30)</f>
        <v>10006.057000000001</v>
      </c>
      <c r="AU30" s="312">
        <f>SUMIF(D$9:AS$9,"&gt;0",D30:AS30)</f>
        <v>30198.517000000003</v>
      </c>
      <c r="AV30" s="311">
        <v>21</v>
      </c>
    </row>
    <row r="31" spans="1:48" ht="15" customHeight="1" x14ac:dyDescent="0.25">
      <c r="A31" s="2"/>
      <c r="B31" s="314">
        <v>22</v>
      </c>
      <c r="C31" s="313" t="s">
        <v>16</v>
      </c>
      <c r="D31" s="312">
        <v>0</v>
      </c>
      <c r="E31" s="312">
        <v>2203.3380000000002</v>
      </c>
      <c r="F31" s="312">
        <v>680.6</v>
      </c>
      <c r="G31" s="312">
        <v>189.95400000000001</v>
      </c>
      <c r="H31" s="312">
        <v>0</v>
      </c>
      <c r="I31" s="312">
        <v>1238.51</v>
      </c>
      <c r="J31" s="312">
        <v>405.60700000000003</v>
      </c>
      <c r="K31" s="312">
        <v>853.93499999999995</v>
      </c>
      <c r="L31" s="312">
        <v>65</v>
      </c>
      <c r="M31" s="312">
        <f>SUMIF(D$9:L$9,"&gt;0",D31:L31)</f>
        <v>5636.9439999999995</v>
      </c>
      <c r="N31" s="312">
        <v>5140.3389999999999</v>
      </c>
      <c r="O31" s="312">
        <v>1259.1590000000001</v>
      </c>
      <c r="P31" s="312">
        <v>918.21900000000005</v>
      </c>
      <c r="Q31" s="312">
        <v>0</v>
      </c>
      <c r="R31" s="312">
        <v>6981.3540000000003</v>
      </c>
      <c r="S31" s="312">
        <v>0</v>
      </c>
      <c r="T31" s="312">
        <v>69.760000000000005</v>
      </c>
      <c r="U31" s="312">
        <v>148.881</v>
      </c>
      <c r="V31" s="312">
        <v>0</v>
      </c>
      <c r="W31" s="312">
        <f>SUMIF(N$9:V$9,"&gt;0",N31:V31)</f>
        <v>14517.712</v>
      </c>
      <c r="X31" s="312">
        <v>333.19</v>
      </c>
      <c r="Y31" s="312">
        <v>1064.182</v>
      </c>
      <c r="Z31" s="312">
        <v>0</v>
      </c>
      <c r="AA31" s="312">
        <v>5</v>
      </c>
      <c r="AB31" s="312">
        <v>2053.3429999999998</v>
      </c>
      <c r="AC31" s="312">
        <v>0</v>
      </c>
      <c r="AD31" s="312">
        <v>0</v>
      </c>
      <c r="AE31" s="312">
        <v>0</v>
      </c>
      <c r="AF31" s="312">
        <v>15</v>
      </c>
      <c r="AG31" s="312">
        <v>248.06800000000001</v>
      </c>
      <c r="AH31" s="312">
        <v>0</v>
      </c>
      <c r="AI31" s="312">
        <v>1245.4949999999999</v>
      </c>
      <c r="AJ31" s="312">
        <v>0</v>
      </c>
      <c r="AK31" s="312">
        <v>0</v>
      </c>
      <c r="AL31" s="312">
        <v>17.7</v>
      </c>
      <c r="AM31" s="312">
        <v>267.39400000000001</v>
      </c>
      <c r="AN31" s="312">
        <v>773.73800000000006</v>
      </c>
      <c r="AO31" s="312">
        <v>97.822999999999993</v>
      </c>
      <c r="AP31" s="312">
        <v>0</v>
      </c>
      <c r="AQ31" s="312">
        <v>79.322000000000003</v>
      </c>
      <c r="AR31" s="312">
        <v>2328.2220000000002</v>
      </c>
      <c r="AS31" s="312">
        <v>1543.9169999999999</v>
      </c>
      <c r="AT31" s="312">
        <f>SUMIF(X$9:AS$9,"&gt;0",X31:AS31)</f>
        <v>10072.394</v>
      </c>
      <c r="AU31" s="312">
        <f>SUMIF(D$9:AS$9,"&gt;0",D31:AS31)</f>
        <v>30227.050000000003</v>
      </c>
      <c r="AV31" s="311">
        <v>22</v>
      </c>
    </row>
    <row r="32" spans="1:48" ht="15" customHeight="1" x14ac:dyDescent="0.25">
      <c r="A32" s="2"/>
      <c r="B32" s="314">
        <v>23</v>
      </c>
      <c r="C32" s="313" t="s">
        <v>16</v>
      </c>
      <c r="D32" s="312">
        <v>0</v>
      </c>
      <c r="E32" s="312">
        <v>2243.056</v>
      </c>
      <c r="F32" s="312">
        <v>680.4</v>
      </c>
      <c r="G32" s="312">
        <v>194.893</v>
      </c>
      <c r="H32" s="312">
        <v>0</v>
      </c>
      <c r="I32" s="312">
        <v>1233.9870000000001</v>
      </c>
      <c r="J32" s="312">
        <v>409.25900000000001</v>
      </c>
      <c r="K32" s="312">
        <v>845.57500000000005</v>
      </c>
      <c r="L32" s="312">
        <v>65</v>
      </c>
      <c r="M32" s="312">
        <f>SUMIF(D$9:L$9,"&gt;0",D32:L32)</f>
        <v>5672.17</v>
      </c>
      <c r="N32" s="312">
        <v>5128.7190000000001</v>
      </c>
      <c r="O32" s="312">
        <v>1258.3489999999999</v>
      </c>
      <c r="P32" s="312">
        <v>911.33500000000004</v>
      </c>
      <c r="Q32" s="312">
        <v>0</v>
      </c>
      <c r="R32" s="312">
        <v>6981.4539999999997</v>
      </c>
      <c r="S32" s="312">
        <v>0</v>
      </c>
      <c r="T32" s="312">
        <v>69.75</v>
      </c>
      <c r="U32" s="312">
        <v>148.83099999999999</v>
      </c>
      <c r="V32" s="312">
        <v>0</v>
      </c>
      <c r="W32" s="312">
        <f>SUMIF(N$9:V$9,"&gt;0",N32:V32)</f>
        <v>14498.438</v>
      </c>
      <c r="X32" s="312">
        <v>332.99</v>
      </c>
      <c r="Y32" s="312">
        <v>1063.8019999999999</v>
      </c>
      <c r="Z32" s="312">
        <v>0</v>
      </c>
      <c r="AA32" s="312">
        <v>5</v>
      </c>
      <c r="AB32" s="312">
        <v>2053.5929999999998</v>
      </c>
      <c r="AC32" s="312">
        <v>0</v>
      </c>
      <c r="AD32" s="312">
        <v>0</v>
      </c>
      <c r="AE32" s="312">
        <v>0</v>
      </c>
      <c r="AF32" s="312">
        <v>15</v>
      </c>
      <c r="AG32" s="312">
        <v>249.185</v>
      </c>
      <c r="AH32" s="312">
        <v>0</v>
      </c>
      <c r="AI32" s="312">
        <v>1242.2950000000001</v>
      </c>
      <c r="AJ32" s="312">
        <v>0</v>
      </c>
      <c r="AK32" s="312">
        <v>0</v>
      </c>
      <c r="AL32" s="312">
        <v>17.68</v>
      </c>
      <c r="AM32" s="312">
        <v>267.09399999999999</v>
      </c>
      <c r="AN32" s="312">
        <v>773.13800000000003</v>
      </c>
      <c r="AO32" s="312">
        <v>97.783000000000001</v>
      </c>
      <c r="AP32" s="312">
        <v>0</v>
      </c>
      <c r="AQ32" s="312">
        <v>79.221999999999994</v>
      </c>
      <c r="AR32" s="312">
        <v>2329.3220000000001</v>
      </c>
      <c r="AS32" s="312">
        <v>1574.308</v>
      </c>
      <c r="AT32" s="312">
        <f>SUMIF(X$9:AS$9,"&gt;0",X32:AS32)</f>
        <v>10100.412</v>
      </c>
      <c r="AU32" s="312">
        <f>SUMIF(D$9:AS$9,"&gt;0",D32:AS32)</f>
        <v>30271.020000000008</v>
      </c>
      <c r="AV32" s="311">
        <v>23</v>
      </c>
    </row>
    <row r="33" spans="1:48" ht="15" customHeight="1" x14ac:dyDescent="0.25">
      <c r="A33" s="2"/>
      <c r="B33" s="314">
        <v>24</v>
      </c>
      <c r="C33" s="313" t="s">
        <v>16</v>
      </c>
      <c r="D33" s="312">
        <v>0</v>
      </c>
      <c r="E33" s="312">
        <v>2302.0810000000001</v>
      </c>
      <c r="F33" s="312">
        <v>680.2</v>
      </c>
      <c r="G33" s="312">
        <v>194.88300000000001</v>
      </c>
      <c r="H33" s="312">
        <v>0</v>
      </c>
      <c r="I33" s="312">
        <v>1243.954</v>
      </c>
      <c r="J33" s="312">
        <v>405.15100000000001</v>
      </c>
      <c r="K33" s="312">
        <v>847.57899999999995</v>
      </c>
      <c r="L33" s="312">
        <v>65</v>
      </c>
      <c r="M33" s="312">
        <f>SUMIF(D$9:L$9,"&gt;0",D33:L33)</f>
        <v>5738.847999999999</v>
      </c>
      <c r="N33" s="312">
        <v>5116.2870000000003</v>
      </c>
      <c r="O33" s="312">
        <v>1250.9490000000001</v>
      </c>
      <c r="P33" s="312">
        <v>915.774</v>
      </c>
      <c r="Q33" s="312">
        <v>0</v>
      </c>
      <c r="R33" s="312">
        <v>6990.4539999999997</v>
      </c>
      <c r="S33" s="312">
        <v>0</v>
      </c>
      <c r="T33" s="312">
        <v>69.739999999999995</v>
      </c>
      <c r="U33" s="312">
        <v>139.78100000000001</v>
      </c>
      <c r="V33" s="312">
        <v>0</v>
      </c>
      <c r="W33" s="312">
        <f>SUMIF(N$9:V$9,"&gt;0",N33:V33)</f>
        <v>14482.985000000001</v>
      </c>
      <c r="X33" s="312">
        <v>332.79</v>
      </c>
      <c r="Y33" s="312">
        <v>1063.422</v>
      </c>
      <c r="Z33" s="312">
        <v>0</v>
      </c>
      <c r="AA33" s="312">
        <v>5</v>
      </c>
      <c r="AB33" s="312">
        <v>2051.4929999999999</v>
      </c>
      <c r="AC33" s="312">
        <v>0</v>
      </c>
      <c r="AD33" s="312">
        <v>0</v>
      </c>
      <c r="AE33" s="312">
        <v>0</v>
      </c>
      <c r="AF33" s="312">
        <v>15</v>
      </c>
      <c r="AG33" s="312">
        <v>249.16499999999999</v>
      </c>
      <c r="AH33" s="312">
        <v>0</v>
      </c>
      <c r="AI33" s="312">
        <v>1239.095</v>
      </c>
      <c r="AJ33" s="312">
        <v>0</v>
      </c>
      <c r="AK33" s="312">
        <v>0</v>
      </c>
      <c r="AL33" s="312">
        <v>17.66</v>
      </c>
      <c r="AM33" s="312">
        <v>266.79399999999998</v>
      </c>
      <c r="AN33" s="312">
        <v>772.53800000000001</v>
      </c>
      <c r="AO33" s="312">
        <v>102.74299999999999</v>
      </c>
      <c r="AP33" s="312">
        <v>0</v>
      </c>
      <c r="AQ33" s="312">
        <v>79.122</v>
      </c>
      <c r="AR33" s="312">
        <v>2326.422</v>
      </c>
      <c r="AS33" s="312">
        <v>1579.818</v>
      </c>
      <c r="AT33" s="312">
        <f>SUMIF(X$9:AS$9,"&gt;0",X33:AS33)</f>
        <v>10101.062</v>
      </c>
      <c r="AU33" s="312">
        <f>SUMIF(D$9:AS$9,"&gt;0",D33:AS33)</f>
        <v>30322.894999999997</v>
      </c>
      <c r="AV33" s="311">
        <v>24</v>
      </c>
    </row>
    <row r="34" spans="1:48" ht="15" customHeight="1" x14ac:dyDescent="0.25">
      <c r="A34" s="2"/>
      <c r="B34" s="314">
        <v>25</v>
      </c>
      <c r="C34" s="313" t="s">
        <v>16</v>
      </c>
      <c r="D34" s="312">
        <v>0</v>
      </c>
      <c r="E34" s="312">
        <v>2346.3359999999998</v>
      </c>
      <c r="F34" s="312">
        <v>680</v>
      </c>
      <c r="G34" s="312">
        <v>194.87299999999999</v>
      </c>
      <c r="H34" s="312">
        <v>0</v>
      </c>
      <c r="I34" s="312">
        <v>284.41199999999998</v>
      </c>
      <c r="J34" s="312">
        <v>408.959</v>
      </c>
      <c r="K34" s="312">
        <v>854.63499999999999</v>
      </c>
      <c r="L34" s="312">
        <v>65</v>
      </c>
      <c r="M34" s="312">
        <f>SUMIF(D$9:L$9,"&gt;0",D34:L34)</f>
        <v>4834.2149999999992</v>
      </c>
      <c r="N34" s="312">
        <v>5106.9170000000004</v>
      </c>
      <c r="O34" s="312">
        <v>1243.549</v>
      </c>
      <c r="P34" s="312">
        <v>913.97400000000005</v>
      </c>
      <c r="Q34" s="312">
        <v>0</v>
      </c>
      <c r="R34" s="312">
        <v>6990.5540000000001</v>
      </c>
      <c r="S34" s="312">
        <v>0</v>
      </c>
      <c r="T34" s="312">
        <v>69.73</v>
      </c>
      <c r="U34" s="312">
        <v>139.73099999999999</v>
      </c>
      <c r="V34" s="312">
        <v>0</v>
      </c>
      <c r="W34" s="312">
        <f>SUMIF(N$9:V$9,"&gt;0",N34:V34)</f>
        <v>14464.455</v>
      </c>
      <c r="X34" s="312">
        <v>332.59</v>
      </c>
      <c r="Y34" s="312">
        <v>1063.0419999999999</v>
      </c>
      <c r="Z34" s="312">
        <v>0</v>
      </c>
      <c r="AA34" s="312">
        <v>5</v>
      </c>
      <c r="AB34" s="312">
        <v>2055.0929999999998</v>
      </c>
      <c r="AC34" s="312">
        <v>0</v>
      </c>
      <c r="AD34" s="312">
        <v>0</v>
      </c>
      <c r="AE34" s="312">
        <v>0</v>
      </c>
      <c r="AF34" s="312">
        <v>15</v>
      </c>
      <c r="AG34" s="312">
        <v>249.14500000000001</v>
      </c>
      <c r="AH34" s="312">
        <v>0</v>
      </c>
      <c r="AI34" s="312">
        <v>1305.895</v>
      </c>
      <c r="AJ34" s="312">
        <v>0</v>
      </c>
      <c r="AK34" s="312">
        <v>0</v>
      </c>
      <c r="AL34" s="312">
        <v>19.54</v>
      </c>
      <c r="AM34" s="312">
        <v>266.49400000000003</v>
      </c>
      <c r="AN34" s="312">
        <v>774.63800000000003</v>
      </c>
      <c r="AO34" s="312">
        <v>102.703</v>
      </c>
      <c r="AP34" s="312">
        <v>0</v>
      </c>
      <c r="AQ34" s="312">
        <v>82.022000000000006</v>
      </c>
      <c r="AR34" s="312">
        <v>2323.5219999999999</v>
      </c>
      <c r="AS34" s="312">
        <v>1578.318</v>
      </c>
      <c r="AT34" s="312">
        <f>SUMIF(X$9:AS$9,"&gt;0",X34:AS34)</f>
        <v>10173.001999999999</v>
      </c>
      <c r="AU34" s="312">
        <f>SUMIF(D$9:AS$9,"&gt;0",D34:AS34)</f>
        <v>29471.672000000006</v>
      </c>
      <c r="AV34" s="311">
        <v>25</v>
      </c>
    </row>
    <row r="35" spans="1:48" ht="15" customHeight="1" x14ac:dyDescent="0.25">
      <c r="A35" s="2"/>
      <c r="B35" s="314">
        <v>26</v>
      </c>
      <c r="C35" s="313" t="s">
        <v>16</v>
      </c>
      <c r="D35" s="312">
        <v>0</v>
      </c>
      <c r="E35" s="312">
        <v>2361.4549999999999</v>
      </c>
      <c r="F35" s="312">
        <v>679.8</v>
      </c>
      <c r="G35" s="312">
        <v>194.863</v>
      </c>
      <c r="H35" s="312">
        <v>0</v>
      </c>
      <c r="I35" s="312">
        <v>1281.954</v>
      </c>
      <c r="J35" s="312">
        <v>408.80900000000003</v>
      </c>
      <c r="K35" s="312">
        <v>854.53499999999997</v>
      </c>
      <c r="L35" s="312">
        <v>53.145000000000003</v>
      </c>
      <c r="M35" s="312">
        <f>SUMIF(D$9:L$9,"&gt;0",D35:L35)</f>
        <v>5834.5610000000006</v>
      </c>
      <c r="N35" s="312">
        <v>5100.8590000000004</v>
      </c>
      <c r="O35" s="312">
        <v>1286.1489999999999</v>
      </c>
      <c r="P35" s="312">
        <v>927.67399999999998</v>
      </c>
      <c r="Q35" s="312">
        <v>0</v>
      </c>
      <c r="R35" s="312">
        <v>6990.5540000000001</v>
      </c>
      <c r="S35" s="312">
        <v>0</v>
      </c>
      <c r="T35" s="312">
        <v>69.72</v>
      </c>
      <c r="U35" s="312">
        <v>139.68100000000001</v>
      </c>
      <c r="V35" s="312">
        <v>0</v>
      </c>
      <c r="W35" s="312">
        <f>SUMIF(N$9:V$9,"&gt;0",N35:V35)</f>
        <v>14514.637000000001</v>
      </c>
      <c r="X35" s="312">
        <v>332.39</v>
      </c>
      <c r="Y35" s="312">
        <v>1062.662</v>
      </c>
      <c r="Z35" s="312">
        <v>0</v>
      </c>
      <c r="AA35" s="312">
        <v>5</v>
      </c>
      <c r="AB35" s="312">
        <v>2041.027</v>
      </c>
      <c r="AC35" s="312">
        <v>0</v>
      </c>
      <c r="AD35" s="312">
        <v>0</v>
      </c>
      <c r="AE35" s="312">
        <v>0</v>
      </c>
      <c r="AF35" s="312">
        <v>15</v>
      </c>
      <c r="AG35" s="312">
        <v>249.125</v>
      </c>
      <c r="AH35" s="312">
        <v>0</v>
      </c>
      <c r="AI35" s="312">
        <v>1302.6949999999999</v>
      </c>
      <c r="AJ35" s="312">
        <v>0</v>
      </c>
      <c r="AK35" s="312">
        <v>0</v>
      </c>
      <c r="AL35" s="312">
        <v>19.52</v>
      </c>
      <c r="AM35" s="312">
        <v>266.19400000000002</v>
      </c>
      <c r="AN35" s="312">
        <v>774.03800000000001</v>
      </c>
      <c r="AO35" s="312">
        <v>102.663</v>
      </c>
      <c r="AP35" s="312">
        <v>0</v>
      </c>
      <c r="AQ35" s="312">
        <v>81.921999999999997</v>
      </c>
      <c r="AR35" s="312">
        <v>2320.6219999999998</v>
      </c>
      <c r="AS35" s="312">
        <v>1576.635</v>
      </c>
      <c r="AT35" s="312">
        <f>SUMIF(X$9:AS$9,"&gt;0",X35:AS35)</f>
        <v>10149.493</v>
      </c>
      <c r="AU35" s="312">
        <f>SUMIF(D$9:AS$9,"&gt;0",D35:AS35)</f>
        <v>30498.690999999999</v>
      </c>
      <c r="AV35" s="311">
        <v>26</v>
      </c>
    </row>
    <row r="36" spans="1:48" ht="15" customHeight="1" x14ac:dyDescent="0.25">
      <c r="A36" s="2"/>
      <c r="B36" s="314">
        <v>27</v>
      </c>
      <c r="C36" s="313" t="s">
        <v>16</v>
      </c>
      <c r="D36" s="312">
        <v>0</v>
      </c>
      <c r="E36" s="312">
        <v>2354.355</v>
      </c>
      <c r="F36" s="312">
        <v>679.6</v>
      </c>
      <c r="G36" s="312">
        <v>194.85300000000001</v>
      </c>
      <c r="H36" s="312">
        <v>0</v>
      </c>
      <c r="I36" s="312">
        <v>1280.954</v>
      </c>
      <c r="J36" s="312">
        <v>408.65899999999999</v>
      </c>
      <c r="K36" s="312">
        <v>854.43499999999995</v>
      </c>
      <c r="L36" s="312">
        <v>65</v>
      </c>
      <c r="M36" s="312">
        <f>SUMIF(D$9:L$9,"&gt;0",D36:L36)</f>
        <v>5837.8559999999998</v>
      </c>
      <c r="N36" s="312">
        <v>5070.5330000000004</v>
      </c>
      <c r="O36" s="312">
        <v>1368.749</v>
      </c>
      <c r="P36" s="312">
        <v>925.87400000000002</v>
      </c>
      <c r="Q36" s="312">
        <v>0</v>
      </c>
      <c r="R36" s="312">
        <v>6894.6540000000005</v>
      </c>
      <c r="S36" s="312">
        <v>0</v>
      </c>
      <c r="T36" s="312">
        <v>69.709999999999994</v>
      </c>
      <c r="U36" s="312">
        <v>139.631</v>
      </c>
      <c r="V36" s="312">
        <v>0</v>
      </c>
      <c r="W36" s="312">
        <f>SUMIF(N$9:V$9,"&gt;0",N36:V36)</f>
        <v>14469.151</v>
      </c>
      <c r="X36" s="312">
        <v>332.19</v>
      </c>
      <c r="Y36" s="312">
        <v>1060.146</v>
      </c>
      <c r="Z36" s="312">
        <v>0</v>
      </c>
      <c r="AA36" s="312">
        <v>5</v>
      </c>
      <c r="AB36" s="312">
        <v>2053.1930000000002</v>
      </c>
      <c r="AC36" s="312">
        <v>0</v>
      </c>
      <c r="AD36" s="312">
        <v>0</v>
      </c>
      <c r="AE36" s="312">
        <v>0</v>
      </c>
      <c r="AF36" s="312">
        <v>15</v>
      </c>
      <c r="AG36" s="312">
        <v>249.10499999999999</v>
      </c>
      <c r="AH36" s="312">
        <v>0</v>
      </c>
      <c r="AI36" s="312">
        <v>1299.4949999999999</v>
      </c>
      <c r="AJ36" s="312">
        <v>0</v>
      </c>
      <c r="AK36" s="312">
        <v>0</v>
      </c>
      <c r="AL36" s="312">
        <v>19.5</v>
      </c>
      <c r="AM36" s="312">
        <v>272.89400000000001</v>
      </c>
      <c r="AN36" s="312">
        <v>803.43799999999999</v>
      </c>
      <c r="AO36" s="312">
        <v>102.623</v>
      </c>
      <c r="AP36" s="312">
        <v>0</v>
      </c>
      <c r="AQ36" s="312">
        <v>81.822000000000003</v>
      </c>
      <c r="AR36" s="312">
        <v>2317.7220000000002</v>
      </c>
      <c r="AS36" s="312">
        <v>1575.318</v>
      </c>
      <c r="AT36" s="312">
        <f>SUMIF(X$9:AS$9,"&gt;0",X36:AS36)</f>
        <v>10187.446</v>
      </c>
      <c r="AU36" s="312">
        <f>SUMIF(D$9:AS$9,"&gt;0",D36:AS36)</f>
        <v>30494.452999999994</v>
      </c>
      <c r="AV36" s="311">
        <v>27</v>
      </c>
    </row>
    <row r="37" spans="1:48" ht="15" customHeight="1" x14ac:dyDescent="0.25">
      <c r="A37" s="2"/>
      <c r="B37" s="314">
        <v>28</v>
      </c>
      <c r="C37" s="313" t="s">
        <v>16</v>
      </c>
      <c r="D37" s="312">
        <v>0</v>
      </c>
      <c r="E37" s="312">
        <v>2347.2550000000001</v>
      </c>
      <c r="F37" s="312">
        <v>679.4</v>
      </c>
      <c r="G37" s="312">
        <v>194.84299999999999</v>
      </c>
      <c r="H37" s="312">
        <v>0</v>
      </c>
      <c r="I37" s="312">
        <v>1279.954</v>
      </c>
      <c r="J37" s="312">
        <v>408.50900000000001</v>
      </c>
      <c r="K37" s="312">
        <v>854.33500000000004</v>
      </c>
      <c r="L37" s="312">
        <v>65</v>
      </c>
      <c r="M37" s="312">
        <f>SUMIF(D$9:L$9,"&gt;0",D37:L37)</f>
        <v>5829.2960000000003</v>
      </c>
      <c r="N37" s="312">
        <v>5035.1059999999998</v>
      </c>
      <c r="O37" s="312">
        <v>1361.3489999999999</v>
      </c>
      <c r="P37" s="312">
        <v>944.07399999999996</v>
      </c>
      <c r="Q37" s="312">
        <v>0</v>
      </c>
      <c r="R37" s="312">
        <v>6990.7539999999999</v>
      </c>
      <c r="S37" s="312">
        <v>0</v>
      </c>
      <c r="T37" s="312">
        <v>69.7</v>
      </c>
      <c r="U37" s="312">
        <v>139.58099999999999</v>
      </c>
      <c r="V37" s="312">
        <v>0</v>
      </c>
      <c r="W37" s="312">
        <f>SUMIF(N$9:V$9,"&gt;0",N37:V37)</f>
        <v>14540.564</v>
      </c>
      <c r="X37" s="312">
        <v>329.53</v>
      </c>
      <c r="Y37" s="312">
        <v>1061.902</v>
      </c>
      <c r="Z37" s="312">
        <v>0</v>
      </c>
      <c r="AA37" s="312">
        <v>5</v>
      </c>
      <c r="AB37" s="312">
        <v>2058.4929999999999</v>
      </c>
      <c r="AC37" s="312">
        <v>0</v>
      </c>
      <c r="AD37" s="312">
        <v>0</v>
      </c>
      <c r="AE37" s="312">
        <v>0</v>
      </c>
      <c r="AF37" s="312">
        <v>15</v>
      </c>
      <c r="AG37" s="312">
        <v>249.08500000000001</v>
      </c>
      <c r="AH37" s="312">
        <v>0</v>
      </c>
      <c r="AI37" s="312">
        <v>1296.2950000000001</v>
      </c>
      <c r="AJ37" s="312">
        <v>0</v>
      </c>
      <c r="AK37" s="312">
        <v>0</v>
      </c>
      <c r="AL37" s="312">
        <v>19.48</v>
      </c>
      <c r="AM37" s="312">
        <v>272.59399999999999</v>
      </c>
      <c r="AN37" s="312">
        <v>802.83799999999997</v>
      </c>
      <c r="AO37" s="312">
        <v>102.583</v>
      </c>
      <c r="AP37" s="312">
        <v>0</v>
      </c>
      <c r="AQ37" s="312">
        <v>81.721999999999994</v>
      </c>
      <c r="AR37" s="312">
        <v>2334.8220000000001</v>
      </c>
      <c r="AS37" s="312">
        <v>1573.818</v>
      </c>
      <c r="AT37" s="312">
        <f>SUMIF(X$9:AS$9,"&gt;0",X37:AS37)</f>
        <v>10203.161999999998</v>
      </c>
      <c r="AU37" s="312">
        <f>SUMIF(D$9:AS$9,"&gt;0",D37:AS37)</f>
        <v>30573.022000000001</v>
      </c>
      <c r="AV37" s="311">
        <v>28</v>
      </c>
    </row>
    <row r="38" spans="1:48" ht="15" customHeight="1" thickBot="1" x14ac:dyDescent="0.3">
      <c r="A38" s="2"/>
      <c r="B38" s="314">
        <v>29</v>
      </c>
      <c r="C38" s="313" t="s">
        <v>16</v>
      </c>
      <c r="D38" s="312">
        <v>0</v>
      </c>
      <c r="E38" s="312">
        <v>2338.0549999999998</v>
      </c>
      <c r="F38" s="312">
        <v>679.2</v>
      </c>
      <c r="G38" s="312">
        <v>224.73099999999999</v>
      </c>
      <c r="H38" s="312">
        <v>0</v>
      </c>
      <c r="I38" s="312">
        <v>1319.954</v>
      </c>
      <c r="J38" s="312">
        <v>408.35899999999998</v>
      </c>
      <c r="K38" s="312">
        <v>860.33500000000004</v>
      </c>
      <c r="L38" s="312">
        <v>65</v>
      </c>
      <c r="M38" s="312">
        <f>SUMIF(D$9:L$9,"&gt;0",D38:L38)</f>
        <v>5895.634</v>
      </c>
      <c r="N38" s="312">
        <v>5194.9989999999998</v>
      </c>
      <c r="O38" s="312">
        <v>1404.769</v>
      </c>
      <c r="P38" s="312">
        <v>942.274</v>
      </c>
      <c r="Q38" s="312">
        <v>0</v>
      </c>
      <c r="R38" s="312">
        <v>6981.7539999999999</v>
      </c>
      <c r="S38" s="312">
        <v>0</v>
      </c>
      <c r="T38" s="312">
        <v>69.69</v>
      </c>
      <c r="U38" s="312">
        <v>148.53100000000001</v>
      </c>
      <c r="V38" s="312">
        <v>0</v>
      </c>
      <c r="W38" s="312">
        <f>SUMIF(N$9:V$9,"&gt;0",N38:V38)</f>
        <v>14742.017000000002</v>
      </c>
      <c r="X38" s="312">
        <v>331.79</v>
      </c>
      <c r="Y38" s="312">
        <v>1063.3219999999999</v>
      </c>
      <c r="Z38" s="312">
        <v>0</v>
      </c>
      <c r="AA38" s="312">
        <v>5</v>
      </c>
      <c r="AB38" s="312">
        <v>2059.393</v>
      </c>
      <c r="AC38" s="312">
        <v>0</v>
      </c>
      <c r="AD38" s="312">
        <v>0</v>
      </c>
      <c r="AE38" s="312">
        <v>0</v>
      </c>
      <c r="AF38" s="312">
        <v>15</v>
      </c>
      <c r="AG38" s="312">
        <v>248.26499999999999</v>
      </c>
      <c r="AH38" s="312">
        <v>0</v>
      </c>
      <c r="AI38" s="312">
        <v>1294.095</v>
      </c>
      <c r="AJ38" s="312">
        <v>0</v>
      </c>
      <c r="AK38" s="312">
        <v>0</v>
      </c>
      <c r="AL38" s="312">
        <v>19.46</v>
      </c>
      <c r="AM38" s="312">
        <v>272.29399999999998</v>
      </c>
      <c r="AN38" s="312">
        <v>817.33799999999997</v>
      </c>
      <c r="AO38" s="312">
        <v>132.84299999999999</v>
      </c>
      <c r="AP38" s="312">
        <v>0</v>
      </c>
      <c r="AQ38" s="312">
        <v>78.355999999999995</v>
      </c>
      <c r="AR38" s="312">
        <v>2379.1579999999999</v>
      </c>
      <c r="AS38" s="312">
        <v>1576.4179999999999</v>
      </c>
      <c r="AT38" s="312">
        <f>SUMIF(X$9:AS$9,"&gt;0",X38:AS38)</f>
        <v>10292.731999999998</v>
      </c>
      <c r="AU38" s="312">
        <f>SUMIF(D$9:AS$9,"&gt;0",D38:AS38)</f>
        <v>30930.383000000002</v>
      </c>
      <c r="AV38" s="311">
        <v>29</v>
      </c>
    </row>
    <row r="39" spans="1:48" ht="15" customHeight="1" x14ac:dyDescent="0.25">
      <c r="A39" s="2"/>
      <c r="B39" s="310" t="s">
        <v>330</v>
      </c>
      <c r="C39" s="309" t="s">
        <v>327</v>
      </c>
      <c r="D39" s="308">
        <f>SUM(D$10:D38)/1000</f>
        <v>0</v>
      </c>
      <c r="E39" s="308">
        <f>SUM(E$10:E38)/1000</f>
        <v>65.921060000000011</v>
      </c>
      <c r="F39" s="308">
        <f>SUM(F$10:F38)/1000</f>
        <v>19.777999999999999</v>
      </c>
      <c r="G39" s="308">
        <f>SUM(G$10:G38)/1000</f>
        <v>5.660099999999999</v>
      </c>
      <c r="H39" s="308">
        <f>SUM(H$10:H38)/1000</f>
        <v>0</v>
      </c>
      <c r="I39" s="308">
        <f>SUM(I$10:I38)/1000</f>
        <v>34.670907000000007</v>
      </c>
      <c r="J39" s="308">
        <f>SUM(J$10:J38)/1000</f>
        <v>11.821997000000001</v>
      </c>
      <c r="K39" s="308">
        <f>SUM(K$10:K38)/1000</f>
        <v>24.475389000000003</v>
      </c>
      <c r="L39" s="308">
        <f>SUM(L$10:L38)/1000</f>
        <v>1.8731450000000001</v>
      </c>
      <c r="M39" s="308">
        <f>SUM(M$10:M38)/1000</f>
        <v>164.20059799999996</v>
      </c>
      <c r="N39" s="308">
        <f>SUM(N$10:N38)/1000</f>
        <v>148.439065</v>
      </c>
      <c r="O39" s="308">
        <f>SUM(O$10:O38)/1000</f>
        <v>36.167165000000004</v>
      </c>
      <c r="P39" s="308">
        <f>SUM(P$10:P38)/1000</f>
        <v>27.102990999999999</v>
      </c>
      <c r="Q39" s="308">
        <f>SUM(Q$10:Q38)/1000</f>
        <v>0</v>
      </c>
      <c r="R39" s="308">
        <f>SUM(R$10:R38)/1000</f>
        <v>202.41503099999997</v>
      </c>
      <c r="S39" s="308">
        <f>SUM(S$10:S38)/1000</f>
        <v>0</v>
      </c>
      <c r="T39" s="308">
        <f>SUM(T$10:T38)/1000</f>
        <v>2.0250699999999999</v>
      </c>
      <c r="U39" s="308">
        <f>SUM(U$10:U38)/1000</f>
        <v>4.2637989999999988</v>
      </c>
      <c r="V39" s="308">
        <f>SUM(V$10:V38)/1000</f>
        <v>0</v>
      </c>
      <c r="W39" s="308">
        <f>SUM(W$10:W38)/1000</f>
        <v>420.41312099999993</v>
      </c>
      <c r="X39" s="308">
        <f>SUM(X$10:X38)/1000</f>
        <v>9.734748999999999</v>
      </c>
      <c r="Y39" s="308">
        <f>SUM(Y$10:Y38)/1000</f>
        <v>30.646251000000003</v>
      </c>
      <c r="Z39" s="308">
        <f>SUM(Z$10:Z38)/1000</f>
        <v>0</v>
      </c>
      <c r="AA39" s="308">
        <f>SUM(AA$10:AA38)/1000</f>
        <v>0.14499999999999999</v>
      </c>
      <c r="AB39" s="308">
        <f>SUM(AB$10:AB38)/1000</f>
        <v>59.497754</v>
      </c>
      <c r="AC39" s="308">
        <f>SUM(AC$10:AC38)/1000</f>
        <v>0</v>
      </c>
      <c r="AD39" s="308">
        <f>SUM(AD$10:AD38)/1000</f>
        <v>0</v>
      </c>
      <c r="AE39" s="308">
        <f>SUM(AE$10:AE38)/1000</f>
        <v>0</v>
      </c>
      <c r="AF39" s="308">
        <f>SUM(AF$10:AF38)/1000</f>
        <v>0.435</v>
      </c>
      <c r="AG39" s="308">
        <f>SUM(AG$10:AG38)/1000</f>
        <v>7.2029299999999994</v>
      </c>
      <c r="AH39" s="308">
        <f>SUM(AH$10:AH38)/1000</f>
        <v>0</v>
      </c>
      <c r="AI39" s="308">
        <f>SUM(AI$10:AI38)/1000</f>
        <v>37.126664000000012</v>
      </c>
      <c r="AJ39" s="308">
        <f>SUM(AJ$10:AJ38)/1000</f>
        <v>0</v>
      </c>
      <c r="AK39" s="308">
        <f>SUM(AK$10:AK38)/1000</f>
        <v>0</v>
      </c>
      <c r="AL39" s="308">
        <f>SUM(AL$10:AL38)/1000</f>
        <v>0.56296000000000002</v>
      </c>
      <c r="AM39" s="308">
        <f>SUM(AM$10:AM38)/1000</f>
        <v>7.8173790000000007</v>
      </c>
      <c r="AN39" s="308">
        <f>SUM(AN$10:AN38)/1000</f>
        <v>22.387138999999994</v>
      </c>
      <c r="AO39" s="308">
        <f>SUM(AO$10:AO38)/1000</f>
        <v>2.7947919999999997</v>
      </c>
      <c r="AP39" s="308">
        <f>SUM(AP$10:AP38)/1000</f>
        <v>0</v>
      </c>
      <c r="AQ39" s="308">
        <f>SUM(AQ$10:AQ38)/1000</f>
        <v>2.2537630000000006</v>
      </c>
      <c r="AR39" s="308">
        <f>SUM(AR$10:AR38)/1000</f>
        <v>67.491464999999991</v>
      </c>
      <c r="AS39" s="308">
        <f>SUM(AS$10:AS38)/1000</f>
        <v>45.471069999999983</v>
      </c>
      <c r="AT39" s="308">
        <f>SUM(AT$10:AT38)/1000</f>
        <v>293.56691600000011</v>
      </c>
      <c r="AU39" s="308">
        <f>SUM(AU$10:AU38)/1000</f>
        <v>878.18063500000005</v>
      </c>
      <c r="AV39" s="2"/>
    </row>
    <row r="40" spans="1:48" ht="15" customHeight="1" x14ac:dyDescent="0.25">
      <c r="A40" s="2"/>
      <c r="B40" s="3"/>
      <c r="C40" s="3"/>
      <c r="D40" s="132"/>
      <c r="E40" s="132"/>
      <c r="F40" s="132"/>
      <c r="G40" s="132"/>
      <c r="H40" s="132"/>
      <c r="I40" s="132"/>
      <c r="J40" s="132"/>
      <c r="K40" s="132"/>
      <c r="L40" s="132"/>
      <c r="M40" s="299"/>
      <c r="N40" s="132"/>
      <c r="O40" s="132"/>
      <c r="P40" s="132"/>
      <c r="Q40" s="132"/>
      <c r="R40" s="132"/>
      <c r="S40" s="132"/>
      <c r="T40" s="132"/>
      <c r="U40" s="132"/>
      <c r="V40" s="132"/>
      <c r="W40" s="299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299"/>
      <c r="AU40" s="299"/>
      <c r="AV40" s="2"/>
    </row>
    <row r="41" spans="1:48" ht="15" customHeight="1" x14ac:dyDescent="0.25">
      <c r="A41" s="2"/>
      <c r="B41" s="307" t="s">
        <v>329</v>
      </c>
      <c r="C41" s="306" t="s">
        <v>327</v>
      </c>
      <c r="D41" s="304">
        <v>0</v>
      </c>
      <c r="E41" s="304">
        <v>67.741</v>
      </c>
      <c r="F41" s="304">
        <v>19.234999999999999</v>
      </c>
      <c r="G41" s="304">
        <v>6.0529999999999999</v>
      </c>
      <c r="H41" s="305"/>
      <c r="I41" s="304">
        <v>32.863</v>
      </c>
      <c r="J41" s="304">
        <v>0.249</v>
      </c>
      <c r="K41" s="304">
        <v>24.552</v>
      </c>
      <c r="L41" s="304">
        <v>1.302</v>
      </c>
      <c r="M41" s="304">
        <f>SUMIF(D$9:L$9,"&gt;-1",D41:L41)</f>
        <v>151.99499999999998</v>
      </c>
      <c r="N41" s="304">
        <v>68.572000000000003</v>
      </c>
      <c r="O41" s="304">
        <v>25.617000000000001</v>
      </c>
      <c r="P41" s="304">
        <v>32.604999999999997</v>
      </c>
      <c r="Q41" s="304">
        <v>0</v>
      </c>
      <c r="R41" s="304">
        <v>168.631</v>
      </c>
      <c r="S41" s="304">
        <v>0</v>
      </c>
      <c r="T41" s="304">
        <v>1.6579999999999999</v>
      </c>
      <c r="U41" s="304">
        <v>5.101</v>
      </c>
      <c r="V41" s="304">
        <v>0</v>
      </c>
      <c r="W41" s="304">
        <f>SUMIF(N$9:V$9,"&gt;-1",N41:V41)</f>
        <v>302.18400000000003</v>
      </c>
      <c r="X41" s="304">
        <v>8.2579999999999991</v>
      </c>
      <c r="Y41" s="304">
        <v>26.486000000000001</v>
      </c>
      <c r="Z41" s="304">
        <v>0</v>
      </c>
      <c r="AA41" s="304">
        <v>13.523999999999999</v>
      </c>
      <c r="AB41" s="304">
        <v>53.600999999999999</v>
      </c>
      <c r="AC41" s="305"/>
      <c r="AD41" s="305"/>
      <c r="AE41" s="305"/>
      <c r="AF41" s="304">
        <v>9.5000000000000001E-2</v>
      </c>
      <c r="AG41" s="304">
        <v>8.5030000000000001</v>
      </c>
      <c r="AH41" s="304">
        <v>0</v>
      </c>
      <c r="AI41" s="304">
        <v>44.067999999999998</v>
      </c>
      <c r="AJ41" s="305"/>
      <c r="AK41" s="305"/>
      <c r="AL41" s="304">
        <v>0.33600000000000002</v>
      </c>
      <c r="AM41" s="304">
        <v>7.0780000000000003</v>
      </c>
      <c r="AN41" s="304">
        <v>25.347999999999999</v>
      </c>
      <c r="AO41" s="304">
        <v>1.982</v>
      </c>
      <c r="AP41" s="305"/>
      <c r="AQ41" s="304">
        <v>3.2290000000000001</v>
      </c>
      <c r="AR41" s="304">
        <v>77.320999999999998</v>
      </c>
      <c r="AS41" s="304">
        <v>44.316000000000003</v>
      </c>
      <c r="AT41" s="304">
        <f>SUMIF(X$9:AS$9,"&gt;-1",X41:AS41)</f>
        <v>314.1450000000001</v>
      </c>
      <c r="AU41" s="304">
        <f>SUMIF(D$9:AS$9,"&gt;-1",D41:AS41)</f>
        <v>768.32400000000007</v>
      </c>
      <c r="AV41" s="2"/>
    </row>
    <row r="42" spans="1:48" ht="15" customHeight="1" x14ac:dyDescent="0.25">
      <c r="A42" s="2"/>
      <c r="B42" s="300"/>
      <c r="C42" s="300"/>
      <c r="D42" s="3"/>
      <c r="E42" s="3"/>
      <c r="F42" s="3"/>
      <c r="G42" s="3"/>
      <c r="H42" s="3"/>
      <c r="I42" s="3"/>
      <c r="J42" s="3"/>
      <c r="K42" s="3"/>
      <c r="L42" s="3"/>
      <c r="M42" s="299"/>
      <c r="N42" s="3"/>
      <c r="O42" s="3"/>
      <c r="P42" s="3"/>
      <c r="Q42" s="3"/>
      <c r="R42" s="3"/>
      <c r="S42" s="3"/>
      <c r="T42" s="3"/>
      <c r="U42" s="3"/>
      <c r="V42" s="3"/>
      <c r="W42" s="299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299"/>
      <c r="AU42" s="299"/>
      <c r="AV42" s="2"/>
    </row>
    <row r="43" spans="1:48" ht="15" customHeight="1" x14ac:dyDescent="0.25">
      <c r="A43" s="2"/>
      <c r="B43" s="303" t="s">
        <v>328</v>
      </c>
      <c r="C43" s="302" t="s">
        <v>327</v>
      </c>
      <c r="D43" s="301">
        <f>IF(D41="",0,D39-D41)</f>
        <v>0</v>
      </c>
      <c r="E43" s="301">
        <f>IF(E41="",0,E39-E41)</f>
        <v>-1.8199399999999883</v>
      </c>
      <c r="F43" s="301">
        <f>IF(F41="",0,F39-F41)</f>
        <v>0.54299999999999926</v>
      </c>
      <c r="G43" s="301">
        <f>IF(G41="",0,G39-G41)</f>
        <v>-0.39290000000000092</v>
      </c>
      <c r="H43" s="301">
        <f>IF(H41="",0,H39-H41)</f>
        <v>0</v>
      </c>
      <c r="I43" s="301">
        <f>IF(I41="",0,I39-I41)</f>
        <v>1.8079070000000073</v>
      </c>
      <c r="J43" s="301">
        <f>IF(J41="",0,J39-J41)</f>
        <v>11.572997000000001</v>
      </c>
      <c r="K43" s="301">
        <f>IF(K41="",0,K39-K41)</f>
        <v>-7.661099999999621E-2</v>
      </c>
      <c r="L43" s="301">
        <f>IF(L41="",0,L39-L41)</f>
        <v>0.57114500000000001</v>
      </c>
      <c r="M43" s="301">
        <f>IF(M41="",0,M39-M41)</f>
        <v>12.205597999999981</v>
      </c>
      <c r="N43" s="301">
        <f>IF(N41="",0,N39-N41)</f>
        <v>79.867064999999997</v>
      </c>
      <c r="O43" s="301">
        <f>IF(O41="",0,O39-O41)</f>
        <v>10.550165000000003</v>
      </c>
      <c r="P43" s="301">
        <f>IF(P41="",0,P39-P41)</f>
        <v>-5.5020089999999975</v>
      </c>
      <c r="Q43" s="301">
        <f>IF(Q41="",0,Q39-Q41)</f>
        <v>0</v>
      </c>
      <c r="R43" s="301">
        <f>IF(R41="",0,R39-R41)</f>
        <v>33.78403099999997</v>
      </c>
      <c r="S43" s="301">
        <f>IF(S41="",0,S39-S41)</f>
        <v>0</v>
      </c>
      <c r="T43" s="301">
        <f>IF(T41="",0,T39-T41)</f>
        <v>0.36707000000000001</v>
      </c>
      <c r="U43" s="301">
        <f>IF(U41="",0,U39-U41)</f>
        <v>-0.83720100000000119</v>
      </c>
      <c r="V43" s="301">
        <f>IF(V41="",0,V39-V41)</f>
        <v>0</v>
      </c>
      <c r="W43" s="301">
        <f>IF(W41="",0,W39-W41)</f>
        <v>118.22912099999991</v>
      </c>
      <c r="X43" s="301">
        <f>IF(X41="",0,X39-X41)</f>
        <v>1.4767489999999999</v>
      </c>
      <c r="Y43" s="301">
        <f>IF(Y41="",0,Y39-Y41)</f>
        <v>4.1602510000000024</v>
      </c>
      <c r="Z43" s="301">
        <f>IF(Z41="",0,Z39-Z41)</f>
        <v>0</v>
      </c>
      <c r="AA43" s="301">
        <f>IF(AA41="",0,AA39-AA41)</f>
        <v>-13.379</v>
      </c>
      <c r="AB43" s="301">
        <f>IF(AB41="",0,AB39-AB41)</f>
        <v>5.8967540000000014</v>
      </c>
      <c r="AC43" s="301">
        <f>IF(AC41="",0,AC39-AC41)</f>
        <v>0</v>
      </c>
      <c r="AD43" s="301">
        <f>IF(AD41="",0,AD39-AD41)</f>
        <v>0</v>
      </c>
      <c r="AE43" s="301">
        <f>IF(AE41="",0,AE39-AE41)</f>
        <v>0</v>
      </c>
      <c r="AF43" s="301">
        <f>IF(AF41="",0,AF39-AF41)</f>
        <v>0.33999999999999997</v>
      </c>
      <c r="AG43" s="301">
        <f>IF(AG41="",0,AG39-AG41)</f>
        <v>-1.3000700000000007</v>
      </c>
      <c r="AH43" s="301">
        <f>IF(AH41="",0,AH39-AH41)</f>
        <v>0</v>
      </c>
      <c r="AI43" s="301">
        <f>IF(AI41="",0,AI39-AI41)</f>
        <v>-6.9413359999999855</v>
      </c>
      <c r="AJ43" s="301">
        <f>IF(AJ41="",0,AJ39-AJ41)</f>
        <v>0</v>
      </c>
      <c r="AK43" s="301">
        <f>IF(AK41="",0,AK39-AK41)</f>
        <v>0</v>
      </c>
      <c r="AL43" s="301">
        <f>IF(AL41="",0,AL39-AL41)</f>
        <v>0.22696</v>
      </c>
      <c r="AM43" s="301">
        <f>IF(AM41="",0,AM39-AM41)</f>
        <v>0.73937900000000045</v>
      </c>
      <c r="AN43" s="301">
        <f>IF(AN41="",0,AN39-AN41)</f>
        <v>-2.9608610000000049</v>
      </c>
      <c r="AO43" s="301">
        <f>IF(AO41="",0,AO39-AO41)</f>
        <v>0.81279199999999974</v>
      </c>
      <c r="AP43" s="301">
        <f>IF(AP41="",0,AP39-AP41)</f>
        <v>0</v>
      </c>
      <c r="AQ43" s="301">
        <f>IF(AQ41="",0,AQ39-AQ41)</f>
        <v>-0.97523699999999947</v>
      </c>
      <c r="AR43" s="301">
        <f>IF(AR41="",0,AR39-AR41)</f>
        <v>-9.829535000000007</v>
      </c>
      <c r="AS43" s="301">
        <f>IF(AS41="",0,AS39-AS41)</f>
        <v>1.1550699999999807</v>
      </c>
      <c r="AT43" s="301">
        <f>IF(AT41="",0,AT39-AT41)</f>
        <v>-20.57808399999999</v>
      </c>
      <c r="AU43" s="301">
        <f>AU39-AU41</f>
        <v>109.85663499999998</v>
      </c>
      <c r="AV43" s="2"/>
    </row>
    <row r="44" spans="1:48" ht="15" customHeight="1" x14ac:dyDescent="0.25">
      <c r="A44" s="2"/>
      <c r="B44" s="300"/>
      <c r="C44" s="300"/>
      <c r="D44" s="3"/>
      <c r="E44" s="3"/>
      <c r="F44" s="3"/>
      <c r="G44" s="3"/>
      <c r="H44" s="3"/>
      <c r="I44" s="3"/>
      <c r="J44" s="3"/>
      <c r="K44" s="3"/>
      <c r="L44" s="3"/>
      <c r="M44" s="299"/>
      <c r="N44" s="3"/>
      <c r="O44" s="3"/>
      <c r="P44" s="3"/>
      <c r="Q44" s="3"/>
      <c r="R44" s="3"/>
      <c r="S44" s="3"/>
      <c r="T44" s="3"/>
      <c r="U44" s="3"/>
      <c r="V44" s="3"/>
      <c r="W44" s="299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299"/>
      <c r="AU44" s="299"/>
      <c r="AV44" s="2"/>
    </row>
    <row r="45" spans="1:48" ht="15" customHeight="1" x14ac:dyDescent="0.25">
      <c r="A45" s="2"/>
      <c r="B45" s="298" t="s">
        <v>326</v>
      </c>
      <c r="C45" s="297" t="s">
        <v>325</v>
      </c>
      <c r="D45" s="296"/>
      <c r="E45" s="295">
        <v>205.9</v>
      </c>
      <c r="F45" s="295">
        <v>5.8</v>
      </c>
      <c r="G45" s="295">
        <v>0.28999999999999998</v>
      </c>
      <c r="H45" s="296"/>
      <c r="I45" s="295">
        <v>29</v>
      </c>
      <c r="J45" s="295">
        <v>4.3499999999999996</v>
      </c>
      <c r="K45" s="295">
        <v>2.9</v>
      </c>
      <c r="L45" s="295">
        <v>0</v>
      </c>
      <c r="M45" s="295">
        <f>SUMIF(D$9:L$9,"&gt;0",D45:L45)</f>
        <v>248.24</v>
      </c>
      <c r="N45" s="295">
        <v>336.98</v>
      </c>
      <c r="O45" s="295">
        <v>214.6</v>
      </c>
      <c r="P45" s="295">
        <v>52.2</v>
      </c>
      <c r="Q45" s="295">
        <v>0</v>
      </c>
      <c r="R45" s="295">
        <v>319</v>
      </c>
      <c r="S45" s="296"/>
      <c r="T45" s="295">
        <v>0.28999999999999998</v>
      </c>
      <c r="U45" s="295">
        <v>1.45</v>
      </c>
      <c r="V45" s="296"/>
      <c r="W45" s="295">
        <f>SUMIF(N$9:V$9,"&gt;0",N45:V45)</f>
        <v>924.5200000000001</v>
      </c>
      <c r="X45" s="295">
        <v>5.8</v>
      </c>
      <c r="Y45" s="295">
        <v>11.02</v>
      </c>
      <c r="Z45" s="296"/>
      <c r="AA45" s="296"/>
      <c r="AB45" s="295">
        <v>8.6999999999999993</v>
      </c>
      <c r="AC45" s="296"/>
      <c r="AD45" s="296"/>
      <c r="AE45" s="296"/>
      <c r="AF45" s="296"/>
      <c r="AG45" s="295">
        <v>0.57999999999999996</v>
      </c>
      <c r="AH45" s="296"/>
      <c r="AI45" s="295">
        <v>92.8</v>
      </c>
      <c r="AJ45" s="296"/>
      <c r="AK45" s="296"/>
      <c r="AL45" s="295">
        <v>0.57999999999999996</v>
      </c>
      <c r="AM45" s="295">
        <v>8.6999999999999993</v>
      </c>
      <c r="AN45" s="295">
        <v>17.399999999999999</v>
      </c>
      <c r="AO45" s="295">
        <v>1.1599999999999999</v>
      </c>
      <c r="AP45" s="296"/>
      <c r="AQ45" s="295">
        <v>2.9</v>
      </c>
      <c r="AR45" s="295">
        <v>84.1</v>
      </c>
      <c r="AS45" s="295">
        <v>43.5</v>
      </c>
      <c r="AT45" s="295">
        <f>SUMIF(X$9:AS$9,"&gt;0",X45:AS45)</f>
        <v>277.24</v>
      </c>
      <c r="AU45" s="295">
        <f>SUMIF(D$9:AS$9,"&gt;0",D45:AS45)</f>
        <v>1450</v>
      </c>
      <c r="AV45" s="2"/>
    </row>
    <row r="46" spans="1:48" ht="15" customHeight="1" x14ac:dyDescent="0.25">
      <c r="A46" s="2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" customHeight="1" x14ac:dyDescent="0.25">
      <c r="A47" s="2"/>
      <c r="B47" s="294" t="s">
        <v>324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  <c r="T47" s="7" t="s">
        <v>0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</sheetData>
  <mergeCells count="13">
    <mergeCell ref="F1:L1"/>
    <mergeCell ref="C2:K2"/>
    <mergeCell ref="C3:D3"/>
    <mergeCell ref="B5:B7"/>
    <mergeCell ref="C5:C7"/>
    <mergeCell ref="D5:L5"/>
    <mergeCell ref="AU5:AU7"/>
    <mergeCell ref="B47:T47"/>
    <mergeCell ref="M5:M7"/>
    <mergeCell ref="N5:V5"/>
    <mergeCell ref="W5:W7"/>
    <mergeCell ref="X5:AS5"/>
    <mergeCell ref="AT5:AT7"/>
  </mergeCells>
  <pageMargins left="0" right="0" top="0" bottom="0" header="0" footer="0"/>
  <pageSetup paperSize="8" scale="50" orientation="landscape" horizontalDpi="200" verticalDpi="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44"/>
  <sheetViews>
    <sheetView zoomScale="75" workbookViewId="0">
      <selection activeCell="O143" sqref="O143"/>
    </sheetView>
  </sheetViews>
  <sheetFormatPr defaultRowHeight="15" x14ac:dyDescent="0.25"/>
  <cols>
    <col min="1" max="1" width="8.5703125" style="1" customWidth="1"/>
    <col min="2" max="2" width="56.140625" style="1" customWidth="1"/>
    <col min="3" max="3" width="5.85546875" style="1" customWidth="1"/>
    <col min="4" max="4" width="9.85546875" style="1" customWidth="1"/>
    <col min="5" max="7" width="10.85546875" style="1" customWidth="1"/>
    <col min="8" max="10" width="10.42578125" style="1" customWidth="1"/>
    <col min="11" max="12" width="9.7109375" style="1" customWidth="1"/>
    <col min="13" max="17" width="11.5703125" style="1" customWidth="1"/>
    <col min="18" max="19" width="12.140625" style="1" customWidth="1"/>
    <col min="20" max="20" width="26.42578125" style="1" customWidth="1"/>
    <col min="21" max="21" width="0.42578125" style="1" customWidth="1"/>
    <col min="22" max="24" width="0.5703125" style="1" customWidth="1"/>
    <col min="25" max="16384" width="9.140625" style="1"/>
  </cols>
  <sheetData>
    <row r="1" spans="1:24" ht="23.1" customHeight="1" x14ac:dyDescent="0.25">
      <c r="A1" s="286" t="s">
        <v>317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0</v>
      </c>
      <c r="P1" s="7" t="s">
        <v>0</v>
      </c>
      <c r="Q1" s="7" t="s">
        <v>0</v>
      </c>
      <c r="R1" s="7" t="s">
        <v>0</v>
      </c>
      <c r="S1" s="7" t="s">
        <v>0</v>
      </c>
      <c r="T1" s="132" t="s">
        <v>1</v>
      </c>
      <c r="U1" s="2"/>
      <c r="V1" s="2"/>
      <c r="W1" s="2"/>
      <c r="X1" s="2"/>
    </row>
    <row r="2" spans="1:24" ht="21" customHeight="1" x14ac:dyDescent="0.25">
      <c r="A2" s="280" t="s">
        <v>2</v>
      </c>
      <c r="B2" s="7" t="s">
        <v>0</v>
      </c>
      <c r="C2" s="7" t="s">
        <v>0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7" t="s">
        <v>0</v>
      </c>
      <c r="P2" s="7" t="s">
        <v>0</v>
      </c>
      <c r="Q2" s="7" t="s">
        <v>0</v>
      </c>
      <c r="R2" s="7" t="s">
        <v>0</v>
      </c>
      <c r="S2" s="7" t="s">
        <v>0</v>
      </c>
      <c r="T2" s="3"/>
      <c r="U2" s="2"/>
      <c r="V2" s="2"/>
      <c r="W2" s="2"/>
      <c r="X2" s="2"/>
    </row>
    <row r="3" spans="1:24" ht="27.95" customHeight="1" x14ac:dyDescent="0.25">
      <c r="A3" s="280" t="s">
        <v>322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3"/>
      <c r="U3" s="3"/>
      <c r="V3" s="2"/>
      <c r="W3" s="2"/>
      <c r="X3" s="2"/>
    </row>
    <row r="4" spans="1:24" ht="15" customHeight="1" x14ac:dyDescent="0.25">
      <c r="A4" s="279" t="s">
        <v>3</v>
      </c>
      <c r="B4" s="278" t="s">
        <v>4</v>
      </c>
      <c r="C4" s="278" t="s">
        <v>5</v>
      </c>
      <c r="D4" s="105" t="s">
        <v>0</v>
      </c>
      <c r="E4" s="277" t="s">
        <v>6</v>
      </c>
      <c r="F4" s="271" t="s">
        <v>0</v>
      </c>
      <c r="G4" s="271" t="s">
        <v>0</v>
      </c>
      <c r="H4" s="271" t="s">
        <v>0</v>
      </c>
      <c r="I4" s="271" t="s">
        <v>0</v>
      </c>
      <c r="J4" s="271" t="s">
        <v>0</v>
      </c>
      <c r="K4" s="278" t="s">
        <v>7</v>
      </c>
      <c r="L4" s="105" t="s">
        <v>0</v>
      </c>
      <c r="M4" s="277" t="s">
        <v>8</v>
      </c>
      <c r="N4" s="271" t="s">
        <v>0</v>
      </c>
      <c r="O4" s="271" t="s">
        <v>0</v>
      </c>
      <c r="P4" s="271" t="s">
        <v>0</v>
      </c>
      <c r="Q4" s="271" t="s">
        <v>0</v>
      </c>
      <c r="R4" s="278" t="s">
        <v>7</v>
      </c>
      <c r="S4" s="105" t="s">
        <v>0</v>
      </c>
      <c r="T4" s="277" t="s">
        <v>9</v>
      </c>
      <c r="U4" s="3"/>
      <c r="V4" s="2"/>
      <c r="W4" s="2"/>
      <c r="X4" s="2"/>
    </row>
    <row r="5" spans="1:24" ht="15" customHeight="1" x14ac:dyDescent="0.25">
      <c r="A5" s="48" t="s">
        <v>0</v>
      </c>
      <c r="B5" s="105" t="s">
        <v>0</v>
      </c>
      <c r="C5" s="105" t="s">
        <v>0</v>
      </c>
      <c r="D5" s="105" t="s">
        <v>0</v>
      </c>
      <c r="E5" s="276" t="s">
        <v>10</v>
      </c>
      <c r="F5" s="273" t="s">
        <v>0</v>
      </c>
      <c r="G5" s="273" t="s">
        <v>0</v>
      </c>
      <c r="H5" s="275" t="s">
        <v>11</v>
      </c>
      <c r="I5" s="101" t="s">
        <v>0</v>
      </c>
      <c r="J5" s="101" t="s">
        <v>0</v>
      </c>
      <c r="K5" s="272" t="s">
        <v>12</v>
      </c>
      <c r="L5" s="272" t="s">
        <v>13</v>
      </c>
      <c r="M5" s="276" t="s">
        <v>14</v>
      </c>
      <c r="N5" s="275" t="s">
        <v>10</v>
      </c>
      <c r="O5" s="101" t="s">
        <v>0</v>
      </c>
      <c r="P5" s="275" t="s">
        <v>11</v>
      </c>
      <c r="Q5" s="101" t="s">
        <v>0</v>
      </c>
      <c r="R5" s="272" t="s">
        <v>12</v>
      </c>
      <c r="S5" s="272" t="s">
        <v>13</v>
      </c>
      <c r="T5" s="271" t="s">
        <v>0</v>
      </c>
      <c r="U5" s="3"/>
      <c r="V5" s="2"/>
      <c r="W5" s="2"/>
      <c r="X5" s="2"/>
    </row>
    <row r="6" spans="1:24" ht="15" customHeight="1" x14ac:dyDescent="0.25">
      <c r="A6" s="48" t="s">
        <v>0</v>
      </c>
      <c r="B6" s="105" t="s">
        <v>0</v>
      </c>
      <c r="C6" s="272" t="s">
        <v>15</v>
      </c>
      <c r="D6" s="272" t="s">
        <v>16</v>
      </c>
      <c r="E6" s="274" t="s">
        <v>15</v>
      </c>
      <c r="F6" s="272" t="s">
        <v>17</v>
      </c>
      <c r="G6" s="272" t="s">
        <v>16</v>
      </c>
      <c r="H6" s="272" t="s">
        <v>18</v>
      </c>
      <c r="I6" s="272" t="s">
        <v>17</v>
      </c>
      <c r="J6" s="272" t="s">
        <v>16</v>
      </c>
      <c r="K6" s="272" t="s">
        <v>16</v>
      </c>
      <c r="L6" s="272" t="s">
        <v>16</v>
      </c>
      <c r="M6" s="273" t="s">
        <v>0</v>
      </c>
      <c r="N6" s="272" t="s">
        <v>19</v>
      </c>
      <c r="O6" s="272" t="s">
        <v>20</v>
      </c>
      <c r="P6" s="272" t="s">
        <v>19</v>
      </c>
      <c r="Q6" s="272" t="s">
        <v>20</v>
      </c>
      <c r="R6" s="272" t="s">
        <v>20</v>
      </c>
      <c r="S6" s="272" t="s">
        <v>20</v>
      </c>
      <c r="T6" s="271" t="s">
        <v>0</v>
      </c>
      <c r="U6" s="3"/>
      <c r="V6" s="2"/>
      <c r="W6" s="2"/>
      <c r="X6" s="2"/>
    </row>
    <row r="7" spans="1:24" ht="15" customHeight="1" thickBot="1" x14ac:dyDescent="0.3">
      <c r="A7" s="270">
        <v>1</v>
      </c>
      <c r="B7" s="269" t="s">
        <v>21</v>
      </c>
      <c r="C7" s="268"/>
      <c r="D7" s="266">
        <v>30403.83</v>
      </c>
      <c r="E7" s="133"/>
      <c r="F7" s="134">
        <v>405253.717</v>
      </c>
      <c r="G7" s="135">
        <v>31150.957999999999</v>
      </c>
      <c r="H7" s="268"/>
      <c r="I7" s="134">
        <v>396590.717</v>
      </c>
      <c r="J7" s="135">
        <f>G7</f>
        <v>31150.957999999999</v>
      </c>
      <c r="K7" s="266">
        <f>IF(U7="0",(IF(D7="",(IF(J7&lt;&gt;"",J7,"")),(IF(J7="",0-D7,J7-D7)))),"")</f>
        <v>747.12799999999697</v>
      </c>
      <c r="L7" s="266">
        <f>IF(U7="0",(IF(G7="",(IF(J7&lt;&gt;"",J7,"")),(IF(J7="",0-G7,J7-G7)))),"")</f>
        <v>0</v>
      </c>
      <c r="M7" s="267">
        <v>942518.73800000001</v>
      </c>
      <c r="N7" s="134">
        <v>12562865.222999999</v>
      </c>
      <c r="O7" s="135">
        <v>965679.68700000003</v>
      </c>
      <c r="P7" s="134">
        <v>12294312.222999999</v>
      </c>
      <c r="Q7" s="135">
        <f>O7</f>
        <v>965679.68700000003</v>
      </c>
      <c r="R7" s="266">
        <f>IF(U7="0",(IF(M7="",(IF(Q7&lt;&gt;"",Q7,"")),(IF(Q7="",0-M7,Q7-M7)))),"")</f>
        <v>23160.949000000022</v>
      </c>
      <c r="S7" s="266">
        <f>IF(U7="0",(IF(O7="",(IF(Q7&lt;&gt;"",Q7,"")),(IF(Q7="",O7,Q7-O7)))),"")</f>
        <v>0</v>
      </c>
      <c r="T7" s="265"/>
      <c r="U7" s="132" t="s">
        <v>22</v>
      </c>
      <c r="V7" s="2"/>
      <c r="W7" s="2"/>
      <c r="X7" s="2"/>
    </row>
    <row r="8" spans="1:24" ht="15" customHeight="1" x14ac:dyDescent="0.25">
      <c r="A8" s="264">
        <v>2</v>
      </c>
      <c r="B8" s="263" t="s">
        <v>23</v>
      </c>
      <c r="C8" s="262">
        <f>SUMIF(B9:B30,"Основные ГТМ",C9:C30)+SUMIF(B9:B30,"Работа с фондом",C9:C30)+SUMIF(B9:B30,"Сокращение потенциала простоя",C9:C30)+SUMIF(B9:B30,"Прочая добыча (отраб.скв, амбары, стравливание…)",C9:C30)</f>
        <v>26</v>
      </c>
      <c r="D8" s="262">
        <f>SUMIF(B9:B30,"Основные ГТМ",D9:D30)+SUMIF(B9:B30,"Работа с фондом",D9:D30)+SUMIF(B9:B30,"Сокращение потенциала простоя",D9:D30)+SUMIF(B9:B30,"Прочая добыча (отраб.скв, амбары, стравливание…)",D9:D30)</f>
        <v>1049.24</v>
      </c>
      <c r="E8" s="136">
        <f>SUMIF(B9:B30,"Основные ГТМ",E9:E30)+SUMIF(B9:B30,"Работа с фондом",E9:E30)+SUMIF(B9:B30,"Сокращение потенциала простоя",E9:E30)+SUMIF(B9:B30,"Прочая добыча (отраб.скв, амбары, стравливание…)",E9:E30)</f>
        <v>93</v>
      </c>
      <c r="F8" s="137">
        <f>SUMIF(B9:B30,"Основные ГТМ",F9:F30)+SUMIF(B9:B30,"Работа с фондом",F9:F30)+SUMIF(B9:B30,"Сокращение потенциала простоя",F9:F30)+SUMIF(B9:B30,"Прочая добыча (отраб.скв, амбары, стравливание…)",F9:F30)</f>
        <v>9398</v>
      </c>
      <c r="G8" s="138">
        <f>SUMIF(B9:B30,"Основные ГТМ",G9:G30)+SUMIF(B9:B30,"Работа с фондом",G9:G30)+SUMIF(B9:B30,"Сокращение потенциала простоя",G9:G30)+SUMIF(B9:B30,"Прочая добыча (отраб.скв, амбары, стравливание…)",G9:G30)</f>
        <v>2022.1</v>
      </c>
      <c r="H8" s="262">
        <f>IF(U8="0",(SUMIF(B9:B30,"Основные ГТМ",H9:H30)+SUMIF(B9:B30,"Работа с фондом",H9:H30)+SUMIF(B9:B30,"Сокращение потенциала простоя",H9:H30)+SUMIF(B9:B30,"Прочая добыча (отраб.скв, амбары, стравливание…)",H9:H30)),"")</f>
        <v>121</v>
      </c>
      <c r="I8" s="137">
        <f>IF(U8="0",(SUMIF(B9:B30,"Основные ГТМ",I9:I30)+SUMIF(B9:B30,"Работа с фондом",I9:I30)+SUMIF(B9:B30,"Сокращение потенциала простоя",I9:I30)+SUMIF(B9:B30,"Прочая добыча (отраб.скв, амбары, стравливание…)",I9:I30)),"")</f>
        <v>8212.630000000001</v>
      </c>
      <c r="J8" s="138">
        <f>IF(U8="0",(SUMIF(B9:B30,"Основные ГТМ",J9:J30)+SUMIF(B9:B30,"Работа с фондом",J9:J30)+SUMIF(B9:B30,"Сокращение потенциала простоя",J9:J30)+SUMIF(B9:B30,"Прочая добыча (отраб.скв, амбары, стравливание…)",J9:J30)),"")</f>
        <v>1263.6750000000002</v>
      </c>
      <c r="K8" s="262">
        <f>IF(U8="0",(SUMIF(B9:B30,"Основные ГТМ",K9:K30)+SUMIF(B9:B30,"Работа с фондом",K9:K30)+SUMIF(B9:B30,"Сокращение потенциала простоя",K9:K30)+SUMIF(B9:B30,"Прочая добыча (отраб.скв, амбары, стравливание…)",K9:K30)),"")</f>
        <v>214.43499999999997</v>
      </c>
      <c r="L8" s="262">
        <f ca="1">IF(U8="0",(SUMIF(B9:B30,"Основные ГТМ",L9:L12)+SUMIF(B9:B30,"Работа с фондом",L9:L30)+SUMIF(B9:B30,"Сокращение потенциала простоя",L9:L30)+SUMIF(B9:B30,"Прочая добыча (отраб.скв, амбары, стравливание…)",L9:L30)),"")</f>
        <v>-758.42499999999995</v>
      </c>
      <c r="M8" s="136">
        <f>SUMIF(B9:B30,"Основные ГТМ",M9:M30)+SUMIF(B9:B30,"Работа с фондом",M9:M30)+SUMIF(B9:B30,"Сокращение потенциала простоя",M9:M30)+SUMIF(B9:B30,"Прочая добыча (отраб.скв, амбары, стравливание…)",M9:M30)</f>
        <v>9725.7530000000006</v>
      </c>
      <c r="N8" s="137">
        <f>SUMIF(B9:B30,"Основные ГТМ",N9:N30)+SUMIF(B9:B30,"Работа с фондом",N9:N30)+SUMIF(B9:B30,"Сокращение потенциала простоя",N9:N30)+SUMIF(B9:B30,"Прочая добыча (отраб.скв, амбары, стравливание…)",N9:N30)</f>
        <v>108247</v>
      </c>
      <c r="O8" s="138">
        <f>SUMIF(B9:B30,"Основные ГТМ",O9:O30)+SUMIF(B9:B30,"Работа с фондом",O9:O30)+SUMIF(B9:B30,"Сокращение потенциала простоя",O9:O30)+SUMIF(B9:B30,"Прочая добыча (отраб.скв, амбары, стравливание…)",O9:O30)</f>
        <v>28254.600000000002</v>
      </c>
      <c r="P8" s="137">
        <f>IF(U8="0",(SUMIF(B9:B30,"Основные ГТМ",P9:P30)+SUMIF(B9:B30,"Работа с фондом",P9:P30)+SUMIF(B9:B30,"Сокращение потенциала простоя",P9:P30)+SUMIF(B9:B30,"Прочая добыча (отраб.скв, амбары, стравливание…)",P9:P30)),"")</f>
        <v>99405.709000000003</v>
      </c>
      <c r="Q8" s="138">
        <f>IF(U8="0",(SUMIF(B9:B30,"Основные ГТМ",Q9:Q30)+SUMIF(B9:B30,"Работа с фондом",Q9:Q30)+SUMIF(B9:B30,"Сокращение потенциала простоя",Q9:Q30)+SUMIF(B9:B30,"Прочая добыча (отраб.скв, амбары, стравливание…)",Q9:Q30)),"")</f>
        <v>15870.694</v>
      </c>
      <c r="R8" s="262">
        <f>IF(U8="0",(SUMIF(B9:B30,"Основные ГТМ",R9:R30)+SUMIF(B9:B30,"Работа с фондом",R9:R30)+SUMIF(B9:B30,"Сокращение потенциала простоя",R9:R30)+SUMIF(B9:B30,"Прочая добыча (отраб.скв, амбары, стравливание…)",R9:R30)),"")</f>
        <v>4278.9410000000007</v>
      </c>
      <c r="S8" s="262">
        <f>IF(U8="0",(SUMIF(B9:B30,"Основные ГТМ",S9:S30)+SUMIF(B9:B30,"Работа с фондом",S9:S30)+SUMIF(B9:B30,"Сокращение потенциала простоя",S9:S30)+SUMIF(B9:B30,"Прочая добыча (отраб.скв, амбары, стравливание…)",S9:S30)),"")</f>
        <v>-12383.906000000001</v>
      </c>
      <c r="T8" s="261"/>
      <c r="U8" s="132" t="s">
        <v>22</v>
      </c>
      <c r="V8" s="2"/>
      <c r="W8" s="2"/>
      <c r="X8" s="2"/>
    </row>
    <row r="9" spans="1:24" ht="15" customHeight="1" x14ac:dyDescent="0.25">
      <c r="A9" s="248" t="s">
        <v>24</v>
      </c>
      <c r="B9" s="247" t="s">
        <v>25</v>
      </c>
      <c r="C9" s="237">
        <f>SUBTOTAL(9,C10:C22)-IF(B9="Работа с фондом",SUMIF(B10:B22,"      ограничение добычи (ОПЕК)",C10:C22),0)</f>
        <v>26</v>
      </c>
      <c r="D9" s="237">
        <f>SUBTOTAL(9,D10:D22)-IF(B9="Работа с фондом",SUMIF(B10:B22,"      ограничение добычи (ОПЕК)",D10:D22),0)</f>
        <v>1049.24</v>
      </c>
      <c r="E9" s="139">
        <f>SUBTOTAL(9,E10:E22)-IF(B9="Работа с фондом",SUMIF(B10:B22,"      ограничение добычи (ОПЕК)",E10:E22),0)</f>
        <v>41</v>
      </c>
      <c r="F9" s="140">
        <f>SUBTOTAL(9,F10:F22)-IF(B9="Работа с фондом",SUMIF(B10:B22,"      ограничение добычи (ОПЕК)",F10:F22),0)</f>
        <v>6294</v>
      </c>
      <c r="G9" s="141">
        <f>SUBTOTAL(9,G10:G22)-IF(B9="Работа с фондом",SUMIF(B10:B22,"      ограничение добычи (ОПЕК)",G10:G22),0)</f>
        <v>1534</v>
      </c>
      <c r="H9" s="237">
        <f>IF(U9="0",(SUBTOTAL(9,H10:H22)-IF(B9="Работа с фондом",SUMIF(B10:B22,"      ограничение добычи (ОПЕК)",H10:H22),0)),"")</f>
        <v>31</v>
      </c>
      <c r="I9" s="140">
        <f>IF(U9="0",(SUBTOTAL(9,I10:I22)-IF(B9="Работа с фондом",SUMIF(B10:B22,"      ограничение добычи (ОПЕК)",I10:I22),0)),"")</f>
        <v>4959</v>
      </c>
      <c r="J9" s="141">
        <f>IF(U9="0",(SUBTOTAL(9,J10:J22)-IF(B9="Работа с фондом",SUMIF(B10:B22,"      ограничение добычи (ОПЕК)",J10:J22),0)),"")</f>
        <v>1119.9670000000001</v>
      </c>
      <c r="K9" s="237">
        <f>IF(U9="0",(SUBTOTAL(9,K10:K22)-IF(B9="Работа с фондом",SUMIF(B10:B22,"      ограничение добычи (ОПЕК)",K10:K22),0)),"")</f>
        <v>70.726999999999975</v>
      </c>
      <c r="L9" s="284">
        <f>IF(U9="0",(SUBTOTAL(9,L10:L22)-IF(B9="Работа с фондом",SUMIF(B10:B22,"      ограничение добычи (ОПЕК)",L10:L22),0)),"")</f>
        <v>-414.03300000000002</v>
      </c>
      <c r="M9" s="139">
        <f>SUBTOTAL(9,M10:M22)-IF(B9="Работа с фондом",SUMIF(B10:B22,"      ограничение добычи (ОПЕК)",M10:M22),0)</f>
        <v>9725.7530000000006</v>
      </c>
      <c r="N9" s="140">
        <f>SUBTOTAL(9,N10:N22)-IF(B9="Работа с фондом",SUMIF(B10:B22,"      ограничение добычи (ОПЕК)",N10:N22),0)</f>
        <v>58449</v>
      </c>
      <c r="O9" s="141">
        <f>SUBTOTAL(9,O10:O22)-IF(B9="Работа с фондом",SUMIF(B10:B22,"      ограничение добычи (ОПЕК)",O10:O22),0)</f>
        <v>15726</v>
      </c>
      <c r="P9" s="140">
        <f>IF(U9="0",(SUBTOTAL(9,P10:P22)-IF(B9="Работа с фондом",SUMIF(B10:B22,"      ограничение добычи (ОПЕК)",P10:P22),0)),"")</f>
        <v>54724</v>
      </c>
      <c r="Q9" s="141">
        <f>IF(U9="0",(SUBTOTAL(9,Q10:Q22)-IF(B9="Работа с фондом",SUMIF(B10:B22,"      ограничение добычи (ОПЕК)",Q10:Q22),0)),"")</f>
        <v>10846</v>
      </c>
      <c r="R9" s="237">
        <f>IF(U9="0",(SUBTOTAL(9,R10:R22)-IF(B9="Работа с фондом",SUMIF(B10:B22,"      ограничение добычи (ОПЕК)",R10:R22),0)),"")</f>
        <v>1120.2469999999998</v>
      </c>
      <c r="S9" s="237">
        <f>IF(U9="0",(SUBTOTAL(9,S10:S22)-IF(B9="Работа с фондом",SUMIF(B10:B22,"      ограничение добычи (ОПЕК)",S10:S22),0)),"")</f>
        <v>-4880</v>
      </c>
      <c r="T9" s="236"/>
      <c r="U9" s="132" t="s">
        <v>22</v>
      </c>
      <c r="V9" s="2"/>
      <c r="W9" s="2"/>
      <c r="X9" s="2"/>
    </row>
    <row r="10" spans="1:24" ht="14.1" customHeight="1" x14ac:dyDescent="0.25">
      <c r="A10" s="241" t="s">
        <v>26</v>
      </c>
      <c r="B10" s="233" t="s">
        <v>27</v>
      </c>
      <c r="C10" s="188">
        <v>14</v>
      </c>
      <c r="D10" s="188">
        <v>804</v>
      </c>
      <c r="E10" s="142">
        <v>18</v>
      </c>
      <c r="F10" s="143">
        <v>3592</v>
      </c>
      <c r="G10" s="144">
        <v>1070</v>
      </c>
      <c r="H10" s="188">
        <v>12</v>
      </c>
      <c r="I10" s="143">
        <v>2225</v>
      </c>
      <c r="J10" s="144">
        <v>755</v>
      </c>
      <c r="K10" s="282">
        <f>IF(U10="0",(IF(D10="",(IF(J10&lt;&gt;"",J10,"")),(IF(J10="",0-D10,J10-D10)))),"")</f>
        <v>-49</v>
      </c>
      <c r="L10" s="282">
        <f>IF(U10="0",(IF(G10="",(IF(J10&lt;&gt;"",J10,"")),(IF(J10="",0-G10,J10-G10)))),"")</f>
        <v>-315</v>
      </c>
      <c r="M10" s="142">
        <v>7574.9030000000002</v>
      </c>
      <c r="N10" s="143">
        <v>34612</v>
      </c>
      <c r="O10" s="144">
        <v>11460</v>
      </c>
      <c r="P10" s="143">
        <v>22155</v>
      </c>
      <c r="Q10" s="144">
        <v>6805</v>
      </c>
      <c r="R10" s="282">
        <f>IF(U10="0",(IF(M10="",(IF(Q10&lt;&gt;"",Q10,"")),(IF(Q10="",0-M10,Q10-M10)))),"")</f>
        <v>-769.90300000000025</v>
      </c>
      <c r="S10" s="282">
        <f>IF(U10="0",(IF(O10="",(IF(Q10&lt;&gt;"",Q10,"")),(IF(Q10="",0-O10,Q10-O10)))),"")</f>
        <v>-4655</v>
      </c>
      <c r="T10" s="232"/>
      <c r="U10" s="132" t="s">
        <v>22</v>
      </c>
      <c r="V10" s="2"/>
      <c r="W10" s="2"/>
      <c r="X10" s="2"/>
    </row>
    <row r="11" spans="1:24" ht="14.1" customHeight="1" x14ac:dyDescent="0.25">
      <c r="A11" s="241" t="s">
        <v>28</v>
      </c>
      <c r="B11" s="233" t="s">
        <v>29</v>
      </c>
      <c r="C11" s="188"/>
      <c r="D11" s="188"/>
      <c r="E11" s="142"/>
      <c r="F11" s="143"/>
      <c r="G11" s="144"/>
      <c r="H11" s="188"/>
      <c r="I11" s="143"/>
      <c r="J11" s="144"/>
      <c r="K11" s="188" t="str">
        <f>IF(U11="0",(IF(D11="",(IF(J11&lt;&gt;"",J11,"")),(IF(J11="",0-D11,J11-D11)))),"")</f>
        <v/>
      </c>
      <c r="L11" s="188" t="str">
        <f>IF(U11="0",(IF(G11="",(IF(J11&lt;&gt;"",J11,"")),(IF(J11="",0-G11,J11-G11)))),"")</f>
        <v/>
      </c>
      <c r="M11" s="142"/>
      <c r="N11" s="143"/>
      <c r="O11" s="144"/>
      <c r="P11" s="143"/>
      <c r="Q11" s="144"/>
      <c r="R11" s="188" t="str">
        <f>IF(U11="0",(IF(M11="",(IF(Q11&lt;&gt;"",Q11,"")),(IF(Q11="",0-M11,Q11-M11)))),"")</f>
        <v/>
      </c>
      <c r="S11" s="188" t="str">
        <f>IF(U11="0",(IF(O11="",(IF(Q11&lt;&gt;"",Q11,"")),(IF(Q11="",0-O11,Q11-O11)))),"")</f>
        <v/>
      </c>
      <c r="T11" s="232"/>
      <c r="U11" s="132" t="s">
        <v>22</v>
      </c>
      <c r="V11" s="2"/>
      <c r="W11" s="2"/>
      <c r="X11" s="2"/>
    </row>
    <row r="12" spans="1:24" ht="14.1" customHeight="1" x14ac:dyDescent="0.25">
      <c r="A12" s="241" t="s">
        <v>30</v>
      </c>
      <c r="B12" s="233" t="s">
        <v>31</v>
      </c>
      <c r="C12" s="188"/>
      <c r="D12" s="188"/>
      <c r="E12" s="142"/>
      <c r="F12" s="143"/>
      <c r="G12" s="144"/>
      <c r="H12" s="188"/>
      <c r="I12" s="143"/>
      <c r="J12" s="144"/>
      <c r="K12" s="188" t="str">
        <f>IF(U12="0",(IF(D12="",(IF(J12&lt;&gt;"",J12,"")),(IF(J12="",0-D12,J12-D12)))),"")</f>
        <v/>
      </c>
      <c r="L12" s="188" t="str">
        <f>IF(U12="0",(IF(G12="",(IF(J12&lt;&gt;"",J12,"")),(IF(J12="",0-G12,J12-G12)))),"")</f>
        <v/>
      </c>
      <c r="M12" s="142"/>
      <c r="N12" s="143"/>
      <c r="O12" s="144"/>
      <c r="P12" s="143"/>
      <c r="Q12" s="144"/>
      <c r="R12" s="188" t="str">
        <f>IF(U12="0",(IF(M12="",(IF(Q12&lt;&gt;"",Q12,"")),(IF(Q12="",0-M12,Q12-M12)))),"")</f>
        <v/>
      </c>
      <c r="S12" s="188" t="str">
        <f>IF(U12="0",(IF(O12="",(IF(Q12&lt;&gt;"",Q12,"")),(IF(Q12="",0-O12,Q12-O12)))),"")</f>
        <v/>
      </c>
      <c r="T12" s="232"/>
      <c r="U12" s="132" t="s">
        <v>22</v>
      </c>
      <c r="V12" s="2"/>
      <c r="W12" s="2"/>
      <c r="X12" s="2"/>
    </row>
    <row r="13" spans="1:24" ht="14.1" customHeight="1" x14ac:dyDescent="0.25">
      <c r="A13" s="241" t="s">
        <v>32</v>
      </c>
      <c r="B13" s="233" t="s">
        <v>33</v>
      </c>
      <c r="C13" s="188"/>
      <c r="D13" s="188"/>
      <c r="E13" s="142"/>
      <c r="F13" s="143"/>
      <c r="G13" s="144"/>
      <c r="H13" s="188"/>
      <c r="I13" s="143"/>
      <c r="J13" s="144"/>
      <c r="K13" s="188" t="str">
        <f>IF(U13="0",(IF(D13="",(IF(J13&lt;&gt;"",J13,"")),(IF(J13="",0-D13,J13-D13)))),"")</f>
        <v/>
      </c>
      <c r="L13" s="188" t="str">
        <f>IF(U13="0",(IF(G13="",(IF(J13&lt;&gt;"",J13,"")),(IF(J13="",0-G13,J13-G13)))),"")</f>
        <v/>
      </c>
      <c r="M13" s="142"/>
      <c r="N13" s="143"/>
      <c r="O13" s="144"/>
      <c r="P13" s="143"/>
      <c r="Q13" s="144"/>
      <c r="R13" s="188" t="str">
        <f>IF(U13="0",(IF(M13="",(IF(Q13&lt;&gt;"",Q13,"")),(IF(Q13="",0-M13,Q13-M13)))),"")</f>
        <v/>
      </c>
      <c r="S13" s="188" t="str">
        <f>IF(U13="0",(IF(O13="",(IF(Q13&lt;&gt;"",Q13,"")),(IF(Q13="",0-O13,Q13-O13)))),"")</f>
        <v/>
      </c>
      <c r="T13" s="232"/>
      <c r="U13" s="132" t="s">
        <v>22</v>
      </c>
      <c r="V13" s="2"/>
      <c r="W13" s="2"/>
      <c r="X13" s="2"/>
    </row>
    <row r="14" spans="1:24" ht="14.1" customHeight="1" x14ac:dyDescent="0.25">
      <c r="A14" s="241" t="s">
        <v>34</v>
      </c>
      <c r="B14" s="233" t="s">
        <v>35</v>
      </c>
      <c r="C14" s="188">
        <v>12</v>
      </c>
      <c r="D14" s="188">
        <v>245.24</v>
      </c>
      <c r="E14" s="142">
        <v>23</v>
      </c>
      <c r="F14" s="143">
        <v>2702</v>
      </c>
      <c r="G14" s="144">
        <v>464</v>
      </c>
      <c r="H14" s="188">
        <v>19</v>
      </c>
      <c r="I14" s="143">
        <v>2734</v>
      </c>
      <c r="J14" s="287">
        <f>344.167+8-1.2+14</f>
        <v>364.96699999999998</v>
      </c>
      <c r="K14" s="188">
        <f>IF(U14="0",(IF(D14="",(IF(J14&lt;&gt;"",J14,"")),(IF(J14="",0-D14,J14-D14)))),"")</f>
        <v>119.72699999999998</v>
      </c>
      <c r="L14" s="188">
        <f>IF(U14="0",(IF(G14="",(IF(J14&lt;&gt;"",J14,"")),(IF(J14="",0-G14,J14-G14)))),"")</f>
        <v>-99.033000000000015</v>
      </c>
      <c r="M14" s="142">
        <v>2150.85</v>
      </c>
      <c r="N14" s="143">
        <v>23837</v>
      </c>
      <c r="O14" s="144">
        <v>4266</v>
      </c>
      <c r="P14" s="143">
        <v>32569</v>
      </c>
      <c r="Q14" s="287">
        <v>4041</v>
      </c>
      <c r="R14" s="188">
        <f>IF(U14="0",(IF(M14="",(IF(Q14&lt;&gt;"",Q14,"")),(IF(Q14="",0-M14,Q14-M14)))),"")</f>
        <v>1890.15</v>
      </c>
      <c r="S14" s="188">
        <f>IF(U14="0",(IF(O14="",(IF(Q14&lt;&gt;"",Q14,"")),(IF(Q14="",0-O14,Q14-O14)))),"")</f>
        <v>-225</v>
      </c>
      <c r="T14" s="232"/>
      <c r="U14" s="132" t="s">
        <v>22</v>
      </c>
      <c r="V14" s="2"/>
      <c r="W14" s="2"/>
      <c r="X14" s="2"/>
    </row>
    <row r="15" spans="1:24" ht="14.1" customHeight="1" x14ac:dyDescent="0.25">
      <c r="A15" s="241" t="s">
        <v>36</v>
      </c>
      <c r="B15" s="233" t="s">
        <v>37</v>
      </c>
      <c r="C15" s="188"/>
      <c r="D15" s="188"/>
      <c r="E15" s="142"/>
      <c r="F15" s="143"/>
      <c r="G15" s="144"/>
      <c r="H15" s="188"/>
      <c r="I15" s="143"/>
      <c r="J15" s="144"/>
      <c r="K15" s="188" t="str">
        <f>IF(U15="0",(IF(D15="",(IF(J15&lt;&gt;"",J15,"")),(IF(J15="",0-D15,J15-D15)))),"")</f>
        <v/>
      </c>
      <c r="L15" s="188" t="str">
        <f>IF(U15="0",(IF(G15="",(IF(J15&lt;&gt;"",J15,"")),(IF(J15="",0-G15,J15-G15)))),"")</f>
        <v/>
      </c>
      <c r="M15" s="142"/>
      <c r="N15" s="143"/>
      <c r="O15" s="144"/>
      <c r="P15" s="143"/>
      <c r="Q15" s="144"/>
      <c r="R15" s="188" t="str">
        <f>IF(U15="0",(IF(M15="",(IF(Q15&lt;&gt;"",Q15,"")),(IF(Q15="",0-M15,Q15-M15)))),"")</f>
        <v/>
      </c>
      <c r="S15" s="188" t="str">
        <f>IF(U15="0",(IF(O15="",(IF(Q15&lt;&gt;"",Q15,"")),(IF(Q15="",0-O15,Q15-O15)))),"")</f>
        <v/>
      </c>
      <c r="T15" s="232"/>
      <c r="U15" s="132" t="s">
        <v>22</v>
      </c>
      <c r="V15" s="2"/>
      <c r="W15" s="2"/>
      <c r="X15" s="2"/>
    </row>
    <row r="16" spans="1:24" ht="14.1" customHeight="1" x14ac:dyDescent="0.25">
      <c r="A16" s="241" t="s">
        <v>38</v>
      </c>
      <c r="B16" s="233" t="s">
        <v>39</v>
      </c>
      <c r="C16" s="188"/>
      <c r="D16" s="188"/>
      <c r="E16" s="142"/>
      <c r="F16" s="143"/>
      <c r="G16" s="144"/>
      <c r="H16" s="188"/>
      <c r="I16" s="143"/>
      <c r="J16" s="144"/>
      <c r="K16" s="188" t="str">
        <f>IF(U16="0",(IF(D16="",(IF(J16&lt;&gt;"",J16,"")),(IF(J16="",0-D16,J16-D16)))),"")</f>
        <v/>
      </c>
      <c r="L16" s="188" t="str">
        <f>IF(U16="0",(IF(G16="",(IF(J16&lt;&gt;"",J16,"")),(IF(J16="",0-G16,J16-G16)))),"")</f>
        <v/>
      </c>
      <c r="M16" s="142"/>
      <c r="N16" s="143"/>
      <c r="O16" s="144"/>
      <c r="P16" s="143"/>
      <c r="Q16" s="144"/>
      <c r="R16" s="188" t="str">
        <f>IF(U16="0",(IF(M16="",(IF(Q16&lt;&gt;"",Q16,"")),(IF(Q16="",0-M16,Q16-M16)))),"")</f>
        <v/>
      </c>
      <c r="S16" s="188" t="str">
        <f>IF(U16="0",(IF(O16="",(IF(Q16&lt;&gt;"",Q16,"")),(IF(Q16="",0-O16,Q16-O16)))),"")</f>
        <v/>
      </c>
      <c r="T16" s="232"/>
      <c r="U16" s="132" t="s">
        <v>22</v>
      </c>
      <c r="V16" s="2"/>
      <c r="W16" s="2"/>
      <c r="X16" s="2"/>
    </row>
    <row r="17" spans="1:25" ht="14.1" customHeight="1" x14ac:dyDescent="0.25">
      <c r="A17" s="241" t="s">
        <v>40</v>
      </c>
      <c r="B17" s="233" t="s">
        <v>41</v>
      </c>
      <c r="C17" s="188"/>
      <c r="D17" s="188"/>
      <c r="E17" s="142"/>
      <c r="F17" s="143"/>
      <c r="G17" s="144"/>
      <c r="H17" s="188"/>
      <c r="I17" s="143"/>
      <c r="J17" s="144"/>
      <c r="K17" s="188" t="str">
        <f>IF(U17="0",(IF(D17="",(IF(J17&lt;&gt;"",J17,"")),(IF(J17="",0-D17,J17-D17)))),"")</f>
        <v/>
      </c>
      <c r="L17" s="188" t="str">
        <f>IF(U17="0",(IF(G17="",(IF(J17&lt;&gt;"",J17,"")),(IF(J17="",0-G17,J17-G17)))),"")</f>
        <v/>
      </c>
      <c r="M17" s="142"/>
      <c r="N17" s="143"/>
      <c r="O17" s="144"/>
      <c r="P17" s="143"/>
      <c r="Q17" s="144"/>
      <c r="R17" s="188" t="str">
        <f>IF(U17="0",(IF(M17="",(IF(Q17&lt;&gt;"",Q17,"")),(IF(Q17="",0-M17,Q17-M17)))),"")</f>
        <v/>
      </c>
      <c r="S17" s="188" t="str">
        <f>IF(U17="0",(IF(O17="",(IF(Q17&lt;&gt;"",Q17,"")),(IF(Q17="",0-O17,Q17-O17)))),"")</f>
        <v/>
      </c>
      <c r="T17" s="232"/>
      <c r="U17" s="132" t="s">
        <v>22</v>
      </c>
      <c r="V17" s="2"/>
      <c r="W17" s="2"/>
      <c r="X17" s="2"/>
    </row>
    <row r="18" spans="1:25" ht="14.1" customHeight="1" x14ac:dyDescent="0.25">
      <c r="A18" s="241" t="s">
        <v>42</v>
      </c>
      <c r="B18" s="233" t="s">
        <v>43</v>
      </c>
      <c r="C18" s="188"/>
      <c r="D18" s="188">
        <v>0</v>
      </c>
      <c r="E18" s="142"/>
      <c r="F18" s="143"/>
      <c r="G18" s="144"/>
      <c r="H18" s="188"/>
      <c r="I18" s="143"/>
      <c r="J18" s="144"/>
      <c r="K18" s="188">
        <f>IF(U18="0",(IF(D18="",(IF(J18&lt;&gt;"",J18,"")),(IF(J18="",0-D18,J18-D18)))),"")</f>
        <v>0</v>
      </c>
      <c r="L18" s="188" t="str">
        <f>IF(U18="0",(IF(G18="",(IF(J18&lt;&gt;"",J18,"")),(IF(J18="",0-G18,J18-G18)))),"")</f>
        <v/>
      </c>
      <c r="M18" s="142"/>
      <c r="N18" s="143"/>
      <c r="O18" s="144"/>
      <c r="P18" s="143"/>
      <c r="Q18" s="144"/>
      <c r="R18" s="188" t="str">
        <f>IF(U18="0",(IF(M18="",(IF(Q18&lt;&gt;"",Q18,"")),(IF(Q18="",0-M18,Q18-M18)))),"")</f>
        <v/>
      </c>
      <c r="S18" s="188" t="str">
        <f>IF(U18="0",(IF(O18="",(IF(Q18&lt;&gt;"",Q18,"")),(IF(Q18="",0-O18,Q18-O18)))),"")</f>
        <v/>
      </c>
      <c r="T18" s="232"/>
      <c r="U18" s="132" t="s">
        <v>22</v>
      </c>
      <c r="V18" s="2"/>
      <c r="W18" s="2"/>
      <c r="X18" s="2"/>
    </row>
    <row r="19" spans="1:25" ht="14.1" customHeight="1" x14ac:dyDescent="0.25">
      <c r="A19" s="241" t="s">
        <v>44</v>
      </c>
      <c r="B19" s="233" t="s">
        <v>45</v>
      </c>
      <c r="C19" s="188"/>
      <c r="D19" s="188"/>
      <c r="E19" s="142"/>
      <c r="F19" s="143"/>
      <c r="G19" s="144"/>
      <c r="H19" s="188"/>
      <c r="I19" s="143"/>
      <c r="J19" s="144"/>
      <c r="K19" s="188" t="str">
        <f>IF(U19="0",(IF(D19="",(IF(J19&lt;&gt;"",J19,"")),(IF(J19="",0-D19,J19-D19)))),"")</f>
        <v/>
      </c>
      <c r="L19" s="188" t="str">
        <f>IF(U19="0",(IF(G19="",(IF(J19&lt;&gt;"",J19,"")),(IF(J19="",0-G19,J19-G19)))),"")</f>
        <v/>
      </c>
      <c r="M19" s="142"/>
      <c r="N19" s="143"/>
      <c r="O19" s="144"/>
      <c r="P19" s="143"/>
      <c r="Q19" s="144"/>
      <c r="R19" s="188" t="str">
        <f>IF(U19="0",(IF(M19="",(IF(Q19&lt;&gt;"",Q19,"")),(IF(Q19="",0-M19,Q19-M19)))),"")</f>
        <v/>
      </c>
      <c r="S19" s="188" t="str">
        <f>IF(U19="0",(IF(O19="",(IF(Q19&lt;&gt;"",Q19,"")),(IF(Q19="",0-O19,Q19-O19)))),"")</f>
        <v/>
      </c>
      <c r="T19" s="232"/>
      <c r="U19" s="132" t="s">
        <v>22</v>
      </c>
      <c r="V19" s="2"/>
      <c r="W19" s="2"/>
      <c r="X19" s="2"/>
    </row>
    <row r="20" spans="1:25" ht="14.1" customHeight="1" x14ac:dyDescent="0.25">
      <c r="A20" s="241" t="s">
        <v>46</v>
      </c>
      <c r="B20" s="233" t="s">
        <v>47</v>
      </c>
      <c r="C20" s="188"/>
      <c r="D20" s="188"/>
      <c r="E20" s="142"/>
      <c r="F20" s="143"/>
      <c r="G20" s="144"/>
      <c r="H20" s="188"/>
      <c r="I20" s="143"/>
      <c r="J20" s="144"/>
      <c r="K20" s="188" t="str">
        <f>IF(U20="0",(IF(D20="",(IF(J20&lt;&gt;"",J20,"")),(IF(J20="",0-D20,J20-D20)))),"")</f>
        <v/>
      </c>
      <c r="L20" s="188" t="str">
        <f>IF(U20="0",(IF(G20="",(IF(J20&lt;&gt;"",J20,"")),(IF(J20="",0-G20,J20-G20)))),"")</f>
        <v/>
      </c>
      <c r="M20" s="142"/>
      <c r="N20" s="143"/>
      <c r="O20" s="144"/>
      <c r="P20" s="143"/>
      <c r="Q20" s="144"/>
      <c r="R20" s="188" t="str">
        <f>IF(U20="0",(IF(M20="",(IF(Q20&lt;&gt;"",Q20,"")),(IF(Q20="",0-M20,Q20-M20)))),"")</f>
        <v/>
      </c>
      <c r="S20" s="188" t="str">
        <f>IF(U20="0",(IF(O20="",(IF(Q20&lt;&gt;"",Q20,"")),(IF(Q20="",0-O20,Q20-O20)))),"")</f>
        <v/>
      </c>
      <c r="T20" s="232"/>
      <c r="U20" s="132" t="s">
        <v>22</v>
      </c>
      <c r="V20" s="2"/>
      <c r="W20" s="2"/>
      <c r="X20" s="2"/>
    </row>
    <row r="21" spans="1:25" ht="14.1" customHeight="1" x14ac:dyDescent="0.25">
      <c r="A21" s="241" t="s">
        <v>48</v>
      </c>
      <c r="B21" s="233" t="s">
        <v>49</v>
      </c>
      <c r="C21" s="188"/>
      <c r="D21" s="188"/>
      <c r="E21" s="142"/>
      <c r="F21" s="143"/>
      <c r="G21" s="144"/>
      <c r="H21" s="188"/>
      <c r="I21" s="143"/>
      <c r="J21" s="144"/>
      <c r="K21" s="188" t="str">
        <f>IF(U21="0",(IF(D21="",(IF(J21&lt;&gt;"",J21,"")),(IF(J21="",0-D21,J21-D21)))),"")</f>
        <v/>
      </c>
      <c r="L21" s="188" t="str">
        <f>IF(U21="0",(IF(G21="",(IF(J21&lt;&gt;"",J21,"")),(IF(J21="",0-G21,J21-G21)))),"")</f>
        <v/>
      </c>
      <c r="M21" s="142"/>
      <c r="N21" s="143"/>
      <c r="O21" s="144"/>
      <c r="P21" s="143"/>
      <c r="Q21" s="144"/>
      <c r="R21" s="188" t="str">
        <f>IF(U21="0",(IF(M21="",(IF(Q21&lt;&gt;"",Q21,"")),(IF(Q21="",0-M21,Q21-M21)))),"")</f>
        <v/>
      </c>
      <c r="S21" s="188" t="str">
        <f>IF(U21="0",(IF(O21="",(IF(Q21&lt;&gt;"",Q21,"")),(IF(Q21="",0-O21,Q21-O21)))),"")</f>
        <v/>
      </c>
      <c r="T21" s="232"/>
      <c r="U21" s="132" t="s">
        <v>22</v>
      </c>
      <c r="V21" s="2"/>
      <c r="W21" s="2"/>
      <c r="X21" s="2"/>
    </row>
    <row r="22" spans="1:25" ht="14.1" customHeight="1" x14ac:dyDescent="0.25">
      <c r="A22" s="241" t="s">
        <v>50</v>
      </c>
      <c r="B22" s="233" t="s">
        <v>51</v>
      </c>
      <c r="C22" s="188"/>
      <c r="D22" s="188"/>
      <c r="E22" s="142"/>
      <c r="F22" s="143"/>
      <c r="G22" s="144"/>
      <c r="H22" s="188"/>
      <c r="I22" s="143"/>
      <c r="J22" s="144"/>
      <c r="K22" s="188" t="str">
        <f>IF(U22="0",(IF(D22="",(IF(J22&lt;&gt;"",J22,"")),(IF(J22="",0-D22,J22-D22)))),"")</f>
        <v/>
      </c>
      <c r="L22" s="188" t="str">
        <f>IF(U22="0",(IF(G22="",(IF(J22&lt;&gt;"",J22,"")),(IF(J22="",0-G22,J22-G22)))),"")</f>
        <v/>
      </c>
      <c r="M22" s="142"/>
      <c r="N22" s="143"/>
      <c r="O22" s="144"/>
      <c r="P22" s="143"/>
      <c r="Q22" s="144"/>
      <c r="R22" s="188" t="str">
        <f>IF(U22="0",(IF(M22="",(IF(Q22&lt;&gt;"",Q22,"")),(IF(Q22="",0-M22,Q22-M22)))),"")</f>
        <v/>
      </c>
      <c r="S22" s="188" t="str">
        <f>IF(U22="0",(IF(O22="",(IF(Q22&lt;&gt;"",Q22,"")),(IF(Q22="",0-O22,Q22-O22)))),"")</f>
        <v/>
      </c>
      <c r="T22" s="232"/>
      <c r="U22" s="132" t="s">
        <v>22</v>
      </c>
      <c r="V22" s="2"/>
      <c r="W22" s="2"/>
      <c r="X22" s="2"/>
    </row>
    <row r="23" spans="1:25" ht="15" customHeight="1" x14ac:dyDescent="0.25">
      <c r="A23" s="248" t="s">
        <v>52</v>
      </c>
      <c r="B23" s="247" t="s">
        <v>53</v>
      </c>
      <c r="C23" s="237">
        <f>SUBTOTAL(9,C24:C28)-IF(B23="Работа с фондом",SUMIF(B24:B28,"      ограничение добычи (ОПЕК)",C24:C28),0)</f>
        <v>0</v>
      </c>
      <c r="D23" s="237">
        <f>SUBTOTAL(9,D24:D28)-IF(B23="Работа с фондом",SUMIF(B24:B28,"      ограничение добычи (ОПЕК)",D24:D28),0)</f>
        <v>0</v>
      </c>
      <c r="E23" s="139">
        <f>SUBTOTAL(9,E24:E28)-IF(B23="Работа с фондом",SUMIF(B24:B28,"      ограничение добычи (ОПЕК)",E24:E28),0)</f>
        <v>52</v>
      </c>
      <c r="F23" s="140">
        <f>SUBTOTAL(9,F24:F28)-IF(B23="Работа с фондом",SUMIF(B24:B28,"      ограничение добычи (ОПЕК)",F24:F28),0)</f>
        <v>3104</v>
      </c>
      <c r="G23" s="141">
        <f>SUBTOTAL(9,G24:G28)-IF(B23="Работа с фондом",SUMIF(B24:B28,"      ограничение добычи (ОПЕК)",G24:G28),0)</f>
        <v>488.1</v>
      </c>
      <c r="H23" s="237">
        <f>IF(U23="0",(SUBTOTAL(9,H24:H28)-IF(B23="Работа с фондом",SUMIF(B24:B28,"      ограничение добычи (ОПЕК)",H24:H28),0)),"")</f>
        <v>90</v>
      </c>
      <c r="I23" s="140">
        <f>IF(U23="0",(SUBTOTAL(9,I24:I28)-IF(B23="Работа с фондом",SUMIF(B24:B28,"      ограничение добычи (ОПЕК)",I24:I28),0)),"")</f>
        <v>3253.63</v>
      </c>
      <c r="J23" s="141">
        <f>IF(U23="0",(SUBTOTAL(9,J24:J28)-IF(B23="Работа с фондом",SUMIF(B24:B28,"      ограничение добычи (ОПЕК)",J24:J28),0)),"")</f>
        <v>143.708</v>
      </c>
      <c r="K23" s="237">
        <f>IF(U23="0",(SUBTOTAL(9,K24:K28)-IF(B23="Работа с фондом",SUMIF(B24:B28,"      ограничение добычи (ОПЕК)",K24:K28),0)),"")</f>
        <v>143.708</v>
      </c>
      <c r="L23" s="237">
        <f>IF(U23="0",(SUBTOTAL(9,L24:L28)-IF(B23="Работа с фондом",SUMIF(B24:B28,"      ограничение добычи (ОПЕК)",L24:L28),0)),"")</f>
        <v>-344.392</v>
      </c>
      <c r="M23" s="139">
        <f>SUBTOTAL(9,M24:M28)-IF(B23="Работа с фондом",SUMIF(B24:B28,"      ограничение добычи (ОПЕК)",M24:M28),0)</f>
        <v>0</v>
      </c>
      <c r="N23" s="140">
        <f>SUBTOTAL(9,N24:N28)-IF(B23="Работа с фондом",SUMIF(B24:B28,"      ограничение добычи (ОПЕК)",N24:N28),0)</f>
        <v>49798</v>
      </c>
      <c r="O23" s="141">
        <f>SUBTOTAL(9,O24:O28)-IF(B23="Работа с фондом",SUMIF(B24:B28,"      ограничение добычи (ОПЕК)",O24:O28),0)</f>
        <v>8876.4</v>
      </c>
      <c r="P23" s="140">
        <f>IF(U23="0",(SUBTOTAL(9,P24:P28)-IF(B23="Работа с фондом",SUMIF(B24:B28,"      ограничение добычи (ОПЕК)",P24:P28),0)),"")</f>
        <v>44681.709000000003</v>
      </c>
      <c r="Q23" s="141">
        <f>IF(U23="0",(SUBTOTAL(9,Q24:Q28)-IF(B23="Работа с фондом",SUMIF(B24:B28,"      ограничение добычи (ОПЕК)",Q24:Q28),0)),"")</f>
        <v>3158.6940000000004</v>
      </c>
      <c r="R23" s="237">
        <f>IF(U23="0",(SUBTOTAL(9,R24:R28)-IF(B23="Работа с фондом",SUMIF(B24:B28,"      ограничение добычи (ОПЕК)",R24:R28),0)),"")</f>
        <v>3158.6940000000004</v>
      </c>
      <c r="S23" s="237">
        <f>IF(U23="0",(SUBTOTAL(9,S24:S28)-IF(B23="Работа с фондом",SUMIF(B24:B28,"      ограничение добычи (ОПЕК)",S24:S28),0)),"")</f>
        <v>-5717.7060000000001</v>
      </c>
      <c r="T23" s="236"/>
      <c r="U23" s="132" t="s">
        <v>22</v>
      </c>
      <c r="V23" s="2"/>
      <c r="W23" s="2"/>
      <c r="X23" s="2"/>
    </row>
    <row r="24" spans="1:25" ht="14.1" customHeight="1" x14ac:dyDescent="0.25">
      <c r="A24" s="241" t="s">
        <v>54</v>
      </c>
      <c r="B24" s="233" t="s">
        <v>55</v>
      </c>
      <c r="C24" s="188"/>
      <c r="D24" s="188"/>
      <c r="E24" s="142">
        <v>4</v>
      </c>
      <c r="F24" s="143">
        <v>734</v>
      </c>
      <c r="G24" s="144">
        <v>31.1</v>
      </c>
      <c r="H24" s="188">
        <v>4</v>
      </c>
      <c r="I24" s="143">
        <v>547.54600000000005</v>
      </c>
      <c r="J24" s="287">
        <f>23.24+3.3</f>
        <v>26.54</v>
      </c>
      <c r="K24" s="188">
        <f>IF(U24="0",(IF(D24="",(IF(J24&lt;&gt;"",J24,"")),(IF(J24="",0-D24,J24-D24)))),"")</f>
        <v>26.54</v>
      </c>
      <c r="L24" s="282">
        <f>IF(U24="0",(IF(G24="",(IF(J24&lt;&gt;"",J24,"")),(IF(J24="",0-G24,J24-G24)))),"")</f>
        <v>-4.5600000000000023</v>
      </c>
      <c r="M24" s="142"/>
      <c r="N24" s="143">
        <v>13977</v>
      </c>
      <c r="O24" s="144">
        <v>512.4</v>
      </c>
      <c r="P24" s="143">
        <v>11261.602000000001</v>
      </c>
      <c r="Q24" s="144">
        <v>456.50099999999998</v>
      </c>
      <c r="R24" s="188">
        <f>IF(U24="0",(IF(M24="",(IF(Q24&lt;&gt;"",Q24,"")),(IF(Q24="",0-M24,Q24-M24)))),"")</f>
        <v>456.50099999999998</v>
      </c>
      <c r="S24" s="282">
        <f>IF(U24="0",(IF(O24="",(IF(Q24&lt;&gt;"",Q24,"")),(IF(Q24="",0-O24,Q24-O24)))),"")</f>
        <v>-55.899000000000001</v>
      </c>
      <c r="T24" s="232"/>
      <c r="U24" s="132" t="s">
        <v>22</v>
      </c>
      <c r="V24" s="2"/>
      <c r="W24" s="2"/>
      <c r="X24" s="2"/>
    </row>
    <row r="25" spans="1:25" ht="14.1" customHeight="1" x14ac:dyDescent="0.25">
      <c r="A25" s="241" t="s">
        <v>56</v>
      </c>
      <c r="B25" s="233" t="s">
        <v>57</v>
      </c>
      <c r="C25" s="188"/>
      <c r="D25" s="188"/>
      <c r="E25" s="142"/>
      <c r="F25" s="143"/>
      <c r="G25" s="144"/>
      <c r="H25" s="188"/>
      <c r="I25" s="143"/>
      <c r="J25" s="144"/>
      <c r="K25" s="188" t="str">
        <f>IF(U25="0",(IF(D25="",(IF(J25&lt;&gt;"",J25,"")),(IF(J25="",0-D25,J25-D25)))),"")</f>
        <v/>
      </c>
      <c r="L25" s="188" t="str">
        <f>IF(U25="0",(IF(G25="",(IF(J25&lt;&gt;"",J25,"")),(IF(J25="",0-G25,J25-G25)))),"")</f>
        <v/>
      </c>
      <c r="M25" s="142"/>
      <c r="N25" s="143"/>
      <c r="O25" s="144"/>
      <c r="P25" s="143"/>
      <c r="Q25" s="144"/>
      <c r="R25" s="188" t="str">
        <f>IF(U25="0",(IF(M25="",(IF(Q25&lt;&gt;"",Q25,"")),(IF(Q25="",0-M25,Q25-M25)))),"")</f>
        <v/>
      </c>
      <c r="S25" s="188" t="str">
        <f>IF(U25="0",(IF(O25="",(IF(Q25&lt;&gt;"",Q25,"")),(IF(Q25="",0-O25,Q25-O25)))),"")</f>
        <v/>
      </c>
      <c r="T25" s="232"/>
      <c r="U25" s="132" t="s">
        <v>22</v>
      </c>
      <c r="V25" s="2"/>
      <c r="W25" s="2"/>
      <c r="X25" s="2"/>
    </row>
    <row r="26" spans="1:25" ht="14.1" customHeight="1" x14ac:dyDescent="0.25">
      <c r="A26" s="241" t="s">
        <v>58</v>
      </c>
      <c r="B26" s="233" t="s">
        <v>59</v>
      </c>
      <c r="C26" s="188"/>
      <c r="D26" s="188"/>
      <c r="E26" s="142">
        <v>7</v>
      </c>
      <c r="F26" s="143">
        <v>0</v>
      </c>
      <c r="G26" s="144">
        <v>255</v>
      </c>
      <c r="H26" s="188">
        <v>54</v>
      </c>
      <c r="I26" s="143">
        <v>0</v>
      </c>
      <c r="J26" s="287">
        <f>250.3-22-285</f>
        <v>-56.699999999999989</v>
      </c>
      <c r="K26" s="188">
        <f>IF(U26="0",(IF(D26="",(IF(J26&lt;&gt;"",J26,"")),(IF(J26="",0-D26,J26-D26)))),"")</f>
        <v>-56.699999999999989</v>
      </c>
      <c r="L26" s="188">
        <f>IF(U26="0",(IF(G26="",(IF(J26&lt;&gt;"",J26,"")),(IF(J26="",0-G26,J26-G26)))),"")</f>
        <v>-311.7</v>
      </c>
      <c r="M26" s="142"/>
      <c r="N26" s="143">
        <v>0</v>
      </c>
      <c r="O26" s="144">
        <v>5575</v>
      </c>
      <c r="P26" s="143"/>
      <c r="Q26" s="144"/>
      <c r="R26" s="188" t="str">
        <f>IF(U26="0",(IF(M26="",(IF(Q26&lt;&gt;"",Q26,"")),(IF(Q26="",0-M26,Q26-M26)))),"")</f>
        <v/>
      </c>
      <c r="S26" s="188">
        <f>IF(U26="0",(IF(O26="",(IF(Q26&lt;&gt;"",Q26,"")),(IF(Q26="",0-O26,Q26-O26)))),"")</f>
        <v>-5575</v>
      </c>
      <c r="T26" s="232"/>
      <c r="U26" s="132" t="s">
        <v>22</v>
      </c>
      <c r="V26" s="2"/>
      <c r="W26" s="2"/>
      <c r="X26" s="2"/>
    </row>
    <row r="27" spans="1:25" ht="14.1" customHeight="1" x14ac:dyDescent="0.25">
      <c r="A27" s="241" t="s">
        <v>60</v>
      </c>
      <c r="B27" s="233" t="s">
        <v>61</v>
      </c>
      <c r="C27" s="188"/>
      <c r="D27" s="188"/>
      <c r="E27" s="142">
        <v>41</v>
      </c>
      <c r="F27" s="143">
        <v>2370</v>
      </c>
      <c r="G27" s="144">
        <v>202</v>
      </c>
      <c r="H27" s="188">
        <v>32</v>
      </c>
      <c r="I27" s="143">
        <v>2706.0839999999998</v>
      </c>
      <c r="J27" s="287">
        <f>168.768+2+0.7+2.4</f>
        <v>173.86799999999999</v>
      </c>
      <c r="K27" s="188">
        <f>IF(U27="0",(IF(D27="",(IF(J27&lt;&gt;"",J27,"")),(IF(J27="",0-D27,J27-D27)))),"")</f>
        <v>173.86799999999999</v>
      </c>
      <c r="L27" s="282">
        <f>IF(U27="0",(IF(G27="",(IF(J27&lt;&gt;"",J27,"")),(IF(J27="",0-G27,J27-G27)))),"")</f>
        <v>-28.132000000000005</v>
      </c>
      <c r="M27" s="142"/>
      <c r="N27" s="143">
        <v>35821</v>
      </c>
      <c r="O27" s="144">
        <v>2789</v>
      </c>
      <c r="P27" s="143">
        <v>33420.107000000004</v>
      </c>
      <c r="Q27" s="144">
        <v>2702.1930000000002</v>
      </c>
      <c r="R27" s="188">
        <f>IF(U27="0",(IF(M27="",(IF(Q27&lt;&gt;"",Q27,"")),(IF(Q27="",0-M27,Q27-M27)))),"")</f>
        <v>2702.1930000000002</v>
      </c>
      <c r="S27" s="282">
        <f>IF(U27="0",(IF(O27="",(IF(Q27&lt;&gt;"",Q27,"")),(IF(Q27="",0-O27,Q27-O27)))),"")</f>
        <v>-86.806999999999789</v>
      </c>
      <c r="T27" s="232"/>
      <c r="U27" s="132" t="s">
        <v>22</v>
      </c>
      <c r="V27" s="2"/>
      <c r="W27" s="2"/>
      <c r="X27" s="2"/>
    </row>
    <row r="28" spans="1:25" ht="14.1" customHeight="1" x14ac:dyDescent="0.25">
      <c r="A28" s="241" t="s">
        <v>0</v>
      </c>
      <c r="B28" s="233" t="s">
        <v>62</v>
      </c>
      <c r="C28" s="188"/>
      <c r="D28" s="188"/>
      <c r="E28" s="142"/>
      <c r="F28" s="143"/>
      <c r="G28" s="144"/>
      <c r="H28" s="188"/>
      <c r="I28" s="143"/>
      <c r="J28" s="144"/>
      <c r="K28" s="188" t="str">
        <f>IF(U28="0",(IF(D28="",(IF(J28&lt;&gt;"",J28,"")),(IF(J28="",0-D28,J28-D28)))),"")</f>
        <v/>
      </c>
      <c r="L28" s="188" t="str">
        <f>IF(U28="0",(IF(G28="",(IF(J28&lt;&gt;"",J28,"")),(IF(J28="",0-G28,J28-G28)))),"")</f>
        <v/>
      </c>
      <c r="M28" s="142"/>
      <c r="N28" s="143"/>
      <c r="O28" s="144"/>
      <c r="P28" s="143"/>
      <c r="Q28" s="144"/>
      <c r="R28" s="188" t="str">
        <f>IF(U28="0",(IF(M28="",(IF(Q28&lt;&gt;"",Q28,"")),(IF(Q28="",0-M28,Q28-M28)))),"")</f>
        <v/>
      </c>
      <c r="S28" s="188" t="str">
        <f>IF(U28="0",(IF(O28="",(IF(Q28&lt;&gt;"",Q28,"")),(IF(Q28="",0-O28,Q28-O28)))),"")</f>
        <v/>
      </c>
      <c r="T28" s="232"/>
      <c r="U28" s="132" t="s">
        <v>22</v>
      </c>
      <c r="V28" s="2"/>
      <c r="W28" s="2"/>
      <c r="X28" s="2"/>
    </row>
    <row r="29" spans="1:25" ht="15" customHeight="1" x14ac:dyDescent="0.25">
      <c r="A29" s="239" t="s">
        <v>63</v>
      </c>
      <c r="B29" s="238" t="s">
        <v>64</v>
      </c>
      <c r="C29" s="259"/>
      <c r="D29" s="259"/>
      <c r="E29" s="145">
        <v>0</v>
      </c>
      <c r="F29" s="146">
        <v>0</v>
      </c>
      <c r="G29" s="147">
        <v>0</v>
      </c>
      <c r="H29" s="259">
        <v>0</v>
      </c>
      <c r="I29" s="146">
        <v>0</v>
      </c>
      <c r="J29" s="147">
        <v>0</v>
      </c>
      <c r="K29" s="260"/>
      <c r="L29" s="259">
        <f>IF(U29="0",(IF(G29="",(IF(J29&lt;&gt;"",J29,"")),(IF(J29="",0-G29,J29-G29)))),"")</f>
        <v>0</v>
      </c>
      <c r="M29" s="145"/>
      <c r="N29" s="146">
        <v>0</v>
      </c>
      <c r="O29" s="147">
        <v>0</v>
      </c>
      <c r="P29" s="146">
        <v>0</v>
      </c>
      <c r="Q29" s="147">
        <v>0</v>
      </c>
      <c r="R29" s="259" t="s">
        <v>0</v>
      </c>
      <c r="S29" s="259">
        <f>IF(U29="0",(IF(O29="",(IF(Q29&lt;&gt;"",Q29,"")),(IF(Q29="",0-O29,Q29-O29)))),"")</f>
        <v>0</v>
      </c>
      <c r="T29" s="258"/>
      <c r="U29" s="132" t="s">
        <v>22</v>
      </c>
      <c r="V29" s="2"/>
      <c r="W29" s="2"/>
      <c r="X29" s="2"/>
    </row>
    <row r="30" spans="1:25" ht="14.1" customHeight="1" x14ac:dyDescent="0.25">
      <c r="A30" s="239" t="s">
        <v>65</v>
      </c>
      <c r="B30" s="238" t="s">
        <v>66</v>
      </c>
      <c r="C30" s="149"/>
      <c r="D30" s="149"/>
      <c r="E30" s="148"/>
      <c r="F30" s="149"/>
      <c r="G30" s="149"/>
      <c r="H30" s="149"/>
      <c r="I30" s="149"/>
      <c r="J30" s="149"/>
      <c r="K30" s="149"/>
      <c r="L30" s="149"/>
      <c r="M30" s="148"/>
      <c r="N30" s="140">
        <v>0</v>
      </c>
      <c r="O30" s="141">
        <v>3652.2000000000003</v>
      </c>
      <c r="P30" s="140">
        <v>0</v>
      </c>
      <c r="Q30" s="141">
        <v>1866</v>
      </c>
      <c r="R30" s="237"/>
      <c r="S30" s="237">
        <f>IF(U30="0",(IF(O30="",(IF(Q30&lt;&gt;"",Q30,"")),(IF(Q30="",0-O30,Q30-O30)))),"")</f>
        <v>-1786.2000000000003</v>
      </c>
      <c r="T30" s="236"/>
      <c r="U30" s="132" t="s">
        <v>22</v>
      </c>
      <c r="V30" s="2"/>
      <c r="W30" s="2"/>
      <c r="X30" s="2"/>
      <c r="Y30" s="290"/>
    </row>
    <row r="31" spans="1:25" ht="14.1" customHeight="1" x14ac:dyDescent="0.25">
      <c r="A31" s="257"/>
      <c r="B31" s="256"/>
      <c r="C31" s="255"/>
      <c r="D31" s="255"/>
      <c r="E31" s="150"/>
      <c r="F31" s="151"/>
      <c r="G31" s="151"/>
      <c r="H31" s="151"/>
      <c r="I31" s="151"/>
      <c r="J31" s="151"/>
      <c r="K31" s="151"/>
      <c r="L31" s="151"/>
      <c r="M31" s="150"/>
      <c r="N31" s="151"/>
      <c r="O31" s="151"/>
      <c r="P31" s="151"/>
      <c r="Q31" s="151"/>
      <c r="R31" s="151"/>
      <c r="S31" s="151"/>
      <c r="T31" s="150"/>
      <c r="U31" s="3"/>
      <c r="V31" s="2"/>
      <c r="W31" s="2"/>
      <c r="X31" s="2"/>
    </row>
    <row r="32" spans="1:25" ht="14.1" customHeight="1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2"/>
    </row>
    <row r="33" spans="1:24" ht="15" customHeight="1" x14ac:dyDescent="0.25">
      <c r="A33" s="254">
        <v>3</v>
      </c>
      <c r="B33" s="253" t="s">
        <v>67</v>
      </c>
      <c r="C33" s="252"/>
      <c r="D33" s="252"/>
      <c r="E33" s="152">
        <f>SUMIF(B34:B59,"Падение по базовому фонду, ГТМ",E34:E59)+SUMIF(B34:B59,"От технологических причин, в т.ч:",E34:E59)</f>
        <v>41</v>
      </c>
      <c r="F33" s="153">
        <f>SUMIF(B34:B59,"Падение по базовому фонду, ГТМ",F34:F59)+SUMIF(B34:B59,"От технологических причин, в т.ч:",F34:F59)</f>
        <v>2309.9479999999999</v>
      </c>
      <c r="G33" s="154">
        <f>SUMIF(B34:B59,"Падение по базовому фонду, ГТМ",G34:G59)+SUMIF(B34:B59,"От технологических причин, в т.ч:",G34:G59)</f>
        <v>1868.3969999999999</v>
      </c>
      <c r="H33" s="250">
        <f>IF(U33="0",(SUMIF(B34:B59,"Падение по базовому фонду, ГТМ",H34:H59)+SUMIF(B34:B59,"От технологических причин, в т.ч:",H34:H59)),"")</f>
        <v>25</v>
      </c>
      <c r="I33" s="153">
        <f>IF(U33="0",(SUMIF(B34:B59,"Падение по базовому фонду, ГТМ",I34:I59)+SUMIF(B34:B59,"От технологических причин, в т.ч:",I34:I59)),"")</f>
        <v>3873.6210000000001</v>
      </c>
      <c r="J33" s="154">
        <f>IF(U33="0",(SUMIF(B34:B59,"Падение по базовому фонду, ГТМ",J34:J59)+SUMIF(B34:B59,"От технологических причин, в т.ч:",J34:J59)),"")</f>
        <v>1852.307</v>
      </c>
      <c r="K33" s="252"/>
      <c r="L33" s="285">
        <f>IF(U33="0",(SUMIF(B34:B59,"Падение по базовому фонду, ГТМ",L34:L59)+SUMIF(B34:B59,"От технологических причин, в т.ч:",L34:L59)),"")</f>
        <v>-16.090000000000018</v>
      </c>
      <c r="M33" s="251">
        <v>3348.163</v>
      </c>
      <c r="N33" s="153">
        <f>SUMIF(B34:B61,"Падение по базовому фонду, ГТМ",N34:N61)+SUMIF(B34:B61,"От технологических причин, в т.ч:",N34:N61)</f>
        <v>85089.33600000001</v>
      </c>
      <c r="O33" s="154">
        <f>SUMIF(B34:B61,"Падение по базовому фонду, ГТМ",O34:O61)+SUMIF(B34:B61,"От технологических причин, в т.ч:",O34:O61)</f>
        <v>35388.714999999997</v>
      </c>
      <c r="P33" s="153">
        <f>IF(U33="0",(SUMIF(B34:B61,"Падение по базовому фонду, ГТМ",P34:P61)+SUMIF(B34:B61,"От технологических причин, в т.ч:",P34:P61)),"")</f>
        <v>147024.78399999999</v>
      </c>
      <c r="Q33" s="154">
        <f>IF(U33="0",(SUMIF(B34:B61,"Падение по базовому фонду, ГТМ",Q34:Q61)+SUMIF(B34:B61,"От технологических причин, в т.ч:",Q34:Q61)),"")</f>
        <v>36264.091</v>
      </c>
      <c r="R33" s="250"/>
      <c r="S33" s="285">
        <f>IF(U33="0",(SUMIF(B34:B61,"Падение по базовому фонду, ГТМ",S34:S61)+SUMIF(B34:B61,"От технологических причин, в т.ч:",S34:S61)),"")</f>
        <v>875.37599999999964</v>
      </c>
      <c r="T33" s="249"/>
      <c r="U33" s="132" t="s">
        <v>22</v>
      </c>
      <c r="V33" s="2"/>
      <c r="W33" s="2"/>
      <c r="X33" s="2"/>
    </row>
    <row r="34" spans="1:24" ht="15" customHeight="1" x14ac:dyDescent="0.25">
      <c r="A34" s="248" t="s">
        <v>68</v>
      </c>
      <c r="B34" s="247" t="s">
        <v>69</v>
      </c>
      <c r="C34" s="149"/>
      <c r="D34" s="149"/>
      <c r="E34" s="148"/>
      <c r="F34" s="140">
        <f>SUBTOTAL(9,F35:F42)</f>
        <v>0</v>
      </c>
      <c r="G34" s="141">
        <f>SUBTOTAL(9,G35:G42)</f>
        <v>1550</v>
      </c>
      <c r="H34" s="149"/>
      <c r="I34" s="140">
        <f>IF(U34="0",(SUBTOTAL(9,I35:I42)),"")</f>
        <v>0</v>
      </c>
      <c r="J34" s="141">
        <f>IF(U34="0",(SUBTOTAL(9,J35:J42)),"")</f>
        <v>1550</v>
      </c>
      <c r="K34" s="149"/>
      <c r="L34" s="284">
        <f>IF(U34="0",(SUBTOTAL(9,L35:L42)),"")</f>
        <v>0</v>
      </c>
      <c r="M34" s="148">
        <v>0</v>
      </c>
      <c r="N34" s="140">
        <f>SUBTOTAL(9,N35:N42)</f>
        <v>0</v>
      </c>
      <c r="O34" s="141">
        <f>SUBTOTAL(9,O35:O42)</f>
        <v>24800</v>
      </c>
      <c r="P34" s="140">
        <f>IF(U34="0",(SUBTOTAL(9,P35:P42)),"")</f>
        <v>0</v>
      </c>
      <c r="Q34" s="141">
        <f>IF(U34="0",(SUBTOTAL(9,Q35:Q42)),"")</f>
        <v>24800</v>
      </c>
      <c r="R34" s="237"/>
      <c r="S34" s="237">
        <f>IF(U34="0",(SUBTOTAL(9,S35:S42)),"")</f>
        <v>0</v>
      </c>
      <c r="T34" s="236"/>
      <c r="U34" s="132" t="s">
        <v>22</v>
      </c>
      <c r="V34" s="2"/>
      <c r="W34" s="2"/>
      <c r="X34" s="2"/>
    </row>
    <row r="35" spans="1:24" ht="15" customHeight="1" x14ac:dyDescent="0.25">
      <c r="A35" s="241" t="s">
        <v>70</v>
      </c>
      <c r="B35" s="233" t="s">
        <v>71</v>
      </c>
      <c r="C35" s="163"/>
      <c r="D35" s="163"/>
      <c r="E35" s="155"/>
      <c r="F35" s="156">
        <f>SUBTOTAL(9,F36:F37)</f>
        <v>0</v>
      </c>
      <c r="G35" s="157">
        <f>SUBTOTAL(9,G36:G37)</f>
        <v>1550</v>
      </c>
      <c r="H35" s="243"/>
      <c r="I35" s="156">
        <f>IF(U35="0",(SUBTOTAL(9,I36:I37)),"")</f>
        <v>0</v>
      </c>
      <c r="J35" s="157">
        <f>IF(U35="0",(SUBTOTAL(9,J36:J37)),"")</f>
        <v>1550</v>
      </c>
      <c r="K35" s="243"/>
      <c r="L35" s="180">
        <f>IF(U35="0",(SUBTOTAL(9,L36:L37)),"")</f>
        <v>0</v>
      </c>
      <c r="M35" s="155">
        <v>0</v>
      </c>
      <c r="N35" s="156">
        <f>SUBTOTAL(9,N36:N37)</f>
        <v>0</v>
      </c>
      <c r="O35" s="157">
        <f>SUBTOTAL(9,O36:O37)</f>
        <v>24800</v>
      </c>
      <c r="P35" s="156">
        <f>IF(U35="0",(SUBTOTAL(9,P36:P37)),"")</f>
        <v>0</v>
      </c>
      <c r="Q35" s="157">
        <f>IF(U35="0",(SUBTOTAL(9,Q36:Q37)),"")</f>
        <v>24800</v>
      </c>
      <c r="R35" s="180"/>
      <c r="S35" s="180">
        <f>IF(U35="0",(SUBTOTAL(9,S36:S37)),"")</f>
        <v>0</v>
      </c>
      <c r="T35" s="242"/>
      <c r="U35" s="132" t="s">
        <v>22</v>
      </c>
      <c r="V35" s="2"/>
      <c r="W35" s="2"/>
      <c r="X35" s="2"/>
    </row>
    <row r="36" spans="1:24" ht="15" customHeight="1" x14ac:dyDescent="0.25">
      <c r="A36" s="241" t="s">
        <v>72</v>
      </c>
      <c r="B36" s="235" t="s">
        <v>73</v>
      </c>
      <c r="C36" s="163"/>
      <c r="D36" s="163"/>
      <c r="E36" s="158" t="s">
        <v>321</v>
      </c>
      <c r="F36" s="143">
        <v>0</v>
      </c>
      <c r="G36" s="144">
        <v>1550</v>
      </c>
      <c r="H36" s="246" t="s">
        <v>321</v>
      </c>
      <c r="I36" s="143">
        <v>0</v>
      </c>
      <c r="J36" s="144">
        <v>1550</v>
      </c>
      <c r="K36" s="163"/>
      <c r="L36" s="188">
        <f>IF(U36="0",(IF(G36="",(IF(J36&lt;&gt;"",J36,"")),(IF(J36="",0-G36,J36-G36)))),"")</f>
        <v>0</v>
      </c>
      <c r="M36" s="159"/>
      <c r="N36" s="143">
        <v>0</v>
      </c>
      <c r="O36" s="144">
        <v>24800</v>
      </c>
      <c r="P36" s="143">
        <v>0</v>
      </c>
      <c r="Q36" s="144">
        <v>24800</v>
      </c>
      <c r="R36" s="188"/>
      <c r="S36" s="188">
        <f>IF(U36="0",(IF(O36="",(IF(Q36&lt;&gt;"",Q36,"")),(IF(Q36="",0-O36,Q36-O36)))),"")</f>
        <v>0</v>
      </c>
      <c r="T36" s="232"/>
      <c r="U36" s="132" t="s">
        <v>22</v>
      </c>
      <c r="V36" s="2"/>
      <c r="W36" s="2"/>
      <c r="X36" s="2"/>
    </row>
    <row r="37" spans="1:24" ht="15" customHeight="1" x14ac:dyDescent="0.25">
      <c r="A37" s="241" t="s">
        <v>74</v>
      </c>
      <c r="B37" s="235" t="s">
        <v>75</v>
      </c>
      <c r="C37" s="163"/>
      <c r="D37" s="163"/>
      <c r="E37" s="158" t="s">
        <v>76</v>
      </c>
      <c r="F37" s="143">
        <v>0</v>
      </c>
      <c r="G37" s="144">
        <v>0</v>
      </c>
      <c r="H37" s="246" t="s">
        <v>76</v>
      </c>
      <c r="I37" s="143">
        <v>0</v>
      </c>
      <c r="J37" s="144">
        <v>0</v>
      </c>
      <c r="K37" s="163"/>
      <c r="L37" s="188">
        <f>IF(U37="0",(IF(G37="",(IF(J37&lt;&gt;"",J37,"")),(IF(J37="",0-G37,J37-G37)))),"")</f>
        <v>0</v>
      </c>
      <c r="M37" s="159"/>
      <c r="N37" s="143">
        <v>0</v>
      </c>
      <c r="O37" s="144">
        <v>0</v>
      </c>
      <c r="P37" s="143">
        <v>0</v>
      </c>
      <c r="Q37" s="144">
        <v>0</v>
      </c>
      <c r="R37" s="188"/>
      <c r="S37" s="188">
        <f>IF(U37="0",(IF(O37="",(IF(Q37&lt;&gt;"",Q37,"")),(IF(Q37="",0-O37,Q37-O37)))),"")</f>
        <v>0</v>
      </c>
      <c r="T37" s="232"/>
      <c r="U37" s="132" t="s">
        <v>22</v>
      </c>
      <c r="V37" s="2"/>
      <c r="W37" s="2"/>
      <c r="X37" s="2"/>
    </row>
    <row r="38" spans="1:24" ht="15" customHeight="1" x14ac:dyDescent="0.25">
      <c r="A38" s="241" t="s">
        <v>77</v>
      </c>
      <c r="B38" s="233" t="s">
        <v>78</v>
      </c>
      <c r="C38" s="163"/>
      <c r="D38" s="163"/>
      <c r="E38" s="155"/>
      <c r="F38" s="156">
        <f>SUBTOTAL(9,F39:F40)</f>
        <v>0</v>
      </c>
      <c r="G38" s="157">
        <f>SUBTOTAL(9,G39:G40)</f>
        <v>0</v>
      </c>
      <c r="H38" s="243"/>
      <c r="I38" s="156">
        <f>IF(U38="0",(SUBTOTAL(9,I39:I40)),"")</f>
        <v>0</v>
      </c>
      <c r="J38" s="157">
        <f>IF(U38="0",(SUBTOTAL(9,J39:J40)),"")</f>
        <v>0</v>
      </c>
      <c r="K38" s="243"/>
      <c r="L38" s="180">
        <f>IF(U38="0",(SUBTOTAL(9,L39:L40)),"")</f>
        <v>0</v>
      </c>
      <c r="M38" s="155">
        <v>0</v>
      </c>
      <c r="N38" s="156">
        <f>SUBTOTAL(9,N39:N40)</f>
        <v>0</v>
      </c>
      <c r="O38" s="157">
        <f>SUBTOTAL(9,O39:O40)</f>
        <v>0</v>
      </c>
      <c r="P38" s="156">
        <f>IF(U38="0",(SUBTOTAL(9,P39:P40)),"")</f>
        <v>0</v>
      </c>
      <c r="Q38" s="157">
        <f>IF(U38="0",(SUBTOTAL(9,Q39:Q40)),"")</f>
        <v>0</v>
      </c>
      <c r="R38" s="180"/>
      <c r="S38" s="180">
        <f>IF(U38="0",(SUBTOTAL(9,S39:S40)),"")</f>
        <v>0</v>
      </c>
      <c r="T38" s="242"/>
      <c r="U38" s="132" t="s">
        <v>22</v>
      </c>
      <c r="V38" s="2"/>
      <c r="W38" s="2"/>
      <c r="X38" s="2"/>
    </row>
    <row r="39" spans="1:24" ht="15" customHeight="1" x14ac:dyDescent="0.25">
      <c r="A39" s="241" t="s">
        <v>79</v>
      </c>
      <c r="B39" s="235" t="s">
        <v>80</v>
      </c>
      <c r="C39" s="163"/>
      <c r="D39" s="163"/>
      <c r="E39" s="159"/>
      <c r="F39" s="143"/>
      <c r="G39" s="144"/>
      <c r="H39" s="163"/>
      <c r="I39" s="143"/>
      <c r="J39" s="144"/>
      <c r="K39" s="163"/>
      <c r="L39" s="188" t="str">
        <f>IF(U39="0",(IF(G39="",(IF(J39&lt;&gt;"",J39,"")),(IF(J39="",0-G39,J39-G39)))),"")</f>
        <v/>
      </c>
      <c r="M39" s="159"/>
      <c r="N39" s="143"/>
      <c r="O39" s="144"/>
      <c r="P39" s="143"/>
      <c r="Q39" s="144"/>
      <c r="R39" s="188"/>
      <c r="S39" s="188" t="str">
        <f>IF(U39="0",(IF(O39="",(IF(Q39&lt;&gt;"",Q39,"")),(IF(Q39="",0-O39,Q39-O39)))),"")</f>
        <v/>
      </c>
      <c r="T39" s="232"/>
      <c r="U39" s="132" t="s">
        <v>22</v>
      </c>
      <c r="V39" s="2"/>
      <c r="W39" s="2"/>
      <c r="X39" s="2"/>
    </row>
    <row r="40" spans="1:24" ht="15" customHeight="1" x14ac:dyDescent="0.25">
      <c r="A40" s="241" t="s">
        <v>81</v>
      </c>
      <c r="B40" s="235" t="s">
        <v>82</v>
      </c>
      <c r="C40" s="163"/>
      <c r="D40" s="163"/>
      <c r="E40" s="159"/>
      <c r="F40" s="143"/>
      <c r="G40" s="144"/>
      <c r="H40" s="163"/>
      <c r="I40" s="143"/>
      <c r="J40" s="144"/>
      <c r="K40" s="163"/>
      <c r="L40" s="188" t="str">
        <f>IF(U40="0",(IF(G40="",(IF(J40&lt;&gt;"",J40,"")),(IF(J40="",0-G40,J40-G40)))),"")</f>
        <v/>
      </c>
      <c r="M40" s="159"/>
      <c r="N40" s="143"/>
      <c r="O40" s="144"/>
      <c r="P40" s="143"/>
      <c r="Q40" s="144"/>
      <c r="R40" s="188"/>
      <c r="S40" s="188" t="str">
        <f>IF(U40="0",(IF(O40="",(IF(Q40&lt;&gt;"",Q40,"")),(IF(Q40="",0-O40,Q40-O40)))),"")</f>
        <v/>
      </c>
      <c r="T40" s="232"/>
      <c r="U40" s="132" t="s">
        <v>22</v>
      </c>
      <c r="V40" s="2"/>
      <c r="W40" s="2"/>
      <c r="X40" s="2"/>
    </row>
    <row r="41" spans="1:24" ht="15" customHeight="1" x14ac:dyDescent="0.25">
      <c r="A41" s="241" t="s">
        <v>83</v>
      </c>
      <c r="B41" s="233" t="s">
        <v>84</v>
      </c>
      <c r="C41" s="163"/>
      <c r="D41" s="163"/>
      <c r="E41" s="155"/>
      <c r="F41" s="156">
        <f>SUBTOTAL(9,F42:F42)</f>
        <v>0</v>
      </c>
      <c r="G41" s="157">
        <f>SUBTOTAL(9,G42:G42)</f>
        <v>0</v>
      </c>
      <c r="H41" s="243"/>
      <c r="I41" s="156">
        <f>IF(U41="0",(SUBTOTAL(9,I42:I42)),"")</f>
        <v>0</v>
      </c>
      <c r="J41" s="157">
        <f>IF(U41="0",(SUBTOTAL(9,J42:J42)),"")</f>
        <v>0</v>
      </c>
      <c r="K41" s="243"/>
      <c r="L41" s="283">
        <f>IF(U41="0",(SUBTOTAL(9,L42:L42)),"")</f>
        <v>0</v>
      </c>
      <c r="M41" s="155">
        <v>0</v>
      </c>
      <c r="N41" s="156">
        <f>SUBTOTAL(9,N42:N42)</f>
        <v>0</v>
      </c>
      <c r="O41" s="157">
        <f>SUBTOTAL(9,O42:O42)</f>
        <v>0</v>
      </c>
      <c r="P41" s="156">
        <f>IF(U41="0",(SUBTOTAL(9,P42:P42)),"")</f>
        <v>0</v>
      </c>
      <c r="Q41" s="157">
        <f>IF(U41="0",(SUBTOTAL(9,Q42:Q42)),"")</f>
        <v>0</v>
      </c>
      <c r="R41" s="180"/>
      <c r="S41" s="180">
        <f>IF(U41="0",(SUBTOTAL(9,S42:S42)),"")</f>
        <v>0</v>
      </c>
      <c r="T41" s="242"/>
      <c r="U41" s="132" t="s">
        <v>22</v>
      </c>
      <c r="V41" s="2"/>
      <c r="W41" s="2"/>
      <c r="X41" s="2"/>
    </row>
    <row r="42" spans="1:24" ht="15" customHeight="1" x14ac:dyDescent="0.25">
      <c r="A42" s="241" t="s">
        <v>85</v>
      </c>
      <c r="B42" s="235" t="s">
        <v>86</v>
      </c>
      <c r="C42" s="163"/>
      <c r="D42" s="163"/>
      <c r="E42" s="159"/>
      <c r="F42" s="143"/>
      <c r="G42" s="144"/>
      <c r="H42" s="288"/>
      <c r="I42" s="289"/>
      <c r="J42" s="287"/>
      <c r="K42" s="163"/>
      <c r="L42" s="282" t="str">
        <f>IF(U42="0",(IF(G42="",(IF(J42&lt;&gt;"",J42,"")),(IF(J42="",0-G42,J42-G42)))),"")</f>
        <v/>
      </c>
      <c r="M42" s="159"/>
      <c r="N42" s="143"/>
      <c r="O42" s="144"/>
      <c r="P42" s="143"/>
      <c r="Q42" s="144"/>
      <c r="R42" s="188"/>
      <c r="S42" s="188" t="str">
        <f>IF(U42="0",(IF(O42="",(IF(Q42&lt;&gt;"",Q42,"")),(IF(Q42="",0-O42,Q42-O42)))),"")</f>
        <v/>
      </c>
      <c r="T42" s="232"/>
      <c r="U42" s="132" t="s">
        <v>22</v>
      </c>
      <c r="V42" s="2"/>
      <c r="W42" s="2"/>
      <c r="X42" s="2"/>
    </row>
    <row r="43" spans="1:24" ht="15" customHeight="1" x14ac:dyDescent="0.25">
      <c r="A43" s="245" t="s">
        <v>87</v>
      </c>
      <c r="B43" s="244" t="s">
        <v>88</v>
      </c>
      <c r="C43" s="149"/>
      <c r="D43" s="149"/>
      <c r="E43" s="139">
        <f>SUMIF(B44:B59,"Рост потенциала простоя",E44:E59)+SUMIF(B44:B59,"Остановка по распоряжению, в т.ч.:",E44:E59)+SUMIF(B44:B59,"Остановка нерентабельного фонда",E44:E59)+SUMIF(B44:B59,"Остановка для перевода в ППД",E44:E59)+SUMIF(B44:B59,"Прочие потери",E44:E59)+SUMIF(B44:B59,"Потери нефти по ОТМ",E44:E59)+SUMIF(B44:B59,"Ост. дебит от ЗБС, Углуб., ПВЛГ/ПНЛГ",E44:E59)</f>
        <v>41</v>
      </c>
      <c r="F43" s="140">
        <f>SUMIF(B44:B59,"Рост потенциала простоя",F44:F59)+SUMIF(B44:B59,"Остановка по распоряжению, в т.ч.:",F44:F59)+SUMIF(B44:B59,"Остановка нерентабельного фонда",F44:F59)+SUMIF(B44:B59,"Остановка для перевода в ППД",F44:F59)+SUMIF(B44:B59,"Прочие потери",F44:F59)+SUMIF(B44:B59,"Потери нефти по ОТМ",F44:F59)+SUMIF(B44:B59,"Ост. дебит от ЗБС, Углуб., ПВЛГ/ПНЛГ",F44:F59)</f>
        <v>2309.9479999999999</v>
      </c>
      <c r="G43" s="141">
        <f>SUMIF(B44:B59,"Рост потенциала простоя",G44:G59)+SUMIF(B44:B59,"Остановка по распоряжению, в т.ч.:",G44:G59)+SUMIF(B44:B59,"Остановка нерентабельного фонда",G44:G59)+SUMIF(B44:B59,"Остановка для перевода в ППД",G44:G59)+SUMIF(B44:B59,"Прочие потери",G44:G59)+SUMIF(B44:B59,"Потери нефти по ОТМ",G44:G59)+SUMIF(B44:B59,"Ост. дебит от ЗБС, Углуб., ПВЛГ/ПНЛГ",G44:G59)</f>
        <v>318.39700000000005</v>
      </c>
      <c r="H43" s="237">
        <f>IF(U43="0",(SUMIF(B44:B59,"Рост потенциала простоя",H44:H59)+SUMIF(B44:B59,"Остановка по распоряжению, в т.ч.:",H44:H59)+SUMIF(B44:B59,"Остановка нерентабельного фонда",H44:H59)+SUMIF(B44:B59,"Остановка для перевода в ППД",H44:H59)+SUMIF(B44:B59,"Прочие потери",H44:H59)+SUMIF(B44:B59,"Потери нефти по ОТМ",H44:H59)+SUMIF(B44:B59,"Ост. дебит от ЗБС, Углуб., ПВЛГ/ПНЛГ",H44:H59)),"")</f>
        <v>25</v>
      </c>
      <c r="I43" s="140">
        <f>IF(U43="0",(SUMIF(B44:B59,"Рост потенциала простоя",I44:I59)+SUMIF(B44:B59,"Остановка по распоряжению, в т.ч.:",I44:I59)+SUMIF(B44:B59,"Остановка нерентабельного фонда",I44:I59)+SUMIF(B44:B59,"Остановка для перевода в ППД",I44:I59)+SUMIF(B44:B59,"Прочие потери",I44:I59)+SUMIF(B44:B59,"Потери нефти по ОТМ",I44:I59)+SUMIF(B44:B59,"Ост. дебит от ЗБС, Углуб., ПВЛГ/ПНЛГ",I44:I59)),"")</f>
        <v>3873.6210000000001</v>
      </c>
      <c r="J43" s="141">
        <f>IF(U43="0",(SUMIF(B44:B59,"Рост потенциала простоя",J44:J59)+SUMIF(B44:B59,"Остановка по распоряжению, в т.ч.:",J44:J59)+SUMIF(B44:B59,"Остановка нерентабельного фонда",J44:J59)+SUMIF(B44:B59,"Остановка для перевода в ППД",J44:J59)+SUMIF(B44:B59,"Прочие потери",J44:J59)+SUMIF(B44:B59,"Потери нефти по ОТМ",J44:J59)+SUMIF(B44:B59,"Ост. дебит от ЗБС, Углуб., ПВЛГ/ПНЛГ",J44:J59)),"")</f>
        <v>302.30700000000002</v>
      </c>
      <c r="K43" s="149"/>
      <c r="L43" s="284">
        <f>IF(U43="0",(SUMIF(B44:B59,"Рост потенциала простоя",L44:L59)+SUMIF(B44:B59,"Остановка по распоряжению, в т.ч.:",L44:L59)+SUMIF(B44:B59,"Остановка нерентабельного фонда",L44:L59)+SUMIF(B44:B59,"Остановка для перевода в ППД",L44:L59)+SUMIF(B44:B59,"Прочие потери",L44:L59)+SUMIF(B44:B59,"Потери нефти по ОТМ",L44:L59)+SUMIF(B44:B59,"Ост. дебит от ЗБС, Углуб., ПВЛГ/ПНЛГ",L44:L59)),"")</f>
        <v>-16.090000000000018</v>
      </c>
      <c r="M43" s="148">
        <v>3348.163</v>
      </c>
      <c r="N43" s="140">
        <f>SUMIF(B44:B61,"Рост потенциала простоя",N44:N61)+SUMIF(B44:B61,"Остановка по распоряжению, в т.ч.:",N44:N61)+SUMIF(B44:B61,"Остановка нерентабельного фонда",N44:N61)+SUMIF(B44:B61,"Остановка для перевода в ППД",N44:N61)+SUMIF(B44:B61,"Прочие потери",N44:N61)+SUMIF(B44:B61,"Потери нефти по ОТМ",N44:N61)+SUMIF(B44:B61,"Ост. дебит от ЗБС, Углуб., ПВЛГ/ПНЛГ",N44:N61)</f>
        <v>85089.33600000001</v>
      </c>
      <c r="O43" s="141">
        <f>SUMIF(B44:B61,"Рост потенциала простоя",O44:O61)+SUMIF(B44:B61,"Остановка по распоряжению, в т.ч.:",O44:O61)+SUMIF(B44:B61,"Остановка нерентабельного фонда",O44:O61)+SUMIF(B44:B61,"Остановка для перевода в ППД",O44:O61)+SUMIF(B44:B61,"Прочие потери",O44:O61)+SUMIF(B44:B61,"Потери нефти по ОТМ",O44:O61)+SUMIF(B44:B61,"Ост. дебит от ЗБС, Углуб., ПВЛГ/ПНЛГ",O44:O61)</f>
        <v>10588.715</v>
      </c>
      <c r="P43" s="140">
        <f>IF(U43="0",(SUMIF(B44:B61,"Рост потенциала простоя",P44:P61)+SUMIF(B44:B61,"Остановка по распоряжению, в т.ч.:",P44:P61)+SUMIF(B44:B61,"Остановка нерентабельного фонда",P44:P61)+SUMIF(B44:B61,"Остановка для перевода в ППД",P44:P61)+SUMIF(B44:B61,"Прочие потери",P44:P61)+SUMIF(B44:B61,"Потери нефти по ОТМ",P44:P61)+SUMIF(B44:B61,"Ост. дебит от ЗБС, Углуб., ПВЛГ/ПНЛГ",P44:P61)),"")</f>
        <v>147024.78399999999</v>
      </c>
      <c r="Q43" s="141">
        <f>IF(U43="0",(SUMIF(B44:B61,"Рост потенциала простоя",Q44:Q61)+SUMIF(B44:B61,"Остановка по распоряжению, в т.ч.:",Q44:Q61)+SUMIF(B44:B61,"Остановка нерентабельного фонда",Q44:Q61)+SUMIF(B44:B61,"Остановка для перевода в ППД",Q44:Q61)+SUMIF(B44:B61,"Прочие потери",Q44:Q61)+SUMIF(B44:B61,"Потери нефти по ОТМ",Q44:Q61)+SUMIF(B44:B61,"Ост. дебит от ЗБС, Углуб., ПВЛГ/ПНЛГ",Q44:Q61)),"")</f>
        <v>11464.091</v>
      </c>
      <c r="R43" s="237"/>
      <c r="S43" s="284">
        <f>IF(U43="0",(SUMIF(B44:B61,"Рост потенциала простоя",S44:S61)+SUMIF(B44:B61,"Остановка по распоряжению, в т.ч.:",S44:S61)+SUMIF(B44:B61,"Остановка нерентабельного фонда",S44:S61)+SUMIF(B44:B61,"Остановка для перевода в ППД",S44:S61)+SUMIF(B44:B61,"Прочие потери",S44:S61)+SUMIF(B44:B61,"Потери нефти по ОТМ",S44:S61)+SUMIF(B44:B61,"Ост. дебит от ЗБС, Углуб., ПВЛГ/ПНЛГ",S44:S61)),"")</f>
        <v>875.37599999999964</v>
      </c>
      <c r="T43" s="236"/>
      <c r="U43" s="132" t="s">
        <v>22</v>
      </c>
      <c r="V43" s="2"/>
      <c r="W43" s="2"/>
      <c r="X43" s="2"/>
    </row>
    <row r="44" spans="1:24" ht="15" customHeight="1" x14ac:dyDescent="0.25">
      <c r="A44" s="241" t="s">
        <v>89</v>
      </c>
      <c r="B44" s="240" t="s">
        <v>90</v>
      </c>
      <c r="C44" s="163"/>
      <c r="D44" s="163"/>
      <c r="E44" s="160">
        <v>35</v>
      </c>
      <c r="F44" s="156">
        <v>2213.9479999999999</v>
      </c>
      <c r="G44" s="157">
        <v>297.29700000000003</v>
      </c>
      <c r="H44" s="180">
        <v>22</v>
      </c>
      <c r="I44" s="156">
        <v>3811.0830000000001</v>
      </c>
      <c r="J44" s="157">
        <v>292.53800000000001</v>
      </c>
      <c r="K44" s="243"/>
      <c r="L44" s="283">
        <f>IF(U44="0",(IF(G44="",(IF(J44&lt;&gt;"",J44,"")),(IF(J44="",0-G44,J44-G44)))),"")</f>
        <v>-4.7590000000000146</v>
      </c>
      <c r="M44" s="155"/>
      <c r="N44" s="156">
        <v>47182.523000000001</v>
      </c>
      <c r="O44" s="157">
        <v>7843.7740000000003</v>
      </c>
      <c r="P44" s="156">
        <v>107514.853</v>
      </c>
      <c r="Q44" s="291">
        <v>8950</v>
      </c>
      <c r="R44" s="180"/>
      <c r="S44" s="180">
        <f>IF(U44="0",(IF(O44="",(IF(Q44&lt;&gt;"",Q44,"")),(IF(Q44="",0-O44,Q44-O44)))),"")</f>
        <v>1106.2259999999997</v>
      </c>
      <c r="T44" s="242"/>
      <c r="U44" s="132" t="s">
        <v>22</v>
      </c>
      <c r="V44" s="2"/>
      <c r="W44" s="2"/>
      <c r="X44" s="2"/>
    </row>
    <row r="45" spans="1:24" ht="15" customHeight="1" x14ac:dyDescent="0.25">
      <c r="A45" s="241" t="s">
        <v>91</v>
      </c>
      <c r="B45" s="233" t="s">
        <v>92</v>
      </c>
      <c r="C45" s="163"/>
      <c r="D45" s="163"/>
      <c r="E45" s="142"/>
      <c r="F45" s="143"/>
      <c r="G45" s="144"/>
      <c r="H45" s="188"/>
      <c r="I45" s="143"/>
      <c r="J45" s="144"/>
      <c r="K45" s="163"/>
      <c r="L45" s="188" t="str">
        <f>IF(U45="0",(IF(G45="",(IF(J45&lt;&gt;"",J45,"")),(IF(J45="",0-G45,J45-G45)))),"")</f>
        <v/>
      </c>
      <c r="M45" s="159"/>
      <c r="N45" s="143"/>
      <c r="O45" s="144"/>
      <c r="P45" s="143"/>
      <c r="Q45" s="144"/>
      <c r="R45" s="188"/>
      <c r="S45" s="188" t="str">
        <f>IF(U45="0",(IF(O45="",(IF(Q45&lt;&gt;"",Q45,"")),(IF(Q45="",0-O45,Q45-O45)))),"")</f>
        <v/>
      </c>
      <c r="T45" s="232"/>
      <c r="U45" s="132" t="s">
        <v>22</v>
      </c>
      <c r="V45" s="2"/>
      <c r="W45" s="2"/>
      <c r="X45" s="2"/>
    </row>
    <row r="46" spans="1:24" ht="15" customHeight="1" x14ac:dyDescent="0.25">
      <c r="A46" s="241" t="s">
        <v>93</v>
      </c>
      <c r="B46" s="233" t="s">
        <v>94</v>
      </c>
      <c r="C46" s="163"/>
      <c r="D46" s="163"/>
      <c r="E46" s="142">
        <v>10</v>
      </c>
      <c r="F46" s="143">
        <v>880</v>
      </c>
      <c r="G46" s="144">
        <v>33.299999999999997</v>
      </c>
      <c r="H46" s="188">
        <v>8</v>
      </c>
      <c r="I46" s="143">
        <v>506.911</v>
      </c>
      <c r="J46" s="144">
        <v>26.736999999999998</v>
      </c>
      <c r="K46" s="163"/>
      <c r="L46" s="282">
        <f>IF(U46="0",(IF(G46="",(IF(J46&lt;&gt;"",J46,"")),(IF(J46="",0-G46,J46-G46)))),"")</f>
        <v>-6.5629999999999988</v>
      </c>
      <c r="M46" s="159"/>
      <c r="N46" s="143">
        <v>8866</v>
      </c>
      <c r="O46" s="144">
        <v>323.89999999999998</v>
      </c>
      <c r="P46" s="143">
        <v>18748.027999999998</v>
      </c>
      <c r="Q46" s="144">
        <v>2250.3420000000001</v>
      </c>
      <c r="R46" s="188"/>
      <c r="S46" s="188">
        <f>IF(U46="0",(IF(O46="",(IF(Q46&lt;&gt;"",Q46,"")),(IF(Q46="",0-O46,Q46-O46)))),"")</f>
        <v>1926.442</v>
      </c>
      <c r="T46" s="232"/>
      <c r="U46" s="132" t="s">
        <v>22</v>
      </c>
      <c r="V46" s="2"/>
      <c r="W46" s="2"/>
      <c r="X46" s="2"/>
    </row>
    <row r="47" spans="1:24" ht="15" customHeight="1" x14ac:dyDescent="0.25">
      <c r="A47" s="241" t="s">
        <v>95</v>
      </c>
      <c r="B47" s="233" t="s">
        <v>96</v>
      </c>
      <c r="C47" s="163"/>
      <c r="D47" s="163"/>
      <c r="E47" s="142"/>
      <c r="F47" s="143"/>
      <c r="G47" s="144"/>
      <c r="H47" s="188"/>
      <c r="I47" s="143"/>
      <c r="J47" s="144"/>
      <c r="K47" s="163"/>
      <c r="L47" s="188" t="str">
        <f>IF(U47="0",(IF(G47="",(IF(J47&lt;&gt;"",J47,"")),(IF(J47="",0-G47,J47-G47)))),"")</f>
        <v/>
      </c>
      <c r="M47" s="159"/>
      <c r="N47" s="143"/>
      <c r="O47" s="144"/>
      <c r="P47" s="143"/>
      <c r="Q47" s="144"/>
      <c r="R47" s="188"/>
      <c r="S47" s="188" t="str">
        <f>IF(U47="0",(IF(O47="",(IF(Q47&lt;&gt;"",Q47,"")),(IF(Q47="",0-O47,Q47-O47)))),"")</f>
        <v/>
      </c>
      <c r="T47" s="232"/>
      <c r="U47" s="132" t="s">
        <v>22</v>
      </c>
      <c r="V47" s="2"/>
      <c r="W47" s="2"/>
      <c r="X47" s="2"/>
    </row>
    <row r="48" spans="1:24" ht="15" customHeight="1" x14ac:dyDescent="0.25">
      <c r="A48" s="241" t="s">
        <v>97</v>
      </c>
      <c r="B48" s="233" t="s">
        <v>98</v>
      </c>
      <c r="C48" s="163"/>
      <c r="D48" s="163"/>
      <c r="E48" s="142"/>
      <c r="F48" s="143"/>
      <c r="G48" s="144"/>
      <c r="H48" s="188"/>
      <c r="I48" s="143"/>
      <c r="J48" s="144"/>
      <c r="K48" s="163"/>
      <c r="L48" s="188" t="str">
        <f>IF(U48="0",(IF(G48="",(IF(J48&lt;&gt;"",J48,"")),(IF(J48="",0-G48,J48-G48)))),"")</f>
        <v/>
      </c>
      <c r="M48" s="159"/>
      <c r="N48" s="143"/>
      <c r="O48" s="144"/>
      <c r="P48" s="143"/>
      <c r="Q48" s="144"/>
      <c r="R48" s="188"/>
      <c r="S48" s="188" t="str">
        <f>IF(U48="0",(IF(O48="",(IF(Q48&lt;&gt;"",Q48,"")),(IF(Q48="",0-O48,Q48-O48)))),"")</f>
        <v/>
      </c>
      <c r="T48" s="232"/>
      <c r="U48" s="132" t="s">
        <v>22</v>
      </c>
      <c r="V48" s="2"/>
      <c r="W48" s="2"/>
      <c r="X48" s="2"/>
    </row>
    <row r="49" spans="1:26" ht="15" customHeight="1" x14ac:dyDescent="0.25">
      <c r="A49" s="241" t="s">
        <v>0</v>
      </c>
      <c r="B49" s="233" t="s">
        <v>62</v>
      </c>
      <c r="C49" s="163"/>
      <c r="D49" s="163"/>
      <c r="E49" s="142"/>
      <c r="F49" s="143"/>
      <c r="G49" s="144"/>
      <c r="H49" s="188"/>
      <c r="I49" s="143"/>
      <c r="J49" s="144"/>
      <c r="K49" s="163"/>
      <c r="L49" s="188" t="str">
        <f>IF(U49="0",(IF(G49="",(IF(J49&lt;&gt;"",J49,"")),(IF(J49="",0-G49,J49-G49)))),"")</f>
        <v/>
      </c>
      <c r="M49" s="159"/>
      <c r="N49" s="143"/>
      <c r="O49" s="144"/>
      <c r="P49" s="143"/>
      <c r="Q49" s="144"/>
      <c r="R49" s="188"/>
      <c r="S49" s="188" t="str">
        <f>IF(U49="0",(IF(O49="",(IF(Q49&lt;&gt;"",Q49,"")),(IF(Q49="",0-O49,Q49-O49)))),"")</f>
        <v/>
      </c>
      <c r="T49" s="232"/>
      <c r="U49" s="132" t="s">
        <v>22</v>
      </c>
      <c r="V49" s="2"/>
      <c r="W49" s="2"/>
      <c r="X49" s="2"/>
    </row>
    <row r="50" spans="1:26" ht="15" customHeight="1" x14ac:dyDescent="0.25">
      <c r="A50" s="241" t="s">
        <v>99</v>
      </c>
      <c r="B50" s="233" t="s">
        <v>100</v>
      </c>
      <c r="C50" s="163"/>
      <c r="D50" s="163"/>
      <c r="E50" s="142"/>
      <c r="F50" s="143"/>
      <c r="G50" s="144"/>
      <c r="H50" s="188"/>
      <c r="I50" s="143"/>
      <c r="J50" s="144"/>
      <c r="K50" s="163"/>
      <c r="L50" s="188" t="str">
        <f>IF(U50="0",(IF(G50="",(IF(J50&lt;&gt;"",J50,"")),(IF(J50="",0-G50,J50-G50)))),"")</f>
        <v/>
      </c>
      <c r="M50" s="159"/>
      <c r="N50" s="143"/>
      <c r="O50" s="144"/>
      <c r="P50" s="143"/>
      <c r="Q50" s="144"/>
      <c r="R50" s="188"/>
      <c r="S50" s="188" t="str">
        <f>IF(U50="0",(IF(O50="",(IF(Q50&lt;&gt;"",Q50,"")),(IF(Q50="",0-O50,Q50-O50)))),"")</f>
        <v/>
      </c>
      <c r="T50" s="232"/>
      <c r="U50" s="132" t="s">
        <v>22</v>
      </c>
      <c r="V50" s="2"/>
      <c r="W50" s="2"/>
      <c r="X50" s="2"/>
    </row>
    <row r="51" spans="1:26" ht="15" customHeight="1" x14ac:dyDescent="0.25">
      <c r="A51" s="241" t="s">
        <v>101</v>
      </c>
      <c r="B51" s="240" t="s">
        <v>102</v>
      </c>
      <c r="C51" s="163"/>
      <c r="D51" s="163"/>
      <c r="E51" s="142">
        <v>6</v>
      </c>
      <c r="F51" s="143">
        <v>96</v>
      </c>
      <c r="G51" s="144">
        <v>21.1</v>
      </c>
      <c r="H51" s="188">
        <v>3</v>
      </c>
      <c r="I51" s="143">
        <v>62.537999999999997</v>
      </c>
      <c r="J51" s="144">
        <v>9.7690000000000001</v>
      </c>
      <c r="K51" s="163"/>
      <c r="L51" s="282">
        <f>IF(U51="0",(IF(G51="",(IF(J51&lt;&gt;"",J51,"")),(IF(J51="",0-G51,J51-G51)))),"")</f>
        <v>-11.331000000000001</v>
      </c>
      <c r="M51" s="159"/>
      <c r="N51" s="143">
        <v>1599</v>
      </c>
      <c r="O51" s="144">
        <v>359.3</v>
      </c>
      <c r="P51" s="143">
        <v>1404.45</v>
      </c>
      <c r="Q51" s="144">
        <v>128.44999999999999</v>
      </c>
      <c r="R51" s="188"/>
      <c r="S51" s="282">
        <f>IF(U51="0",(IF(O51="",(IF(Q51&lt;&gt;"",Q51,"")),(IF(Q51="",0-O51,Q51-O51)))),"")</f>
        <v>-230.85000000000002</v>
      </c>
      <c r="T51" s="232"/>
      <c r="U51" s="132" t="s">
        <v>22</v>
      </c>
      <c r="V51" s="2"/>
      <c r="W51" s="2"/>
      <c r="X51" s="2"/>
    </row>
    <row r="52" spans="1:26" ht="15" customHeight="1" x14ac:dyDescent="0.25">
      <c r="A52" s="241" t="s">
        <v>103</v>
      </c>
      <c r="B52" s="240" t="s">
        <v>104</v>
      </c>
      <c r="C52" s="163"/>
      <c r="D52" s="163"/>
      <c r="E52" s="159"/>
      <c r="F52" s="143"/>
      <c r="G52" s="144"/>
      <c r="H52" s="163"/>
      <c r="I52" s="143"/>
      <c r="J52" s="144"/>
      <c r="K52" s="163"/>
      <c r="L52" s="188" t="str">
        <f>IF(U52="0",(IF(G52="",(IF(J52&lt;&gt;"",J52,"")),(IF(J52="",0-G52,J52-G52)))),"")</f>
        <v/>
      </c>
      <c r="M52" s="159"/>
      <c r="N52" s="143">
        <v>0</v>
      </c>
      <c r="O52" s="144"/>
      <c r="P52" s="143">
        <v>0</v>
      </c>
      <c r="Q52" s="144"/>
      <c r="R52" s="188"/>
      <c r="S52" s="282" t="str">
        <f>IF(U52="0",(IF(O52="",(IF(Q52&lt;&gt;"",Q52,"")),(IF(Q52="",0-O52,Q52-O52)))),"")</f>
        <v/>
      </c>
      <c r="T52" s="232"/>
      <c r="U52" s="132" t="s">
        <v>22</v>
      </c>
      <c r="V52" s="2"/>
      <c r="W52" s="2"/>
      <c r="X52" s="2"/>
    </row>
    <row r="53" spans="1:26" ht="15" customHeight="1" x14ac:dyDescent="0.25">
      <c r="A53" s="239" t="s">
        <v>105</v>
      </c>
      <c r="B53" s="238" t="s">
        <v>106</v>
      </c>
      <c r="C53" s="149"/>
      <c r="D53" s="149"/>
      <c r="E53" s="148"/>
      <c r="F53" s="149"/>
      <c r="G53" s="149"/>
      <c r="H53" s="149"/>
      <c r="I53" s="149"/>
      <c r="J53" s="149"/>
      <c r="K53" s="149"/>
      <c r="L53" s="149"/>
      <c r="M53" s="148">
        <v>3348.163</v>
      </c>
      <c r="N53" s="140">
        <f>SUBTOTAL(9,N54:N60)</f>
        <v>36307.813000000002</v>
      </c>
      <c r="O53" s="141">
        <f>SUBTOTAL(9,O54:O61)</f>
        <v>2385.6410000000001</v>
      </c>
      <c r="P53" s="140">
        <f>IF(U53="0",(SUBTOTAL(9,P54:P61)),"")</f>
        <v>38105.481</v>
      </c>
      <c r="Q53" s="141">
        <f>IF(U53="0",(SUBTOTAL(9,Q54:Q61)),"")</f>
        <v>2385.6410000000001</v>
      </c>
      <c r="R53" s="237"/>
      <c r="S53" s="284">
        <f>IF(U53="0",(SUBTOTAL(9,S54:S61)),"")</f>
        <v>0</v>
      </c>
      <c r="T53" s="236"/>
      <c r="U53" s="132" t="s">
        <v>22</v>
      </c>
      <c r="V53" s="2"/>
      <c r="W53" s="2"/>
      <c r="X53" s="2"/>
    </row>
    <row r="54" spans="1:26" ht="15" customHeight="1" x14ac:dyDescent="0.25">
      <c r="A54" s="234" t="s">
        <v>107</v>
      </c>
      <c r="B54" s="233" t="s">
        <v>108</v>
      </c>
      <c r="C54" s="163"/>
      <c r="D54" s="163"/>
      <c r="E54" s="159"/>
      <c r="F54" s="161"/>
      <c r="G54" s="162"/>
      <c r="H54" s="163"/>
      <c r="I54" s="161"/>
      <c r="J54" s="162"/>
      <c r="K54" s="163"/>
      <c r="L54" s="163"/>
      <c r="M54" s="159">
        <v>261.25900000000001</v>
      </c>
      <c r="N54" s="143">
        <v>12451</v>
      </c>
      <c r="O54" s="144">
        <v>854.3</v>
      </c>
      <c r="P54" s="143">
        <v>12451</v>
      </c>
      <c r="Q54" s="144">
        <v>854.3</v>
      </c>
      <c r="R54" s="188"/>
      <c r="S54" s="282">
        <f>IF(U54="0",(IF(O54="",(IF(Q54&lt;&gt;"",Q54,"")),(IF(Q54="",0-O54,Q54-O54)))),"")</f>
        <v>0</v>
      </c>
      <c r="T54" s="232"/>
      <c r="U54" s="132" t="s">
        <v>22</v>
      </c>
      <c r="V54" s="2"/>
      <c r="W54" s="2"/>
      <c r="X54" s="2"/>
    </row>
    <row r="55" spans="1:26" ht="15" customHeight="1" x14ac:dyDescent="0.25">
      <c r="A55" s="234" t="s">
        <v>109</v>
      </c>
      <c r="B55" s="233" t="s">
        <v>110</v>
      </c>
      <c r="C55" s="163"/>
      <c r="D55" s="163"/>
      <c r="E55" s="159"/>
      <c r="F55" s="163"/>
      <c r="G55" s="163"/>
      <c r="H55" s="163"/>
      <c r="I55" s="163"/>
      <c r="J55" s="163"/>
      <c r="K55" s="163"/>
      <c r="L55" s="163"/>
      <c r="M55" s="159">
        <v>135.63399999999999</v>
      </c>
      <c r="N55" s="156">
        <f>SUBTOTAL(9,N56:N57)</f>
        <v>16806.919000000002</v>
      </c>
      <c r="O55" s="157">
        <f>SUBTOTAL(9,O56:O57)</f>
        <v>612.59699999999998</v>
      </c>
      <c r="P55" s="156">
        <f>SUBTOTAL(9,P56:P57)</f>
        <v>16806.919000000002</v>
      </c>
      <c r="Q55" s="157">
        <f>SUBTOTAL(9,Q56:Q57)</f>
        <v>612.59699999999998</v>
      </c>
      <c r="R55" s="180"/>
      <c r="S55" s="283">
        <f>IF(U55="0",(SUBTOTAL(9,S56:S57)),"")</f>
        <v>0</v>
      </c>
      <c r="T55" s="232"/>
      <c r="U55" s="132" t="s">
        <v>22</v>
      </c>
      <c r="V55" s="2"/>
      <c r="W55" s="2"/>
      <c r="X55" s="2"/>
    </row>
    <row r="56" spans="1:26" ht="15" customHeight="1" x14ac:dyDescent="0.25">
      <c r="A56" s="234"/>
      <c r="B56" s="235" t="s">
        <v>111</v>
      </c>
      <c r="C56" s="163"/>
      <c r="D56" s="163"/>
      <c r="E56" s="159"/>
      <c r="F56" s="161"/>
      <c r="G56" s="162"/>
      <c r="H56" s="163"/>
      <c r="I56" s="161"/>
      <c r="J56" s="162"/>
      <c r="K56" s="163"/>
      <c r="L56" s="163"/>
      <c r="M56" s="159">
        <v>135.63399999999999</v>
      </c>
      <c r="N56" s="143">
        <v>16806.919000000002</v>
      </c>
      <c r="O56" s="144">
        <v>612.59699999999998</v>
      </c>
      <c r="P56" s="143">
        <v>16806.919000000002</v>
      </c>
      <c r="Q56" s="144">
        <v>612.59699999999998</v>
      </c>
      <c r="R56" s="188"/>
      <c r="S56" s="282">
        <f>IF(U56="0",(IF(O56="",(IF(Q56&lt;&gt;"",Q56,"")),(IF(Q56="",0-O56,Q56-O56)))),"")</f>
        <v>0</v>
      </c>
      <c r="T56" s="232"/>
      <c r="U56" s="132" t="s">
        <v>22</v>
      </c>
      <c r="V56" s="2"/>
      <c r="W56" s="2"/>
      <c r="X56" s="2"/>
    </row>
    <row r="57" spans="1:26" ht="15" customHeight="1" x14ac:dyDescent="0.25">
      <c r="A57" s="234"/>
      <c r="B57" s="235" t="s">
        <v>112</v>
      </c>
      <c r="C57" s="163"/>
      <c r="D57" s="163"/>
      <c r="E57" s="159"/>
      <c r="F57" s="161"/>
      <c r="G57" s="162"/>
      <c r="H57" s="163"/>
      <c r="I57" s="161"/>
      <c r="J57" s="162"/>
      <c r="K57" s="163"/>
      <c r="L57" s="163"/>
      <c r="M57" s="159"/>
      <c r="N57" s="143"/>
      <c r="O57" s="144"/>
      <c r="P57" s="143"/>
      <c r="Q57" s="144"/>
      <c r="R57" s="188"/>
      <c r="S57" s="188" t="str">
        <f>IF(U57="0",(IF(O57="",(IF(Q57&lt;&gt;"",Q57,"")),(IF(Q57="",0-O57,Q57-O57)))),"")</f>
        <v/>
      </c>
      <c r="T57" s="232"/>
      <c r="U57" s="132" t="s">
        <v>22</v>
      </c>
      <c r="V57" s="2"/>
      <c r="W57" s="2"/>
      <c r="X57" s="2"/>
    </row>
    <row r="58" spans="1:26" ht="15" customHeight="1" x14ac:dyDescent="0.25">
      <c r="A58" s="234" t="s">
        <v>113</v>
      </c>
      <c r="B58" s="233" t="s">
        <v>114</v>
      </c>
      <c r="C58" s="163"/>
      <c r="D58" s="163"/>
      <c r="E58" s="159"/>
      <c r="F58" s="163"/>
      <c r="G58" s="163"/>
      <c r="H58" s="163"/>
      <c r="I58" s="163"/>
      <c r="J58" s="163"/>
      <c r="K58" s="163"/>
      <c r="L58" s="163"/>
      <c r="M58" s="159">
        <v>508.68900000000002</v>
      </c>
      <c r="N58" s="156">
        <f>SUBTOTAL(9,N59:N60)</f>
        <v>7049.8940000000002</v>
      </c>
      <c r="O58" s="157">
        <f>SUBTOTAL(9,O59:O60)</f>
        <v>660.24599999999998</v>
      </c>
      <c r="P58" s="156">
        <f>SUBTOTAL(9,P59:P60)</f>
        <v>7049.8940000000002</v>
      </c>
      <c r="Q58" s="157">
        <f>SUBTOTAL(9,Q59:Q60)</f>
        <v>660.24599999999998</v>
      </c>
      <c r="R58" s="180"/>
      <c r="S58" s="283">
        <f>IF(U58="0",(SUBTOTAL(9,S59:S60)),"")</f>
        <v>0</v>
      </c>
      <c r="T58" s="232"/>
      <c r="U58" s="132" t="s">
        <v>22</v>
      </c>
      <c r="V58" s="2"/>
      <c r="W58" s="2"/>
      <c r="X58" s="2"/>
    </row>
    <row r="59" spans="1:26" ht="15" customHeight="1" x14ac:dyDescent="0.25">
      <c r="A59" s="234"/>
      <c r="B59" s="235" t="s">
        <v>115</v>
      </c>
      <c r="C59" s="163"/>
      <c r="D59" s="163"/>
      <c r="E59" s="159"/>
      <c r="F59" s="161"/>
      <c r="G59" s="162"/>
      <c r="H59" s="163"/>
      <c r="I59" s="161"/>
      <c r="J59" s="162"/>
      <c r="K59" s="163"/>
      <c r="L59" s="163"/>
      <c r="M59" s="159">
        <v>508.68900000000002</v>
      </c>
      <c r="N59" s="143">
        <v>7049.8940000000002</v>
      </c>
      <c r="O59" s="144">
        <v>660.24599999999998</v>
      </c>
      <c r="P59" s="143">
        <v>7049.8940000000002</v>
      </c>
      <c r="Q59" s="144">
        <v>660.24599999999998</v>
      </c>
      <c r="R59" s="188"/>
      <c r="S59" s="282">
        <f>IF(U59="0",(IF(O59="",(IF(Q59&lt;&gt;"",Q59,"")),(IF(Q59="",0-O59,Q59-O59)))),"")</f>
        <v>0</v>
      </c>
      <c r="T59" s="232"/>
      <c r="U59" s="132" t="s">
        <v>22</v>
      </c>
      <c r="V59" s="2"/>
      <c r="W59" s="2"/>
      <c r="X59" s="2"/>
    </row>
    <row r="60" spans="1:26" ht="15" customHeight="1" x14ac:dyDescent="0.25">
      <c r="A60" s="234"/>
      <c r="B60" s="235" t="s">
        <v>116</v>
      </c>
      <c r="C60" s="163"/>
      <c r="D60" s="163"/>
      <c r="E60" s="159"/>
      <c r="F60" s="161"/>
      <c r="G60" s="162"/>
      <c r="H60" s="163"/>
      <c r="I60" s="161"/>
      <c r="J60" s="162"/>
      <c r="K60" s="163"/>
      <c r="L60" s="163"/>
      <c r="M60" s="159"/>
      <c r="N60" s="143"/>
      <c r="O60" s="144"/>
      <c r="P60" s="143"/>
      <c r="Q60" s="144"/>
      <c r="R60" s="188"/>
      <c r="S60" s="188" t="str">
        <f>IF(U60="0",(IF(O60="",(IF(Q60&lt;&gt;"",Q60,"")),(IF(Q60="",0-O60,Q60-O60)))),"")</f>
        <v/>
      </c>
      <c r="T60" s="232"/>
      <c r="U60" s="132" t="s">
        <v>22</v>
      </c>
      <c r="V60" s="2"/>
      <c r="W60" s="2"/>
      <c r="X60" s="2"/>
    </row>
    <row r="61" spans="1:26" ht="15" customHeight="1" thickBot="1" x14ac:dyDescent="0.3">
      <c r="A61" s="234" t="s">
        <v>117</v>
      </c>
      <c r="B61" s="233" t="s">
        <v>118</v>
      </c>
      <c r="C61" s="163"/>
      <c r="D61" s="163"/>
      <c r="E61" s="159"/>
      <c r="F61" s="161"/>
      <c r="G61" s="162"/>
      <c r="H61" s="163"/>
      <c r="I61" s="161"/>
      <c r="J61" s="162"/>
      <c r="K61" s="163"/>
      <c r="L61" s="163"/>
      <c r="M61" s="159">
        <v>2442.5810000000001</v>
      </c>
      <c r="N61" s="143">
        <v>1797.6679999999999</v>
      </c>
      <c r="O61" s="144">
        <v>258.49799999999999</v>
      </c>
      <c r="P61" s="143">
        <v>1797.6679999999999</v>
      </c>
      <c r="Q61" s="144">
        <v>258.49799999999999</v>
      </c>
      <c r="R61" s="188"/>
      <c r="S61" s="188">
        <f>IF(U61="0",(IF(O61="",(IF(Q61&lt;&gt;"",Q61,"")),(IF(Q61="",0-O61,Q61-O61)))),"")</f>
        <v>0</v>
      </c>
      <c r="T61" s="232"/>
      <c r="U61" s="132" t="s">
        <v>22</v>
      </c>
      <c r="V61" s="2"/>
      <c r="W61" s="2"/>
      <c r="X61" s="2"/>
      <c r="Z61" s="292">
        <v>945286</v>
      </c>
    </row>
    <row r="62" spans="1:26" ht="15" customHeight="1" x14ac:dyDescent="0.25">
      <c r="A62" s="231">
        <v>4</v>
      </c>
      <c r="B62" s="230" t="s">
        <v>119</v>
      </c>
      <c r="C62" s="228"/>
      <c r="D62" s="224">
        <v>27694.828000000001</v>
      </c>
      <c r="E62" s="229"/>
      <c r="F62" s="226">
        <f>F7+SUMIF(B7:B61,"Прирост добычи нефти, в том числе:",F7:F61)-SUMIF(B7:B61,"Потери добычи нефти, в том числе:",F7:F61)</f>
        <v>412341.76900000003</v>
      </c>
      <c r="G62" s="225">
        <f>G7+SUMIF(B7:B61,"Прирост добычи нефти, в том числе:",G7:G61)-SUMIF(B7:B61,"Потери добычи нефти, в том числе:",G7:G61)</f>
        <v>31304.660999999996</v>
      </c>
      <c r="H62" s="228"/>
      <c r="I62" s="226">
        <f>IF(U61="0",(I7+SUMIF(B7:B61,"Прирост добычи нефти, в том числе:",I7:I61)-SUMIF(B7:B61,"Потери добычи нефти, в том числе:",I7:I61)),"")</f>
        <v>400929.72600000002</v>
      </c>
      <c r="J62" s="225">
        <f>IF(U61="0",(J7+SUMIF(B7:B61,"Прирост добычи нефти, в том числе:",J7:J61)-SUMIF(B7:B61,"Потери добычи нефти, в том числе:",J7:J61)),"")</f>
        <v>30562.325999999997</v>
      </c>
      <c r="K62" s="228"/>
      <c r="L62" s="224">
        <f>IF(U62="0",(J62-G62),"")</f>
        <v>-742.33499999999913</v>
      </c>
      <c r="M62" s="227">
        <v>895766.04299999995</v>
      </c>
      <c r="N62" s="226">
        <f>N7+SUMIF(B7:B61,"Прирост добычи нефти, в том числе:",N7:N61)-SUMIF(B7:B61,"Потери добычи нефти, в том числе:",N7:N61)</f>
        <v>12586022.887</v>
      </c>
      <c r="O62" s="225">
        <f>O7+SUMIF(B7:B61,"Прирост добычи нефти, в том числе:",O7:O61)-SUMIF(B7:B61,"Потери добычи нефти, в том числе:",O7:O61)</f>
        <v>958545.57200000004</v>
      </c>
      <c r="P62" s="226">
        <f>IF(U62="0",(P7+SUMIF(B7:B61,"Прирост добычи нефти, в том числе:",P7:P61)-SUMIF(B7:B61,"Потери добычи нефти, в том числе:",P7:P61)),"")</f>
        <v>12246693.148</v>
      </c>
      <c r="Q62" s="225">
        <f>IF(U62="0",(Q7+SUMIF(B7:B61,"Прирост добычи нефти, в том числе:",Q7:Q61)-SUMIF(B7:B61,"Потери добычи нефти, в том числе:",Q7:Q61)),"")</f>
        <v>945286.29</v>
      </c>
      <c r="R62" s="224"/>
      <c r="S62" s="224">
        <f>IF(U62="0",(Q62-O62),"")</f>
        <v>-13259.282000000007</v>
      </c>
      <c r="T62" s="223"/>
      <c r="U62" s="132" t="s">
        <v>22</v>
      </c>
      <c r="V62" s="2"/>
      <c r="W62" s="2"/>
      <c r="X62" s="2"/>
      <c r="Z62" s="293">
        <f>Z61-Q62</f>
        <v>-0.2900000000372529</v>
      </c>
    </row>
    <row r="63" spans="1:26" ht="15" customHeight="1" x14ac:dyDescent="0.25">
      <c r="A63" s="222">
        <v>31</v>
      </c>
      <c r="B63" s="221" t="s">
        <v>120</v>
      </c>
      <c r="C63" s="214"/>
      <c r="D63" s="218">
        <v>28895.679</v>
      </c>
      <c r="E63" s="217"/>
      <c r="F63" s="220">
        <f>N62/A63</f>
        <v>406000.7382903226</v>
      </c>
      <c r="G63" s="219">
        <f>O62/A63</f>
        <v>30920.824903225806</v>
      </c>
      <c r="H63" s="214"/>
      <c r="I63" s="220">
        <f>IF(U63="0",(P62/A63),"")</f>
        <v>395054.61767741933</v>
      </c>
      <c r="J63" s="219">
        <f>IF(U63="0",(Q62/A63),"")</f>
        <v>30493.106129032258</v>
      </c>
      <c r="K63" s="214"/>
      <c r="L63" s="218">
        <f>IF(U63="0",(J63-G63),"")</f>
        <v>-427.7187741935486</v>
      </c>
      <c r="M63" s="217"/>
      <c r="N63" s="216"/>
      <c r="O63" s="215"/>
      <c r="P63" s="216"/>
      <c r="Q63" s="215"/>
      <c r="R63" s="214"/>
      <c r="S63" s="214"/>
      <c r="T63" s="213"/>
      <c r="U63" s="132" t="s">
        <v>22</v>
      </c>
      <c r="V63" s="2"/>
      <c r="W63" s="2"/>
      <c r="X63" s="2"/>
    </row>
    <row r="64" spans="1:26" ht="15" customHeight="1" x14ac:dyDescent="0.25">
      <c r="A64" s="212"/>
      <c r="B64" s="211"/>
      <c r="C64" s="210"/>
      <c r="D64" s="210"/>
      <c r="E64" s="209"/>
      <c r="F64" s="208"/>
      <c r="G64" s="207"/>
      <c r="H64" s="206"/>
      <c r="I64" s="208"/>
      <c r="J64" s="207"/>
      <c r="K64" s="206"/>
      <c r="L64" s="206"/>
      <c r="M64" s="209"/>
      <c r="N64" s="208"/>
      <c r="O64" s="207"/>
      <c r="P64" s="208"/>
      <c r="Q64" s="207"/>
      <c r="R64" s="206"/>
      <c r="S64" s="206"/>
      <c r="T64" s="205"/>
      <c r="U64" s="132" t="s">
        <v>22</v>
      </c>
      <c r="V64" s="2"/>
      <c r="W64" s="2"/>
      <c r="X64" s="2"/>
    </row>
    <row r="65" spans="1:24" ht="15" customHeight="1" x14ac:dyDescent="0.25">
      <c r="A65" s="204"/>
      <c r="B65" s="203" t="s">
        <v>121</v>
      </c>
      <c r="C65" s="202"/>
      <c r="D65" s="202"/>
      <c r="E65" s="201"/>
      <c r="F65" s="198"/>
      <c r="G65" s="281">
        <f>G63-D63</f>
        <v>2025.1459032258063</v>
      </c>
      <c r="H65" s="198"/>
      <c r="I65" s="198"/>
      <c r="J65" s="199">
        <f>IF(U65="0",(J63-D63),"")</f>
        <v>1597.4271290322577</v>
      </c>
      <c r="K65" s="198"/>
      <c r="L65" s="198"/>
      <c r="M65" s="201"/>
      <c r="N65" s="198"/>
      <c r="O65" s="281">
        <f>O62-M62</f>
        <v>62779.529000000097</v>
      </c>
      <c r="P65" s="200"/>
      <c r="Q65" s="199">
        <f>IF(U65="0",(Q62-M62),"")</f>
        <v>49520.24700000009</v>
      </c>
      <c r="R65" s="198"/>
      <c r="S65" s="198"/>
      <c r="T65" s="197"/>
      <c r="U65" s="132" t="s">
        <v>22</v>
      </c>
      <c r="V65" s="2"/>
      <c r="W65" s="2"/>
      <c r="X65" s="2"/>
    </row>
    <row r="66" spans="1:24" ht="15" customHeight="1" x14ac:dyDescent="0.25">
      <c r="A66" s="178"/>
      <c r="B66" s="195"/>
      <c r="C66" s="176"/>
      <c r="D66" s="176"/>
      <c r="E66" s="184"/>
      <c r="F66" s="3"/>
      <c r="G66" s="3"/>
      <c r="H66" s="3"/>
      <c r="I66" s="3"/>
      <c r="J66" s="177"/>
      <c r="K66" s="3"/>
      <c r="L66" s="177"/>
      <c r="M66" s="187"/>
      <c r="N66" s="3"/>
      <c r="O66" s="196"/>
      <c r="P66" s="3"/>
      <c r="Q66" s="196"/>
      <c r="R66" s="3"/>
      <c r="S66" s="196"/>
      <c r="T66" s="3"/>
      <c r="U66" s="3"/>
      <c r="V66" s="2"/>
      <c r="W66" s="2"/>
      <c r="X66" s="2"/>
    </row>
    <row r="67" spans="1:24" ht="15" customHeight="1" x14ac:dyDescent="0.25">
      <c r="A67" s="178"/>
      <c r="B67" s="195"/>
      <c r="C67" s="176"/>
      <c r="D67" s="176"/>
      <c r="E67" s="193" t="s">
        <v>122</v>
      </c>
      <c r="F67" s="48" t="s">
        <v>0</v>
      </c>
      <c r="G67" s="48" t="s">
        <v>0</v>
      </c>
      <c r="H67" s="194" t="s">
        <v>123</v>
      </c>
      <c r="I67" s="105" t="s">
        <v>0</v>
      </c>
      <c r="J67" s="105" t="s">
        <v>0</v>
      </c>
      <c r="K67" s="3"/>
      <c r="L67" s="176"/>
      <c r="M67" s="187"/>
      <c r="N67" s="3"/>
      <c r="O67" s="193" t="s">
        <v>124</v>
      </c>
      <c r="P67" s="48" t="s">
        <v>0</v>
      </c>
      <c r="Q67" s="48" t="s">
        <v>0</v>
      </c>
      <c r="R67" s="3"/>
      <c r="S67" s="176"/>
      <c r="T67" s="3"/>
      <c r="U67" s="3"/>
      <c r="V67" s="2"/>
      <c r="W67" s="2"/>
      <c r="X67" s="2"/>
    </row>
    <row r="68" spans="1:24" ht="15" customHeight="1" x14ac:dyDescent="0.25">
      <c r="A68" s="176"/>
      <c r="B68" s="192"/>
      <c r="C68" s="176"/>
      <c r="D68" s="176"/>
      <c r="E68" s="191" t="s">
        <v>18</v>
      </c>
      <c r="F68" s="190" t="s">
        <v>17</v>
      </c>
      <c r="G68" s="190" t="s">
        <v>16</v>
      </c>
      <c r="H68" s="190" t="s">
        <v>18</v>
      </c>
      <c r="I68" s="190" t="s">
        <v>17</v>
      </c>
      <c r="J68" s="190" t="s">
        <v>16</v>
      </c>
      <c r="K68" s="3"/>
      <c r="L68" s="176"/>
      <c r="M68" s="187"/>
      <c r="N68" s="3"/>
      <c r="O68" s="191" t="s">
        <v>18</v>
      </c>
      <c r="P68" s="190" t="s">
        <v>17</v>
      </c>
      <c r="Q68" s="190" t="s">
        <v>16</v>
      </c>
      <c r="R68" s="3"/>
      <c r="S68" s="176"/>
      <c r="T68" s="3"/>
      <c r="U68" s="3"/>
      <c r="V68" s="2"/>
      <c r="W68" s="2"/>
      <c r="X68" s="2"/>
    </row>
    <row r="69" spans="1:24" ht="15" customHeight="1" x14ac:dyDescent="0.25">
      <c r="A69" s="186" t="s">
        <v>125</v>
      </c>
      <c r="B69" s="185" t="s">
        <v>126</v>
      </c>
      <c r="C69" s="176"/>
      <c r="D69" s="176"/>
      <c r="E69" s="189">
        <v>74</v>
      </c>
      <c r="F69" s="188">
        <v>9213.6415582912505</v>
      </c>
      <c r="G69" s="188">
        <v>573.78214918669801</v>
      </c>
      <c r="H69" s="188"/>
      <c r="I69" s="188">
        <v>10697.839775402101</v>
      </c>
      <c r="J69" s="188">
        <v>837.70657515277401</v>
      </c>
      <c r="K69" s="3"/>
      <c r="L69" s="176"/>
      <c r="M69" s="187"/>
      <c r="N69" s="3"/>
      <c r="O69" s="189">
        <v>201</v>
      </c>
      <c r="P69" s="188">
        <v>10609.8888626319</v>
      </c>
      <c r="Q69" s="188">
        <v>578.46740947989895</v>
      </c>
      <c r="R69" s="3"/>
      <c r="S69" s="176"/>
      <c r="T69" s="3"/>
      <c r="U69" s="3"/>
      <c r="V69" s="2"/>
      <c r="W69" s="2"/>
      <c r="X69" s="2"/>
    </row>
    <row r="70" spans="1:24" ht="15" customHeight="1" x14ac:dyDescent="0.25">
      <c r="A70" s="186" t="s">
        <v>127</v>
      </c>
      <c r="B70" s="185" t="s">
        <v>128</v>
      </c>
      <c r="C70" s="178"/>
      <c r="D70" s="178"/>
      <c r="E70" s="182"/>
      <c r="F70" s="163"/>
      <c r="G70" s="163"/>
      <c r="H70" s="163"/>
      <c r="I70" s="163"/>
      <c r="J70" s="163"/>
      <c r="K70" s="3"/>
      <c r="L70" s="176"/>
      <c r="M70" s="187"/>
      <c r="N70" s="3"/>
      <c r="O70" s="182"/>
      <c r="P70" s="163"/>
      <c r="Q70" s="163"/>
      <c r="R70" s="3"/>
      <c r="S70" s="176"/>
      <c r="T70" s="3"/>
      <c r="U70" s="3"/>
      <c r="V70" s="2"/>
      <c r="W70" s="2"/>
      <c r="X70" s="2"/>
    </row>
    <row r="71" spans="1:24" ht="15" customHeight="1" x14ac:dyDescent="0.25">
      <c r="A71" s="186" t="s">
        <v>129</v>
      </c>
      <c r="B71" s="185" t="s">
        <v>100</v>
      </c>
      <c r="C71" s="184"/>
      <c r="D71" s="183"/>
      <c r="E71" s="182"/>
      <c r="F71" s="163"/>
      <c r="G71" s="163"/>
      <c r="H71" s="163"/>
      <c r="I71" s="163"/>
      <c r="J71" s="163"/>
      <c r="K71" s="3"/>
      <c r="L71" s="176"/>
      <c r="M71" s="177"/>
      <c r="N71" s="3"/>
      <c r="O71" s="182"/>
      <c r="P71" s="163"/>
      <c r="Q71" s="163"/>
      <c r="R71" s="3"/>
      <c r="S71" s="176"/>
      <c r="T71" s="3"/>
      <c r="U71" s="3"/>
      <c r="V71" s="2"/>
      <c r="W71" s="2"/>
      <c r="X71" s="2"/>
    </row>
    <row r="72" spans="1:24" ht="15" customHeight="1" x14ac:dyDescent="0.25">
      <c r="A72" s="179"/>
      <c r="B72" s="178" t="s">
        <v>130</v>
      </c>
      <c r="C72" s="176"/>
      <c r="D72" s="176"/>
      <c r="E72" s="181">
        <f>SUM(E69:E71)</f>
        <v>74</v>
      </c>
      <c r="F72" s="180">
        <v>9213.6415582912505</v>
      </c>
      <c r="G72" s="180">
        <f>SUM(G69:G71)</f>
        <v>573.78214918669801</v>
      </c>
      <c r="H72" s="180">
        <f>SUM(H69:H71)</f>
        <v>0</v>
      </c>
      <c r="I72" s="180">
        <v>10697.839775402101</v>
      </c>
      <c r="J72" s="180">
        <f>SUM(J69:J71)</f>
        <v>837.70657515277401</v>
      </c>
      <c r="K72" s="3"/>
      <c r="L72" s="176"/>
      <c r="M72" s="176"/>
      <c r="N72" s="3"/>
      <c r="O72" s="181">
        <f>SUM(O69:O71)</f>
        <v>201</v>
      </c>
      <c r="P72" s="180">
        <v>10609.8888626319</v>
      </c>
      <c r="Q72" s="180">
        <f>SUM(Q69:Q71)</f>
        <v>578.46740947989895</v>
      </c>
      <c r="R72" s="3"/>
      <c r="S72" s="176"/>
      <c r="T72" s="3"/>
      <c r="U72" s="3"/>
      <c r="V72" s="2"/>
      <c r="W72" s="2"/>
      <c r="X72" s="2"/>
    </row>
    <row r="73" spans="1:24" ht="15" customHeight="1" x14ac:dyDescent="0.25">
      <c r="A73" s="179"/>
      <c r="B73" s="178"/>
      <c r="C73" s="176"/>
      <c r="D73" s="176"/>
      <c r="E73" s="177"/>
      <c r="F73" s="3"/>
      <c r="G73" s="177"/>
      <c r="H73" s="177"/>
      <c r="I73" s="3"/>
      <c r="J73" s="177"/>
      <c r="K73" s="3"/>
      <c r="L73" s="176"/>
      <c r="M73" s="176"/>
      <c r="N73" s="3"/>
      <c r="O73" s="177"/>
      <c r="P73" s="3"/>
      <c r="Q73" s="177"/>
      <c r="R73" s="3"/>
      <c r="S73" s="176"/>
      <c r="T73" s="3"/>
      <c r="U73" s="3"/>
      <c r="V73" s="2"/>
      <c r="W73" s="2"/>
      <c r="X73" s="2"/>
    </row>
    <row r="74" spans="1:24" ht="27.95" customHeight="1" x14ac:dyDescent="0.25">
      <c r="A74" s="280" t="s">
        <v>318</v>
      </c>
      <c r="B74" s="7" t="s">
        <v>0</v>
      </c>
      <c r="C74" s="7" t="s">
        <v>0</v>
      </c>
      <c r="D74" s="7" t="s">
        <v>0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0</v>
      </c>
      <c r="J74" s="7" t="s">
        <v>0</v>
      </c>
      <c r="K74" s="7" t="s">
        <v>0</v>
      </c>
      <c r="L74" s="7" t="s">
        <v>0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7" t="s">
        <v>0</v>
      </c>
      <c r="S74" s="7" t="s">
        <v>0</v>
      </c>
      <c r="T74" s="3"/>
      <c r="U74" s="3"/>
      <c r="V74" s="2"/>
      <c r="W74" s="2"/>
      <c r="X74" s="2"/>
    </row>
    <row r="75" spans="1:24" ht="15" customHeight="1" x14ac:dyDescent="0.25">
      <c r="A75" s="279" t="s">
        <v>3</v>
      </c>
      <c r="B75" s="278" t="s">
        <v>4</v>
      </c>
      <c r="C75" s="278" t="s">
        <v>5</v>
      </c>
      <c r="D75" s="105" t="s">
        <v>0</v>
      </c>
      <c r="E75" s="277" t="s">
        <v>6</v>
      </c>
      <c r="F75" s="271" t="s">
        <v>0</v>
      </c>
      <c r="G75" s="271" t="s">
        <v>0</v>
      </c>
      <c r="H75" s="271" t="s">
        <v>0</v>
      </c>
      <c r="I75" s="271" t="s">
        <v>0</v>
      </c>
      <c r="J75" s="271" t="s">
        <v>0</v>
      </c>
      <c r="K75" s="278" t="s">
        <v>7</v>
      </c>
      <c r="L75" s="105" t="s">
        <v>0</v>
      </c>
      <c r="M75" s="277" t="s">
        <v>8</v>
      </c>
      <c r="N75" s="271" t="s">
        <v>0</v>
      </c>
      <c r="O75" s="271" t="s">
        <v>0</v>
      </c>
      <c r="P75" s="271" t="s">
        <v>0</v>
      </c>
      <c r="Q75" s="271" t="s">
        <v>0</v>
      </c>
      <c r="R75" s="278" t="s">
        <v>7</v>
      </c>
      <c r="S75" s="105" t="s">
        <v>0</v>
      </c>
      <c r="T75" s="277" t="s">
        <v>9</v>
      </c>
      <c r="U75" s="3"/>
      <c r="V75" s="2"/>
      <c r="W75" s="2"/>
      <c r="X75" s="2"/>
    </row>
    <row r="76" spans="1:24" ht="15" customHeight="1" x14ac:dyDescent="0.25">
      <c r="A76" s="48" t="s">
        <v>0</v>
      </c>
      <c r="B76" s="105" t="s">
        <v>0</v>
      </c>
      <c r="C76" s="105" t="s">
        <v>0</v>
      </c>
      <c r="D76" s="105" t="s">
        <v>0</v>
      </c>
      <c r="E76" s="276" t="s">
        <v>10</v>
      </c>
      <c r="F76" s="273" t="s">
        <v>0</v>
      </c>
      <c r="G76" s="273" t="s">
        <v>0</v>
      </c>
      <c r="H76" s="275" t="s">
        <v>11</v>
      </c>
      <c r="I76" s="101" t="s">
        <v>0</v>
      </c>
      <c r="J76" s="101" t="s">
        <v>0</v>
      </c>
      <c r="K76" s="272" t="s">
        <v>12</v>
      </c>
      <c r="L76" s="272" t="s">
        <v>13</v>
      </c>
      <c r="M76" s="276" t="s">
        <v>14</v>
      </c>
      <c r="N76" s="275" t="s">
        <v>10</v>
      </c>
      <c r="O76" s="101" t="s">
        <v>0</v>
      </c>
      <c r="P76" s="275" t="s">
        <v>11</v>
      </c>
      <c r="Q76" s="101" t="s">
        <v>0</v>
      </c>
      <c r="R76" s="272" t="s">
        <v>12</v>
      </c>
      <c r="S76" s="272" t="s">
        <v>13</v>
      </c>
      <c r="T76" s="271" t="s">
        <v>0</v>
      </c>
      <c r="U76" s="3"/>
      <c r="V76" s="2"/>
      <c r="W76" s="2"/>
      <c r="X76" s="2"/>
    </row>
    <row r="77" spans="1:24" ht="15" customHeight="1" x14ac:dyDescent="0.25">
      <c r="A77" s="48" t="s">
        <v>0</v>
      </c>
      <c r="B77" s="105" t="s">
        <v>0</v>
      </c>
      <c r="C77" s="272" t="s">
        <v>15</v>
      </c>
      <c r="D77" s="272" t="s">
        <v>16</v>
      </c>
      <c r="E77" s="274" t="s">
        <v>15</v>
      </c>
      <c r="F77" s="272" t="s">
        <v>17</v>
      </c>
      <c r="G77" s="272" t="s">
        <v>16</v>
      </c>
      <c r="H77" s="272" t="s">
        <v>18</v>
      </c>
      <c r="I77" s="272" t="s">
        <v>17</v>
      </c>
      <c r="J77" s="272" t="s">
        <v>16</v>
      </c>
      <c r="K77" s="272" t="s">
        <v>16</v>
      </c>
      <c r="L77" s="272" t="s">
        <v>16</v>
      </c>
      <c r="M77" s="273" t="s">
        <v>0</v>
      </c>
      <c r="N77" s="272" t="s">
        <v>19</v>
      </c>
      <c r="O77" s="272" t="s">
        <v>20</v>
      </c>
      <c r="P77" s="272" t="s">
        <v>19</v>
      </c>
      <c r="Q77" s="272" t="s">
        <v>20</v>
      </c>
      <c r="R77" s="272" t="s">
        <v>20</v>
      </c>
      <c r="S77" s="272" t="s">
        <v>20</v>
      </c>
      <c r="T77" s="271" t="s">
        <v>0</v>
      </c>
      <c r="U77" s="3"/>
      <c r="V77" s="2"/>
      <c r="W77" s="2"/>
      <c r="X77" s="2"/>
    </row>
    <row r="78" spans="1:24" ht="15" customHeight="1" thickBot="1" x14ac:dyDescent="0.3">
      <c r="A78" s="270">
        <v>1</v>
      </c>
      <c r="B78" s="269" t="s">
        <v>21</v>
      </c>
      <c r="C78" s="268"/>
      <c r="D78" s="266">
        <v>27694.828000000001</v>
      </c>
      <c r="E78" s="133"/>
      <c r="F78" s="134">
        <v>400972.91200000001</v>
      </c>
      <c r="G78" s="135">
        <v>30562.044000000002</v>
      </c>
      <c r="H78" s="268"/>
      <c r="I78" s="134"/>
      <c r="J78" s="135"/>
      <c r="K78" s="266"/>
      <c r="L78" s="266"/>
      <c r="M78" s="267">
        <v>803150.00300000003</v>
      </c>
      <c r="N78" s="134">
        <v>11628214.454</v>
      </c>
      <c r="O78" s="135">
        <v>886299.28200000001</v>
      </c>
      <c r="P78" s="134"/>
      <c r="Q78" s="135"/>
      <c r="R78" s="266"/>
      <c r="S78" s="266"/>
      <c r="T78" s="265"/>
      <c r="U78" s="132" t="s">
        <v>131</v>
      </c>
      <c r="V78" s="2"/>
      <c r="W78" s="2"/>
      <c r="X78" s="2"/>
    </row>
    <row r="79" spans="1:24" ht="15" customHeight="1" x14ac:dyDescent="0.25">
      <c r="A79" s="264">
        <v>2</v>
      </c>
      <c r="B79" s="263" t="s">
        <v>23</v>
      </c>
      <c r="C79" s="262">
        <f>SUMIF(B80:B101,"Основные ГТМ",C80:C101)+SUMIF(B80:B101,"Работа с фондом",C80:C101)+SUMIF(B80:B101,"Сокращение потенциала простоя",C80:C101)+SUMIF(B80:B101,"Прочая добыча (отраб.скв, амбары, стравливание…)",C80:C101)</f>
        <v>27</v>
      </c>
      <c r="D79" s="262">
        <f>SUMIF(B80:B101,"Основные ГТМ",D80:D101)+SUMIF(B80:B101,"Работа с фондом",D80:D101)+SUMIF(B80:B101,"Сокращение потенциала простоя",D80:D101)+SUMIF(B80:B101,"Прочая добыча (отраб.скв, амбары, стравливание…)",D80:D101)</f>
        <v>1199.08</v>
      </c>
      <c r="E79" s="136">
        <f>SUMIF(B80:B101,"Основные ГТМ",E80:E101)+SUMIF(B80:B101,"Работа с фондом",E80:E101)+SUMIF(B80:B101,"Сокращение потенциала простоя",E80:E101)+SUMIF(B80:B101,"Прочая добыча (отраб.скв, амбары, стравливание…)",E80:E101)</f>
        <v>86</v>
      </c>
      <c r="F79" s="137">
        <f>SUMIF(B80:B101,"Основные ГТМ",F80:F101)+SUMIF(B80:B101,"Работа с фондом",F80:F101)+SUMIF(B80:B101,"Сокращение потенциала простоя",F80:F101)+SUMIF(B80:B101,"Прочая добыча (отраб.скв, амбары, стравливание…)",F80:F101)</f>
        <v>9827</v>
      </c>
      <c r="G79" s="138">
        <f>SUMIF(B80:B101,"Основные ГТМ",G80:G101)+SUMIF(B80:B101,"Работа с фондом",G80:G101)+SUMIF(B80:B101,"Сокращение потенциала простоя",G80:G101)+SUMIF(B80:B101,"Прочая добыча (отраб.скв, амбары, стравливание…)",G80:G101)</f>
        <v>2056.6</v>
      </c>
      <c r="H79" s="262" t="str">
        <f>IF(U79="0",(SUMIF(B80:B101,"Основные ГТМ",H80:H101)+SUMIF(B80:B101,"Работа с фондом",H80:H101)+SUMIF(B80:B101,"Сокращение потенциала простоя",H80:H101)+SUMIF(B80:B101,"Прочая добыча (отраб.скв, амбары, стравливание…)",H80:H101)),"")</f>
        <v/>
      </c>
      <c r="I79" s="137" t="str">
        <f>IF(U79="0",(SUMIF(B80:B101,"Основные ГТМ",I80:I101)+SUMIF(B80:B101,"Работа с фондом",I80:I101)+SUMIF(B80:B101,"Сокращение потенциала простоя",I80:I101)+SUMIF(B80:B101,"Прочая добыча (отраб.скв, амбары, стравливание…)",I80:I101)),"")</f>
        <v/>
      </c>
      <c r="J79" s="138" t="str">
        <f>IF(U79="0",(SUMIF(B80:B101,"Основные ГТМ",J80:J101)+SUMIF(B80:B101,"Работа с фондом",J80:J101)+SUMIF(B80:B101,"Сокращение потенциала простоя",J80:J101)+SUMIF(B80:B101,"Прочая добыча (отраб.скв, амбары, стравливание…)",J80:J101)),"")</f>
        <v/>
      </c>
      <c r="K79" s="262" t="str">
        <f>IF(U79="0",(SUMIF(B80:B101,"Основные ГТМ",K80:K101)+SUMIF(B80:B101,"Работа с фондом",K80:K101)+SUMIF(B80:B101,"Сокращение потенциала простоя",K80:K101)+SUMIF(B80:B101,"Прочая добыча (отраб.скв, амбары, стравливание…)",K80:K101)),"")</f>
        <v/>
      </c>
      <c r="L79" s="262" t="str">
        <f>IF(U79="0",(SUMIF(B80:B101,"Основные ГТМ",L80:L83)+SUMIF(B80:B101,"Работа с фондом",L80:L101)+SUMIF(B80:B101,"Сокращение потенциала простоя",L80:L101)+SUMIF(B80:B101,"Прочая добыча (отраб.скв, амбары, стравливание…)",L80:L101)),"")</f>
        <v/>
      </c>
      <c r="M79" s="136">
        <f>SUMIF(B80:B101,"Основные ГТМ",M80:M101)+SUMIF(B80:B101,"Работа с фондом",M80:M101)+SUMIF(B80:B101,"Сокращение потенциала простоя",M80:M101)+SUMIF(B80:B101,"Прочая добыча (отраб.скв, амбары, стравливание…)",M80:M101)</f>
        <v>11682.959000000001</v>
      </c>
      <c r="N79" s="137">
        <f>SUMIF(B80:B101,"Основные ГТМ",N80:N101)+SUMIF(B80:B101,"Работа с фондом",N80:N101)+SUMIF(B80:B101,"Сокращение потенциала простоя",N80:N101)+SUMIF(B80:B101,"Прочая добыча (отраб.скв, амбары, стравливание…)",N80:N101)</f>
        <v>99547</v>
      </c>
      <c r="O79" s="138">
        <f>SUMIF(B80:B101,"Основные ГТМ",O80:O101)+SUMIF(B80:B101,"Работа с фондом",O80:O101)+SUMIF(B80:B101,"Сокращение потенциала простоя",O80:O101)+SUMIF(B80:B101,B101,O80:O101)</f>
        <v>22701.4</v>
      </c>
      <c r="P79" s="137" t="str">
        <f>IF(U79="0",(SUMIF(B80:B101,"Основные ГТМ",P80:P101)+SUMIF(B80:B101,"Работа с фондом",P80:P101)+SUMIF(B80:B101,"Сокращение потенциала простоя",P80:P101)+SUMIF(B80:B101,"Прочая добыча (отраб.скв, амбары, стравливание…)",P80:P101)),"")</f>
        <v/>
      </c>
      <c r="Q79" s="138" t="str">
        <f>IF(U79="0",(SUMIF(B80:B101,"Основные ГТМ",Q80:Q101)+SUMIF(B80:B101,"Работа с фондом",Q80:Q101)+SUMIF(B80:B101,"Сокращение потенциала простоя",Q80:Q101)+SUMIF(B80:B101,"Прочая добыча (отраб.скв, амбары, стравливание…)",Q80:Q101)),"")</f>
        <v/>
      </c>
      <c r="R79" s="262" t="str">
        <f>IF(U79="0",(SUMIF(B80:B101,"Основные ГТМ",R80:R101)+SUMIF(B80:B101,"Работа с фондом",R80:R101)+SUMIF(B80:B101,"Сокращение потенциала простоя",R80:R101)+SUMIF(B80:B101,"Прочая добыча (отраб.скв, амбары, стравливание…)",R80:R101)),"")</f>
        <v/>
      </c>
      <c r="S79" s="262" t="str">
        <f>IF(U79="0",(SUMIF(B80:B101,"Основные ГТМ",S80:S101)+SUMIF(B80:B101,"Работа с фондом",S80:S101)+SUMIF(B80:B101,"Сокращение потенциала простоя",S80:S101)+SUMIF(B80:B101,"Прочая добыча (отраб.скв, амбары, стравливание…)",S80:S101)),"")</f>
        <v/>
      </c>
      <c r="T79" s="261"/>
      <c r="U79" s="132" t="s">
        <v>131</v>
      </c>
      <c r="V79" s="2"/>
      <c r="W79" s="2"/>
      <c r="X79" s="2"/>
    </row>
    <row r="80" spans="1:24" ht="15" customHeight="1" x14ac:dyDescent="0.25">
      <c r="A80" s="248" t="s">
        <v>24</v>
      </c>
      <c r="B80" s="247" t="s">
        <v>25</v>
      </c>
      <c r="C80" s="237">
        <f>SUBTOTAL(9,C81:C93)-IF(B80="Работа с фондом",SUMIF(B81:B93,"      ограничение добычи (ОПЕК)",C81:C93),0)</f>
        <v>27</v>
      </c>
      <c r="D80" s="237">
        <f>SUBTOTAL(9,D81:D93)-IF(B80="Работа с фондом",SUMIF(B81:B93,"      ограничение добычи (ОПЕК)",D81:D93),0)</f>
        <v>1199.08</v>
      </c>
      <c r="E80" s="139">
        <f>SUBTOTAL(9,E81:E93)-IF(B80="Работа с фондом",SUMIF(B81:B93,"      ограничение добычи (ОПЕК)",E81:E93),0)</f>
        <v>45</v>
      </c>
      <c r="F80" s="140">
        <f>SUBTOTAL(9,F81:F93)-IF(B80="Работа с фондом",SUMIF(B81:B93,"      ограничение добычи (ОПЕК)",F81:F93),0)</f>
        <v>5962</v>
      </c>
      <c r="G80" s="141">
        <f>SUBTOTAL(9,G81:G93)-IF(B80="Работа с фондом",SUMIF(B81:B93,"      ограничение добычи (ОПЕК)",G81:G93),0)</f>
        <v>1352</v>
      </c>
      <c r="H80" s="237"/>
      <c r="I80" s="140"/>
      <c r="J80" s="141"/>
      <c r="K80" s="237"/>
      <c r="L80" s="237"/>
      <c r="M80" s="139">
        <f>SUBTOTAL(9,M81:M93)-IF(B80="Работа с фондом",SUMIF(B81:B93,"      ограничение добычи (ОПЕК)",M81:M93),0)</f>
        <v>11682.959000000001</v>
      </c>
      <c r="N80" s="140">
        <f>SUBTOTAL(9,N81:N93)-IF(B80="Работа с фондом",SUMIF(B81:B93,"      ограничение добычи (ОПЕК)",N81:N93),0)</f>
        <v>52684</v>
      </c>
      <c r="O80" s="141">
        <f>SUBTOTAL(9,O81:O93)-IF(B80="Работа с фондом",SUMIF(B81:B93,"      ограничение добычи (ОПЕК)",O81:O93),0)</f>
        <v>12834</v>
      </c>
      <c r="P80" s="140"/>
      <c r="Q80" s="141"/>
      <c r="R80" s="237"/>
      <c r="S80" s="237"/>
      <c r="T80" s="236"/>
      <c r="U80" s="132" t="s">
        <v>131</v>
      </c>
      <c r="V80" s="2"/>
      <c r="W80" s="2"/>
      <c r="X80" s="2"/>
    </row>
    <row r="81" spans="1:24" ht="14.1" customHeight="1" x14ac:dyDescent="0.25">
      <c r="A81" s="241" t="s">
        <v>26</v>
      </c>
      <c r="B81" s="233" t="s">
        <v>27</v>
      </c>
      <c r="C81" s="188">
        <v>14</v>
      </c>
      <c r="D81" s="188">
        <v>910</v>
      </c>
      <c r="E81" s="142">
        <v>21</v>
      </c>
      <c r="F81" s="143">
        <v>3550</v>
      </c>
      <c r="G81" s="144">
        <v>930</v>
      </c>
      <c r="H81" s="188"/>
      <c r="I81" s="143"/>
      <c r="J81" s="144"/>
      <c r="K81" s="188"/>
      <c r="L81" s="188"/>
      <c r="M81" s="142">
        <v>9148.0390000000007</v>
      </c>
      <c r="N81" s="143">
        <v>31910</v>
      </c>
      <c r="O81" s="144">
        <v>9040</v>
      </c>
      <c r="P81" s="143"/>
      <c r="Q81" s="144"/>
      <c r="R81" s="188"/>
      <c r="S81" s="188"/>
      <c r="T81" s="232"/>
      <c r="U81" s="132" t="s">
        <v>131</v>
      </c>
      <c r="V81" s="2"/>
      <c r="W81" s="2"/>
      <c r="X81" s="2"/>
    </row>
    <row r="82" spans="1:24" ht="14.1" customHeight="1" x14ac:dyDescent="0.25">
      <c r="A82" s="241" t="s">
        <v>28</v>
      </c>
      <c r="B82" s="233" t="s">
        <v>29</v>
      </c>
      <c r="C82" s="188"/>
      <c r="D82" s="188"/>
      <c r="E82" s="142"/>
      <c r="F82" s="143"/>
      <c r="G82" s="144"/>
      <c r="H82" s="188"/>
      <c r="I82" s="143"/>
      <c r="J82" s="144"/>
      <c r="K82" s="188"/>
      <c r="L82" s="188"/>
      <c r="M82" s="142"/>
      <c r="N82" s="143"/>
      <c r="O82" s="144"/>
      <c r="P82" s="143"/>
      <c r="Q82" s="144"/>
      <c r="R82" s="188"/>
      <c r="S82" s="188"/>
      <c r="T82" s="232"/>
      <c r="U82" s="132" t="s">
        <v>131</v>
      </c>
      <c r="V82" s="2"/>
      <c r="W82" s="2"/>
      <c r="X82" s="2"/>
    </row>
    <row r="83" spans="1:24" ht="14.1" customHeight="1" x14ac:dyDescent="0.25">
      <c r="A83" s="241" t="s">
        <v>30</v>
      </c>
      <c r="B83" s="233" t="s">
        <v>31</v>
      </c>
      <c r="C83" s="188"/>
      <c r="D83" s="188"/>
      <c r="E83" s="142"/>
      <c r="F83" s="143"/>
      <c r="G83" s="144"/>
      <c r="H83" s="188"/>
      <c r="I83" s="143"/>
      <c r="J83" s="144"/>
      <c r="K83" s="188"/>
      <c r="L83" s="188"/>
      <c r="M83" s="142"/>
      <c r="N83" s="143"/>
      <c r="O83" s="144"/>
      <c r="P83" s="143"/>
      <c r="Q83" s="144"/>
      <c r="R83" s="188"/>
      <c r="S83" s="188"/>
      <c r="T83" s="232"/>
      <c r="U83" s="132" t="s">
        <v>131</v>
      </c>
      <c r="V83" s="2"/>
      <c r="W83" s="2"/>
      <c r="X83" s="2"/>
    </row>
    <row r="84" spans="1:24" ht="14.1" customHeight="1" x14ac:dyDescent="0.25">
      <c r="A84" s="241" t="s">
        <v>32</v>
      </c>
      <c r="B84" s="233" t="s">
        <v>33</v>
      </c>
      <c r="C84" s="188">
        <v>1</v>
      </c>
      <c r="D84" s="188">
        <v>6</v>
      </c>
      <c r="E84" s="142">
        <v>3</v>
      </c>
      <c r="F84" s="143">
        <v>120</v>
      </c>
      <c r="G84" s="144">
        <v>18</v>
      </c>
      <c r="H84" s="188"/>
      <c r="I84" s="143"/>
      <c r="J84" s="144"/>
      <c r="K84" s="188"/>
      <c r="L84" s="188"/>
      <c r="M84" s="142">
        <v>53.42</v>
      </c>
      <c r="N84" s="143">
        <v>160</v>
      </c>
      <c r="O84" s="144">
        <v>24</v>
      </c>
      <c r="P84" s="143"/>
      <c r="Q84" s="144"/>
      <c r="R84" s="188"/>
      <c r="S84" s="188"/>
      <c r="T84" s="232"/>
      <c r="U84" s="132" t="s">
        <v>131</v>
      </c>
      <c r="V84" s="2"/>
      <c r="W84" s="2"/>
      <c r="X84" s="2"/>
    </row>
    <row r="85" spans="1:24" ht="14.1" customHeight="1" x14ac:dyDescent="0.25">
      <c r="A85" s="241" t="s">
        <v>34</v>
      </c>
      <c r="B85" s="233" t="s">
        <v>35</v>
      </c>
      <c r="C85" s="188">
        <v>12</v>
      </c>
      <c r="D85" s="188">
        <v>283.08</v>
      </c>
      <c r="E85" s="142">
        <v>21</v>
      </c>
      <c r="F85" s="143">
        <v>2292</v>
      </c>
      <c r="G85" s="144">
        <v>404</v>
      </c>
      <c r="H85" s="188"/>
      <c r="I85" s="143"/>
      <c r="J85" s="144"/>
      <c r="K85" s="188"/>
      <c r="L85" s="188"/>
      <c r="M85" s="142">
        <v>2481.5</v>
      </c>
      <c r="N85" s="143">
        <v>20614</v>
      </c>
      <c r="O85" s="144">
        <v>3770</v>
      </c>
      <c r="P85" s="143"/>
      <c r="Q85" s="144"/>
      <c r="R85" s="188"/>
      <c r="S85" s="188"/>
      <c r="T85" s="232"/>
      <c r="U85" s="132" t="s">
        <v>131</v>
      </c>
      <c r="V85" s="2"/>
      <c r="W85" s="2"/>
      <c r="X85" s="2"/>
    </row>
    <row r="86" spans="1:24" ht="14.1" customHeight="1" x14ac:dyDescent="0.25">
      <c r="A86" s="241" t="s">
        <v>36</v>
      </c>
      <c r="B86" s="233" t="s">
        <v>37</v>
      </c>
      <c r="C86" s="188"/>
      <c r="D86" s="188"/>
      <c r="E86" s="142"/>
      <c r="F86" s="143"/>
      <c r="G86" s="144"/>
      <c r="H86" s="188"/>
      <c r="I86" s="143"/>
      <c r="J86" s="144"/>
      <c r="K86" s="188"/>
      <c r="L86" s="188"/>
      <c r="M86" s="142"/>
      <c r="N86" s="143"/>
      <c r="O86" s="144"/>
      <c r="P86" s="143"/>
      <c r="Q86" s="144"/>
      <c r="R86" s="188"/>
      <c r="S86" s="188"/>
      <c r="T86" s="232"/>
      <c r="U86" s="132" t="s">
        <v>131</v>
      </c>
      <c r="V86" s="2"/>
      <c r="W86" s="2"/>
      <c r="X86" s="2"/>
    </row>
    <row r="87" spans="1:24" ht="14.1" customHeight="1" x14ac:dyDescent="0.25">
      <c r="A87" s="241" t="s">
        <v>38</v>
      </c>
      <c r="B87" s="233" t="s">
        <v>39</v>
      </c>
      <c r="C87" s="188"/>
      <c r="D87" s="188"/>
      <c r="E87" s="142"/>
      <c r="F87" s="143"/>
      <c r="G87" s="144"/>
      <c r="H87" s="188"/>
      <c r="I87" s="143"/>
      <c r="J87" s="144"/>
      <c r="K87" s="188"/>
      <c r="L87" s="188"/>
      <c r="M87" s="142"/>
      <c r="N87" s="143"/>
      <c r="O87" s="144"/>
      <c r="P87" s="143"/>
      <c r="Q87" s="144"/>
      <c r="R87" s="188"/>
      <c r="S87" s="188"/>
      <c r="T87" s="232"/>
      <c r="U87" s="132" t="s">
        <v>131</v>
      </c>
      <c r="V87" s="2"/>
      <c r="W87" s="2"/>
      <c r="X87" s="2"/>
    </row>
    <row r="88" spans="1:24" ht="14.1" customHeight="1" x14ac:dyDescent="0.25">
      <c r="A88" s="241" t="s">
        <v>40</v>
      </c>
      <c r="B88" s="233" t="s">
        <v>41</v>
      </c>
      <c r="C88" s="188"/>
      <c r="D88" s="188"/>
      <c r="E88" s="142"/>
      <c r="F88" s="143"/>
      <c r="G88" s="144"/>
      <c r="H88" s="188"/>
      <c r="I88" s="143"/>
      <c r="J88" s="144"/>
      <c r="K88" s="188"/>
      <c r="L88" s="188"/>
      <c r="M88" s="142"/>
      <c r="N88" s="143"/>
      <c r="O88" s="144"/>
      <c r="P88" s="143"/>
      <c r="Q88" s="144"/>
      <c r="R88" s="188"/>
      <c r="S88" s="188"/>
      <c r="T88" s="232"/>
      <c r="U88" s="132" t="s">
        <v>131</v>
      </c>
      <c r="V88" s="2"/>
      <c r="W88" s="2"/>
      <c r="X88" s="2"/>
    </row>
    <row r="89" spans="1:24" ht="14.1" customHeight="1" x14ac:dyDescent="0.25">
      <c r="A89" s="241" t="s">
        <v>42</v>
      </c>
      <c r="B89" s="233" t="s">
        <v>43</v>
      </c>
      <c r="C89" s="188"/>
      <c r="D89" s="188">
        <v>0</v>
      </c>
      <c r="E89" s="142"/>
      <c r="F89" s="143"/>
      <c r="G89" s="144"/>
      <c r="H89" s="188"/>
      <c r="I89" s="143"/>
      <c r="J89" s="144"/>
      <c r="K89" s="188"/>
      <c r="L89" s="188"/>
      <c r="M89" s="142"/>
      <c r="N89" s="143"/>
      <c r="O89" s="144"/>
      <c r="P89" s="143"/>
      <c r="Q89" s="144"/>
      <c r="R89" s="188"/>
      <c r="S89" s="188"/>
      <c r="T89" s="232"/>
      <c r="U89" s="132" t="s">
        <v>131</v>
      </c>
      <c r="V89" s="2"/>
      <c r="W89" s="2"/>
      <c r="X89" s="2"/>
    </row>
    <row r="90" spans="1:24" ht="14.1" customHeight="1" x14ac:dyDescent="0.25">
      <c r="A90" s="241" t="s">
        <v>44</v>
      </c>
      <c r="B90" s="233" t="s">
        <v>45</v>
      </c>
      <c r="C90" s="188"/>
      <c r="D90" s="188"/>
      <c r="E90" s="142"/>
      <c r="F90" s="143"/>
      <c r="G90" s="144"/>
      <c r="H90" s="188"/>
      <c r="I90" s="143"/>
      <c r="J90" s="144"/>
      <c r="K90" s="188"/>
      <c r="L90" s="188"/>
      <c r="M90" s="142"/>
      <c r="N90" s="143"/>
      <c r="O90" s="144"/>
      <c r="P90" s="143"/>
      <c r="Q90" s="144"/>
      <c r="R90" s="188"/>
      <c r="S90" s="188"/>
      <c r="T90" s="232"/>
      <c r="U90" s="132" t="s">
        <v>131</v>
      </c>
      <c r="V90" s="2"/>
      <c r="W90" s="2"/>
      <c r="X90" s="2"/>
    </row>
    <row r="91" spans="1:24" ht="14.1" customHeight="1" x14ac:dyDescent="0.25">
      <c r="A91" s="241" t="s">
        <v>46</v>
      </c>
      <c r="B91" s="233" t="s">
        <v>47</v>
      </c>
      <c r="C91" s="188"/>
      <c r="D91" s="188"/>
      <c r="E91" s="142"/>
      <c r="F91" s="143"/>
      <c r="G91" s="144"/>
      <c r="H91" s="188"/>
      <c r="I91" s="143"/>
      <c r="J91" s="144"/>
      <c r="K91" s="188"/>
      <c r="L91" s="188"/>
      <c r="M91" s="142"/>
      <c r="N91" s="143"/>
      <c r="O91" s="144"/>
      <c r="P91" s="143"/>
      <c r="Q91" s="144"/>
      <c r="R91" s="188"/>
      <c r="S91" s="188"/>
      <c r="T91" s="232"/>
      <c r="U91" s="132" t="s">
        <v>131</v>
      </c>
      <c r="V91" s="2"/>
      <c r="W91" s="2"/>
      <c r="X91" s="2"/>
    </row>
    <row r="92" spans="1:24" ht="14.1" customHeight="1" x14ac:dyDescent="0.25">
      <c r="A92" s="241" t="s">
        <v>48</v>
      </c>
      <c r="B92" s="233" t="s">
        <v>49</v>
      </c>
      <c r="C92" s="188"/>
      <c r="D92" s="188"/>
      <c r="E92" s="142"/>
      <c r="F92" s="143"/>
      <c r="G92" s="144"/>
      <c r="H92" s="188"/>
      <c r="I92" s="143"/>
      <c r="J92" s="144"/>
      <c r="K92" s="188"/>
      <c r="L92" s="188"/>
      <c r="M92" s="142"/>
      <c r="N92" s="143"/>
      <c r="O92" s="144"/>
      <c r="P92" s="143"/>
      <c r="Q92" s="144"/>
      <c r="R92" s="188"/>
      <c r="S92" s="188"/>
      <c r="T92" s="232"/>
      <c r="U92" s="132" t="s">
        <v>131</v>
      </c>
      <c r="V92" s="2"/>
      <c r="W92" s="2"/>
      <c r="X92" s="2"/>
    </row>
    <row r="93" spans="1:24" ht="14.1" customHeight="1" x14ac:dyDescent="0.25">
      <c r="A93" s="241" t="s">
        <v>50</v>
      </c>
      <c r="B93" s="233" t="s">
        <v>51</v>
      </c>
      <c r="C93" s="188"/>
      <c r="D93" s="188"/>
      <c r="E93" s="142"/>
      <c r="F93" s="143"/>
      <c r="G93" s="144"/>
      <c r="H93" s="188"/>
      <c r="I93" s="143"/>
      <c r="J93" s="144"/>
      <c r="K93" s="188"/>
      <c r="L93" s="188"/>
      <c r="M93" s="142"/>
      <c r="N93" s="143"/>
      <c r="O93" s="144"/>
      <c r="P93" s="143"/>
      <c r="Q93" s="144"/>
      <c r="R93" s="188"/>
      <c r="S93" s="188"/>
      <c r="T93" s="232"/>
      <c r="U93" s="132" t="s">
        <v>131</v>
      </c>
      <c r="V93" s="2"/>
      <c r="W93" s="2"/>
      <c r="X93" s="2"/>
    </row>
    <row r="94" spans="1:24" ht="15" customHeight="1" x14ac:dyDescent="0.25">
      <c r="A94" s="248" t="s">
        <v>52</v>
      </c>
      <c r="B94" s="247" t="s">
        <v>53</v>
      </c>
      <c r="C94" s="237">
        <f>SUBTOTAL(9,C95:C99)-IF(B94="Работа с фондом",SUMIF(B95:B99,"      ограничение добычи (ОПЕК)",C95:C99),0)</f>
        <v>0</v>
      </c>
      <c r="D94" s="237">
        <f>SUBTOTAL(9,D95:D99)-IF(B94="Работа с фондом",SUMIF(B95:B99,"      ограничение добычи (ОПЕК)",D95:D99),0)</f>
        <v>0</v>
      </c>
      <c r="E94" s="139">
        <f>SUBTOTAL(9,E95:E99)-IF(B94="Работа с фондом",SUMIF(B95:B99,"      ограничение добычи (ОПЕК)",E95:E99),0)</f>
        <v>41</v>
      </c>
      <c r="F94" s="140">
        <f>SUBTOTAL(9,F95:F99)-IF(B94="Работа с фондом",SUMIF(B95:B99,"      ограничение добычи (ОПЕК)",F95:F99),0)</f>
        <v>3865</v>
      </c>
      <c r="G94" s="141">
        <f>SUBTOTAL(9,G95:G99)-IF(B94="Работа с фондом",SUMIF(B95:B99,"      ограничение добычи (ОПЕК)",G95:G99),0)</f>
        <v>704.6</v>
      </c>
      <c r="H94" s="237"/>
      <c r="I94" s="140"/>
      <c r="J94" s="141"/>
      <c r="K94" s="237"/>
      <c r="L94" s="237"/>
      <c r="M94" s="139">
        <f>SUBTOTAL(9,M95:M99)-IF(B94="Работа с фондом",SUMIF(B95:B99,"      ограничение добычи (ОПЕК)",M95:M99),0)</f>
        <v>0</v>
      </c>
      <c r="N94" s="140">
        <f>SUBTOTAL(9,N95:N99)-IF(B94="Работа с фондом",SUMIF(B95:B99,"      ограничение добычи (ОПЕК)",N95:N99),0)</f>
        <v>46863</v>
      </c>
      <c r="O94" s="141">
        <f>SUBTOTAL(9,O95:O99)-IF(B94="Работа с фондом",SUMIF(B95:B99,"      ограничение добычи (ОПЕК)",O95:O99),0)</f>
        <v>3186.7</v>
      </c>
      <c r="P94" s="140"/>
      <c r="Q94" s="141"/>
      <c r="R94" s="237"/>
      <c r="S94" s="237"/>
      <c r="T94" s="236"/>
      <c r="U94" s="132" t="s">
        <v>131</v>
      </c>
      <c r="V94" s="2"/>
      <c r="W94" s="2"/>
      <c r="X94" s="2"/>
    </row>
    <row r="95" spans="1:24" ht="14.1" customHeight="1" x14ac:dyDescent="0.25">
      <c r="A95" s="241" t="s">
        <v>54</v>
      </c>
      <c r="B95" s="233" t="s">
        <v>55</v>
      </c>
      <c r="C95" s="188"/>
      <c r="D95" s="188"/>
      <c r="E95" s="142">
        <v>4</v>
      </c>
      <c r="F95" s="143">
        <v>905</v>
      </c>
      <c r="G95" s="144">
        <v>31</v>
      </c>
      <c r="H95" s="188"/>
      <c r="I95" s="143"/>
      <c r="J95" s="144"/>
      <c r="K95" s="188"/>
      <c r="L95" s="188"/>
      <c r="M95" s="142"/>
      <c r="N95" s="143">
        <v>19740</v>
      </c>
      <c r="O95" s="144">
        <v>601</v>
      </c>
      <c r="P95" s="143"/>
      <c r="Q95" s="144"/>
      <c r="R95" s="188"/>
      <c r="S95" s="188"/>
      <c r="T95" s="232"/>
      <c r="U95" s="132" t="s">
        <v>131</v>
      </c>
      <c r="V95" s="2"/>
      <c r="W95" s="2"/>
      <c r="X95" s="2"/>
    </row>
    <row r="96" spans="1:24" ht="14.1" customHeight="1" x14ac:dyDescent="0.25">
      <c r="A96" s="241" t="s">
        <v>56</v>
      </c>
      <c r="B96" s="233" t="s">
        <v>57</v>
      </c>
      <c r="C96" s="188"/>
      <c r="D96" s="188"/>
      <c r="E96" s="142"/>
      <c r="F96" s="143"/>
      <c r="G96" s="144"/>
      <c r="H96" s="188"/>
      <c r="I96" s="143"/>
      <c r="J96" s="144"/>
      <c r="K96" s="188"/>
      <c r="L96" s="188"/>
      <c r="M96" s="142"/>
      <c r="N96" s="143"/>
      <c r="O96" s="144"/>
      <c r="P96" s="143"/>
      <c r="Q96" s="144"/>
      <c r="R96" s="188"/>
      <c r="S96" s="188"/>
      <c r="T96" s="232"/>
      <c r="U96" s="132" t="s">
        <v>131</v>
      </c>
      <c r="V96" s="2"/>
      <c r="W96" s="2"/>
      <c r="X96" s="2"/>
    </row>
    <row r="97" spans="1:24" ht="14.1" customHeight="1" x14ac:dyDescent="0.25">
      <c r="A97" s="241" t="s">
        <v>58</v>
      </c>
      <c r="B97" s="233" t="s">
        <v>59</v>
      </c>
      <c r="C97" s="188"/>
      <c r="D97" s="188"/>
      <c r="E97" s="142">
        <v>2</v>
      </c>
      <c r="F97" s="143">
        <v>0</v>
      </c>
      <c r="G97" s="144">
        <v>468.5</v>
      </c>
      <c r="H97" s="188"/>
      <c r="I97" s="143"/>
      <c r="J97" s="144"/>
      <c r="K97" s="188"/>
      <c r="L97" s="188"/>
      <c r="M97" s="142"/>
      <c r="N97" s="143">
        <v>0</v>
      </c>
      <c r="O97" s="144">
        <v>628.5</v>
      </c>
      <c r="P97" s="143"/>
      <c r="Q97" s="144"/>
      <c r="R97" s="188"/>
      <c r="S97" s="188"/>
      <c r="T97" s="232"/>
      <c r="U97" s="132" t="s">
        <v>131</v>
      </c>
      <c r="V97" s="2"/>
      <c r="W97" s="2"/>
      <c r="X97" s="2"/>
    </row>
    <row r="98" spans="1:24" ht="14.1" customHeight="1" x14ac:dyDescent="0.25">
      <c r="A98" s="241" t="s">
        <v>60</v>
      </c>
      <c r="B98" s="233" t="s">
        <v>61</v>
      </c>
      <c r="C98" s="188"/>
      <c r="D98" s="188"/>
      <c r="E98" s="142">
        <v>35</v>
      </c>
      <c r="F98" s="143">
        <v>2960</v>
      </c>
      <c r="G98" s="144">
        <v>205.1</v>
      </c>
      <c r="H98" s="188"/>
      <c r="I98" s="143"/>
      <c r="J98" s="144"/>
      <c r="K98" s="188"/>
      <c r="L98" s="188"/>
      <c r="M98" s="142"/>
      <c r="N98" s="143">
        <v>27123</v>
      </c>
      <c r="O98" s="144">
        <v>1957.2</v>
      </c>
      <c r="P98" s="143"/>
      <c r="Q98" s="144"/>
      <c r="R98" s="188"/>
      <c r="S98" s="188"/>
      <c r="T98" s="232"/>
      <c r="U98" s="132" t="s">
        <v>131</v>
      </c>
      <c r="V98" s="2"/>
      <c r="W98" s="2"/>
      <c r="X98" s="2"/>
    </row>
    <row r="99" spans="1:24" ht="14.1" customHeight="1" x14ac:dyDescent="0.25">
      <c r="A99" s="241" t="s">
        <v>0</v>
      </c>
      <c r="B99" s="233" t="s">
        <v>62</v>
      </c>
      <c r="C99" s="188"/>
      <c r="D99" s="188"/>
      <c r="E99" s="142"/>
      <c r="F99" s="143"/>
      <c r="G99" s="144"/>
      <c r="H99" s="188"/>
      <c r="I99" s="143"/>
      <c r="J99" s="144"/>
      <c r="K99" s="188"/>
      <c r="L99" s="188"/>
      <c r="M99" s="142"/>
      <c r="N99" s="143"/>
      <c r="O99" s="144"/>
      <c r="P99" s="143"/>
      <c r="Q99" s="144"/>
      <c r="R99" s="188"/>
      <c r="S99" s="188"/>
      <c r="T99" s="232"/>
      <c r="U99" s="132" t="s">
        <v>131</v>
      </c>
      <c r="V99" s="2"/>
      <c r="W99" s="2"/>
      <c r="X99" s="2"/>
    </row>
    <row r="100" spans="1:24" ht="15" customHeight="1" x14ac:dyDescent="0.25">
      <c r="A100" s="239" t="s">
        <v>63</v>
      </c>
      <c r="B100" s="238" t="s">
        <v>64</v>
      </c>
      <c r="C100" s="259"/>
      <c r="D100" s="259"/>
      <c r="E100" s="145">
        <v>0</v>
      </c>
      <c r="F100" s="146">
        <v>0</v>
      </c>
      <c r="G100" s="147">
        <v>0</v>
      </c>
      <c r="H100" s="259"/>
      <c r="I100" s="146"/>
      <c r="J100" s="147"/>
      <c r="K100" s="260"/>
      <c r="L100" s="259"/>
      <c r="M100" s="145"/>
      <c r="N100" s="146">
        <v>0</v>
      </c>
      <c r="O100" s="147">
        <v>0</v>
      </c>
      <c r="P100" s="146"/>
      <c r="Q100" s="147"/>
      <c r="R100" s="259"/>
      <c r="S100" s="259"/>
      <c r="T100" s="258"/>
      <c r="U100" s="132" t="s">
        <v>131</v>
      </c>
      <c r="V100" s="2"/>
      <c r="W100" s="2"/>
      <c r="X100" s="2"/>
    </row>
    <row r="101" spans="1:24" ht="14.1" customHeight="1" x14ac:dyDescent="0.25">
      <c r="A101" s="239" t="s">
        <v>65</v>
      </c>
      <c r="B101" s="238" t="s">
        <v>323</v>
      </c>
      <c r="C101" s="149"/>
      <c r="D101" s="149"/>
      <c r="E101" s="148"/>
      <c r="F101" s="149"/>
      <c r="G101" s="149"/>
      <c r="H101" s="149"/>
      <c r="I101" s="149"/>
      <c r="J101" s="149"/>
      <c r="K101" s="149"/>
      <c r="L101" s="149"/>
      <c r="M101" s="148"/>
      <c r="N101" s="140">
        <v>0</v>
      </c>
      <c r="O101" s="141">
        <v>6680.7</v>
      </c>
      <c r="P101" s="140"/>
      <c r="Q101" s="141"/>
      <c r="R101" s="237"/>
      <c r="S101" s="237"/>
      <c r="T101" s="236"/>
      <c r="U101" s="132" t="s">
        <v>131</v>
      </c>
      <c r="V101" s="2"/>
      <c r="W101" s="2"/>
      <c r="X101" s="2"/>
    </row>
    <row r="102" spans="1:24" ht="14.1" customHeight="1" x14ac:dyDescent="0.25">
      <c r="A102" s="257"/>
      <c r="B102" s="256"/>
      <c r="C102" s="255"/>
      <c r="D102" s="255"/>
      <c r="E102" s="150"/>
      <c r="F102" s="151"/>
      <c r="G102" s="151"/>
      <c r="H102" s="151"/>
      <c r="I102" s="151"/>
      <c r="J102" s="151"/>
      <c r="K102" s="151"/>
      <c r="L102" s="151"/>
      <c r="M102" s="150"/>
      <c r="N102" s="151"/>
      <c r="O102" s="151"/>
      <c r="P102" s="151"/>
      <c r="Q102" s="151"/>
      <c r="R102" s="151"/>
      <c r="S102" s="151"/>
      <c r="T102" s="150"/>
      <c r="U102" s="3"/>
      <c r="V102" s="2"/>
      <c r="W102" s="2"/>
      <c r="X102" s="2"/>
    </row>
    <row r="103" spans="1:24" ht="14.1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"/>
      <c r="W103" s="2"/>
      <c r="X103" s="2"/>
    </row>
    <row r="104" spans="1:24" ht="15" customHeight="1" x14ac:dyDescent="0.25">
      <c r="A104" s="254">
        <v>3</v>
      </c>
      <c r="B104" s="253" t="s">
        <v>67</v>
      </c>
      <c r="C104" s="252"/>
      <c r="D104" s="252"/>
      <c r="E104" s="152">
        <f>SUMIF(B105:B130,"Падение по базовому фонду, ГТМ",E105:E130)+SUMIF(B105:B130,"От технологических причин, в т.ч:",E105:E130)</f>
        <v>33</v>
      </c>
      <c r="F104" s="153">
        <f>SUMIF(B105:B130,"Падение по базовому фонду, ГТМ",F105:F130)+SUMIF(B105:B130,"От технологических причин, в т.ч:",F105:F130)</f>
        <v>2180.154</v>
      </c>
      <c r="G104" s="154">
        <f>SUMIF(B105:B130,"Падение по базовому фонду, ГТМ",G105:G130)+SUMIF(B105:B130,"От технологических причин, в т.ч:",G105:G130)</f>
        <v>1688.2629999999999</v>
      </c>
      <c r="H104" s="250"/>
      <c r="I104" s="153"/>
      <c r="J104" s="154"/>
      <c r="K104" s="252"/>
      <c r="L104" s="250"/>
      <c r="M104" s="251">
        <v>2061.5700000000002</v>
      </c>
      <c r="N104" s="153">
        <f>SUMIF(B105:B132,"Падение по базовому фонду, ГТМ",N105:N132)+SUMIF(B105:B132,"От технологических причин, в т.ч:",N105:N132)</f>
        <v>116318.11199999999</v>
      </c>
      <c r="O104" s="154">
        <f>SUMIF(B105:B132,"Падение по базовому фонду, ГТМ",O105:O132)+SUMIF(B105:B132,"От технологических причин, в т.ч:",O105:O132)</f>
        <v>30820.085999999999</v>
      </c>
      <c r="P104" s="153"/>
      <c r="Q104" s="154"/>
      <c r="R104" s="250"/>
      <c r="S104" s="250"/>
      <c r="T104" s="249"/>
      <c r="U104" s="132" t="s">
        <v>131</v>
      </c>
      <c r="V104" s="2"/>
      <c r="W104" s="2"/>
      <c r="X104" s="2"/>
    </row>
    <row r="105" spans="1:24" ht="15" customHeight="1" x14ac:dyDescent="0.25">
      <c r="A105" s="248" t="s">
        <v>68</v>
      </c>
      <c r="B105" s="247" t="s">
        <v>69</v>
      </c>
      <c r="C105" s="149"/>
      <c r="D105" s="149"/>
      <c r="E105" s="148"/>
      <c r="F105" s="140">
        <f>SUBTOTAL(9,F106:F113)</f>
        <v>0</v>
      </c>
      <c r="G105" s="141">
        <f>SUBTOTAL(9,G106:G113)</f>
        <v>1450</v>
      </c>
      <c r="H105" s="149"/>
      <c r="I105" s="140"/>
      <c r="J105" s="141"/>
      <c r="K105" s="149"/>
      <c r="L105" s="237"/>
      <c r="M105" s="148">
        <v>0</v>
      </c>
      <c r="N105" s="140">
        <f>SUBTOTAL(9,N106:N113)</f>
        <v>0</v>
      </c>
      <c r="O105" s="141">
        <f>SUBTOTAL(9,O106:O113)</f>
        <v>21750</v>
      </c>
      <c r="P105" s="140"/>
      <c r="Q105" s="141"/>
      <c r="R105" s="237"/>
      <c r="S105" s="237"/>
      <c r="T105" s="236"/>
      <c r="U105" s="132" t="s">
        <v>131</v>
      </c>
      <c r="V105" s="2"/>
      <c r="W105" s="2"/>
      <c r="X105" s="2"/>
    </row>
    <row r="106" spans="1:24" ht="15" customHeight="1" x14ac:dyDescent="0.25">
      <c r="A106" s="241" t="s">
        <v>70</v>
      </c>
      <c r="B106" s="233" t="s">
        <v>71</v>
      </c>
      <c r="C106" s="163"/>
      <c r="D106" s="163"/>
      <c r="E106" s="155"/>
      <c r="F106" s="156">
        <f>SUBTOTAL(9,F107:F108)</f>
        <v>0</v>
      </c>
      <c r="G106" s="157">
        <f>SUBTOTAL(9,G107:G108)</f>
        <v>1450</v>
      </c>
      <c r="H106" s="243"/>
      <c r="I106" s="156"/>
      <c r="J106" s="157"/>
      <c r="K106" s="243"/>
      <c r="L106" s="180"/>
      <c r="M106" s="155">
        <v>0</v>
      </c>
      <c r="N106" s="156">
        <f>SUBTOTAL(9,N107:N108)</f>
        <v>0</v>
      </c>
      <c r="O106" s="157">
        <f>SUBTOTAL(9,O107:O108)</f>
        <v>21750</v>
      </c>
      <c r="P106" s="156"/>
      <c r="Q106" s="157"/>
      <c r="R106" s="180"/>
      <c r="S106" s="180"/>
      <c r="T106" s="242"/>
      <c r="U106" s="132" t="s">
        <v>131</v>
      </c>
      <c r="V106" s="2"/>
      <c r="W106" s="2"/>
      <c r="X106" s="2"/>
    </row>
    <row r="107" spans="1:24" ht="15" customHeight="1" x14ac:dyDescent="0.25">
      <c r="A107" s="241" t="s">
        <v>72</v>
      </c>
      <c r="B107" s="235" t="s">
        <v>73</v>
      </c>
      <c r="C107" s="163"/>
      <c r="D107" s="163"/>
      <c r="E107" s="158" t="s">
        <v>320</v>
      </c>
      <c r="F107" s="143">
        <v>0</v>
      </c>
      <c r="G107" s="144">
        <v>1269.33</v>
      </c>
      <c r="H107" s="246"/>
      <c r="I107" s="143"/>
      <c r="J107" s="144"/>
      <c r="K107" s="163"/>
      <c r="L107" s="188"/>
      <c r="M107" s="159"/>
      <c r="N107" s="143">
        <v>0</v>
      </c>
      <c r="O107" s="144">
        <v>19039.95</v>
      </c>
      <c r="P107" s="143"/>
      <c r="Q107" s="144"/>
      <c r="R107" s="188"/>
      <c r="S107" s="188"/>
      <c r="T107" s="232"/>
      <c r="U107" s="132" t="s">
        <v>131</v>
      </c>
      <c r="V107" s="2"/>
      <c r="W107" s="2"/>
      <c r="X107" s="2"/>
    </row>
    <row r="108" spans="1:24" ht="15" customHeight="1" x14ac:dyDescent="0.25">
      <c r="A108" s="241" t="s">
        <v>74</v>
      </c>
      <c r="B108" s="235" t="s">
        <v>75</v>
      </c>
      <c r="C108" s="163"/>
      <c r="D108" s="163"/>
      <c r="E108" s="158" t="s">
        <v>319</v>
      </c>
      <c r="F108" s="143">
        <v>0</v>
      </c>
      <c r="G108" s="144">
        <v>180.67</v>
      </c>
      <c r="H108" s="246"/>
      <c r="I108" s="143"/>
      <c r="J108" s="144"/>
      <c r="K108" s="163"/>
      <c r="L108" s="188"/>
      <c r="M108" s="159"/>
      <c r="N108" s="143">
        <v>0</v>
      </c>
      <c r="O108" s="144">
        <v>2710.05</v>
      </c>
      <c r="P108" s="143"/>
      <c r="Q108" s="144"/>
      <c r="R108" s="188"/>
      <c r="S108" s="188"/>
      <c r="T108" s="232"/>
      <c r="U108" s="132" t="s">
        <v>131</v>
      </c>
      <c r="V108" s="2"/>
      <c r="W108" s="2"/>
      <c r="X108" s="2"/>
    </row>
    <row r="109" spans="1:24" ht="15" customHeight="1" x14ac:dyDescent="0.25">
      <c r="A109" s="241" t="s">
        <v>77</v>
      </c>
      <c r="B109" s="233" t="s">
        <v>78</v>
      </c>
      <c r="C109" s="163"/>
      <c r="D109" s="163"/>
      <c r="E109" s="155"/>
      <c r="F109" s="156">
        <f>SUBTOTAL(9,F110:F111)</f>
        <v>0</v>
      </c>
      <c r="G109" s="157">
        <f>SUBTOTAL(9,G110:G111)</f>
        <v>0</v>
      </c>
      <c r="H109" s="243"/>
      <c r="I109" s="156"/>
      <c r="J109" s="157"/>
      <c r="K109" s="243"/>
      <c r="L109" s="180"/>
      <c r="M109" s="155">
        <v>0</v>
      </c>
      <c r="N109" s="156">
        <f>SUBTOTAL(9,N110:N111)</f>
        <v>0</v>
      </c>
      <c r="O109" s="157">
        <f>SUBTOTAL(9,O110:O111)</f>
        <v>0</v>
      </c>
      <c r="P109" s="156"/>
      <c r="Q109" s="157"/>
      <c r="R109" s="180"/>
      <c r="S109" s="180"/>
      <c r="T109" s="242"/>
      <c r="U109" s="132" t="s">
        <v>131</v>
      </c>
      <c r="V109" s="2"/>
      <c r="W109" s="2"/>
      <c r="X109" s="2"/>
    </row>
    <row r="110" spans="1:24" ht="15" customHeight="1" x14ac:dyDescent="0.25">
      <c r="A110" s="241" t="s">
        <v>79</v>
      </c>
      <c r="B110" s="235" t="s">
        <v>80</v>
      </c>
      <c r="C110" s="163"/>
      <c r="D110" s="163"/>
      <c r="E110" s="159"/>
      <c r="F110" s="143"/>
      <c r="G110" s="144"/>
      <c r="H110" s="163"/>
      <c r="I110" s="143"/>
      <c r="J110" s="144"/>
      <c r="K110" s="163"/>
      <c r="L110" s="188"/>
      <c r="M110" s="159"/>
      <c r="N110" s="143"/>
      <c r="O110" s="144"/>
      <c r="P110" s="143"/>
      <c r="Q110" s="144"/>
      <c r="R110" s="188"/>
      <c r="S110" s="188"/>
      <c r="T110" s="232"/>
      <c r="U110" s="132" t="s">
        <v>131</v>
      </c>
      <c r="V110" s="2"/>
      <c r="W110" s="2"/>
      <c r="X110" s="2"/>
    </row>
    <row r="111" spans="1:24" ht="15" customHeight="1" x14ac:dyDescent="0.25">
      <c r="A111" s="241" t="s">
        <v>81</v>
      </c>
      <c r="B111" s="235" t="s">
        <v>82</v>
      </c>
      <c r="C111" s="163"/>
      <c r="D111" s="163"/>
      <c r="E111" s="159"/>
      <c r="F111" s="143"/>
      <c r="G111" s="144"/>
      <c r="H111" s="163"/>
      <c r="I111" s="143"/>
      <c r="J111" s="144"/>
      <c r="K111" s="163"/>
      <c r="L111" s="188"/>
      <c r="M111" s="159"/>
      <c r="N111" s="143"/>
      <c r="O111" s="144"/>
      <c r="P111" s="143"/>
      <c r="Q111" s="144"/>
      <c r="R111" s="188"/>
      <c r="S111" s="188"/>
      <c r="T111" s="232"/>
      <c r="U111" s="132" t="s">
        <v>131</v>
      </c>
      <c r="V111" s="2"/>
      <c r="W111" s="2"/>
      <c r="X111" s="2"/>
    </row>
    <row r="112" spans="1:24" ht="15" customHeight="1" x14ac:dyDescent="0.25">
      <c r="A112" s="241" t="s">
        <v>83</v>
      </c>
      <c r="B112" s="233" t="s">
        <v>84</v>
      </c>
      <c r="C112" s="163"/>
      <c r="D112" s="163"/>
      <c r="E112" s="155"/>
      <c r="F112" s="156">
        <f>SUBTOTAL(9,F113:F113)</f>
        <v>0</v>
      </c>
      <c r="G112" s="157">
        <f>SUBTOTAL(9,G113:G113)</f>
        <v>0</v>
      </c>
      <c r="H112" s="243"/>
      <c r="I112" s="156"/>
      <c r="J112" s="157"/>
      <c r="K112" s="243"/>
      <c r="L112" s="180"/>
      <c r="M112" s="155">
        <v>0</v>
      </c>
      <c r="N112" s="156">
        <f>SUBTOTAL(9,N113:N113)</f>
        <v>0</v>
      </c>
      <c r="O112" s="157">
        <f>SUBTOTAL(9,O113:O113)</f>
        <v>0</v>
      </c>
      <c r="P112" s="156"/>
      <c r="Q112" s="157"/>
      <c r="R112" s="180"/>
      <c r="S112" s="180"/>
      <c r="T112" s="242"/>
      <c r="U112" s="132" t="s">
        <v>131</v>
      </c>
      <c r="V112" s="2"/>
      <c r="W112" s="2"/>
      <c r="X112" s="2"/>
    </row>
    <row r="113" spans="1:24" ht="15" customHeight="1" x14ac:dyDescent="0.25">
      <c r="A113" s="241" t="s">
        <v>85</v>
      </c>
      <c r="B113" s="235" t="s">
        <v>86</v>
      </c>
      <c r="C113" s="163"/>
      <c r="D113" s="163"/>
      <c r="E113" s="159"/>
      <c r="F113" s="143"/>
      <c r="G113" s="144"/>
      <c r="H113" s="163"/>
      <c r="I113" s="143"/>
      <c r="J113" s="144"/>
      <c r="K113" s="163"/>
      <c r="L113" s="188"/>
      <c r="M113" s="159"/>
      <c r="N113" s="143"/>
      <c r="O113" s="144"/>
      <c r="P113" s="143"/>
      <c r="Q113" s="144"/>
      <c r="R113" s="188"/>
      <c r="S113" s="188"/>
      <c r="T113" s="232"/>
      <c r="U113" s="132" t="s">
        <v>131</v>
      </c>
      <c r="V113" s="2"/>
      <c r="W113" s="2"/>
      <c r="X113" s="2"/>
    </row>
    <row r="114" spans="1:24" ht="15" customHeight="1" x14ac:dyDescent="0.25">
      <c r="A114" s="245" t="s">
        <v>87</v>
      </c>
      <c r="B114" s="244" t="s">
        <v>88</v>
      </c>
      <c r="C114" s="149"/>
      <c r="D114" s="149"/>
      <c r="E114" s="139">
        <f>SUMIF(B115:B130,"Рост потенциала простоя",E115:E130)+SUMIF(B115:B130,"Остановка по распоряжению, в т.ч.:",E115:E130)+SUMIF(B115:B130,"Остановка нерентабельного фонда",E115:E130)+SUMIF(B115:B130,"Остановка для перевода в ППД",E115:E130)+SUMIF(B115:B130,"Прочие потери",E115:E130)+SUMIF(B115:B130,"Потери нефти по ОТМ",E115:E130)+SUMIF(B115:B130,"Ост. дебит от ЗБС, Углуб., ПВЛГ/ПНЛГ",E115:E130)</f>
        <v>33</v>
      </c>
      <c r="F114" s="140">
        <f>SUMIF(B115:B130,"Рост потенциала простоя",F115:F130)+SUMIF(B115:B130,"Остановка по распоряжению, в т.ч.:",F115:F130)+SUMIF(B115:B130,"Остановка нерентабельного фонда",F115:F130)+SUMIF(B115:B130,"Остановка для перевода в ППД",F115:F130)+SUMIF(B115:B130,"Прочие потери",F115:F130)+SUMIF(B115:B130,"Потери нефти по ОТМ",F115:F130)+SUMIF(B115:B130,"Ост. дебит от ЗБС, Углуб., ПВЛГ/ПНЛГ",F115:F130)</f>
        <v>2180.154</v>
      </c>
      <c r="G114" s="141">
        <f>SUMIF(B115:B130,"Рост потенциала простоя",G115:G130)+SUMIF(B115:B130,"Остановка по распоряжению, в т.ч.:",G115:G130)+SUMIF(B115:B130,"Остановка нерентабельного фонда",G115:G130)+SUMIF(B115:B130,"Остановка для перевода в ППД",G115:G130)+SUMIF(B115:B130,"Прочие потери",G115:G130)+SUMIF(B115:B130,"Потери нефти по ОТМ",G115:G130)+SUMIF(B115:B130,"Ост. дебит от ЗБС, Углуб., ПВЛГ/ПНЛГ",G115:G130)</f>
        <v>238.26300000000001</v>
      </c>
      <c r="H114" s="237"/>
      <c r="I114" s="140"/>
      <c r="J114" s="141"/>
      <c r="K114" s="149"/>
      <c r="L114" s="237"/>
      <c r="M114" s="148">
        <v>2061.5700000000002</v>
      </c>
      <c r="N114" s="140">
        <f>SUMIF(B115:B132,"Рост потенциала простоя",N115:N132)+SUMIF(B115:B132,"Остановка по распоряжению, в т.ч.:",N115:N132)+SUMIF(B115:B132,"Остановка нерентабельного фонда",N115:N132)+SUMIF(B115:B132,"Остановка для перевода в ППД",N115:N132)+SUMIF(B115:B132,"Прочие потери",N115:N132)+SUMIF(B115:B132,"Потери нефти по ОТМ",N115:N132)+SUMIF(B115:B132,"Ост. дебит от ЗБС, Углуб., ПВЛГ/ПНЛГ",N115:N132)</f>
        <v>116318.11199999999</v>
      </c>
      <c r="O114" s="141">
        <f>SUMIF(B115:B132,"Рост потенциала простоя",O115:O132)+SUMIF(B115:B132,"Остановка по распоряжению, в т.ч.:",O115:O132)+SUMIF(B115:B132,"Остановка нерентабельного фонда",O115:O132)+SUMIF(B115:B132,"Остановка для перевода в ППД",O115:O132)+SUMIF(B115:B132,"Прочие потери",O115:O132)+SUMIF(B115:B132,"Потери нефти по ОТМ",O115:O132)+SUMIF(B115:B132,"Ост. дебит от ЗБС, Углуб., ПВЛГ/ПНЛГ",O115:O132)</f>
        <v>9070.0859999999993</v>
      </c>
      <c r="P114" s="140"/>
      <c r="Q114" s="141"/>
      <c r="R114" s="237"/>
      <c r="S114" s="237"/>
      <c r="T114" s="236"/>
      <c r="U114" s="132" t="s">
        <v>131</v>
      </c>
      <c r="V114" s="2"/>
      <c r="W114" s="2"/>
      <c r="X114" s="2"/>
    </row>
    <row r="115" spans="1:24" ht="15" customHeight="1" x14ac:dyDescent="0.25">
      <c r="A115" s="241" t="s">
        <v>89</v>
      </c>
      <c r="B115" s="240" t="s">
        <v>90</v>
      </c>
      <c r="C115" s="163"/>
      <c r="D115" s="163"/>
      <c r="E115" s="160">
        <v>28</v>
      </c>
      <c r="F115" s="156">
        <v>2080.154</v>
      </c>
      <c r="G115" s="157">
        <v>215.26300000000001</v>
      </c>
      <c r="H115" s="180"/>
      <c r="I115" s="156"/>
      <c r="J115" s="157"/>
      <c r="K115" s="243"/>
      <c r="L115" s="180"/>
      <c r="M115" s="155"/>
      <c r="N115" s="156">
        <v>38462.373</v>
      </c>
      <c r="O115" s="157">
        <v>5033.857</v>
      </c>
      <c r="P115" s="156"/>
      <c r="Q115" s="157"/>
      <c r="R115" s="180"/>
      <c r="S115" s="180"/>
      <c r="T115" s="242"/>
      <c r="U115" s="132" t="s">
        <v>131</v>
      </c>
      <c r="V115" s="2"/>
      <c r="W115" s="2"/>
      <c r="X115" s="2"/>
    </row>
    <row r="116" spans="1:24" ht="15" customHeight="1" x14ac:dyDescent="0.25">
      <c r="A116" s="241" t="s">
        <v>91</v>
      </c>
      <c r="B116" s="233" t="s">
        <v>92</v>
      </c>
      <c r="C116" s="163"/>
      <c r="D116" s="163"/>
      <c r="E116" s="142"/>
      <c r="F116" s="143"/>
      <c r="G116" s="144"/>
      <c r="H116" s="188"/>
      <c r="I116" s="143"/>
      <c r="J116" s="144"/>
      <c r="K116" s="163"/>
      <c r="L116" s="188"/>
      <c r="M116" s="159"/>
      <c r="N116" s="143"/>
      <c r="O116" s="144"/>
      <c r="P116" s="143"/>
      <c r="Q116" s="144"/>
      <c r="R116" s="188"/>
      <c r="S116" s="188"/>
      <c r="T116" s="232"/>
      <c r="U116" s="132" t="s">
        <v>131</v>
      </c>
      <c r="V116" s="2"/>
      <c r="W116" s="2"/>
      <c r="X116" s="2"/>
    </row>
    <row r="117" spans="1:24" ht="15" customHeight="1" x14ac:dyDescent="0.25">
      <c r="A117" s="241" t="s">
        <v>93</v>
      </c>
      <c r="B117" s="233" t="s">
        <v>94</v>
      </c>
      <c r="C117" s="163"/>
      <c r="D117" s="163"/>
      <c r="E117" s="142">
        <v>15</v>
      </c>
      <c r="F117" s="143">
        <v>1306</v>
      </c>
      <c r="G117" s="144">
        <v>54.8</v>
      </c>
      <c r="H117" s="188"/>
      <c r="I117" s="143"/>
      <c r="J117" s="144"/>
      <c r="K117" s="163"/>
      <c r="L117" s="188"/>
      <c r="M117" s="159"/>
      <c r="N117" s="143">
        <v>5799</v>
      </c>
      <c r="O117" s="144">
        <v>354.5</v>
      </c>
      <c r="P117" s="143"/>
      <c r="Q117" s="144"/>
      <c r="R117" s="188"/>
      <c r="S117" s="188"/>
      <c r="T117" s="232"/>
      <c r="U117" s="132" t="s">
        <v>131</v>
      </c>
      <c r="V117" s="2"/>
      <c r="W117" s="2"/>
      <c r="X117" s="2"/>
    </row>
    <row r="118" spans="1:24" ht="15" customHeight="1" x14ac:dyDescent="0.25">
      <c r="A118" s="241" t="s">
        <v>95</v>
      </c>
      <c r="B118" s="233" t="s">
        <v>96</v>
      </c>
      <c r="C118" s="163"/>
      <c r="D118" s="163"/>
      <c r="E118" s="142"/>
      <c r="F118" s="143"/>
      <c r="G118" s="144"/>
      <c r="H118" s="188"/>
      <c r="I118" s="143"/>
      <c r="J118" s="144"/>
      <c r="K118" s="163"/>
      <c r="L118" s="188"/>
      <c r="M118" s="159"/>
      <c r="N118" s="143"/>
      <c r="O118" s="144"/>
      <c r="P118" s="143"/>
      <c r="Q118" s="144"/>
      <c r="R118" s="188"/>
      <c r="S118" s="188"/>
      <c r="T118" s="232"/>
      <c r="U118" s="132" t="s">
        <v>131</v>
      </c>
      <c r="V118" s="2"/>
      <c r="W118" s="2"/>
      <c r="X118" s="2"/>
    </row>
    <row r="119" spans="1:24" ht="15" customHeight="1" x14ac:dyDescent="0.25">
      <c r="A119" s="241" t="s">
        <v>97</v>
      </c>
      <c r="B119" s="233" t="s">
        <v>98</v>
      </c>
      <c r="C119" s="163"/>
      <c r="D119" s="163"/>
      <c r="E119" s="142"/>
      <c r="F119" s="143"/>
      <c r="G119" s="144"/>
      <c r="H119" s="188"/>
      <c r="I119" s="143"/>
      <c r="J119" s="144"/>
      <c r="K119" s="163"/>
      <c r="L119" s="188"/>
      <c r="M119" s="159"/>
      <c r="N119" s="143"/>
      <c r="O119" s="144"/>
      <c r="P119" s="143"/>
      <c r="Q119" s="144"/>
      <c r="R119" s="188"/>
      <c r="S119" s="188"/>
      <c r="T119" s="232"/>
      <c r="U119" s="132" t="s">
        <v>131</v>
      </c>
      <c r="V119" s="2"/>
      <c r="W119" s="2"/>
      <c r="X119" s="2"/>
    </row>
    <row r="120" spans="1:24" ht="15" customHeight="1" x14ac:dyDescent="0.25">
      <c r="A120" s="241" t="s">
        <v>0</v>
      </c>
      <c r="B120" s="233" t="s">
        <v>62</v>
      </c>
      <c r="C120" s="163"/>
      <c r="D120" s="163"/>
      <c r="E120" s="142"/>
      <c r="F120" s="143"/>
      <c r="G120" s="144"/>
      <c r="H120" s="188"/>
      <c r="I120" s="143"/>
      <c r="J120" s="144"/>
      <c r="K120" s="163"/>
      <c r="L120" s="188"/>
      <c r="M120" s="159"/>
      <c r="N120" s="143"/>
      <c r="O120" s="144"/>
      <c r="P120" s="143"/>
      <c r="Q120" s="144"/>
      <c r="R120" s="188"/>
      <c r="S120" s="188"/>
      <c r="T120" s="232"/>
      <c r="U120" s="132" t="s">
        <v>131</v>
      </c>
      <c r="V120" s="2"/>
      <c r="W120" s="2"/>
      <c r="X120" s="2"/>
    </row>
    <row r="121" spans="1:24" ht="15" customHeight="1" x14ac:dyDescent="0.25">
      <c r="A121" s="241" t="s">
        <v>99</v>
      </c>
      <c r="B121" s="233" t="s">
        <v>100</v>
      </c>
      <c r="C121" s="163"/>
      <c r="D121" s="163"/>
      <c r="E121" s="142"/>
      <c r="F121" s="143"/>
      <c r="G121" s="144"/>
      <c r="H121" s="188"/>
      <c r="I121" s="143"/>
      <c r="J121" s="144"/>
      <c r="K121" s="163"/>
      <c r="L121" s="188"/>
      <c r="M121" s="159"/>
      <c r="N121" s="143"/>
      <c r="O121" s="144"/>
      <c r="P121" s="143"/>
      <c r="Q121" s="144"/>
      <c r="R121" s="188"/>
      <c r="S121" s="188"/>
      <c r="T121" s="232"/>
      <c r="U121" s="132" t="s">
        <v>131</v>
      </c>
      <c r="V121" s="2"/>
      <c r="W121" s="2"/>
      <c r="X121" s="2"/>
    </row>
    <row r="122" spans="1:24" ht="15" customHeight="1" x14ac:dyDescent="0.25">
      <c r="A122" s="241" t="s">
        <v>101</v>
      </c>
      <c r="B122" s="240" t="s">
        <v>102</v>
      </c>
      <c r="C122" s="163"/>
      <c r="D122" s="163"/>
      <c r="E122" s="142">
        <v>5</v>
      </c>
      <c r="F122" s="143">
        <v>100</v>
      </c>
      <c r="G122" s="144">
        <v>23</v>
      </c>
      <c r="H122" s="188"/>
      <c r="I122" s="143"/>
      <c r="J122" s="144"/>
      <c r="K122" s="163"/>
      <c r="L122" s="188"/>
      <c r="M122" s="159"/>
      <c r="N122" s="143">
        <v>2089</v>
      </c>
      <c r="O122" s="144">
        <v>442.1</v>
      </c>
      <c r="P122" s="143"/>
      <c r="Q122" s="144"/>
      <c r="R122" s="188"/>
      <c r="S122" s="188"/>
      <c r="T122" s="232"/>
      <c r="U122" s="132" t="s">
        <v>131</v>
      </c>
      <c r="V122" s="2"/>
      <c r="W122" s="2"/>
      <c r="X122" s="2"/>
    </row>
    <row r="123" spans="1:24" ht="15" customHeight="1" x14ac:dyDescent="0.25">
      <c r="A123" s="241" t="s">
        <v>103</v>
      </c>
      <c r="B123" s="240" t="s">
        <v>104</v>
      </c>
      <c r="C123" s="163"/>
      <c r="D123" s="163"/>
      <c r="E123" s="159"/>
      <c r="F123" s="143"/>
      <c r="G123" s="144"/>
      <c r="H123" s="163"/>
      <c r="I123" s="143"/>
      <c r="J123" s="144"/>
      <c r="K123" s="163"/>
      <c r="L123" s="188"/>
      <c r="M123" s="159"/>
      <c r="N123" s="143"/>
      <c r="O123" s="144"/>
      <c r="P123" s="143"/>
      <c r="Q123" s="144"/>
      <c r="R123" s="188"/>
      <c r="S123" s="188"/>
      <c r="T123" s="232"/>
      <c r="U123" s="132" t="s">
        <v>131</v>
      </c>
      <c r="V123" s="2"/>
      <c r="W123" s="2"/>
      <c r="X123" s="2"/>
    </row>
    <row r="124" spans="1:24" ht="15" customHeight="1" x14ac:dyDescent="0.25">
      <c r="A124" s="239" t="s">
        <v>105</v>
      </c>
      <c r="B124" s="238" t="s">
        <v>106</v>
      </c>
      <c r="C124" s="149"/>
      <c r="D124" s="149"/>
      <c r="E124" s="148"/>
      <c r="F124" s="149"/>
      <c r="G124" s="149"/>
      <c r="H124" s="149"/>
      <c r="I124" s="149"/>
      <c r="J124" s="149"/>
      <c r="K124" s="149"/>
      <c r="L124" s="149"/>
      <c r="M124" s="148">
        <v>2061.5700000000002</v>
      </c>
      <c r="N124" s="140">
        <f>SUBTOTAL(9,N125:N131)</f>
        <v>75766.739000000001</v>
      </c>
      <c r="O124" s="141">
        <f>SUBTOTAL(9,O125:O132)</f>
        <v>3594.1289999999999</v>
      </c>
      <c r="P124" s="140"/>
      <c r="Q124" s="141"/>
      <c r="R124" s="237"/>
      <c r="S124" s="237"/>
      <c r="T124" s="236"/>
      <c r="U124" s="132" t="s">
        <v>131</v>
      </c>
      <c r="V124" s="2"/>
      <c r="W124" s="2"/>
      <c r="X124" s="2"/>
    </row>
    <row r="125" spans="1:24" ht="15" customHeight="1" x14ac:dyDescent="0.25">
      <c r="A125" s="234" t="s">
        <v>107</v>
      </c>
      <c r="B125" s="233" t="s">
        <v>108</v>
      </c>
      <c r="C125" s="163"/>
      <c r="D125" s="163"/>
      <c r="E125" s="159"/>
      <c r="F125" s="161"/>
      <c r="G125" s="162"/>
      <c r="H125" s="163"/>
      <c r="I125" s="161"/>
      <c r="J125" s="162"/>
      <c r="K125" s="163"/>
      <c r="L125" s="163"/>
      <c r="M125" s="159">
        <v>232.82900000000001</v>
      </c>
      <c r="N125" s="143">
        <v>11841</v>
      </c>
      <c r="O125" s="144">
        <v>615.20000000000005</v>
      </c>
      <c r="P125" s="143"/>
      <c r="Q125" s="144"/>
      <c r="R125" s="188"/>
      <c r="S125" s="188"/>
      <c r="T125" s="232"/>
      <c r="U125" s="132" t="s">
        <v>131</v>
      </c>
      <c r="V125" s="2"/>
      <c r="W125" s="2"/>
      <c r="X125" s="2"/>
    </row>
    <row r="126" spans="1:24" ht="15" customHeight="1" x14ac:dyDescent="0.25">
      <c r="A126" s="234" t="s">
        <v>109</v>
      </c>
      <c r="B126" s="233" t="s">
        <v>110</v>
      </c>
      <c r="C126" s="163"/>
      <c r="D126" s="163"/>
      <c r="E126" s="159"/>
      <c r="F126" s="163"/>
      <c r="G126" s="163"/>
      <c r="H126" s="163"/>
      <c r="I126" s="163"/>
      <c r="J126" s="163"/>
      <c r="K126" s="163"/>
      <c r="L126" s="163"/>
      <c r="M126" s="159">
        <v>117.163</v>
      </c>
      <c r="N126" s="156">
        <f>SUBTOTAL(9,N127:N128)</f>
        <v>51948.021000000001</v>
      </c>
      <c r="O126" s="157">
        <f>SUBTOTAL(9,O127:O128)</f>
        <v>1533.748</v>
      </c>
      <c r="P126" s="156"/>
      <c r="Q126" s="157"/>
      <c r="R126" s="180"/>
      <c r="S126" s="180"/>
      <c r="T126" s="232"/>
      <c r="U126" s="132" t="s">
        <v>131</v>
      </c>
      <c r="V126" s="2"/>
      <c r="W126" s="2"/>
      <c r="X126" s="2"/>
    </row>
    <row r="127" spans="1:24" ht="15" customHeight="1" x14ac:dyDescent="0.25">
      <c r="A127" s="234"/>
      <c r="B127" s="235" t="s">
        <v>111</v>
      </c>
      <c r="C127" s="163"/>
      <c r="D127" s="163"/>
      <c r="E127" s="159"/>
      <c r="F127" s="161"/>
      <c r="G127" s="162"/>
      <c r="H127" s="163"/>
      <c r="I127" s="161"/>
      <c r="J127" s="162"/>
      <c r="K127" s="163"/>
      <c r="L127" s="163"/>
      <c r="M127" s="159">
        <v>117.163</v>
      </c>
      <c r="N127" s="143">
        <v>51948.021000000001</v>
      </c>
      <c r="O127" s="144">
        <v>1533.748</v>
      </c>
      <c r="P127" s="143"/>
      <c r="Q127" s="144"/>
      <c r="R127" s="188"/>
      <c r="S127" s="188"/>
      <c r="T127" s="232"/>
      <c r="U127" s="132" t="s">
        <v>131</v>
      </c>
      <c r="V127" s="2"/>
      <c r="W127" s="2"/>
      <c r="X127" s="2"/>
    </row>
    <row r="128" spans="1:24" ht="15" customHeight="1" x14ac:dyDescent="0.25">
      <c r="A128" s="234"/>
      <c r="B128" s="235" t="s">
        <v>112</v>
      </c>
      <c r="C128" s="163"/>
      <c r="D128" s="163"/>
      <c r="E128" s="159"/>
      <c r="F128" s="161"/>
      <c r="G128" s="162"/>
      <c r="H128" s="163"/>
      <c r="I128" s="161"/>
      <c r="J128" s="162"/>
      <c r="K128" s="163"/>
      <c r="L128" s="163"/>
      <c r="M128" s="159"/>
      <c r="N128" s="143"/>
      <c r="O128" s="144"/>
      <c r="P128" s="143"/>
      <c r="Q128" s="144"/>
      <c r="R128" s="188"/>
      <c r="S128" s="188"/>
      <c r="T128" s="232"/>
      <c r="U128" s="132" t="s">
        <v>131</v>
      </c>
      <c r="V128" s="2"/>
      <c r="W128" s="2"/>
      <c r="X128" s="2"/>
    </row>
    <row r="129" spans="1:24" ht="15" customHeight="1" x14ac:dyDescent="0.25">
      <c r="A129" s="234" t="s">
        <v>113</v>
      </c>
      <c r="B129" s="233" t="s">
        <v>114</v>
      </c>
      <c r="C129" s="163"/>
      <c r="D129" s="163"/>
      <c r="E129" s="159"/>
      <c r="F129" s="163"/>
      <c r="G129" s="163"/>
      <c r="H129" s="163"/>
      <c r="I129" s="163"/>
      <c r="J129" s="163"/>
      <c r="K129" s="163"/>
      <c r="L129" s="163"/>
      <c r="M129" s="159">
        <v>382.06799999999998</v>
      </c>
      <c r="N129" s="156">
        <f>SUBTOTAL(9,N130:N131)</f>
        <v>11977.718000000001</v>
      </c>
      <c r="O129" s="157">
        <f>SUBTOTAL(9,O130:O131)</f>
        <v>1149.374</v>
      </c>
      <c r="P129" s="156"/>
      <c r="Q129" s="157"/>
      <c r="R129" s="180"/>
      <c r="S129" s="180"/>
      <c r="T129" s="232"/>
      <c r="U129" s="132" t="s">
        <v>131</v>
      </c>
      <c r="V129" s="2"/>
      <c r="W129" s="2"/>
      <c r="X129" s="2"/>
    </row>
    <row r="130" spans="1:24" ht="15" customHeight="1" x14ac:dyDescent="0.25">
      <c r="A130" s="234"/>
      <c r="B130" s="235" t="s">
        <v>115</v>
      </c>
      <c r="C130" s="163"/>
      <c r="D130" s="163"/>
      <c r="E130" s="159"/>
      <c r="F130" s="161"/>
      <c r="G130" s="162"/>
      <c r="H130" s="163"/>
      <c r="I130" s="161"/>
      <c r="J130" s="162"/>
      <c r="K130" s="163"/>
      <c r="L130" s="163"/>
      <c r="M130" s="159">
        <v>382.06799999999998</v>
      </c>
      <c r="N130" s="143">
        <v>11977.718000000001</v>
      </c>
      <c r="O130" s="144">
        <v>1149.374</v>
      </c>
      <c r="P130" s="143"/>
      <c r="Q130" s="144"/>
      <c r="R130" s="188"/>
      <c r="S130" s="188"/>
      <c r="T130" s="232"/>
      <c r="U130" s="132" t="s">
        <v>131</v>
      </c>
      <c r="V130" s="2"/>
      <c r="W130" s="2"/>
      <c r="X130" s="2"/>
    </row>
    <row r="131" spans="1:24" ht="15" customHeight="1" x14ac:dyDescent="0.25">
      <c r="A131" s="234"/>
      <c r="B131" s="235" t="s">
        <v>116</v>
      </c>
      <c r="C131" s="163"/>
      <c r="D131" s="163"/>
      <c r="E131" s="159"/>
      <c r="F131" s="161"/>
      <c r="G131" s="162"/>
      <c r="H131" s="163"/>
      <c r="I131" s="161"/>
      <c r="J131" s="162"/>
      <c r="K131" s="163"/>
      <c r="L131" s="163"/>
      <c r="M131" s="159"/>
      <c r="N131" s="143"/>
      <c r="O131" s="144"/>
      <c r="P131" s="143"/>
      <c r="Q131" s="144"/>
      <c r="R131" s="188"/>
      <c r="S131" s="188"/>
      <c r="T131" s="232"/>
      <c r="U131" s="132" t="s">
        <v>131</v>
      </c>
      <c r="V131" s="2"/>
      <c r="W131" s="2"/>
      <c r="X131" s="2"/>
    </row>
    <row r="132" spans="1:24" ht="15" customHeight="1" thickBot="1" x14ac:dyDescent="0.3">
      <c r="A132" s="234" t="s">
        <v>117</v>
      </c>
      <c r="B132" s="233" t="s">
        <v>118</v>
      </c>
      <c r="C132" s="163"/>
      <c r="D132" s="163"/>
      <c r="E132" s="159"/>
      <c r="F132" s="161"/>
      <c r="G132" s="162"/>
      <c r="H132" s="163"/>
      <c r="I132" s="161"/>
      <c r="J132" s="162"/>
      <c r="K132" s="163"/>
      <c r="L132" s="163"/>
      <c r="M132" s="159">
        <v>1329.51</v>
      </c>
      <c r="N132" s="143">
        <v>3801.576</v>
      </c>
      <c r="O132" s="144">
        <v>295.80700000000002</v>
      </c>
      <c r="P132" s="143"/>
      <c r="Q132" s="144"/>
      <c r="R132" s="188"/>
      <c r="S132" s="188" t="str">
        <f>IF(U132="0",(IF(O132="",(IF(Q132&lt;&gt;"",Q132,"")),(IF(Q132="",0-O132,Q132-O132)))),"")</f>
        <v/>
      </c>
      <c r="T132" s="232"/>
      <c r="U132" s="132" t="s">
        <v>131</v>
      </c>
      <c r="V132" s="2"/>
      <c r="W132" s="2"/>
      <c r="X132" s="2"/>
    </row>
    <row r="133" spans="1:24" ht="15" customHeight="1" x14ac:dyDescent="0.25">
      <c r="A133" s="231">
        <v>4</v>
      </c>
      <c r="B133" s="230" t="s">
        <v>119</v>
      </c>
      <c r="C133" s="228"/>
      <c r="D133" s="224">
        <v>26386.702000000001</v>
      </c>
      <c r="E133" s="229"/>
      <c r="F133" s="226">
        <f>F78+SUMIF(B78:B132,"Прирост добычи нефти, в том числе:",F78:F132)-SUMIF(B78:B132,"Потери добычи нефти, в том числе:",F78:F132)</f>
        <v>408619.75800000003</v>
      </c>
      <c r="G133" s="225">
        <f>G78+SUMIF(B78:B132,"Прирост добычи нефти, в том числе:",G78:G132)-SUMIF(B78:B132,"Потери добычи нефти, в том числе:",G78:G132)</f>
        <v>30930.381000000001</v>
      </c>
      <c r="H133" s="228"/>
      <c r="I133" s="226"/>
      <c r="J133" s="225"/>
      <c r="K133" s="228"/>
      <c r="L133" s="224"/>
      <c r="M133" s="227">
        <v>768325.321</v>
      </c>
      <c r="N133" s="226">
        <f>N78+SUMIF(B78:B132,"Прирост добычи нефти, в том числе:",N78:N132)-SUMIF(B78:B132,"Потери добычи нефти, в том числе:",N78:N132)</f>
        <v>11611443.342</v>
      </c>
      <c r="O133" s="225">
        <f>O78+SUMIF(B78:B132,"Прирост добычи нефти, в том числе:",O78:O132)-SUMIF(B78:B132,"Потери добычи нефти, в том числе:",O78:O132)</f>
        <v>878180.59600000002</v>
      </c>
      <c r="P133" s="226"/>
      <c r="Q133" s="225"/>
      <c r="R133" s="224"/>
      <c r="S133" s="224"/>
      <c r="T133" s="223"/>
      <c r="U133" s="132" t="s">
        <v>131</v>
      </c>
      <c r="V133" s="2"/>
      <c r="W133" s="2"/>
      <c r="X133" s="2"/>
    </row>
    <row r="134" spans="1:24" ht="15" customHeight="1" x14ac:dyDescent="0.25">
      <c r="A134" s="222">
        <v>29</v>
      </c>
      <c r="B134" s="221" t="s">
        <v>120</v>
      </c>
      <c r="C134" s="214"/>
      <c r="D134" s="218">
        <v>26493.976999999999</v>
      </c>
      <c r="E134" s="217"/>
      <c r="F134" s="220">
        <f>N133/A134</f>
        <v>400394.598</v>
      </c>
      <c r="G134" s="219">
        <f>O133/A134</f>
        <v>30282.08951724138</v>
      </c>
      <c r="H134" s="214"/>
      <c r="I134" s="220"/>
      <c r="J134" s="219"/>
      <c r="K134" s="214"/>
      <c r="L134" s="218"/>
      <c r="M134" s="217"/>
      <c r="N134" s="216"/>
      <c r="O134" s="215"/>
      <c r="P134" s="216"/>
      <c r="Q134" s="215"/>
      <c r="R134" s="214"/>
      <c r="S134" s="214"/>
      <c r="T134" s="213"/>
      <c r="U134" s="132" t="s">
        <v>131</v>
      </c>
      <c r="V134" s="2"/>
      <c r="W134" s="2"/>
      <c r="X134" s="2"/>
    </row>
    <row r="135" spans="1:24" ht="15" customHeight="1" x14ac:dyDescent="0.25">
      <c r="A135" s="212"/>
      <c r="B135" s="211"/>
      <c r="C135" s="210"/>
      <c r="D135" s="210"/>
      <c r="E135" s="209"/>
      <c r="F135" s="208"/>
      <c r="G135" s="207"/>
      <c r="H135" s="206"/>
      <c r="I135" s="208"/>
      <c r="J135" s="207"/>
      <c r="K135" s="206"/>
      <c r="L135" s="206"/>
      <c r="M135" s="209"/>
      <c r="N135" s="208"/>
      <c r="O135" s="207"/>
      <c r="P135" s="208"/>
      <c r="Q135" s="207"/>
      <c r="R135" s="206"/>
      <c r="S135" s="206"/>
      <c r="T135" s="205"/>
      <c r="U135" s="132" t="s">
        <v>131</v>
      </c>
      <c r="V135" s="2"/>
      <c r="W135" s="2"/>
      <c r="X135" s="2"/>
    </row>
    <row r="136" spans="1:24" ht="15" customHeight="1" x14ac:dyDescent="0.25">
      <c r="A136" s="204"/>
      <c r="B136" s="203" t="s">
        <v>121</v>
      </c>
      <c r="C136" s="202"/>
      <c r="D136" s="202"/>
      <c r="E136" s="201"/>
      <c r="F136" s="198"/>
      <c r="G136" s="199">
        <f>G134-D134</f>
        <v>3788.1125172413813</v>
      </c>
      <c r="H136" s="198"/>
      <c r="I136" s="198"/>
      <c r="J136" s="199"/>
      <c r="K136" s="198"/>
      <c r="L136" s="198"/>
      <c r="M136" s="201"/>
      <c r="N136" s="198"/>
      <c r="O136" s="199">
        <f>O133-M133</f>
        <v>109855.27500000002</v>
      </c>
      <c r="P136" s="200"/>
      <c r="Q136" s="199"/>
      <c r="R136" s="198"/>
      <c r="S136" s="198"/>
      <c r="T136" s="197"/>
      <c r="U136" s="132" t="s">
        <v>131</v>
      </c>
      <c r="V136" s="2"/>
      <c r="W136" s="2"/>
      <c r="X136" s="2"/>
    </row>
    <row r="137" spans="1:24" ht="15" customHeight="1" x14ac:dyDescent="0.25">
      <c r="A137" s="178"/>
      <c r="B137" s="195"/>
      <c r="C137" s="176"/>
      <c r="D137" s="176"/>
      <c r="E137" s="184"/>
      <c r="F137" s="3"/>
      <c r="G137" s="3"/>
      <c r="H137" s="3"/>
      <c r="I137" s="3"/>
      <c r="J137" s="177"/>
      <c r="K137" s="3"/>
      <c r="L137" s="177"/>
      <c r="M137" s="187"/>
      <c r="N137" s="3"/>
      <c r="O137" s="196"/>
      <c r="P137" s="3"/>
      <c r="Q137" s="196"/>
      <c r="R137" s="3"/>
      <c r="S137" s="196"/>
      <c r="T137" s="3"/>
      <c r="U137" s="3"/>
      <c r="V137" s="2"/>
      <c r="W137" s="2"/>
      <c r="X137" s="2"/>
    </row>
    <row r="138" spans="1:24" ht="15" customHeight="1" x14ac:dyDescent="0.25">
      <c r="A138" s="178"/>
      <c r="B138" s="195"/>
      <c r="C138" s="176"/>
      <c r="D138" s="176"/>
      <c r="E138" s="193" t="s">
        <v>122</v>
      </c>
      <c r="F138" s="48" t="s">
        <v>0</v>
      </c>
      <c r="G138" s="48" t="s">
        <v>0</v>
      </c>
      <c r="H138" s="194" t="s">
        <v>123</v>
      </c>
      <c r="I138" s="105" t="s">
        <v>0</v>
      </c>
      <c r="J138" s="105" t="s">
        <v>0</v>
      </c>
      <c r="K138" s="3"/>
      <c r="L138" s="176"/>
      <c r="M138" s="187"/>
      <c r="N138" s="3"/>
      <c r="O138" s="193" t="s">
        <v>124</v>
      </c>
      <c r="P138" s="48" t="s">
        <v>0</v>
      </c>
      <c r="Q138" s="48" t="s">
        <v>0</v>
      </c>
      <c r="R138" s="3"/>
      <c r="S138" s="176"/>
      <c r="T138" s="3"/>
      <c r="U138" s="3"/>
      <c r="V138" s="2"/>
      <c r="W138" s="2"/>
      <c r="X138" s="2"/>
    </row>
    <row r="139" spans="1:24" ht="15" customHeight="1" x14ac:dyDescent="0.25">
      <c r="A139" s="176"/>
      <c r="B139" s="192"/>
      <c r="C139" s="176"/>
      <c r="D139" s="176"/>
      <c r="E139" s="191" t="s">
        <v>18</v>
      </c>
      <c r="F139" s="190" t="s">
        <v>17</v>
      </c>
      <c r="G139" s="190" t="s">
        <v>16</v>
      </c>
      <c r="H139" s="190" t="s">
        <v>18</v>
      </c>
      <c r="I139" s="190" t="s">
        <v>17</v>
      </c>
      <c r="J139" s="190" t="s">
        <v>16</v>
      </c>
      <c r="K139" s="3"/>
      <c r="L139" s="176"/>
      <c r="M139" s="187"/>
      <c r="N139" s="3"/>
      <c r="O139" s="191" t="s">
        <v>18</v>
      </c>
      <c r="P139" s="190" t="s">
        <v>17</v>
      </c>
      <c r="Q139" s="190" t="s">
        <v>16</v>
      </c>
      <c r="R139" s="3"/>
      <c r="S139" s="176"/>
      <c r="T139" s="3"/>
      <c r="U139" s="3"/>
      <c r="V139" s="2"/>
      <c r="W139" s="2"/>
      <c r="X139" s="2"/>
    </row>
    <row r="140" spans="1:24" ht="15" customHeight="1" x14ac:dyDescent="0.25">
      <c r="A140" s="186" t="s">
        <v>125</v>
      </c>
      <c r="B140" s="185" t="s">
        <v>126</v>
      </c>
      <c r="C140" s="176"/>
      <c r="D140" s="176"/>
      <c r="E140" s="189">
        <v>75</v>
      </c>
      <c r="F140" s="188">
        <v>8722.8137495644096</v>
      </c>
      <c r="G140" s="188">
        <v>647.60441035106203</v>
      </c>
      <c r="H140" s="188"/>
      <c r="I140" s="188">
        <v>11575.512097942301</v>
      </c>
      <c r="J140" s="188">
        <v>870.44066862709496</v>
      </c>
      <c r="K140" s="3"/>
      <c r="L140" s="176"/>
      <c r="M140" s="187"/>
      <c r="N140" s="3"/>
      <c r="O140" s="189"/>
      <c r="P140" s="188"/>
      <c r="Q140" s="188"/>
      <c r="R140" s="3"/>
      <c r="S140" s="176"/>
      <c r="T140" s="3"/>
      <c r="U140" s="3"/>
      <c r="V140" s="2"/>
      <c r="W140" s="2"/>
      <c r="X140" s="2"/>
    </row>
    <row r="141" spans="1:24" ht="15" customHeight="1" x14ac:dyDescent="0.25">
      <c r="A141" s="186" t="s">
        <v>127</v>
      </c>
      <c r="B141" s="185" t="s">
        <v>128</v>
      </c>
      <c r="C141" s="178"/>
      <c r="D141" s="178"/>
      <c r="E141" s="182"/>
      <c r="F141" s="163"/>
      <c r="G141" s="163"/>
      <c r="H141" s="163"/>
      <c r="I141" s="163"/>
      <c r="J141" s="163"/>
      <c r="K141" s="3"/>
      <c r="L141" s="176"/>
      <c r="M141" s="187"/>
      <c r="N141" s="3"/>
      <c r="O141" s="182"/>
      <c r="P141" s="163"/>
      <c r="Q141" s="163"/>
      <c r="R141" s="3"/>
      <c r="S141" s="176"/>
      <c r="T141" s="3"/>
      <c r="U141" s="3"/>
      <c r="V141" s="2"/>
      <c r="W141" s="2"/>
      <c r="X141" s="2"/>
    </row>
    <row r="142" spans="1:24" ht="15" customHeight="1" x14ac:dyDescent="0.25">
      <c r="A142" s="186" t="s">
        <v>129</v>
      </c>
      <c r="B142" s="185" t="s">
        <v>100</v>
      </c>
      <c r="C142" s="184"/>
      <c r="D142" s="183"/>
      <c r="E142" s="182"/>
      <c r="F142" s="163"/>
      <c r="G142" s="163"/>
      <c r="H142" s="163"/>
      <c r="I142" s="163"/>
      <c r="J142" s="163"/>
      <c r="K142" s="3"/>
      <c r="L142" s="176"/>
      <c r="M142" s="177"/>
      <c r="N142" s="3"/>
      <c r="O142" s="182"/>
      <c r="P142" s="163"/>
      <c r="Q142" s="163"/>
      <c r="R142" s="3"/>
      <c r="S142" s="176"/>
      <c r="T142" s="3"/>
      <c r="U142" s="3"/>
      <c r="V142" s="2"/>
      <c r="W142" s="2"/>
      <c r="X142" s="2"/>
    </row>
    <row r="143" spans="1:24" ht="15" customHeight="1" x14ac:dyDescent="0.25">
      <c r="A143" s="179"/>
      <c r="B143" s="178" t="s">
        <v>130</v>
      </c>
      <c r="C143" s="176"/>
      <c r="D143" s="176"/>
      <c r="E143" s="181">
        <f>SUM(E140:E142)</f>
        <v>75</v>
      </c>
      <c r="F143" s="180">
        <v>8722.8137495644096</v>
      </c>
      <c r="G143" s="180">
        <f>SUM(G140:G142)</f>
        <v>647.60441035106203</v>
      </c>
      <c r="H143" s="180">
        <f>SUM(H140:H142)</f>
        <v>0</v>
      </c>
      <c r="I143" s="180">
        <v>11575.512097942301</v>
      </c>
      <c r="J143" s="180">
        <f>SUM(J140:J142)</f>
        <v>870.44066862709496</v>
      </c>
      <c r="K143" s="3"/>
      <c r="L143" s="176"/>
      <c r="M143" s="176"/>
      <c r="N143" s="3"/>
      <c r="O143" s="181">
        <f>SUM(O140:O142)</f>
        <v>0</v>
      </c>
      <c r="P143" s="180">
        <v>0</v>
      </c>
      <c r="Q143" s="180">
        <f>SUM(Q140:Q142)</f>
        <v>0</v>
      </c>
      <c r="R143" s="3"/>
      <c r="S143" s="176"/>
      <c r="T143" s="3"/>
      <c r="U143" s="3"/>
      <c r="V143" s="2"/>
      <c r="W143" s="2"/>
      <c r="X143" s="2"/>
    </row>
    <row r="144" spans="1:24" ht="15" customHeight="1" x14ac:dyDescent="0.25">
      <c r="A144" s="179"/>
      <c r="B144" s="178"/>
      <c r="C144" s="176"/>
      <c r="D144" s="176"/>
      <c r="E144" s="177"/>
      <c r="F144" s="3"/>
      <c r="G144" s="177"/>
      <c r="H144" s="177"/>
      <c r="I144" s="3"/>
      <c r="J144" s="177"/>
      <c r="K144" s="3"/>
      <c r="L144" s="176"/>
      <c r="M144" s="176"/>
      <c r="N144" s="3"/>
      <c r="O144" s="177"/>
      <c r="P144" s="3"/>
      <c r="Q144" s="177"/>
      <c r="R144" s="3"/>
      <c r="S144" s="176"/>
      <c r="T144" s="3"/>
      <c r="U144" s="3"/>
      <c r="V144" s="2"/>
      <c r="W144" s="2"/>
      <c r="X144" s="2"/>
    </row>
  </sheetData>
  <mergeCells count="36">
    <mergeCell ref="A1:S1"/>
    <mergeCell ref="A2:S2"/>
    <mergeCell ref="A3:S3"/>
    <mergeCell ref="A4:A6"/>
    <mergeCell ref="B4:B6"/>
    <mergeCell ref="C4:D5"/>
    <mergeCell ref="E4:J4"/>
    <mergeCell ref="K4:L4"/>
    <mergeCell ref="M4:Q4"/>
    <mergeCell ref="R4:S4"/>
    <mergeCell ref="T4:T6"/>
    <mergeCell ref="E5:G5"/>
    <mergeCell ref="H5:J5"/>
    <mergeCell ref="M5:M6"/>
    <mergeCell ref="N5:O5"/>
    <mergeCell ref="P5:Q5"/>
    <mergeCell ref="E67:G67"/>
    <mergeCell ref="H67:J67"/>
    <mergeCell ref="O67:Q67"/>
    <mergeCell ref="A74:S74"/>
    <mergeCell ref="A75:A77"/>
    <mergeCell ref="B75:B77"/>
    <mergeCell ref="C75:D76"/>
    <mergeCell ref="E75:J75"/>
    <mergeCell ref="K75:L75"/>
    <mergeCell ref="M75:Q75"/>
    <mergeCell ref="E138:G138"/>
    <mergeCell ref="H138:J138"/>
    <mergeCell ref="O138:Q138"/>
    <mergeCell ref="T75:T77"/>
    <mergeCell ref="E76:G76"/>
    <mergeCell ref="H76:J76"/>
    <mergeCell ref="M76:M77"/>
    <mergeCell ref="N76:O76"/>
    <mergeCell ref="P76:Q76"/>
    <mergeCell ref="R75:S75"/>
  </mergeCells>
  <pageMargins left="0" right="0" top="0" bottom="0" header="0" footer="0"/>
  <pageSetup paperSize="8" scale="45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134"/>
  <sheetViews>
    <sheetView zoomScale="85" zoomScaleNormal="85" workbookViewId="0">
      <pane xSplit="2" ySplit="11" topLeftCell="AO84" activePane="bottomRight" state="frozen"/>
      <selection pane="topRight"/>
      <selection pane="bottomLeft"/>
      <selection pane="bottomRight" activeCell="AV134" sqref="AV134"/>
    </sheetView>
  </sheetViews>
  <sheetFormatPr defaultRowHeight="15" x14ac:dyDescent="0.25"/>
  <cols>
    <col min="1" max="1" width="4.140625" style="1" customWidth="1"/>
    <col min="2" max="2" width="14.28515625" style="1" customWidth="1"/>
    <col min="3" max="18" width="8.5703125" style="1" customWidth="1"/>
    <col min="19" max="19" width="8.7109375" style="1" customWidth="1"/>
    <col min="20" max="20" width="9.140625" style="1" customWidth="1"/>
    <col min="21" max="21" width="9.85546875" style="1" customWidth="1"/>
    <col min="22" max="31" width="8.5703125" style="1" customWidth="1"/>
    <col min="32" max="32" width="11.28515625" style="1" customWidth="1"/>
    <col min="33" max="33" width="9" style="1" customWidth="1"/>
    <col min="34" max="71" width="8.5703125" style="1" customWidth="1"/>
    <col min="72" max="72" width="11.28515625" style="1" customWidth="1"/>
    <col min="73" max="73" width="9" style="1" customWidth="1"/>
    <col min="74" max="74" width="5.7109375" style="1" customWidth="1"/>
    <col min="75" max="16384" width="9.140625" style="1"/>
  </cols>
  <sheetData>
    <row r="1" spans="1:74" ht="18.75" customHeight="1" x14ac:dyDescent="0.25">
      <c r="A1" s="132" t="s">
        <v>169</v>
      </c>
      <c r="B1" s="3"/>
      <c r="C1" s="131" t="s">
        <v>168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0</v>
      </c>
      <c r="P1" s="7" t="s">
        <v>0</v>
      </c>
      <c r="Q1" s="7" t="s">
        <v>0</v>
      </c>
      <c r="R1" s="7" t="s">
        <v>0</v>
      </c>
      <c r="S1" s="7" t="s">
        <v>0</v>
      </c>
      <c r="T1" s="7" t="s">
        <v>0</v>
      </c>
      <c r="U1" s="7" t="s">
        <v>0</v>
      </c>
      <c r="V1" s="7" t="s">
        <v>0</v>
      </c>
      <c r="W1" s="7" t="s">
        <v>0</v>
      </c>
      <c r="X1" s="7" t="s">
        <v>0</v>
      </c>
      <c r="Y1" s="7" t="s">
        <v>0</v>
      </c>
      <c r="Z1" s="7" t="s">
        <v>0</v>
      </c>
      <c r="AA1" s="7" t="s">
        <v>0</v>
      </c>
      <c r="AB1" s="7" t="s">
        <v>0</v>
      </c>
      <c r="AC1" s="7" t="s">
        <v>0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</row>
    <row r="2" spans="1:74" ht="34.5" customHeight="1" x14ac:dyDescent="0.25">
      <c r="A2" s="3"/>
      <c r="B2" s="3"/>
      <c r="C2" s="130" t="s">
        <v>318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7" t="s">
        <v>0</v>
      </c>
      <c r="P2" s="7" t="s">
        <v>0</v>
      </c>
      <c r="Q2" s="7" t="s">
        <v>0</v>
      </c>
      <c r="R2" s="7" t="s">
        <v>0</v>
      </c>
      <c r="S2" s="7" t="s">
        <v>0</v>
      </c>
      <c r="T2" s="7" t="s">
        <v>0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0</v>
      </c>
      <c r="AA2" s="7" t="s">
        <v>0</v>
      </c>
      <c r="AB2" s="7" t="s">
        <v>0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</row>
    <row r="3" spans="1:74" ht="22.5" customHeight="1" x14ac:dyDescent="0.3">
      <c r="A3" s="3"/>
      <c r="B3" s="129"/>
      <c r="C3" s="128" t="s">
        <v>317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127" t="s">
        <v>316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1:74" ht="20.25" customHeight="1" x14ac:dyDescent="0.25">
      <c r="A4" s="126" t="s">
        <v>21</v>
      </c>
      <c r="B4" s="7" t="s">
        <v>0</v>
      </c>
      <c r="C4" s="125" t="s">
        <v>167</v>
      </c>
      <c r="D4" s="48" t="s">
        <v>0</v>
      </c>
      <c r="E4" s="48" t="s">
        <v>0</v>
      </c>
      <c r="F4" s="48" t="s">
        <v>0</v>
      </c>
      <c r="G4" s="48" t="s">
        <v>0</v>
      </c>
      <c r="H4" s="48" t="s">
        <v>0</v>
      </c>
      <c r="I4" s="48" t="s">
        <v>0</v>
      </c>
      <c r="J4" s="48" t="s">
        <v>0</v>
      </c>
      <c r="K4" s="48" t="s">
        <v>0</v>
      </c>
      <c r="L4" s="48" t="s">
        <v>0</v>
      </c>
      <c r="M4" s="48" t="s">
        <v>0</v>
      </c>
      <c r="N4" s="48" t="s">
        <v>0</v>
      </c>
      <c r="O4" s="48" t="s">
        <v>0</v>
      </c>
      <c r="P4" s="48" t="s">
        <v>0</v>
      </c>
      <c r="Q4" s="48" t="s">
        <v>0</v>
      </c>
      <c r="R4" s="48" t="s">
        <v>0</v>
      </c>
      <c r="S4" s="48" t="s">
        <v>0</v>
      </c>
      <c r="T4" s="48" t="s">
        <v>0</v>
      </c>
      <c r="U4" s="48" t="s">
        <v>0</v>
      </c>
      <c r="V4" s="48" t="s">
        <v>0</v>
      </c>
      <c r="W4" s="48" t="s">
        <v>0</v>
      </c>
      <c r="X4" s="48" t="s">
        <v>0</v>
      </c>
      <c r="Y4" s="48" t="s">
        <v>0</v>
      </c>
      <c r="Z4" s="48" t="s">
        <v>0</v>
      </c>
      <c r="AA4" s="48" t="s">
        <v>0</v>
      </c>
      <c r="AB4" s="48" t="s">
        <v>0</v>
      </c>
      <c r="AC4" s="48" t="s">
        <v>0</v>
      </c>
      <c r="AD4" s="48" t="s">
        <v>0</v>
      </c>
      <c r="AE4" s="48" t="s">
        <v>0</v>
      </c>
      <c r="AF4" s="48" t="s">
        <v>0</v>
      </c>
      <c r="AG4" s="48" t="s">
        <v>0</v>
      </c>
      <c r="AH4" s="48" t="s">
        <v>0</v>
      </c>
      <c r="AI4" s="48" t="s">
        <v>0</v>
      </c>
      <c r="AJ4" s="48" t="s">
        <v>0</v>
      </c>
      <c r="AK4" s="48" t="s">
        <v>0</v>
      </c>
      <c r="AL4" s="48" t="s">
        <v>0</v>
      </c>
      <c r="AM4" s="48" t="s">
        <v>0</v>
      </c>
      <c r="AN4" s="48" t="s">
        <v>0</v>
      </c>
      <c r="AO4" s="48" t="s">
        <v>0</v>
      </c>
      <c r="AP4" s="48" t="s">
        <v>0</v>
      </c>
      <c r="AQ4" s="48" t="s">
        <v>0</v>
      </c>
      <c r="AR4" s="48" t="s">
        <v>0</v>
      </c>
      <c r="AS4" s="124" t="s">
        <v>166</v>
      </c>
      <c r="AT4" s="48" t="s">
        <v>0</v>
      </c>
      <c r="AU4" s="48" t="s">
        <v>0</v>
      </c>
      <c r="AV4" s="48" t="s">
        <v>0</v>
      </c>
      <c r="AW4" s="48" t="s">
        <v>0</v>
      </c>
      <c r="AX4" s="48" t="s">
        <v>0</v>
      </c>
      <c r="AY4" s="48" t="s">
        <v>0</v>
      </c>
      <c r="AZ4" s="48" t="s">
        <v>0</v>
      </c>
      <c r="BA4" s="48" t="s">
        <v>0</v>
      </c>
      <c r="BB4" s="48" t="s">
        <v>0</v>
      </c>
      <c r="BC4" s="48" t="s">
        <v>0</v>
      </c>
      <c r="BD4" s="48" t="s">
        <v>0</v>
      </c>
      <c r="BE4" s="48" t="s">
        <v>0</v>
      </c>
      <c r="BF4" s="48" t="s">
        <v>0</v>
      </c>
      <c r="BG4" s="48" t="s">
        <v>0</v>
      </c>
      <c r="BH4" s="48" t="s">
        <v>0</v>
      </c>
      <c r="BI4" s="48" t="s">
        <v>0</v>
      </c>
      <c r="BJ4" s="48" t="s">
        <v>0</v>
      </c>
      <c r="BK4" s="48" t="s">
        <v>0</v>
      </c>
      <c r="BL4" s="48" t="s">
        <v>0</v>
      </c>
      <c r="BM4" s="48" t="s">
        <v>0</v>
      </c>
      <c r="BN4" s="48" t="s">
        <v>0</v>
      </c>
      <c r="BO4" s="48" t="s">
        <v>0</v>
      </c>
      <c r="BP4" s="48" t="s">
        <v>0</v>
      </c>
      <c r="BQ4" s="48" t="s">
        <v>0</v>
      </c>
      <c r="BR4" s="48" t="s">
        <v>0</v>
      </c>
      <c r="BS4" s="48" t="s">
        <v>0</v>
      </c>
      <c r="BT4" s="123">
        <v>30562.044000000002</v>
      </c>
      <c r="BU4" s="122">
        <v>647.60441035116401</v>
      </c>
      <c r="BV4" s="3"/>
    </row>
    <row r="5" spans="1:74" ht="18.75" customHeight="1" x14ac:dyDescent="0.25">
      <c r="A5" s="121" t="s">
        <v>165</v>
      </c>
      <c r="B5" s="120" t="s">
        <v>164</v>
      </c>
      <c r="C5" s="175" t="s">
        <v>315</v>
      </c>
      <c r="D5" s="105" t="s">
        <v>0</v>
      </c>
      <c r="E5" s="105" t="s">
        <v>0</v>
      </c>
      <c r="F5" s="105" t="s">
        <v>0</v>
      </c>
      <c r="G5" s="105" t="s">
        <v>0</v>
      </c>
      <c r="H5" s="105" t="s">
        <v>0</v>
      </c>
      <c r="I5" s="105" t="s">
        <v>0</v>
      </c>
      <c r="J5" s="105" t="s">
        <v>0</v>
      </c>
      <c r="K5" s="105" t="s">
        <v>0</v>
      </c>
      <c r="L5" s="105" t="s">
        <v>0</v>
      </c>
      <c r="M5" s="105" t="s">
        <v>0</v>
      </c>
      <c r="N5" s="105" t="s">
        <v>0</v>
      </c>
      <c r="O5" s="105" t="s">
        <v>0</v>
      </c>
      <c r="P5" s="105" t="s">
        <v>0</v>
      </c>
      <c r="Q5" s="105" t="s">
        <v>0</v>
      </c>
      <c r="R5" s="105" t="s">
        <v>0</v>
      </c>
      <c r="S5" s="105" t="s">
        <v>0</v>
      </c>
      <c r="T5" s="174" t="s">
        <v>162</v>
      </c>
      <c r="U5" s="119" t="s">
        <v>55</v>
      </c>
      <c r="V5" s="112" t="s">
        <v>0</v>
      </c>
      <c r="W5" s="118" t="s">
        <v>162</v>
      </c>
      <c r="X5" s="119" t="s">
        <v>59</v>
      </c>
      <c r="Y5" s="112" t="s">
        <v>0</v>
      </c>
      <c r="Z5" s="112" t="s">
        <v>0</v>
      </c>
      <c r="AA5" s="118" t="s">
        <v>162</v>
      </c>
      <c r="AB5" s="119" t="s">
        <v>163</v>
      </c>
      <c r="AC5" s="112" t="s">
        <v>0</v>
      </c>
      <c r="AD5" s="112" t="s">
        <v>0</v>
      </c>
      <c r="AE5" s="112" t="s">
        <v>0</v>
      </c>
      <c r="AF5" s="112" t="s">
        <v>0</v>
      </c>
      <c r="AG5" s="118" t="s">
        <v>162</v>
      </c>
      <c r="AH5" s="117" t="s">
        <v>161</v>
      </c>
      <c r="AI5" s="105" t="s">
        <v>0</v>
      </c>
      <c r="AJ5" s="105" t="s">
        <v>0</v>
      </c>
      <c r="AK5" s="105" t="s">
        <v>0</v>
      </c>
      <c r="AL5" s="105" t="s">
        <v>0</v>
      </c>
      <c r="AM5" s="105" t="s">
        <v>0</v>
      </c>
      <c r="AN5" s="105" t="s">
        <v>0</v>
      </c>
      <c r="AO5" s="105" t="s">
        <v>0</v>
      </c>
      <c r="AP5" s="114" t="s">
        <v>160</v>
      </c>
      <c r="AQ5" s="111" t="s">
        <v>159</v>
      </c>
      <c r="AR5" s="48" t="s">
        <v>0</v>
      </c>
      <c r="AS5" s="116" t="s">
        <v>158</v>
      </c>
      <c r="AT5" s="114" t="s">
        <v>157</v>
      </c>
      <c r="AU5" s="105" t="s">
        <v>0</v>
      </c>
      <c r="AV5" s="105" t="s">
        <v>0</v>
      </c>
      <c r="AW5" s="105" t="s">
        <v>0</v>
      </c>
      <c r="AX5" s="105" t="s">
        <v>0</v>
      </c>
      <c r="AY5" s="105" t="s">
        <v>0</v>
      </c>
      <c r="AZ5" s="105" t="s">
        <v>0</v>
      </c>
      <c r="BA5" s="105" t="s">
        <v>0</v>
      </c>
      <c r="BB5" s="105" t="s">
        <v>0</v>
      </c>
      <c r="BC5" s="105" t="s">
        <v>0</v>
      </c>
      <c r="BD5" s="105" t="s">
        <v>0</v>
      </c>
      <c r="BE5" s="105" t="s">
        <v>0</v>
      </c>
      <c r="BF5" s="105" t="s">
        <v>0</v>
      </c>
      <c r="BG5" s="105" t="s">
        <v>0</v>
      </c>
      <c r="BH5" s="105" t="s">
        <v>0</v>
      </c>
      <c r="BI5" s="114" t="s">
        <v>156</v>
      </c>
      <c r="BJ5" s="114" t="s">
        <v>314</v>
      </c>
      <c r="BK5" s="105" t="s">
        <v>0</v>
      </c>
      <c r="BL5" s="105" t="s">
        <v>0</v>
      </c>
      <c r="BM5" s="114" t="s">
        <v>313</v>
      </c>
      <c r="BN5" s="115" t="s">
        <v>155</v>
      </c>
      <c r="BO5" s="114" t="s">
        <v>106</v>
      </c>
      <c r="BP5" s="105" t="s">
        <v>0</v>
      </c>
      <c r="BQ5" s="105" t="s">
        <v>0</v>
      </c>
      <c r="BR5" s="105" t="s">
        <v>0</v>
      </c>
      <c r="BS5" s="105" t="s">
        <v>0</v>
      </c>
      <c r="BT5" s="114" t="s">
        <v>154</v>
      </c>
      <c r="BU5" s="114" t="s">
        <v>153</v>
      </c>
      <c r="BV5" s="3"/>
    </row>
    <row r="6" spans="1:74" ht="14.25" customHeight="1" x14ac:dyDescent="0.25">
      <c r="A6" s="48" t="s">
        <v>0</v>
      </c>
      <c r="B6" s="105" t="s">
        <v>0</v>
      </c>
      <c r="C6" s="110" t="s">
        <v>27</v>
      </c>
      <c r="D6" s="101" t="s">
        <v>0</v>
      </c>
      <c r="E6" s="101" t="s">
        <v>0</v>
      </c>
      <c r="F6" s="101" t="s">
        <v>0</v>
      </c>
      <c r="G6" s="101" t="s">
        <v>0</v>
      </c>
      <c r="H6" s="110" t="s">
        <v>33</v>
      </c>
      <c r="I6" s="101" t="s">
        <v>0</v>
      </c>
      <c r="J6" s="101" t="s">
        <v>0</v>
      </c>
      <c r="K6" s="110" t="s">
        <v>35</v>
      </c>
      <c r="L6" s="101" t="s">
        <v>0</v>
      </c>
      <c r="M6" s="101" t="s">
        <v>0</v>
      </c>
      <c r="N6" s="101" t="s">
        <v>0</v>
      </c>
      <c r="O6" s="101" t="s">
        <v>0</v>
      </c>
      <c r="P6" s="101" t="s">
        <v>0</v>
      </c>
      <c r="Q6" s="101" t="s">
        <v>0</v>
      </c>
      <c r="R6" s="101" t="s">
        <v>0</v>
      </c>
      <c r="S6" s="173" t="s">
        <v>146</v>
      </c>
      <c r="T6" s="48" t="s">
        <v>0</v>
      </c>
      <c r="U6" s="112" t="s">
        <v>0</v>
      </c>
      <c r="V6" s="112" t="s">
        <v>0</v>
      </c>
      <c r="W6" s="48" t="s">
        <v>0</v>
      </c>
      <c r="X6" s="112" t="s">
        <v>0</v>
      </c>
      <c r="Y6" s="112" t="s">
        <v>0</v>
      </c>
      <c r="Z6" s="112" t="s">
        <v>0</v>
      </c>
      <c r="AA6" s="48" t="s">
        <v>0</v>
      </c>
      <c r="AB6" s="112" t="s">
        <v>0</v>
      </c>
      <c r="AC6" s="112" t="s">
        <v>0</v>
      </c>
      <c r="AD6" s="112" t="s">
        <v>0</v>
      </c>
      <c r="AE6" s="112" t="s">
        <v>0</v>
      </c>
      <c r="AF6" s="112" t="s">
        <v>0</v>
      </c>
      <c r="AG6" s="48" t="s">
        <v>0</v>
      </c>
      <c r="AH6" s="110" t="s">
        <v>312</v>
      </c>
      <c r="AI6" s="101" t="s">
        <v>0</v>
      </c>
      <c r="AJ6" s="101" t="s">
        <v>0</v>
      </c>
      <c r="AK6" s="110" t="s">
        <v>152</v>
      </c>
      <c r="AL6" s="101" t="s">
        <v>0</v>
      </c>
      <c r="AM6" s="101" t="s">
        <v>0</v>
      </c>
      <c r="AN6" s="101" t="s">
        <v>0</v>
      </c>
      <c r="AO6" s="110" t="s">
        <v>146</v>
      </c>
      <c r="AP6" s="105" t="s">
        <v>0</v>
      </c>
      <c r="AQ6" s="48" t="s">
        <v>0</v>
      </c>
      <c r="AR6" s="48" t="s">
        <v>0</v>
      </c>
      <c r="AS6" s="105" t="s">
        <v>0</v>
      </c>
      <c r="AT6" s="105" t="s">
        <v>0</v>
      </c>
      <c r="AU6" s="105" t="s">
        <v>0</v>
      </c>
      <c r="AV6" s="105" t="s">
        <v>0</v>
      </c>
      <c r="AW6" s="105" t="s">
        <v>0</v>
      </c>
      <c r="AX6" s="105" t="s">
        <v>0</v>
      </c>
      <c r="AY6" s="105" t="s">
        <v>0</v>
      </c>
      <c r="AZ6" s="105" t="s">
        <v>0</v>
      </c>
      <c r="BA6" s="105" t="s">
        <v>0</v>
      </c>
      <c r="BB6" s="105" t="s">
        <v>0</v>
      </c>
      <c r="BC6" s="105" t="s">
        <v>0</v>
      </c>
      <c r="BD6" s="105" t="s">
        <v>0</v>
      </c>
      <c r="BE6" s="105" t="s">
        <v>0</v>
      </c>
      <c r="BF6" s="105" t="s">
        <v>0</v>
      </c>
      <c r="BG6" s="105" t="s">
        <v>0</v>
      </c>
      <c r="BH6" s="105" t="s">
        <v>0</v>
      </c>
      <c r="BI6" s="105" t="s">
        <v>0</v>
      </c>
      <c r="BJ6" s="105" t="s">
        <v>0</v>
      </c>
      <c r="BK6" s="105" t="s">
        <v>0</v>
      </c>
      <c r="BL6" s="105" t="s">
        <v>0</v>
      </c>
      <c r="BM6" s="105" t="s">
        <v>0</v>
      </c>
      <c r="BN6" s="105" t="s">
        <v>0</v>
      </c>
      <c r="BO6" s="113">
        <f>SUBTOTAL(9,BO$14:BO$134)</f>
        <v>615.20000000000005</v>
      </c>
      <c r="BP6" s="113">
        <f>SUBTOTAL(9,BP$14:BP$134)</f>
        <v>1149.3742040048069</v>
      </c>
      <c r="BQ6" s="113">
        <f>SUBTOTAL(9,BQ$14:BQ$134)</f>
        <v>1533.7478311651453</v>
      </c>
      <c r="BR6" s="113">
        <f>SUBTOTAL(9,BR$14:BR$134)</f>
        <v>295.80703727636569</v>
      </c>
      <c r="BS6" s="113">
        <f>SUM(BO6:BR6)</f>
        <v>3594.1290724463179</v>
      </c>
      <c r="BT6" s="105" t="s">
        <v>0</v>
      </c>
      <c r="BU6" s="105" t="s">
        <v>0</v>
      </c>
      <c r="BV6" s="3"/>
    </row>
    <row r="7" spans="1:74" ht="11.25" customHeight="1" x14ac:dyDescent="0.25">
      <c r="A7" s="48" t="s">
        <v>0</v>
      </c>
      <c r="B7" s="105" t="s">
        <v>0</v>
      </c>
      <c r="C7" s="101" t="s">
        <v>0</v>
      </c>
      <c r="D7" s="101" t="s">
        <v>0</v>
      </c>
      <c r="E7" s="101" t="s">
        <v>0</v>
      </c>
      <c r="F7" s="101" t="s">
        <v>0</v>
      </c>
      <c r="G7" s="101" t="s">
        <v>0</v>
      </c>
      <c r="H7" s="101" t="s">
        <v>0</v>
      </c>
      <c r="I7" s="101" t="s">
        <v>0</v>
      </c>
      <c r="J7" s="101" t="s">
        <v>0</v>
      </c>
      <c r="K7" s="101" t="s">
        <v>0</v>
      </c>
      <c r="L7" s="101" t="s">
        <v>0</v>
      </c>
      <c r="M7" s="101" t="s">
        <v>0</v>
      </c>
      <c r="N7" s="101" t="s">
        <v>0</v>
      </c>
      <c r="O7" s="101" t="s">
        <v>0</v>
      </c>
      <c r="P7" s="101" t="s">
        <v>0</v>
      </c>
      <c r="Q7" s="101" t="s">
        <v>0</v>
      </c>
      <c r="R7" s="101" t="s">
        <v>0</v>
      </c>
      <c r="S7" s="48" t="s">
        <v>0</v>
      </c>
      <c r="T7" s="48" t="s">
        <v>0</v>
      </c>
      <c r="U7" s="112" t="s">
        <v>0</v>
      </c>
      <c r="V7" s="112" t="s">
        <v>0</v>
      </c>
      <c r="W7" s="48" t="s">
        <v>0</v>
      </c>
      <c r="X7" s="112" t="s">
        <v>0</v>
      </c>
      <c r="Y7" s="112" t="s">
        <v>0</v>
      </c>
      <c r="Z7" s="112" t="s">
        <v>0</v>
      </c>
      <c r="AA7" s="48" t="s">
        <v>0</v>
      </c>
      <c r="AB7" s="112" t="s">
        <v>0</v>
      </c>
      <c r="AC7" s="112" t="s">
        <v>0</v>
      </c>
      <c r="AD7" s="112" t="s">
        <v>0</v>
      </c>
      <c r="AE7" s="112" t="s">
        <v>0</v>
      </c>
      <c r="AF7" s="112" t="s">
        <v>0</v>
      </c>
      <c r="AG7" s="48" t="s">
        <v>0</v>
      </c>
      <c r="AH7" s="101" t="s">
        <v>0</v>
      </c>
      <c r="AI7" s="101" t="s">
        <v>0</v>
      </c>
      <c r="AJ7" s="101" t="s">
        <v>0</v>
      </c>
      <c r="AK7" s="101" t="s">
        <v>0</v>
      </c>
      <c r="AL7" s="101" t="s">
        <v>0</v>
      </c>
      <c r="AM7" s="101" t="s">
        <v>0</v>
      </c>
      <c r="AN7" s="101" t="s">
        <v>0</v>
      </c>
      <c r="AO7" s="101" t="s">
        <v>0</v>
      </c>
      <c r="AP7" s="105" t="s">
        <v>0</v>
      </c>
      <c r="AQ7" s="111" t="s">
        <v>151</v>
      </c>
      <c r="AR7" s="111" t="s">
        <v>150</v>
      </c>
      <c r="AS7" s="105" t="s">
        <v>0</v>
      </c>
      <c r="AT7" s="105" t="s">
        <v>0</v>
      </c>
      <c r="AU7" s="105" t="s">
        <v>0</v>
      </c>
      <c r="AV7" s="105" t="s">
        <v>0</v>
      </c>
      <c r="AW7" s="105" t="s">
        <v>0</v>
      </c>
      <c r="AX7" s="105" t="s">
        <v>0</v>
      </c>
      <c r="AY7" s="105" t="s">
        <v>0</v>
      </c>
      <c r="AZ7" s="105" t="s">
        <v>0</v>
      </c>
      <c r="BA7" s="105" t="s">
        <v>0</v>
      </c>
      <c r="BB7" s="105" t="s">
        <v>0</v>
      </c>
      <c r="BC7" s="105" t="s">
        <v>0</v>
      </c>
      <c r="BD7" s="105" t="s">
        <v>0</v>
      </c>
      <c r="BE7" s="105" t="s">
        <v>0</v>
      </c>
      <c r="BF7" s="105" t="s">
        <v>0</v>
      </c>
      <c r="BG7" s="105" t="s">
        <v>0</v>
      </c>
      <c r="BH7" s="105" t="s">
        <v>0</v>
      </c>
      <c r="BI7" s="105" t="s">
        <v>0</v>
      </c>
      <c r="BJ7" s="105" t="s">
        <v>0</v>
      </c>
      <c r="BK7" s="105" t="s">
        <v>0</v>
      </c>
      <c r="BL7" s="105" t="s">
        <v>0</v>
      </c>
      <c r="BM7" s="105" t="s">
        <v>0</v>
      </c>
      <c r="BN7" s="105" t="s">
        <v>0</v>
      </c>
      <c r="BO7" s="110" t="s">
        <v>149</v>
      </c>
      <c r="BP7" s="110" t="s">
        <v>148</v>
      </c>
      <c r="BQ7" s="110" t="s">
        <v>311</v>
      </c>
      <c r="BR7" s="110" t="s">
        <v>147</v>
      </c>
      <c r="BS7" s="110" t="s">
        <v>146</v>
      </c>
      <c r="BT7" s="105" t="s">
        <v>0</v>
      </c>
      <c r="BU7" s="105" t="s">
        <v>0</v>
      </c>
      <c r="BV7" s="3"/>
    </row>
    <row r="8" spans="1:74" ht="11.25" customHeight="1" x14ac:dyDescent="0.25">
      <c r="A8" s="48" t="s">
        <v>0</v>
      </c>
      <c r="B8" s="105" t="s">
        <v>0</v>
      </c>
      <c r="C8" s="108" t="s">
        <v>145</v>
      </c>
      <c r="D8" s="108" t="s">
        <v>145</v>
      </c>
      <c r="E8" s="108" t="s">
        <v>145</v>
      </c>
      <c r="F8" s="108" t="s">
        <v>145</v>
      </c>
      <c r="G8" s="108" t="s">
        <v>144</v>
      </c>
      <c r="H8" s="108" t="s">
        <v>145</v>
      </c>
      <c r="I8" s="108" t="s">
        <v>145</v>
      </c>
      <c r="J8" s="108" t="s">
        <v>144</v>
      </c>
      <c r="K8" s="108" t="s">
        <v>145</v>
      </c>
      <c r="L8" s="108" t="s">
        <v>145</v>
      </c>
      <c r="M8" s="108" t="s">
        <v>145</v>
      </c>
      <c r="N8" s="108" t="s">
        <v>145</v>
      </c>
      <c r="O8" s="108" t="s">
        <v>145</v>
      </c>
      <c r="P8" s="108" t="s">
        <v>145</v>
      </c>
      <c r="Q8" s="108" t="s">
        <v>145</v>
      </c>
      <c r="R8" s="108" t="s">
        <v>144</v>
      </c>
      <c r="S8" s="48" t="s">
        <v>0</v>
      </c>
      <c r="T8" s="48" t="s">
        <v>0</v>
      </c>
      <c r="U8" s="109" t="s">
        <v>145</v>
      </c>
      <c r="V8" s="109" t="s">
        <v>144</v>
      </c>
      <c r="W8" s="48" t="s">
        <v>0</v>
      </c>
      <c r="X8" s="109" t="s">
        <v>145</v>
      </c>
      <c r="Y8" s="109" t="s">
        <v>145</v>
      </c>
      <c r="Z8" s="109" t="s">
        <v>144</v>
      </c>
      <c r="AA8" s="48" t="s">
        <v>0</v>
      </c>
      <c r="AB8" s="109" t="s">
        <v>145</v>
      </c>
      <c r="AC8" s="109" t="s">
        <v>145</v>
      </c>
      <c r="AD8" s="109" t="s">
        <v>145</v>
      </c>
      <c r="AE8" s="109" t="s">
        <v>145</v>
      </c>
      <c r="AF8" s="109" t="s">
        <v>144</v>
      </c>
      <c r="AG8" s="48" t="s">
        <v>0</v>
      </c>
      <c r="AH8" s="108" t="s">
        <v>145</v>
      </c>
      <c r="AI8" s="108" t="s">
        <v>145</v>
      </c>
      <c r="AJ8" s="108"/>
      <c r="AK8" s="108" t="s">
        <v>145</v>
      </c>
      <c r="AL8" s="108" t="s">
        <v>145</v>
      </c>
      <c r="AM8" s="108" t="s">
        <v>145</v>
      </c>
      <c r="AN8" s="108"/>
      <c r="AO8" s="101" t="s">
        <v>0</v>
      </c>
      <c r="AP8" s="105" t="s">
        <v>0</v>
      </c>
      <c r="AQ8" s="48" t="s">
        <v>0</v>
      </c>
      <c r="AR8" s="48" t="s">
        <v>0</v>
      </c>
      <c r="AS8" s="105" t="s">
        <v>0</v>
      </c>
      <c r="AT8" s="108" t="s">
        <v>145</v>
      </c>
      <c r="AU8" s="108" t="s">
        <v>145</v>
      </c>
      <c r="AV8" s="108" t="s">
        <v>145</v>
      </c>
      <c r="AW8" s="108" t="s">
        <v>145</v>
      </c>
      <c r="AX8" s="108" t="s">
        <v>145</v>
      </c>
      <c r="AY8" s="108" t="s">
        <v>145</v>
      </c>
      <c r="AZ8" s="108" t="s">
        <v>145</v>
      </c>
      <c r="BA8" s="108" t="s">
        <v>145</v>
      </c>
      <c r="BB8" s="108" t="s">
        <v>145</v>
      </c>
      <c r="BC8" s="108" t="s">
        <v>145</v>
      </c>
      <c r="BD8" s="108" t="s">
        <v>145</v>
      </c>
      <c r="BE8" s="108" t="s">
        <v>145</v>
      </c>
      <c r="BF8" s="108" t="s">
        <v>145</v>
      </c>
      <c r="BG8" s="108" t="s">
        <v>145</v>
      </c>
      <c r="BH8" s="108"/>
      <c r="BI8" s="105" t="s">
        <v>0</v>
      </c>
      <c r="BJ8" s="108" t="s">
        <v>145</v>
      </c>
      <c r="BK8" s="108" t="s">
        <v>145</v>
      </c>
      <c r="BL8" s="108"/>
      <c r="BM8" s="105" t="s">
        <v>0</v>
      </c>
      <c r="BN8" s="105" t="s">
        <v>0</v>
      </c>
      <c r="BO8" s="101" t="s">
        <v>0</v>
      </c>
      <c r="BP8" s="101" t="s">
        <v>0</v>
      </c>
      <c r="BQ8" s="101" t="s">
        <v>0</v>
      </c>
      <c r="BR8" s="101" t="s">
        <v>0</v>
      </c>
      <c r="BS8" s="101" t="s">
        <v>0</v>
      </c>
      <c r="BT8" s="105" t="s">
        <v>0</v>
      </c>
      <c r="BU8" s="105" t="s">
        <v>0</v>
      </c>
      <c r="BV8" s="3"/>
    </row>
    <row r="9" spans="1:74" ht="12.75" customHeight="1" x14ac:dyDescent="0.25">
      <c r="A9" s="48" t="s">
        <v>0</v>
      </c>
      <c r="B9" s="105" t="s">
        <v>0</v>
      </c>
      <c r="C9" s="106" t="s">
        <v>310</v>
      </c>
      <c r="D9" s="106" t="s">
        <v>310</v>
      </c>
      <c r="E9" s="106" t="s">
        <v>310</v>
      </c>
      <c r="F9" s="106" t="s">
        <v>310</v>
      </c>
      <c r="G9" s="106" t="s">
        <v>138</v>
      </c>
      <c r="H9" s="106" t="s">
        <v>310</v>
      </c>
      <c r="I9" s="106" t="s">
        <v>310</v>
      </c>
      <c r="J9" s="106" t="s">
        <v>138</v>
      </c>
      <c r="K9" s="106" t="s">
        <v>310</v>
      </c>
      <c r="L9" s="106" t="s">
        <v>310</v>
      </c>
      <c r="M9" s="106" t="s">
        <v>310</v>
      </c>
      <c r="N9" s="106" t="s">
        <v>310</v>
      </c>
      <c r="O9" s="106" t="s">
        <v>310</v>
      </c>
      <c r="P9" s="106" t="s">
        <v>310</v>
      </c>
      <c r="Q9" s="106" t="s">
        <v>310</v>
      </c>
      <c r="R9" s="106" t="s">
        <v>138</v>
      </c>
      <c r="S9" s="48" t="s">
        <v>0</v>
      </c>
      <c r="T9" s="48" t="s">
        <v>0</v>
      </c>
      <c r="U9" s="107" t="s">
        <v>144</v>
      </c>
      <c r="V9" s="107" t="s">
        <v>138</v>
      </c>
      <c r="W9" s="48" t="s">
        <v>0</v>
      </c>
      <c r="X9" s="107" t="s">
        <v>144</v>
      </c>
      <c r="Y9" s="107" t="s">
        <v>144</v>
      </c>
      <c r="Z9" s="107" t="s">
        <v>138</v>
      </c>
      <c r="AA9" s="48" t="s">
        <v>0</v>
      </c>
      <c r="AB9" s="107" t="s">
        <v>144</v>
      </c>
      <c r="AC9" s="107" t="s">
        <v>144</v>
      </c>
      <c r="AD9" s="107" t="s">
        <v>144</v>
      </c>
      <c r="AE9" s="107" t="s">
        <v>144</v>
      </c>
      <c r="AF9" s="107" t="s">
        <v>138</v>
      </c>
      <c r="AG9" s="48" t="s">
        <v>0</v>
      </c>
      <c r="AH9" s="106" t="s">
        <v>144</v>
      </c>
      <c r="AI9" s="106" t="s">
        <v>144</v>
      </c>
      <c r="AJ9" s="106"/>
      <c r="AK9" s="106" t="s">
        <v>144</v>
      </c>
      <c r="AL9" s="106" t="s">
        <v>144</v>
      </c>
      <c r="AM9" s="106" t="s">
        <v>144</v>
      </c>
      <c r="AN9" s="106"/>
      <c r="AO9" s="101" t="s">
        <v>0</v>
      </c>
      <c r="AP9" s="105" t="s">
        <v>0</v>
      </c>
      <c r="AQ9" s="48" t="s">
        <v>0</v>
      </c>
      <c r="AR9" s="48" t="s">
        <v>0</v>
      </c>
      <c r="AS9" s="105" t="s">
        <v>0</v>
      </c>
      <c r="AT9" s="106" t="s">
        <v>144</v>
      </c>
      <c r="AU9" s="106" t="s">
        <v>144</v>
      </c>
      <c r="AV9" s="106" t="s">
        <v>144</v>
      </c>
      <c r="AW9" s="106" t="s">
        <v>144</v>
      </c>
      <c r="AX9" s="106" t="s">
        <v>144</v>
      </c>
      <c r="AY9" s="106" t="s">
        <v>144</v>
      </c>
      <c r="AZ9" s="106" t="s">
        <v>144</v>
      </c>
      <c r="BA9" s="106" t="s">
        <v>144</v>
      </c>
      <c r="BB9" s="106" t="s">
        <v>144</v>
      </c>
      <c r="BC9" s="106" t="s">
        <v>144</v>
      </c>
      <c r="BD9" s="106" t="s">
        <v>144</v>
      </c>
      <c r="BE9" s="106" t="s">
        <v>144</v>
      </c>
      <c r="BF9" s="106" t="s">
        <v>144</v>
      </c>
      <c r="BG9" s="106" t="s">
        <v>144</v>
      </c>
      <c r="BH9" s="106"/>
      <c r="BI9" s="105" t="s">
        <v>0</v>
      </c>
      <c r="BJ9" s="106" t="s">
        <v>144</v>
      </c>
      <c r="BK9" s="106" t="s">
        <v>144</v>
      </c>
      <c r="BL9" s="106"/>
      <c r="BM9" s="105" t="s">
        <v>0</v>
      </c>
      <c r="BN9" s="105" t="s">
        <v>0</v>
      </c>
      <c r="BO9" s="101" t="s">
        <v>0</v>
      </c>
      <c r="BP9" s="101" t="s">
        <v>0</v>
      </c>
      <c r="BQ9" s="101" t="s">
        <v>0</v>
      </c>
      <c r="BR9" s="101" t="s">
        <v>0</v>
      </c>
      <c r="BS9" s="101" t="s">
        <v>0</v>
      </c>
      <c r="BT9" s="105" t="s">
        <v>0</v>
      </c>
      <c r="BU9" s="105" t="s">
        <v>0</v>
      </c>
      <c r="BV9" s="3"/>
    </row>
    <row r="10" spans="1:74" ht="17.25" customHeight="1" x14ac:dyDescent="0.25">
      <c r="A10" s="104">
        <v>1</v>
      </c>
      <c r="B10" s="100">
        <v>2</v>
      </c>
      <c r="C10" s="102">
        <v>3</v>
      </c>
      <c r="D10" s="101" t="s">
        <v>0</v>
      </c>
      <c r="E10" s="101" t="s">
        <v>0</v>
      </c>
      <c r="F10" s="101" t="s">
        <v>0</v>
      </c>
      <c r="G10" s="101" t="s">
        <v>0</v>
      </c>
      <c r="H10" s="102">
        <v>4</v>
      </c>
      <c r="I10" s="101" t="s">
        <v>0</v>
      </c>
      <c r="J10" s="101" t="s">
        <v>0</v>
      </c>
      <c r="K10" s="102">
        <v>5</v>
      </c>
      <c r="L10" s="101" t="s">
        <v>0</v>
      </c>
      <c r="M10" s="101" t="s">
        <v>0</v>
      </c>
      <c r="N10" s="101" t="s">
        <v>0</v>
      </c>
      <c r="O10" s="101" t="s">
        <v>0</v>
      </c>
      <c r="P10" s="101" t="s">
        <v>0</v>
      </c>
      <c r="Q10" s="101" t="s">
        <v>0</v>
      </c>
      <c r="R10" s="101" t="s">
        <v>0</v>
      </c>
      <c r="S10" s="100">
        <v>6</v>
      </c>
      <c r="T10" s="172">
        <v>7</v>
      </c>
      <c r="U10" s="102">
        <v>8</v>
      </c>
      <c r="V10" s="101" t="s">
        <v>0</v>
      </c>
      <c r="W10" s="100">
        <v>9</v>
      </c>
      <c r="X10" s="102">
        <v>10</v>
      </c>
      <c r="Y10" s="101" t="s">
        <v>0</v>
      </c>
      <c r="Z10" s="101" t="s">
        <v>0</v>
      </c>
      <c r="AA10" s="100">
        <v>11</v>
      </c>
      <c r="AB10" s="102">
        <v>12</v>
      </c>
      <c r="AC10" s="101" t="s">
        <v>0</v>
      </c>
      <c r="AD10" s="101" t="s">
        <v>0</v>
      </c>
      <c r="AE10" s="101" t="s">
        <v>0</v>
      </c>
      <c r="AF10" s="101" t="s">
        <v>0</v>
      </c>
      <c r="AG10" s="100">
        <v>13</v>
      </c>
      <c r="AH10" s="102">
        <v>14</v>
      </c>
      <c r="AI10" s="101" t="s">
        <v>0</v>
      </c>
      <c r="AJ10" s="101" t="s">
        <v>0</v>
      </c>
      <c r="AK10" s="102">
        <v>15</v>
      </c>
      <c r="AL10" s="101" t="s">
        <v>0</v>
      </c>
      <c r="AM10" s="101" t="s">
        <v>0</v>
      </c>
      <c r="AN10" s="101" t="s">
        <v>0</v>
      </c>
      <c r="AO10" s="103">
        <v>16</v>
      </c>
      <c r="AP10" s="100">
        <v>17</v>
      </c>
      <c r="AQ10" s="100">
        <v>18</v>
      </c>
      <c r="AR10" s="100">
        <v>19</v>
      </c>
      <c r="AS10" s="100">
        <v>20</v>
      </c>
      <c r="AT10" s="102">
        <v>21</v>
      </c>
      <c r="AU10" s="101" t="s">
        <v>0</v>
      </c>
      <c r="AV10" s="101" t="s">
        <v>0</v>
      </c>
      <c r="AW10" s="101" t="s">
        <v>0</v>
      </c>
      <c r="AX10" s="101" t="s">
        <v>0</v>
      </c>
      <c r="AY10" s="101" t="s">
        <v>0</v>
      </c>
      <c r="AZ10" s="101" t="s">
        <v>0</v>
      </c>
      <c r="BA10" s="101" t="s">
        <v>0</v>
      </c>
      <c r="BB10" s="101" t="s">
        <v>0</v>
      </c>
      <c r="BC10" s="101" t="s">
        <v>0</v>
      </c>
      <c r="BD10" s="101" t="s">
        <v>0</v>
      </c>
      <c r="BE10" s="101" t="s">
        <v>0</v>
      </c>
      <c r="BF10" s="101" t="s">
        <v>0</v>
      </c>
      <c r="BG10" s="101" t="s">
        <v>0</v>
      </c>
      <c r="BH10" s="101" t="s">
        <v>0</v>
      </c>
      <c r="BI10" s="100">
        <v>22</v>
      </c>
      <c r="BJ10" s="102">
        <v>22</v>
      </c>
      <c r="BK10" s="101" t="s">
        <v>0</v>
      </c>
      <c r="BL10" s="101" t="s">
        <v>0</v>
      </c>
      <c r="BM10" s="100">
        <v>23</v>
      </c>
      <c r="BN10" s="100">
        <v>24</v>
      </c>
      <c r="BO10" s="100">
        <v>25</v>
      </c>
      <c r="BP10" s="100">
        <v>26</v>
      </c>
      <c r="BQ10" s="100">
        <v>27</v>
      </c>
      <c r="BR10" s="100">
        <v>28</v>
      </c>
      <c r="BS10" s="100">
        <v>29</v>
      </c>
      <c r="BT10" s="100">
        <v>30</v>
      </c>
      <c r="BU10" s="100">
        <v>31</v>
      </c>
      <c r="BV10" s="3"/>
    </row>
    <row r="11" spans="1:74" ht="0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ht="11.25" customHeight="1" x14ac:dyDescent="0.25">
      <c r="A12" s="93">
        <v>45323</v>
      </c>
      <c r="B12" s="92" t="s">
        <v>143</v>
      </c>
      <c r="C12" s="98"/>
      <c r="D12" s="98"/>
      <c r="E12" s="98"/>
      <c r="F12" s="98"/>
      <c r="G12" s="87">
        <v>0</v>
      </c>
      <c r="H12" s="98"/>
      <c r="I12" s="98"/>
      <c r="J12" s="87">
        <v>0</v>
      </c>
      <c r="K12" s="98"/>
      <c r="L12" s="98"/>
      <c r="M12" s="98"/>
      <c r="N12" s="98"/>
      <c r="O12" s="98"/>
      <c r="P12" s="98"/>
      <c r="Q12" s="98"/>
      <c r="R12" s="87">
        <v>0</v>
      </c>
      <c r="S12" s="87">
        <v>0</v>
      </c>
      <c r="T12" s="86"/>
      <c r="U12" s="98"/>
      <c r="V12" s="91"/>
      <c r="W12" s="90"/>
      <c r="X12" s="98"/>
      <c r="Y12" s="98"/>
      <c r="Z12" s="91"/>
      <c r="AA12" s="90"/>
      <c r="AB12" s="98"/>
      <c r="AC12" s="98"/>
      <c r="AD12" s="98"/>
      <c r="AE12" s="98"/>
      <c r="AF12" s="91"/>
      <c r="AG12" s="90"/>
      <c r="AH12" s="98"/>
      <c r="AI12" s="98"/>
      <c r="AJ12" s="88">
        <v>0</v>
      </c>
      <c r="AK12" s="89"/>
      <c r="AL12" s="98"/>
      <c r="AM12" s="98"/>
      <c r="AN12" s="88">
        <v>0</v>
      </c>
      <c r="AO12" s="87">
        <v>0</v>
      </c>
      <c r="AP12" s="86"/>
      <c r="AQ12" s="99"/>
      <c r="AR12" s="99"/>
      <c r="AS12" s="84"/>
      <c r="AT12" s="83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82"/>
      <c r="BI12" s="81"/>
      <c r="BJ12" s="98"/>
      <c r="BK12" s="98"/>
      <c r="BL12" s="82"/>
      <c r="BM12" s="82"/>
      <c r="BN12" s="80"/>
      <c r="BO12" s="79"/>
      <c r="BP12" s="79"/>
      <c r="BQ12" s="79"/>
      <c r="BR12" s="79"/>
      <c r="BS12" s="78"/>
      <c r="BT12" s="77">
        <f>BT$4+SUMIF($C$5:BS$5,"Нараст. баланс",$C14:BS14)+SUMIF($C$7:BQ$7,"Итого (с ВНР)",$C14:BQ14)-SUMIF($C$5:BS$5,"Геол. снижение,  т/сут",$C14:BS14)-SUMIF(BR$7:BS$7,"Итого",BR14:BS14)-SUMIF($C$7:BS$7,"Итого (с ВСП)",$C14:BS14)</f>
        <v>30523.044000000002</v>
      </c>
      <c r="BU12" s="76"/>
      <c r="BV12" s="2"/>
    </row>
    <row r="13" spans="1:74" ht="11.25" customHeight="1" x14ac:dyDescent="0.25">
      <c r="A13" s="48" t="s">
        <v>0</v>
      </c>
      <c r="B13" s="75" t="s">
        <v>141</v>
      </c>
      <c r="C13" s="96"/>
      <c r="D13" s="96"/>
      <c r="E13" s="96"/>
      <c r="F13" s="96"/>
      <c r="G13" s="66">
        <v>0</v>
      </c>
      <c r="H13" s="96"/>
      <c r="I13" s="96"/>
      <c r="J13" s="66">
        <v>0</v>
      </c>
      <c r="K13" s="96"/>
      <c r="L13" s="96"/>
      <c r="M13" s="96"/>
      <c r="N13" s="96"/>
      <c r="O13" s="96"/>
      <c r="P13" s="96"/>
      <c r="Q13" s="96"/>
      <c r="R13" s="66">
        <v>0</v>
      </c>
      <c r="S13" s="66">
        <v>0</v>
      </c>
      <c r="T13" s="70"/>
      <c r="U13" s="96"/>
      <c r="V13" s="74">
        <f>SUBTOTAL(9,U15:U15)</f>
        <v>0</v>
      </c>
      <c r="W13" s="73"/>
      <c r="X13" s="96"/>
      <c r="Y13" s="96"/>
      <c r="Z13" s="74">
        <f>SUBTOTAL(9,X15:Y15)</f>
        <v>0</v>
      </c>
      <c r="AA13" s="73"/>
      <c r="AB13" s="96"/>
      <c r="AC13" s="96"/>
      <c r="AD13" s="96"/>
      <c r="AE13" s="96"/>
      <c r="AF13" s="74">
        <f>SUBTOTAL(9,AB15:AE15)</f>
        <v>0</v>
      </c>
      <c r="AG13" s="73"/>
      <c r="AH13" s="96"/>
      <c r="AI13" s="96"/>
      <c r="AJ13" s="71">
        <f>SUBTOTAL(9,AH15:AI15)</f>
        <v>0</v>
      </c>
      <c r="AK13" s="72"/>
      <c r="AL13" s="96"/>
      <c r="AM13" s="96"/>
      <c r="AN13" s="71">
        <f>SUBTOTAL(9,AK15:AM15)</f>
        <v>0</v>
      </c>
      <c r="AO13" s="66">
        <f>SUBTOTAL(9,AH15:AM15)</f>
        <v>0</v>
      </c>
      <c r="AP13" s="70"/>
      <c r="AQ13" s="97"/>
      <c r="AR13" s="97"/>
      <c r="AS13" s="68"/>
      <c r="AT13" s="67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66">
        <f>SUBTOTAL(9,AT15:BG15)</f>
        <v>0</v>
      </c>
      <c r="BI13" s="65"/>
      <c r="BJ13" s="96"/>
      <c r="BK13" s="96"/>
      <c r="BL13" s="66">
        <f>SUBTOTAL(3,BJ13:BK13)</f>
        <v>0</v>
      </c>
      <c r="BM13" s="171"/>
      <c r="BN13" s="64"/>
      <c r="BO13" s="63"/>
      <c r="BP13" s="63"/>
      <c r="BQ13" s="63"/>
      <c r="BR13" s="63"/>
      <c r="BS13" s="62"/>
      <c r="BT13" s="48" t="s">
        <v>0</v>
      </c>
      <c r="BU13" s="61"/>
      <c r="BV13" s="2"/>
    </row>
    <row r="14" spans="1:74" ht="11.25" customHeight="1" x14ac:dyDescent="0.25">
      <c r="A14" s="48" t="s">
        <v>0</v>
      </c>
      <c r="B14" s="60" t="s">
        <v>138</v>
      </c>
      <c r="C14" s="94"/>
      <c r="D14" s="94"/>
      <c r="E14" s="94"/>
      <c r="F14" s="94"/>
      <c r="G14" s="49">
        <f>SUBTOTAL(9,C14:F14)</f>
        <v>0</v>
      </c>
      <c r="H14" s="94"/>
      <c r="I14" s="94"/>
      <c r="J14" s="49">
        <f>SUBTOTAL(9,H14:I14)</f>
        <v>0</v>
      </c>
      <c r="K14" s="94"/>
      <c r="L14" s="94"/>
      <c r="M14" s="94"/>
      <c r="N14" s="94"/>
      <c r="O14" s="94"/>
      <c r="P14" s="94"/>
      <c r="Q14" s="94"/>
      <c r="R14" s="49">
        <f>SUBTOTAL(9,K14:Q14)</f>
        <v>0</v>
      </c>
      <c r="S14" s="49">
        <f>SUBTOTAL(9,C14:Q14)</f>
        <v>0</v>
      </c>
      <c r="T14" s="56">
        <v>0</v>
      </c>
      <c r="U14" s="94"/>
      <c r="V14" s="59">
        <f>SUBTOTAL(9,U14:U14)</f>
        <v>0</v>
      </c>
      <c r="W14" s="58">
        <f>V14+IF($B10=2,0,W10)</f>
        <v>0</v>
      </c>
      <c r="X14" s="94"/>
      <c r="Y14" s="94"/>
      <c r="Z14" s="59">
        <f>SUBTOTAL(9,X14:Y14)</f>
        <v>0</v>
      </c>
      <c r="AA14" s="58">
        <f>Z14+IF($B10=2,0,AA10)</f>
        <v>0</v>
      </c>
      <c r="AB14" s="94"/>
      <c r="AC14" s="94"/>
      <c r="AD14" s="94"/>
      <c r="AE14" s="94"/>
      <c r="AF14" s="59">
        <f>SUBTOTAL(9,AB14:AE14)</f>
        <v>0</v>
      </c>
      <c r="AG14" s="58">
        <f>AF14+IF($B10=2,0,AG10)</f>
        <v>0</v>
      </c>
      <c r="AH14" s="94"/>
      <c r="AI14" s="94"/>
      <c r="AJ14" s="52">
        <f>SUBTOTAL(9,AH14:AI14)</f>
        <v>0</v>
      </c>
      <c r="AK14" s="57">
        <v>0</v>
      </c>
      <c r="AL14" s="94"/>
      <c r="AM14" s="94"/>
      <c r="AN14" s="52">
        <f>SUBTOTAL(9,AK14:AM14)</f>
        <v>0</v>
      </c>
      <c r="AO14" s="49">
        <f>SUBTOTAL(9,AH14:AM14)</f>
        <v>0</v>
      </c>
      <c r="AP14" s="56">
        <f>AO14+IF($B10=2,0,AP10)</f>
        <v>0</v>
      </c>
      <c r="AQ14" s="95">
        <v>11</v>
      </c>
      <c r="AR14" s="95">
        <v>11</v>
      </c>
      <c r="AS14" s="54">
        <v>50</v>
      </c>
      <c r="AT14" s="53">
        <v>0</v>
      </c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49">
        <f>SUBTOTAL(9,AT14:BG14)</f>
        <v>0</v>
      </c>
      <c r="BI14" s="52">
        <f>BH14+IF($B10=2,0,BI10)</f>
        <v>0</v>
      </c>
      <c r="BJ14" s="94"/>
      <c r="BK14" s="94"/>
      <c r="BL14" s="49">
        <f>SUBTOTAL(9,BJ14:BK14)</f>
        <v>0</v>
      </c>
      <c r="BM14" s="49">
        <f>BL14+IF($B10=2,0,BM10)</f>
        <v>0</v>
      </c>
      <c r="BN14" s="51">
        <f>SUMIF($C$5:BM$5,"Накопленный эффект, т/сут",$C14:BM14)+SUMIF($C$5:BM$5,"Нараст.  по потенциалу",$C14:BM14)-SUMIF($C$5:BM$5,"Нараст. по остановкам",$C14:BM14)-SUMIF($C$5:BM$5,"ИТОГО перевод в ППД",$C14:BM14)-SUMIF($C$5:BM$5,"ИТОГО  нерент, по распоряж.",$C14:BM14)-SUMIF($C$5:BM$5,"ИТОГО ост. дебит от ЗБС, Углуб., ПВЛГ/ПНЛГ",$C14:BM14)</f>
        <v>0</v>
      </c>
      <c r="BO14" s="50"/>
      <c r="BP14" s="50"/>
      <c r="BQ14" s="50"/>
      <c r="BR14" s="50"/>
      <c r="BS14" s="49">
        <f>SUBTOTAL(9,BO14:BR14)</f>
        <v>0</v>
      </c>
      <c r="BT14" s="48" t="s">
        <v>0</v>
      </c>
      <c r="BU14" s="47">
        <f>BU$4+SUMIF($C$5:BS$5,"Нараст. по остановкам",$C14:BS14)-SUMIF($C$5:BS$5,"Нараст.  по потенциалу",$C14:BS14)</f>
        <v>647.60441035116401</v>
      </c>
      <c r="BV14" s="2"/>
    </row>
    <row r="15" spans="1:74" ht="1.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2"/>
    </row>
    <row r="16" spans="1:74" ht="11.25" customHeight="1" x14ac:dyDescent="0.25">
      <c r="A16" s="93">
        <v>45324</v>
      </c>
      <c r="B16" s="92" t="s">
        <v>143</v>
      </c>
      <c r="C16" s="98"/>
      <c r="D16" s="98"/>
      <c r="E16" s="98"/>
      <c r="F16" s="98"/>
      <c r="G16" s="87">
        <v>0</v>
      </c>
      <c r="H16" s="98"/>
      <c r="I16" s="98"/>
      <c r="J16" s="87">
        <v>0</v>
      </c>
      <c r="K16" s="98"/>
      <c r="L16" s="98"/>
      <c r="M16" s="98"/>
      <c r="N16" s="98"/>
      <c r="O16" s="98"/>
      <c r="P16" s="98"/>
      <c r="Q16" s="98"/>
      <c r="R16" s="87">
        <v>0</v>
      </c>
      <c r="S16" s="87">
        <v>0</v>
      </c>
      <c r="T16" s="86"/>
      <c r="U16" s="98"/>
      <c r="V16" s="91"/>
      <c r="W16" s="90"/>
      <c r="X16" s="98"/>
      <c r="Y16" s="98"/>
      <c r="Z16" s="91"/>
      <c r="AA16" s="90"/>
      <c r="AB16" s="98"/>
      <c r="AC16" s="98"/>
      <c r="AD16" s="98"/>
      <c r="AE16" s="98"/>
      <c r="AF16" s="91"/>
      <c r="AG16" s="90"/>
      <c r="AH16" s="98"/>
      <c r="AI16" s="98"/>
      <c r="AJ16" s="88">
        <v>0</v>
      </c>
      <c r="AK16" s="89"/>
      <c r="AL16" s="98"/>
      <c r="AM16" s="98"/>
      <c r="AN16" s="88">
        <v>20.2</v>
      </c>
      <c r="AO16" s="87">
        <v>20.2</v>
      </c>
      <c r="AP16" s="86"/>
      <c r="AQ16" s="99"/>
      <c r="AR16" s="99"/>
      <c r="AS16" s="84"/>
      <c r="AT16" s="83" t="s">
        <v>203</v>
      </c>
      <c r="AU16" s="83" t="s">
        <v>200</v>
      </c>
      <c r="AV16" s="83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82"/>
      <c r="BI16" s="81"/>
      <c r="BJ16" s="98"/>
      <c r="BK16" s="98"/>
      <c r="BL16" s="82"/>
      <c r="BM16" s="82"/>
      <c r="BN16" s="80"/>
      <c r="BO16" s="79"/>
      <c r="BP16" s="78"/>
      <c r="BQ16" s="79"/>
      <c r="BR16" s="78"/>
      <c r="BS16" s="78"/>
      <c r="BT16" s="77">
        <f>BT$4+SUMIF($C$5:BS$5,"Нараст. баланс",$C18:BS18)+SUMIF($C$7:BQ$7,"Итого (с ВНР)",$C18:BQ18)-SUMIF($C$5:BS$5,"Геол. снижение,  т/сут",$C18:BS18)-SUMIF(BR$7:BS$7,"Итого",BR18:BS18)-SUMIF($C$7:BS$7,"Итого (с ВСП)",$C18:BS18)</f>
        <v>30292.153531840795</v>
      </c>
      <c r="BU16" s="76"/>
      <c r="BV16" s="2"/>
    </row>
    <row r="17" spans="1:74" ht="11.25" customHeight="1" x14ac:dyDescent="0.25">
      <c r="A17" s="48" t="s">
        <v>0</v>
      </c>
      <c r="B17" s="75" t="s">
        <v>141</v>
      </c>
      <c r="C17" s="96"/>
      <c r="D17" s="96"/>
      <c r="E17" s="96"/>
      <c r="F17" s="96"/>
      <c r="G17" s="66">
        <v>0</v>
      </c>
      <c r="H17" s="96"/>
      <c r="I17" s="96"/>
      <c r="J17" s="66">
        <v>0</v>
      </c>
      <c r="K17" s="96"/>
      <c r="L17" s="96"/>
      <c r="M17" s="96"/>
      <c r="N17" s="96"/>
      <c r="O17" s="96"/>
      <c r="P17" s="96"/>
      <c r="Q17" s="96"/>
      <c r="R17" s="66">
        <v>0</v>
      </c>
      <c r="S17" s="66">
        <v>0</v>
      </c>
      <c r="T17" s="70"/>
      <c r="U17" s="96"/>
      <c r="V17" s="74">
        <f>SUBTOTAL(9,U19:U19)</f>
        <v>0</v>
      </c>
      <c r="W17" s="73"/>
      <c r="X17" s="96"/>
      <c r="Y17" s="96"/>
      <c r="Z17" s="74">
        <f>SUBTOTAL(9,X19:Y19)</f>
        <v>0</v>
      </c>
      <c r="AA17" s="73"/>
      <c r="AB17" s="96"/>
      <c r="AC17" s="96"/>
      <c r="AD17" s="96"/>
      <c r="AE17" s="96"/>
      <c r="AF17" s="74">
        <f>SUBTOTAL(9,AB19:AE19)</f>
        <v>0</v>
      </c>
      <c r="AG17" s="73"/>
      <c r="AH17" s="96"/>
      <c r="AI17" s="96"/>
      <c r="AJ17" s="71">
        <f>SUBTOTAL(9,AH19:AI19)</f>
        <v>0</v>
      </c>
      <c r="AK17" s="72"/>
      <c r="AL17" s="96"/>
      <c r="AM17" s="96"/>
      <c r="AN17" s="71">
        <f>SUBTOTAL(9,AK19:AM19)</f>
        <v>0</v>
      </c>
      <c r="AO17" s="66">
        <f>SUBTOTAL(9,AH19:AM19)</f>
        <v>0</v>
      </c>
      <c r="AP17" s="70"/>
      <c r="AQ17" s="97"/>
      <c r="AR17" s="97"/>
      <c r="AS17" s="68"/>
      <c r="AT17" s="67" t="s">
        <v>308</v>
      </c>
      <c r="AU17" s="67" t="s">
        <v>295</v>
      </c>
      <c r="AV17" s="67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66">
        <f>SUBTOTAL(9,AT19:BG19)</f>
        <v>2</v>
      </c>
      <c r="BI17" s="65"/>
      <c r="BJ17" s="96"/>
      <c r="BK17" s="96"/>
      <c r="BL17" s="66">
        <f>SUBTOTAL(3,BJ17:BK17)</f>
        <v>0</v>
      </c>
      <c r="BM17" s="171"/>
      <c r="BN17" s="64"/>
      <c r="BO17" s="63"/>
      <c r="BP17" s="62"/>
      <c r="BQ17" s="63"/>
      <c r="BR17" s="62"/>
      <c r="BS17" s="62"/>
      <c r="BT17" s="48" t="s">
        <v>0</v>
      </c>
      <c r="BU17" s="61"/>
      <c r="BV17" s="2"/>
    </row>
    <row r="18" spans="1:74" ht="11.25" customHeight="1" x14ac:dyDescent="0.25">
      <c r="A18" s="48" t="s">
        <v>0</v>
      </c>
      <c r="B18" s="60" t="s">
        <v>138</v>
      </c>
      <c r="C18" s="94"/>
      <c r="D18" s="94"/>
      <c r="E18" s="94"/>
      <c r="F18" s="94"/>
      <c r="G18" s="49">
        <f>SUBTOTAL(9,C18:F18)</f>
        <v>0</v>
      </c>
      <c r="H18" s="94"/>
      <c r="I18" s="94"/>
      <c r="J18" s="49">
        <f>SUBTOTAL(9,H18:I18)</f>
        <v>0</v>
      </c>
      <c r="K18" s="94"/>
      <c r="L18" s="94"/>
      <c r="M18" s="94"/>
      <c r="N18" s="94"/>
      <c r="O18" s="94"/>
      <c r="P18" s="94"/>
      <c r="Q18" s="94"/>
      <c r="R18" s="49">
        <f>SUBTOTAL(9,K18:Q18)</f>
        <v>0</v>
      </c>
      <c r="S18" s="49">
        <f>SUBTOTAL(9,C18:Q18)</f>
        <v>0</v>
      </c>
      <c r="T18" s="56">
        <v>0</v>
      </c>
      <c r="U18" s="94"/>
      <c r="V18" s="59">
        <f>SUBTOTAL(9,U18:U18)</f>
        <v>0</v>
      </c>
      <c r="W18" s="58">
        <f>V18+IF($B14=2,0,W14)</f>
        <v>0</v>
      </c>
      <c r="X18" s="94"/>
      <c r="Y18" s="94"/>
      <c r="Z18" s="59">
        <f>SUBTOTAL(9,X18:Y18)</f>
        <v>0</v>
      </c>
      <c r="AA18" s="58">
        <f>Z18+IF($B14=2,0,AA14)</f>
        <v>0</v>
      </c>
      <c r="AB18" s="94"/>
      <c r="AC18" s="94"/>
      <c r="AD18" s="94"/>
      <c r="AE18" s="94"/>
      <c r="AF18" s="59">
        <f>SUBTOTAL(9,AB18:AE18)</f>
        <v>0</v>
      </c>
      <c r="AG18" s="58">
        <f>AF18+IF($B14=2,0,AG14)</f>
        <v>0</v>
      </c>
      <c r="AH18" s="94"/>
      <c r="AI18" s="94"/>
      <c r="AJ18" s="52">
        <f>SUBTOTAL(9,AH18:AI18)</f>
        <v>0</v>
      </c>
      <c r="AK18" s="57">
        <v>20.2</v>
      </c>
      <c r="AL18" s="94"/>
      <c r="AM18" s="94"/>
      <c r="AN18" s="52">
        <f>SUBTOTAL(9,AK18:AM18)</f>
        <v>20.2</v>
      </c>
      <c r="AO18" s="49">
        <f>SUBTOTAL(9,AH18:AM18)</f>
        <v>20.2</v>
      </c>
      <c r="AP18" s="56">
        <f>AO18+IF($B14=2,0,AP14)</f>
        <v>20.2</v>
      </c>
      <c r="AQ18" s="95">
        <v>174.1</v>
      </c>
      <c r="AR18" s="95">
        <v>174.1</v>
      </c>
      <c r="AS18" s="54">
        <v>100</v>
      </c>
      <c r="AT18" s="53">
        <v>4.5999999999999996</v>
      </c>
      <c r="AU18" s="53">
        <v>1.4</v>
      </c>
      <c r="AV18" s="53">
        <v>75.354857142828607</v>
      </c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49">
        <f>SUBTOTAL(9,AT18:BG18)</f>
        <v>81.354857142828607</v>
      </c>
      <c r="BI18" s="52">
        <f>BH18+IF($B14=2,0,BI14)</f>
        <v>81.354857142828607</v>
      </c>
      <c r="BJ18" s="94"/>
      <c r="BK18" s="94"/>
      <c r="BL18" s="49">
        <f>SUBTOTAL(9,BJ18:BK18)</f>
        <v>0</v>
      </c>
      <c r="BM18" s="49">
        <f>BL18+IF($B14=2,0,BM14)</f>
        <v>0</v>
      </c>
      <c r="BN18" s="51">
        <f>SUMIF($C$5:BM$5,"Накопленный эффект, т/сут",$C18:BM18)+SUMIF($C$5:BM$5,"Нараст.  по потенциалу",$C18:BM18)-SUMIF($C$5:BM$5,"Нараст. по остановкам",$C18:BM18)-SUMIF($C$5:BM$5,"ИТОГО перевод в ППД",$C18:BM18)-SUMIF($C$5:BM$5,"ИТОГО  нерент, по распоряж.",$C18:BM18)-SUMIF($C$5:BM$5,"ИТОГО ост. дебит от ЗБС, Углуб., ПВЛГ/ПНЛГ",$C18:BM18)</f>
        <v>-61.154857142828604</v>
      </c>
      <c r="BO18" s="50"/>
      <c r="BP18" s="49">
        <v>245.229412425709</v>
      </c>
      <c r="BQ18" s="50"/>
      <c r="BR18" s="49">
        <v>37.606198590669401</v>
      </c>
      <c r="BS18" s="49">
        <f>SUBTOTAL(9,BO18:BR18)</f>
        <v>282.83561101637838</v>
      </c>
      <c r="BT18" s="48" t="s">
        <v>0</v>
      </c>
      <c r="BU18" s="47">
        <f>BU$4+SUMIF($C$5:BS$5,"Нараст. по остановкам",$C18:BS18)-SUMIF($C$5:BS$5,"Нараст.  по потенциалу",$C18:BS18)</f>
        <v>708.75926749399252</v>
      </c>
      <c r="BV18" s="2"/>
    </row>
    <row r="19" spans="1:74" ht="1.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v>1</v>
      </c>
      <c r="AU19" s="3">
        <v>1</v>
      </c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2"/>
    </row>
    <row r="20" spans="1:74" ht="11.25" customHeight="1" x14ac:dyDescent="0.25">
      <c r="A20" s="93">
        <v>45325</v>
      </c>
      <c r="B20" s="92" t="s">
        <v>143</v>
      </c>
      <c r="C20" s="98"/>
      <c r="D20" s="98"/>
      <c r="E20" s="98"/>
      <c r="F20" s="98"/>
      <c r="G20" s="87">
        <v>0</v>
      </c>
      <c r="H20" s="98"/>
      <c r="I20" s="98"/>
      <c r="J20" s="87">
        <v>0</v>
      </c>
      <c r="K20" s="98"/>
      <c r="L20" s="98"/>
      <c r="M20" s="98"/>
      <c r="N20" s="98"/>
      <c r="O20" s="98"/>
      <c r="P20" s="98"/>
      <c r="Q20" s="98"/>
      <c r="R20" s="87">
        <v>0</v>
      </c>
      <c r="S20" s="87">
        <v>0</v>
      </c>
      <c r="T20" s="86"/>
      <c r="U20" s="98"/>
      <c r="V20" s="91"/>
      <c r="W20" s="90"/>
      <c r="X20" s="98"/>
      <c r="Y20" s="98"/>
      <c r="Z20" s="91"/>
      <c r="AA20" s="90"/>
      <c r="AB20" s="98"/>
      <c r="AC20" s="98"/>
      <c r="AD20" s="98"/>
      <c r="AE20" s="98"/>
      <c r="AF20" s="91"/>
      <c r="AG20" s="90"/>
      <c r="AH20" s="98"/>
      <c r="AI20" s="98"/>
      <c r="AJ20" s="88">
        <v>0</v>
      </c>
      <c r="AK20" s="89"/>
      <c r="AL20" s="98"/>
      <c r="AM20" s="98"/>
      <c r="AN20" s="88">
        <v>30.7</v>
      </c>
      <c r="AO20" s="87">
        <v>30.7</v>
      </c>
      <c r="AP20" s="86"/>
      <c r="AQ20" s="99"/>
      <c r="AR20" s="99"/>
      <c r="AS20" s="84"/>
      <c r="AT20" s="83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82"/>
      <c r="BI20" s="81"/>
      <c r="BJ20" s="98"/>
      <c r="BK20" s="98"/>
      <c r="BL20" s="82"/>
      <c r="BM20" s="82"/>
      <c r="BN20" s="80"/>
      <c r="BO20" s="79"/>
      <c r="BP20" s="78"/>
      <c r="BQ20" s="79"/>
      <c r="BR20" s="78"/>
      <c r="BS20" s="78"/>
      <c r="BT20" s="77">
        <f>BT$4+SUMIF($C$5:BS$5,"Нараст. баланс",$C22:BS22)+SUMIF($C$7:BQ$7,"Итого (с ВНР)",$C22:BQ22)-SUMIF($C$5:BS$5,"Геол. снижение,  т/сут",$C22:BS22)-SUMIF(BR$7:BS$7,"Итого",BR22:BS22)-SUMIF($C$7:BS$7,"Итого (с ВСП)",$C22:BS22)</f>
        <v>30351.669639016927</v>
      </c>
      <c r="BU20" s="76"/>
      <c r="BV20" s="2"/>
    </row>
    <row r="21" spans="1:74" ht="11.25" customHeight="1" x14ac:dyDescent="0.25">
      <c r="A21" s="48" t="s">
        <v>0</v>
      </c>
      <c r="B21" s="75" t="s">
        <v>141</v>
      </c>
      <c r="C21" s="96"/>
      <c r="D21" s="96"/>
      <c r="E21" s="96"/>
      <c r="F21" s="96"/>
      <c r="G21" s="66">
        <v>0</v>
      </c>
      <c r="H21" s="96"/>
      <c r="I21" s="96"/>
      <c r="J21" s="66">
        <v>0</v>
      </c>
      <c r="K21" s="96"/>
      <c r="L21" s="96"/>
      <c r="M21" s="96"/>
      <c r="N21" s="96"/>
      <c r="O21" s="96"/>
      <c r="P21" s="96"/>
      <c r="Q21" s="96"/>
      <c r="R21" s="66">
        <v>0</v>
      </c>
      <c r="S21" s="66">
        <v>0</v>
      </c>
      <c r="T21" s="70"/>
      <c r="U21" s="96"/>
      <c r="V21" s="74">
        <f>SUBTOTAL(9,U23:U23)</f>
        <v>0</v>
      </c>
      <c r="W21" s="73"/>
      <c r="X21" s="96"/>
      <c r="Y21" s="96"/>
      <c r="Z21" s="74">
        <f>SUBTOTAL(9,X23:Y23)</f>
        <v>0</v>
      </c>
      <c r="AA21" s="73"/>
      <c r="AB21" s="96"/>
      <c r="AC21" s="96"/>
      <c r="AD21" s="96"/>
      <c r="AE21" s="96"/>
      <c r="AF21" s="74">
        <f>SUBTOTAL(9,AB23:AE23)</f>
        <v>0</v>
      </c>
      <c r="AG21" s="73"/>
      <c r="AH21" s="96"/>
      <c r="AI21" s="96"/>
      <c r="AJ21" s="71">
        <f>SUBTOTAL(9,AH23:AI23)</f>
        <v>0</v>
      </c>
      <c r="AK21" s="72"/>
      <c r="AL21" s="96"/>
      <c r="AM21" s="96"/>
      <c r="AN21" s="71">
        <f>SUBTOTAL(9,AK23:AM23)</f>
        <v>0</v>
      </c>
      <c r="AO21" s="66">
        <f>SUBTOTAL(9,AH23:AM23)</f>
        <v>0</v>
      </c>
      <c r="AP21" s="70"/>
      <c r="AQ21" s="97"/>
      <c r="AR21" s="97"/>
      <c r="AS21" s="68"/>
      <c r="AT21" s="67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66">
        <f>SUBTOTAL(9,AT23:BG23)</f>
        <v>0</v>
      </c>
      <c r="BI21" s="65"/>
      <c r="BJ21" s="96"/>
      <c r="BK21" s="96"/>
      <c r="BL21" s="66">
        <f>SUBTOTAL(3,BJ21:BK21)</f>
        <v>0</v>
      </c>
      <c r="BM21" s="171"/>
      <c r="BN21" s="64"/>
      <c r="BO21" s="63"/>
      <c r="BP21" s="62"/>
      <c r="BQ21" s="63"/>
      <c r="BR21" s="62"/>
      <c r="BS21" s="62"/>
      <c r="BT21" s="48" t="s">
        <v>0</v>
      </c>
      <c r="BU21" s="61"/>
      <c r="BV21" s="2"/>
    </row>
    <row r="22" spans="1:74" ht="11.25" customHeight="1" x14ac:dyDescent="0.25">
      <c r="A22" s="48" t="s">
        <v>0</v>
      </c>
      <c r="B22" s="60" t="s">
        <v>138</v>
      </c>
      <c r="C22" s="94"/>
      <c r="D22" s="94"/>
      <c r="E22" s="94"/>
      <c r="F22" s="94"/>
      <c r="G22" s="49">
        <f>SUBTOTAL(9,C22:F22)</f>
        <v>0</v>
      </c>
      <c r="H22" s="94"/>
      <c r="I22" s="94"/>
      <c r="J22" s="49">
        <f>SUBTOTAL(9,H22:I22)</f>
        <v>0</v>
      </c>
      <c r="K22" s="94"/>
      <c r="L22" s="94"/>
      <c r="M22" s="94"/>
      <c r="N22" s="94"/>
      <c r="O22" s="94"/>
      <c r="P22" s="94"/>
      <c r="Q22" s="94"/>
      <c r="R22" s="49">
        <f>SUBTOTAL(9,K22:Q22)</f>
        <v>0</v>
      </c>
      <c r="S22" s="49">
        <f>SUBTOTAL(9,C22:Q22)</f>
        <v>0</v>
      </c>
      <c r="T22" s="56">
        <v>0</v>
      </c>
      <c r="U22" s="94"/>
      <c r="V22" s="59">
        <f>SUBTOTAL(9,U22:U22)</f>
        <v>0</v>
      </c>
      <c r="W22" s="58">
        <f>V22+IF($B18=2,0,W18)</f>
        <v>0</v>
      </c>
      <c r="X22" s="94"/>
      <c r="Y22" s="94"/>
      <c r="Z22" s="59">
        <f>SUBTOTAL(9,X22:Y22)</f>
        <v>0</v>
      </c>
      <c r="AA22" s="58">
        <f>Z22+IF($B18=2,0,AA18)</f>
        <v>0</v>
      </c>
      <c r="AB22" s="94"/>
      <c r="AC22" s="94"/>
      <c r="AD22" s="94"/>
      <c r="AE22" s="94"/>
      <c r="AF22" s="59">
        <f>SUBTOTAL(9,AB22:AE22)</f>
        <v>0</v>
      </c>
      <c r="AG22" s="58">
        <f>AF22+IF($B18=2,0,AG18)</f>
        <v>0</v>
      </c>
      <c r="AH22" s="94"/>
      <c r="AI22" s="94"/>
      <c r="AJ22" s="52">
        <f>SUBTOTAL(9,AH22:AI22)</f>
        <v>0</v>
      </c>
      <c r="AK22" s="57">
        <v>10.5</v>
      </c>
      <c r="AL22" s="94"/>
      <c r="AM22" s="94"/>
      <c r="AN22" s="52">
        <f>SUBTOTAL(9,AK22:AM22)</f>
        <v>10.5</v>
      </c>
      <c r="AO22" s="49">
        <f>SUBTOTAL(9,AH22:AM22)</f>
        <v>10.5</v>
      </c>
      <c r="AP22" s="56">
        <f>AO22+IF($B18=2,0,AP18)</f>
        <v>30.7</v>
      </c>
      <c r="AQ22" s="95">
        <v>54.8</v>
      </c>
      <c r="AR22" s="95">
        <v>54.8</v>
      </c>
      <c r="AS22" s="54">
        <v>150</v>
      </c>
      <c r="AT22" s="53">
        <v>55.295428571428602</v>
      </c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49">
        <f>SUBTOTAL(9,AT22:BG22)</f>
        <v>55.295428571428602</v>
      </c>
      <c r="BI22" s="52">
        <f>BH22+IF($B18=2,0,BI18)</f>
        <v>136.65028571425722</v>
      </c>
      <c r="BJ22" s="94"/>
      <c r="BK22" s="94"/>
      <c r="BL22" s="49">
        <f>SUBTOTAL(9,BJ22:BK22)</f>
        <v>0</v>
      </c>
      <c r="BM22" s="49">
        <f>BL22+IF($B18=2,0,BM18)</f>
        <v>0</v>
      </c>
      <c r="BN22" s="51">
        <f>SUMIF($C$5:BM$5,"Накопленный эффект, т/сут",$C22:BM22)+SUMIF($C$5:BM$5,"Нараст.  по потенциалу",$C22:BM22)-SUMIF($C$5:BM$5,"Нараст. по остановкам",$C22:BM22)-SUMIF($C$5:BM$5,"ИТОГО перевод в ППД",$C22:BM22)-SUMIF($C$5:BM$5,"ИТОГО  нерент, по распоряж.",$C22:BM22)-SUMIF($C$5:BM$5,"ИТОГО ост. дебит от ЗБС, Углуб., ПВЛГ/ПНЛГ",$C22:BM22)</f>
        <v>-105.95028571425722</v>
      </c>
      <c r="BO22" s="50"/>
      <c r="BP22" s="49">
        <v>7.6463333333333399</v>
      </c>
      <c r="BQ22" s="50"/>
      <c r="BR22" s="49">
        <v>1.57774193548387</v>
      </c>
      <c r="BS22" s="49">
        <f>SUBTOTAL(9,BO22:BR22)</f>
        <v>9.2240752688172094</v>
      </c>
      <c r="BT22" s="48" t="s">
        <v>0</v>
      </c>
      <c r="BU22" s="47">
        <f>BU$4+SUMIF($C$5:BS$5,"Нараст. по остановкам",$C22:BS22)-SUMIF($C$5:BS$5,"Нараст.  по потенциалу",$C22:BS22)</f>
        <v>753.55469606542124</v>
      </c>
      <c r="BV22" s="2"/>
    </row>
    <row r="23" spans="1:74" ht="1.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2"/>
    </row>
    <row r="24" spans="1:74" ht="11.25" customHeight="1" x14ac:dyDescent="0.25">
      <c r="A24" s="93">
        <v>45326</v>
      </c>
      <c r="B24" s="92" t="s">
        <v>143</v>
      </c>
      <c r="C24" s="98"/>
      <c r="D24" s="98"/>
      <c r="E24" s="98"/>
      <c r="F24" s="98"/>
      <c r="G24" s="87">
        <v>0</v>
      </c>
      <c r="H24" s="98"/>
      <c r="I24" s="98"/>
      <c r="J24" s="87">
        <v>0</v>
      </c>
      <c r="K24" s="98"/>
      <c r="L24" s="98"/>
      <c r="M24" s="98"/>
      <c r="N24" s="98"/>
      <c r="O24" s="98"/>
      <c r="P24" s="98"/>
      <c r="Q24" s="98"/>
      <c r="R24" s="87">
        <v>0</v>
      </c>
      <c r="S24" s="87">
        <v>0</v>
      </c>
      <c r="T24" s="86"/>
      <c r="U24" s="89" t="s">
        <v>201</v>
      </c>
      <c r="V24" s="91"/>
      <c r="W24" s="90"/>
      <c r="X24" s="98"/>
      <c r="Y24" s="98"/>
      <c r="Z24" s="91"/>
      <c r="AA24" s="90"/>
      <c r="AB24" s="98"/>
      <c r="AC24" s="98"/>
      <c r="AD24" s="98"/>
      <c r="AE24" s="98"/>
      <c r="AF24" s="91"/>
      <c r="AG24" s="90"/>
      <c r="AH24" s="89" t="s">
        <v>201</v>
      </c>
      <c r="AI24" s="98"/>
      <c r="AJ24" s="88">
        <v>2.6</v>
      </c>
      <c r="AK24" s="89"/>
      <c r="AL24" s="98"/>
      <c r="AM24" s="98"/>
      <c r="AN24" s="88">
        <v>44.46575</v>
      </c>
      <c r="AO24" s="87">
        <v>47.065750000000001</v>
      </c>
      <c r="AP24" s="86"/>
      <c r="AQ24" s="99"/>
      <c r="AR24" s="99"/>
      <c r="AS24" s="84"/>
      <c r="AT24" s="83" t="s">
        <v>205</v>
      </c>
      <c r="AU24" s="83" t="s">
        <v>200</v>
      </c>
      <c r="AV24" s="83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82"/>
      <c r="BI24" s="81"/>
      <c r="BJ24" s="98"/>
      <c r="BK24" s="98"/>
      <c r="BL24" s="82"/>
      <c r="BM24" s="82"/>
      <c r="BN24" s="80"/>
      <c r="BO24" s="79"/>
      <c r="BP24" s="78"/>
      <c r="BQ24" s="79"/>
      <c r="BR24" s="78"/>
      <c r="BS24" s="78"/>
      <c r="BT24" s="77">
        <f>BT$4+SUMIF($C$5:BS$5,"Нараст. баланс",$C26:BS26)+SUMIF($C$7:BQ$7,"Итого (с ВНР)",$C26:BQ26)-SUMIF($C$5:BS$5,"Геол. снижение,  т/сут",$C26:BS26)-SUMIF(BR$7:BS$7,"Итого",BR26:BS26)-SUMIF($C$7:BS$7,"Итого (с ВСП)",$C26:BS26)</f>
        <v>30312.016009866027</v>
      </c>
      <c r="BU24" s="76"/>
      <c r="BV24" s="2"/>
    </row>
    <row r="25" spans="1:74" ht="11.25" customHeight="1" x14ac:dyDescent="0.25">
      <c r="A25" s="48" t="s">
        <v>0</v>
      </c>
      <c r="B25" s="75" t="s">
        <v>141</v>
      </c>
      <c r="C25" s="96"/>
      <c r="D25" s="96"/>
      <c r="E25" s="96"/>
      <c r="F25" s="96"/>
      <c r="G25" s="66">
        <v>0</v>
      </c>
      <c r="H25" s="96"/>
      <c r="I25" s="96"/>
      <c r="J25" s="66">
        <v>0</v>
      </c>
      <c r="K25" s="96"/>
      <c r="L25" s="96"/>
      <c r="M25" s="96"/>
      <c r="N25" s="96"/>
      <c r="O25" s="96"/>
      <c r="P25" s="96"/>
      <c r="Q25" s="96"/>
      <c r="R25" s="66">
        <v>0</v>
      </c>
      <c r="S25" s="66">
        <v>0</v>
      </c>
      <c r="T25" s="70"/>
      <c r="U25" s="72" t="s">
        <v>309</v>
      </c>
      <c r="V25" s="74">
        <f>SUBTOTAL(9,U27:U27)</f>
        <v>1</v>
      </c>
      <c r="W25" s="73"/>
      <c r="X25" s="96"/>
      <c r="Y25" s="96"/>
      <c r="Z25" s="74">
        <f>SUBTOTAL(9,X27:Y27)</f>
        <v>0</v>
      </c>
      <c r="AA25" s="73"/>
      <c r="AB25" s="96"/>
      <c r="AC25" s="96"/>
      <c r="AD25" s="96"/>
      <c r="AE25" s="96"/>
      <c r="AF25" s="74">
        <f>SUBTOTAL(9,AB27:AE27)</f>
        <v>0</v>
      </c>
      <c r="AG25" s="73"/>
      <c r="AH25" s="72" t="s">
        <v>309</v>
      </c>
      <c r="AI25" s="96"/>
      <c r="AJ25" s="71">
        <f>SUBTOTAL(9,AH27:AI27)</f>
        <v>1</v>
      </c>
      <c r="AK25" s="72"/>
      <c r="AL25" s="96"/>
      <c r="AM25" s="96"/>
      <c r="AN25" s="71">
        <f>SUBTOTAL(9,AK27:AM27)</f>
        <v>0</v>
      </c>
      <c r="AO25" s="66">
        <f>SUBTOTAL(9,AH27:AM27)</f>
        <v>1</v>
      </c>
      <c r="AP25" s="70"/>
      <c r="AQ25" s="97"/>
      <c r="AR25" s="97"/>
      <c r="AS25" s="68"/>
      <c r="AT25" s="67" t="s">
        <v>293</v>
      </c>
      <c r="AU25" s="67" t="s">
        <v>290</v>
      </c>
      <c r="AV25" s="67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66">
        <f>SUBTOTAL(9,AT27:BG27)</f>
        <v>2</v>
      </c>
      <c r="BI25" s="65"/>
      <c r="BJ25" s="96"/>
      <c r="BK25" s="96"/>
      <c r="BL25" s="66">
        <f>SUBTOTAL(3,BJ25:BK25)</f>
        <v>0</v>
      </c>
      <c r="BM25" s="171"/>
      <c r="BN25" s="64"/>
      <c r="BO25" s="63"/>
      <c r="BP25" s="62"/>
      <c r="BQ25" s="63"/>
      <c r="BR25" s="62"/>
      <c r="BS25" s="62"/>
      <c r="BT25" s="48" t="s">
        <v>0</v>
      </c>
      <c r="BU25" s="61"/>
      <c r="BV25" s="2"/>
    </row>
    <row r="26" spans="1:74" ht="11.25" customHeight="1" x14ac:dyDescent="0.25">
      <c r="A26" s="48" t="s">
        <v>0</v>
      </c>
      <c r="B26" s="60" t="s">
        <v>138</v>
      </c>
      <c r="C26" s="94"/>
      <c r="D26" s="94"/>
      <c r="E26" s="94"/>
      <c r="F26" s="94"/>
      <c r="G26" s="49">
        <f>SUBTOTAL(9,C26:F26)</f>
        <v>0</v>
      </c>
      <c r="H26" s="94"/>
      <c r="I26" s="94"/>
      <c r="J26" s="49">
        <f>SUBTOTAL(9,H26:I26)</f>
        <v>0</v>
      </c>
      <c r="K26" s="94"/>
      <c r="L26" s="94"/>
      <c r="M26" s="94"/>
      <c r="N26" s="94"/>
      <c r="O26" s="94"/>
      <c r="P26" s="94"/>
      <c r="Q26" s="94"/>
      <c r="R26" s="49">
        <f>SUBTOTAL(9,K26:Q26)</f>
        <v>0</v>
      </c>
      <c r="S26" s="49">
        <f>SUBTOTAL(9,C26:Q26)</f>
        <v>0</v>
      </c>
      <c r="T26" s="56">
        <v>0</v>
      </c>
      <c r="U26" s="57">
        <v>6</v>
      </c>
      <c r="V26" s="59">
        <f>SUBTOTAL(9,U26:U26)</f>
        <v>6</v>
      </c>
      <c r="W26" s="58">
        <f>V26+IF($B22=2,0,W22)</f>
        <v>6</v>
      </c>
      <c r="X26" s="94"/>
      <c r="Y26" s="94"/>
      <c r="Z26" s="59">
        <f>SUBTOTAL(9,X26:Y26)</f>
        <v>0</v>
      </c>
      <c r="AA26" s="58">
        <f>Z26+IF($B22=2,0,AA22)</f>
        <v>0</v>
      </c>
      <c r="AB26" s="94"/>
      <c r="AC26" s="94"/>
      <c r="AD26" s="94"/>
      <c r="AE26" s="94"/>
      <c r="AF26" s="59">
        <f>SUBTOTAL(9,AB26:AE26)</f>
        <v>0</v>
      </c>
      <c r="AG26" s="58">
        <f>AF26+IF($B22=2,0,AG22)</f>
        <v>0</v>
      </c>
      <c r="AH26" s="57">
        <v>2.6</v>
      </c>
      <c r="AI26" s="94"/>
      <c r="AJ26" s="52">
        <f>SUBTOTAL(9,AH26:AI26)</f>
        <v>2.6</v>
      </c>
      <c r="AK26" s="57">
        <v>13.765750000000001</v>
      </c>
      <c r="AL26" s="94"/>
      <c r="AM26" s="94"/>
      <c r="AN26" s="52">
        <f>SUBTOTAL(9,AK26:AM26)</f>
        <v>13.765750000000001</v>
      </c>
      <c r="AO26" s="49">
        <f>SUBTOTAL(9,AH26:AM26)</f>
        <v>16.365750000000002</v>
      </c>
      <c r="AP26" s="56">
        <f>AO26+IF($B22=2,0,AP22)</f>
        <v>47.065750000000001</v>
      </c>
      <c r="AQ26" s="95">
        <v>84</v>
      </c>
      <c r="AR26" s="95">
        <v>84</v>
      </c>
      <c r="AS26" s="54">
        <v>200</v>
      </c>
      <c r="AT26" s="53">
        <v>9.1999999999999993</v>
      </c>
      <c r="AU26" s="53">
        <v>2.2000000000000002</v>
      </c>
      <c r="AV26" s="53">
        <v>10.895428571428599</v>
      </c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49">
        <f>SUBTOTAL(9,AT26:BG26)</f>
        <v>22.295428571428598</v>
      </c>
      <c r="BI26" s="52">
        <f>BH26+IF($B22=2,0,BI22)</f>
        <v>158.94571428568582</v>
      </c>
      <c r="BJ26" s="94"/>
      <c r="BK26" s="94"/>
      <c r="BL26" s="49">
        <f>SUBTOTAL(9,BJ26:BK26)</f>
        <v>0</v>
      </c>
      <c r="BM26" s="49">
        <f>BL26+IF($B22=2,0,BM22)</f>
        <v>0</v>
      </c>
      <c r="BN26" s="51">
        <f>SUMIF($C$5:BM$5,"Накопленный эффект, т/сут",$C26:BM26)+SUMIF($C$5:BM$5,"Нараст.  по потенциалу",$C26:BM26)-SUMIF($C$5:BM$5,"Нараст. по остановкам",$C26:BM26)-SUMIF($C$5:BM$5,"ИТОГО перевод в ППД",$C26:BM26)-SUMIF($C$5:BM$5,"ИТОГО  нерент, по распоряж.",$C26:BM26)-SUMIF($C$5:BM$5,"ИТОГО ост. дебит от ЗБС, Углуб., ПВЛГ/ПНЛГ",$C26:BM26)</f>
        <v>-105.87996428568582</v>
      </c>
      <c r="BO26" s="50"/>
      <c r="BP26" s="49">
        <v>10.022482837536501</v>
      </c>
      <c r="BQ26" s="50"/>
      <c r="BR26" s="49">
        <v>18.1255430107527</v>
      </c>
      <c r="BS26" s="49">
        <f>SUBTOTAL(9,BO26:BR26)</f>
        <v>28.148025848289201</v>
      </c>
      <c r="BT26" s="48" t="s">
        <v>0</v>
      </c>
      <c r="BU26" s="47">
        <f>BU$4+SUMIF($C$5:BS$5,"Нараст. по остановкам",$C26:BS26)-SUMIF($C$5:BS$5,"Нараст.  по потенциалу",$C26:BS26)</f>
        <v>759.48437463684991</v>
      </c>
      <c r="BV26" s="2"/>
    </row>
    <row r="27" spans="1:74" ht="1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>
        <v>1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>
        <v>1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1</v>
      </c>
      <c r="AU27" s="3">
        <v>1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2"/>
    </row>
    <row r="28" spans="1:74" ht="11.25" customHeight="1" x14ac:dyDescent="0.25">
      <c r="A28" s="93">
        <v>45327</v>
      </c>
      <c r="B28" s="92" t="s">
        <v>143</v>
      </c>
      <c r="C28" s="98"/>
      <c r="D28" s="98"/>
      <c r="E28" s="98"/>
      <c r="F28" s="98"/>
      <c r="G28" s="87">
        <v>0</v>
      </c>
      <c r="H28" s="98"/>
      <c r="I28" s="98"/>
      <c r="J28" s="87">
        <v>0</v>
      </c>
      <c r="K28" s="98"/>
      <c r="L28" s="98"/>
      <c r="M28" s="98"/>
      <c r="N28" s="98"/>
      <c r="O28" s="98"/>
      <c r="P28" s="98"/>
      <c r="Q28" s="98"/>
      <c r="R28" s="87">
        <v>0</v>
      </c>
      <c r="S28" s="87">
        <v>0</v>
      </c>
      <c r="T28" s="86"/>
      <c r="U28" s="89" t="s">
        <v>203</v>
      </c>
      <c r="V28" s="91"/>
      <c r="W28" s="90"/>
      <c r="X28" s="98"/>
      <c r="Y28" s="98"/>
      <c r="Z28" s="91"/>
      <c r="AA28" s="90"/>
      <c r="AB28" s="98"/>
      <c r="AC28" s="98"/>
      <c r="AD28" s="98"/>
      <c r="AE28" s="98"/>
      <c r="AF28" s="91"/>
      <c r="AG28" s="90"/>
      <c r="AH28" s="89" t="s">
        <v>203</v>
      </c>
      <c r="AI28" s="98"/>
      <c r="AJ28" s="88">
        <v>7.2</v>
      </c>
      <c r="AK28" s="89" t="s">
        <v>204</v>
      </c>
      <c r="AL28" s="89" t="s">
        <v>299</v>
      </c>
      <c r="AM28" s="89"/>
      <c r="AN28" s="88">
        <v>60.393178571428599</v>
      </c>
      <c r="AO28" s="87">
        <v>67.593178571428595</v>
      </c>
      <c r="AP28" s="86"/>
      <c r="AQ28" s="99"/>
      <c r="AR28" s="99"/>
      <c r="AS28" s="84"/>
      <c r="AT28" s="83" t="s">
        <v>204</v>
      </c>
      <c r="AU28" s="83" t="s">
        <v>299</v>
      </c>
      <c r="AV28" s="83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82"/>
      <c r="BI28" s="81"/>
      <c r="BJ28" s="83" t="s">
        <v>204</v>
      </c>
      <c r="BK28" s="83" t="s">
        <v>299</v>
      </c>
      <c r="BL28" s="82"/>
      <c r="BM28" s="82"/>
      <c r="BN28" s="80"/>
      <c r="BO28" s="78"/>
      <c r="BP28" s="78"/>
      <c r="BQ28" s="79"/>
      <c r="BR28" s="78"/>
      <c r="BS28" s="78"/>
      <c r="BT28" s="77">
        <f>BT$4+SUMIF($C$5:BS$5,"Нараст. баланс",$C30:BS30)+SUMIF($C$7:BQ$7,"Итого (с ВНР)",$C30:BQ30)-SUMIF($C$5:BS$5,"Геол. снижение,  т/сут",$C30:BS30)-SUMIF(BR$7:BS$7,"Итого",BR30:BS30)-SUMIF($C$7:BS$7,"Итого (с ВСП)",$C30:BS30)</f>
        <v>30203.347458353066</v>
      </c>
      <c r="BU28" s="76"/>
      <c r="BV28" s="2"/>
    </row>
    <row r="29" spans="1:74" ht="11.25" customHeight="1" x14ac:dyDescent="0.25">
      <c r="A29" s="48" t="s">
        <v>0</v>
      </c>
      <c r="B29" s="75" t="s">
        <v>141</v>
      </c>
      <c r="C29" s="96"/>
      <c r="D29" s="96"/>
      <c r="E29" s="96"/>
      <c r="F29" s="96"/>
      <c r="G29" s="66">
        <v>0</v>
      </c>
      <c r="H29" s="96"/>
      <c r="I29" s="96"/>
      <c r="J29" s="66">
        <v>0</v>
      </c>
      <c r="K29" s="96"/>
      <c r="L29" s="96"/>
      <c r="M29" s="96"/>
      <c r="N29" s="96"/>
      <c r="O29" s="96"/>
      <c r="P29" s="96"/>
      <c r="Q29" s="96"/>
      <c r="R29" s="66">
        <v>0</v>
      </c>
      <c r="S29" s="66">
        <v>0</v>
      </c>
      <c r="T29" s="70"/>
      <c r="U29" s="72" t="s">
        <v>308</v>
      </c>
      <c r="V29" s="74">
        <f>SUBTOTAL(9,U31:U31)</f>
        <v>1</v>
      </c>
      <c r="W29" s="73"/>
      <c r="X29" s="96"/>
      <c r="Y29" s="96"/>
      <c r="Z29" s="74">
        <f>SUBTOTAL(9,X31:Y31)</f>
        <v>0</v>
      </c>
      <c r="AA29" s="73"/>
      <c r="AB29" s="96"/>
      <c r="AC29" s="96"/>
      <c r="AD29" s="96"/>
      <c r="AE29" s="96"/>
      <c r="AF29" s="74">
        <f>SUBTOTAL(9,AB31:AE31)</f>
        <v>0</v>
      </c>
      <c r="AG29" s="73"/>
      <c r="AH29" s="72" t="s">
        <v>308</v>
      </c>
      <c r="AI29" s="96"/>
      <c r="AJ29" s="71">
        <f>SUBTOTAL(9,AH31:AI31)</f>
        <v>1</v>
      </c>
      <c r="AK29" s="72" t="s">
        <v>307</v>
      </c>
      <c r="AL29" s="72" t="s">
        <v>306</v>
      </c>
      <c r="AM29" s="72"/>
      <c r="AN29" s="71">
        <f>SUBTOTAL(9,AK31:AM31)</f>
        <v>2</v>
      </c>
      <c r="AO29" s="66">
        <f>SUBTOTAL(9,AH31:AM31)</f>
        <v>3</v>
      </c>
      <c r="AP29" s="70"/>
      <c r="AQ29" s="97"/>
      <c r="AR29" s="97"/>
      <c r="AS29" s="68"/>
      <c r="AT29" s="67" t="s">
        <v>307</v>
      </c>
      <c r="AU29" s="67" t="s">
        <v>306</v>
      </c>
      <c r="AV29" s="67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66">
        <f>SUBTOTAL(9,AT31:BG31)</f>
        <v>2</v>
      </c>
      <c r="BI29" s="65"/>
      <c r="BJ29" s="67" t="s">
        <v>307</v>
      </c>
      <c r="BK29" s="67" t="s">
        <v>306</v>
      </c>
      <c r="BL29" s="66">
        <f>SUBTOTAL(3,BJ29:BK29)</f>
        <v>2</v>
      </c>
      <c r="BM29" s="171"/>
      <c r="BN29" s="64"/>
      <c r="BO29" s="62"/>
      <c r="BP29" s="62"/>
      <c r="BQ29" s="63"/>
      <c r="BR29" s="62"/>
      <c r="BS29" s="62"/>
      <c r="BT29" s="48" t="s">
        <v>0</v>
      </c>
      <c r="BU29" s="61"/>
      <c r="BV29" s="2"/>
    </row>
    <row r="30" spans="1:74" ht="11.25" customHeight="1" x14ac:dyDescent="0.25">
      <c r="A30" s="48" t="s">
        <v>0</v>
      </c>
      <c r="B30" s="60" t="s">
        <v>138</v>
      </c>
      <c r="C30" s="94"/>
      <c r="D30" s="94"/>
      <c r="E30" s="94"/>
      <c r="F30" s="94"/>
      <c r="G30" s="49">
        <f>SUBTOTAL(9,C30:F30)</f>
        <v>0</v>
      </c>
      <c r="H30" s="94"/>
      <c r="I30" s="94"/>
      <c r="J30" s="49">
        <f>SUBTOTAL(9,H30:I30)</f>
        <v>0</v>
      </c>
      <c r="K30" s="94"/>
      <c r="L30" s="94"/>
      <c r="M30" s="94"/>
      <c r="N30" s="94"/>
      <c r="O30" s="94"/>
      <c r="P30" s="94"/>
      <c r="Q30" s="94"/>
      <c r="R30" s="49">
        <f>SUBTOTAL(9,K30:Q30)</f>
        <v>0</v>
      </c>
      <c r="S30" s="49">
        <f>SUBTOTAL(9,C30:Q30)</f>
        <v>0</v>
      </c>
      <c r="T30" s="56">
        <v>0</v>
      </c>
      <c r="U30" s="57">
        <v>9</v>
      </c>
      <c r="V30" s="59">
        <f>SUBTOTAL(9,U30:U30)</f>
        <v>9</v>
      </c>
      <c r="W30" s="58">
        <f>V30+IF($B26=2,0,W26)</f>
        <v>15</v>
      </c>
      <c r="X30" s="94"/>
      <c r="Y30" s="94"/>
      <c r="Z30" s="59">
        <f>SUBTOTAL(9,X30:Y30)</f>
        <v>0</v>
      </c>
      <c r="AA30" s="58">
        <f>Z30+IF($B26=2,0,AA26)</f>
        <v>0</v>
      </c>
      <c r="AB30" s="94"/>
      <c r="AC30" s="94"/>
      <c r="AD30" s="94"/>
      <c r="AE30" s="94"/>
      <c r="AF30" s="59">
        <f>SUBTOTAL(9,AB30:AE30)</f>
        <v>0</v>
      </c>
      <c r="AG30" s="58">
        <f>AF30+IF($B26=2,0,AG26)</f>
        <v>0</v>
      </c>
      <c r="AH30" s="57">
        <v>4.5999999999999996</v>
      </c>
      <c r="AI30" s="94"/>
      <c r="AJ30" s="52">
        <f>SUBTOTAL(9,AH30:AI30)</f>
        <v>4.5999999999999996</v>
      </c>
      <c r="AK30" s="57">
        <v>7.9</v>
      </c>
      <c r="AL30" s="57">
        <v>2.5</v>
      </c>
      <c r="AM30" s="57">
        <v>5.5274285714285698</v>
      </c>
      <c r="AN30" s="52">
        <f>SUBTOTAL(9,AK30:AM30)</f>
        <v>15.927428571428571</v>
      </c>
      <c r="AO30" s="49">
        <f>SUBTOTAL(9,AH30:AM30)</f>
        <v>20.527428571428569</v>
      </c>
      <c r="AP30" s="56">
        <f>AO30+IF($B26=2,0,AP26)</f>
        <v>67.593178571428567</v>
      </c>
      <c r="AQ30" s="95">
        <v>76.900000000000006</v>
      </c>
      <c r="AR30" s="95">
        <v>76.900000000000006</v>
      </c>
      <c r="AS30" s="54">
        <v>250</v>
      </c>
      <c r="AT30" s="53">
        <v>7.9</v>
      </c>
      <c r="AU30" s="53">
        <v>2.5</v>
      </c>
      <c r="AV30" s="53">
        <v>24.736499999999999</v>
      </c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49">
        <f>SUBTOTAL(9,AT30:BG30)</f>
        <v>35.136499999999998</v>
      </c>
      <c r="BI30" s="52">
        <f>BH30+IF($B26=2,0,BI26)</f>
        <v>194.08221428568584</v>
      </c>
      <c r="BJ30" s="53">
        <v>7.9</v>
      </c>
      <c r="BK30" s="53">
        <v>2.5</v>
      </c>
      <c r="BL30" s="49">
        <f>SUBTOTAL(9,BJ30:BK30)</f>
        <v>10.4</v>
      </c>
      <c r="BM30" s="49">
        <f>BL30+IF($B26=2,0,BM26)</f>
        <v>10.4</v>
      </c>
      <c r="BN30" s="51">
        <f>SUMIF($C$5:BM$5,"Накопленный эффект, т/сут",$C30:BM30)+SUMIF($C$5:BM$5,"Нараст.  по потенциалу",$C30:BM30)-SUMIF($C$5:BM$5,"Нараст. по остановкам",$C30:BM30)-SUMIF($C$5:BM$5,"ИТОГО перевод в ППД",$C30:BM30)-SUMIF($C$5:BM$5,"ИТОГО  нерент, по распоряж.",$C30:BM30)-SUMIF($C$5:BM$5,"ИТОГО ост. дебит от ЗБС, Углуб., ПВЛГ/ПНЛГ",$C30:BM30)</f>
        <v>-121.88903571425728</v>
      </c>
      <c r="BO30" s="49">
        <v>9.1</v>
      </c>
      <c r="BP30" s="49">
        <v>7.0061163055986801</v>
      </c>
      <c r="BQ30" s="50"/>
      <c r="BR30" s="49">
        <v>47.601389627077701</v>
      </c>
      <c r="BS30" s="49">
        <f>SUBTOTAL(9,BO30:BR30)</f>
        <v>63.707505932676384</v>
      </c>
      <c r="BT30" s="48" t="s">
        <v>0</v>
      </c>
      <c r="BU30" s="47">
        <f>BU$4+SUMIF($C$5:BS$5,"Нараст. по остановкам",$C30:BS30)-SUMIF($C$5:BS$5,"Нараст.  по потенциалу",$C30:BS30)</f>
        <v>774.09344606542129</v>
      </c>
      <c r="BV30" s="2"/>
    </row>
    <row r="31" spans="1:74" ht="1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>
        <v>1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>
        <v>1</v>
      </c>
      <c r="AI31" s="3"/>
      <c r="AJ31" s="3"/>
      <c r="AK31" s="3">
        <v>1</v>
      </c>
      <c r="AL31" s="3">
        <v>1</v>
      </c>
      <c r="AM31" s="3"/>
      <c r="AN31" s="3"/>
      <c r="AO31" s="3"/>
      <c r="AP31" s="3"/>
      <c r="AQ31" s="3"/>
      <c r="AR31" s="3"/>
      <c r="AS31" s="3"/>
      <c r="AT31" s="3">
        <v>1</v>
      </c>
      <c r="AU31" s="3">
        <v>1</v>
      </c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2"/>
    </row>
    <row r="32" spans="1:74" ht="11.25" customHeight="1" x14ac:dyDescent="0.25">
      <c r="A32" s="93">
        <v>45328</v>
      </c>
      <c r="B32" s="92" t="s">
        <v>143</v>
      </c>
      <c r="C32" s="98"/>
      <c r="D32" s="98"/>
      <c r="E32" s="98"/>
      <c r="F32" s="98"/>
      <c r="G32" s="87">
        <v>0</v>
      </c>
      <c r="H32" s="98"/>
      <c r="I32" s="98"/>
      <c r="J32" s="87">
        <v>0</v>
      </c>
      <c r="K32" s="98"/>
      <c r="L32" s="98"/>
      <c r="M32" s="98"/>
      <c r="N32" s="98"/>
      <c r="O32" s="98"/>
      <c r="P32" s="98"/>
      <c r="Q32" s="98"/>
      <c r="R32" s="87">
        <v>0</v>
      </c>
      <c r="S32" s="87">
        <v>0</v>
      </c>
      <c r="T32" s="86"/>
      <c r="U32" s="98"/>
      <c r="V32" s="91"/>
      <c r="W32" s="90"/>
      <c r="X32" s="98"/>
      <c r="Y32" s="98"/>
      <c r="Z32" s="91"/>
      <c r="AA32" s="90"/>
      <c r="AB32" s="98"/>
      <c r="AC32" s="98"/>
      <c r="AD32" s="98"/>
      <c r="AE32" s="98"/>
      <c r="AF32" s="91"/>
      <c r="AG32" s="90"/>
      <c r="AH32" s="98"/>
      <c r="AI32" s="98"/>
      <c r="AJ32" s="88">
        <v>7.2</v>
      </c>
      <c r="AK32" s="98"/>
      <c r="AL32" s="98"/>
      <c r="AM32" s="98"/>
      <c r="AN32" s="88">
        <v>60.393178571428599</v>
      </c>
      <c r="AO32" s="87">
        <v>67.593178571428595</v>
      </c>
      <c r="AP32" s="86"/>
      <c r="AQ32" s="99"/>
      <c r="AR32" s="99"/>
      <c r="AS32" s="84"/>
      <c r="AT32" s="83" t="s">
        <v>200</v>
      </c>
      <c r="AU32" s="83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82"/>
      <c r="BI32" s="81"/>
      <c r="BJ32" s="98"/>
      <c r="BK32" s="98"/>
      <c r="BL32" s="82"/>
      <c r="BM32" s="82"/>
      <c r="BN32" s="80"/>
      <c r="BO32" s="78"/>
      <c r="BP32" s="78"/>
      <c r="BQ32" s="78"/>
      <c r="BR32" s="78"/>
      <c r="BS32" s="78"/>
      <c r="BT32" s="77">
        <f>BT$4+SUMIF($C$5:BS$5,"Нараст. баланс",$C34:BS34)+SUMIF($C$7:BQ$7,"Итого (с ВНР)",$C34:BQ34)-SUMIF($C$5:BS$5,"Геол. снижение,  т/сут",$C34:BS34)-SUMIF(BR$7:BS$7,"Итого",BR34:BS34)-SUMIF($C$7:BS$7,"Итого (с ВСП)",$C34:BS34)</f>
        <v>30158.161276940398</v>
      </c>
      <c r="BU32" s="76"/>
      <c r="BV32" s="2"/>
    </row>
    <row r="33" spans="1:74" ht="11.25" customHeight="1" x14ac:dyDescent="0.25">
      <c r="A33" s="48" t="s">
        <v>0</v>
      </c>
      <c r="B33" s="75" t="s">
        <v>141</v>
      </c>
      <c r="C33" s="96"/>
      <c r="D33" s="96"/>
      <c r="E33" s="96"/>
      <c r="F33" s="96"/>
      <c r="G33" s="66">
        <v>0</v>
      </c>
      <c r="H33" s="96"/>
      <c r="I33" s="96"/>
      <c r="J33" s="66">
        <v>0</v>
      </c>
      <c r="K33" s="96"/>
      <c r="L33" s="96"/>
      <c r="M33" s="96"/>
      <c r="N33" s="96"/>
      <c r="O33" s="96"/>
      <c r="P33" s="96"/>
      <c r="Q33" s="96"/>
      <c r="R33" s="66">
        <v>0</v>
      </c>
      <c r="S33" s="66">
        <v>0</v>
      </c>
      <c r="T33" s="70"/>
      <c r="U33" s="96"/>
      <c r="V33" s="74">
        <f>SUBTOTAL(9,U35:U35)</f>
        <v>0</v>
      </c>
      <c r="W33" s="73"/>
      <c r="X33" s="96"/>
      <c r="Y33" s="96"/>
      <c r="Z33" s="74">
        <f>SUBTOTAL(9,X35:Y35)</f>
        <v>0</v>
      </c>
      <c r="AA33" s="73"/>
      <c r="AB33" s="96"/>
      <c r="AC33" s="96"/>
      <c r="AD33" s="96"/>
      <c r="AE33" s="96"/>
      <c r="AF33" s="74">
        <f>SUBTOTAL(9,AB35:AE35)</f>
        <v>0</v>
      </c>
      <c r="AG33" s="73"/>
      <c r="AH33" s="96"/>
      <c r="AI33" s="96"/>
      <c r="AJ33" s="71">
        <f>SUBTOTAL(9,AH35:AI35)</f>
        <v>0</v>
      </c>
      <c r="AK33" s="96"/>
      <c r="AL33" s="96"/>
      <c r="AM33" s="96"/>
      <c r="AN33" s="71">
        <f>SUBTOTAL(9,AK35:AM35)</f>
        <v>0</v>
      </c>
      <c r="AO33" s="66">
        <f>SUBTOTAL(9,AH35:AM35)</f>
        <v>0</v>
      </c>
      <c r="AP33" s="70"/>
      <c r="AQ33" s="97"/>
      <c r="AR33" s="97"/>
      <c r="AS33" s="68"/>
      <c r="AT33" s="67" t="s">
        <v>282</v>
      </c>
      <c r="AU33" s="67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66">
        <f>SUBTOTAL(9,AT35:BG35)</f>
        <v>1</v>
      </c>
      <c r="BI33" s="65"/>
      <c r="BJ33" s="96"/>
      <c r="BK33" s="96"/>
      <c r="BL33" s="66">
        <f>SUBTOTAL(3,BJ33:BK33)</f>
        <v>0</v>
      </c>
      <c r="BM33" s="171"/>
      <c r="BN33" s="64"/>
      <c r="BO33" s="62"/>
      <c r="BP33" s="62"/>
      <c r="BQ33" s="62"/>
      <c r="BR33" s="62"/>
      <c r="BS33" s="62"/>
      <c r="BT33" s="48" t="s">
        <v>0</v>
      </c>
      <c r="BU33" s="61"/>
      <c r="BV33" s="2"/>
    </row>
    <row r="34" spans="1:74" ht="11.25" customHeight="1" x14ac:dyDescent="0.25">
      <c r="A34" s="48" t="s">
        <v>0</v>
      </c>
      <c r="B34" s="60" t="s">
        <v>138</v>
      </c>
      <c r="C34" s="94"/>
      <c r="D34" s="94"/>
      <c r="E34" s="94"/>
      <c r="F34" s="94"/>
      <c r="G34" s="49">
        <f>SUBTOTAL(9,C34:F34)</f>
        <v>0</v>
      </c>
      <c r="H34" s="94"/>
      <c r="I34" s="94"/>
      <c r="J34" s="49">
        <f>SUBTOTAL(9,H34:I34)</f>
        <v>0</v>
      </c>
      <c r="K34" s="94"/>
      <c r="L34" s="94"/>
      <c r="M34" s="94"/>
      <c r="N34" s="94"/>
      <c r="O34" s="94"/>
      <c r="P34" s="94"/>
      <c r="Q34" s="94"/>
      <c r="R34" s="49">
        <f>SUBTOTAL(9,K34:Q34)</f>
        <v>0</v>
      </c>
      <c r="S34" s="49">
        <f>SUBTOTAL(9,C34:Q34)</f>
        <v>0</v>
      </c>
      <c r="T34" s="56">
        <v>0</v>
      </c>
      <c r="U34" s="94"/>
      <c r="V34" s="59">
        <f>SUBTOTAL(9,U34:U34)</f>
        <v>0</v>
      </c>
      <c r="W34" s="58">
        <f>V34+IF($B30=2,0,W30)</f>
        <v>15</v>
      </c>
      <c r="X34" s="94"/>
      <c r="Y34" s="94"/>
      <c r="Z34" s="59">
        <f>SUBTOTAL(9,X34:Y34)</f>
        <v>0</v>
      </c>
      <c r="AA34" s="58">
        <f>Z34+IF($B30=2,0,AA30)</f>
        <v>0</v>
      </c>
      <c r="AB34" s="94"/>
      <c r="AC34" s="94"/>
      <c r="AD34" s="94"/>
      <c r="AE34" s="94"/>
      <c r="AF34" s="59">
        <f>SUBTOTAL(9,AB34:AE34)</f>
        <v>0</v>
      </c>
      <c r="AG34" s="58">
        <f>AF34+IF($B30=2,0,AG30)</f>
        <v>0</v>
      </c>
      <c r="AH34" s="94"/>
      <c r="AI34" s="94"/>
      <c r="AJ34" s="52">
        <f>SUBTOTAL(9,AH34:AI34)</f>
        <v>0</v>
      </c>
      <c r="AK34" s="94"/>
      <c r="AL34" s="94"/>
      <c r="AM34" s="94"/>
      <c r="AN34" s="52">
        <f>SUBTOTAL(9,AK34:AM34)</f>
        <v>0</v>
      </c>
      <c r="AO34" s="49">
        <f>SUBTOTAL(9,AH34:AM34)</f>
        <v>0</v>
      </c>
      <c r="AP34" s="56">
        <f>AO34+IF($B30=2,0,AP30)</f>
        <v>67.593178571428567</v>
      </c>
      <c r="AQ34" s="95">
        <v>138</v>
      </c>
      <c r="AR34" s="95">
        <v>138</v>
      </c>
      <c r="AS34" s="54">
        <v>300</v>
      </c>
      <c r="AT34" s="53">
        <v>1.5</v>
      </c>
      <c r="AU34" s="53">
        <v>8.1999999999999993</v>
      </c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49">
        <f>SUBTOTAL(9,AT34:BG34)</f>
        <v>9.6999999999999993</v>
      </c>
      <c r="BI34" s="52">
        <f>BH34+IF($B30=2,0,BI30)</f>
        <v>203.78221428568582</v>
      </c>
      <c r="BJ34" s="94"/>
      <c r="BK34" s="94"/>
      <c r="BL34" s="49">
        <f>SUBTOTAL(9,BJ34:BK34)</f>
        <v>0</v>
      </c>
      <c r="BM34" s="49">
        <f>BL34+IF($B30=2,0,BM30)</f>
        <v>10.4</v>
      </c>
      <c r="BN34" s="51">
        <f>SUMIF($C$5:BM$5,"Накопленный эффект, т/сут",$C34:BM34)+SUMIF($C$5:BM$5,"Нараст.  по потенциалу",$C34:BM34)-SUMIF($C$5:BM$5,"Нараст. по остановкам",$C34:BM34)-SUMIF($C$5:BM$5,"ИТОГО перевод в ППД",$C34:BM34)-SUMIF($C$5:BM$5,"ИТОГО  нерент, по распоряж.",$C34:BM34)-SUMIF($C$5:BM$5,"ИТОГО ост. дебит от ЗБС, Углуб., ПВЛГ/ПНЛГ",$C34:BM34)</f>
        <v>-131.58903571425725</v>
      </c>
      <c r="BO34" s="49">
        <v>65.5</v>
      </c>
      <c r="BP34" s="49">
        <v>13.716737229137101</v>
      </c>
      <c r="BQ34" s="49">
        <v>23.306456941954</v>
      </c>
      <c r="BR34" s="49">
        <v>7.7704931742557903</v>
      </c>
      <c r="BS34" s="49">
        <f>SUBTOTAL(9,BO34:BR34)</f>
        <v>110.29368734534688</v>
      </c>
      <c r="BT34" s="48" t="s">
        <v>0</v>
      </c>
      <c r="BU34" s="47">
        <f>BU$4+SUMIF($C$5:BS$5,"Нараст. по остановкам",$C34:BS34)-SUMIF($C$5:BS$5,"Нараст.  по потенциалу",$C34:BS34)</f>
        <v>783.79344606542122</v>
      </c>
      <c r="BV34" s="2"/>
    </row>
    <row r="35" spans="1:74" ht="1.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>
        <v>1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2"/>
    </row>
    <row r="36" spans="1:74" ht="11.25" customHeight="1" x14ac:dyDescent="0.25">
      <c r="A36" s="93">
        <v>45329</v>
      </c>
      <c r="B36" s="92" t="s">
        <v>143</v>
      </c>
      <c r="C36" s="89" t="s">
        <v>208</v>
      </c>
      <c r="D36" s="98"/>
      <c r="E36" s="98"/>
      <c r="F36" s="98"/>
      <c r="G36" s="87">
        <v>70</v>
      </c>
      <c r="H36" s="98"/>
      <c r="I36" s="98"/>
      <c r="J36" s="87">
        <v>0</v>
      </c>
      <c r="K36" s="98"/>
      <c r="L36" s="98"/>
      <c r="M36" s="98"/>
      <c r="N36" s="98"/>
      <c r="O36" s="98"/>
      <c r="P36" s="98"/>
      <c r="Q36" s="98"/>
      <c r="R36" s="87">
        <v>0</v>
      </c>
      <c r="S36" s="87">
        <v>70</v>
      </c>
      <c r="T36" s="86"/>
      <c r="U36" s="98"/>
      <c r="V36" s="91"/>
      <c r="W36" s="90"/>
      <c r="X36" s="98"/>
      <c r="Y36" s="98"/>
      <c r="Z36" s="91"/>
      <c r="AA36" s="90"/>
      <c r="AB36" s="89" t="s">
        <v>200</v>
      </c>
      <c r="AC36" s="98"/>
      <c r="AD36" s="98"/>
      <c r="AE36" s="98"/>
      <c r="AF36" s="91"/>
      <c r="AG36" s="90"/>
      <c r="AH36" s="98"/>
      <c r="AI36" s="98"/>
      <c r="AJ36" s="88">
        <v>7.2</v>
      </c>
      <c r="AK36" s="89"/>
      <c r="AL36" s="98"/>
      <c r="AM36" s="98"/>
      <c r="AN36" s="88">
        <v>83.557107142857205</v>
      </c>
      <c r="AO36" s="87">
        <v>90.757107142857194</v>
      </c>
      <c r="AP36" s="86"/>
      <c r="AQ36" s="99"/>
      <c r="AR36" s="99"/>
      <c r="AS36" s="84"/>
      <c r="AT36" s="83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82"/>
      <c r="BI36" s="81"/>
      <c r="BJ36" s="98"/>
      <c r="BK36" s="98"/>
      <c r="BL36" s="82"/>
      <c r="BM36" s="82"/>
      <c r="BN36" s="80"/>
      <c r="BO36" s="78"/>
      <c r="BP36" s="78"/>
      <c r="BQ36" s="78"/>
      <c r="BR36" s="78"/>
      <c r="BS36" s="78"/>
      <c r="BT36" s="77">
        <f>BT$4+SUMIF($C$5:BS$5,"Нараст. баланс",$C38:BS38)+SUMIF($C$7:BQ$7,"Итого (с ВНР)",$C38:BQ38)-SUMIF($C$5:BS$5,"Геол. снижение,  т/сут",$C38:BS38)-SUMIF(BR$7:BS$7,"Итого",BR38:BS38)-SUMIF($C$7:BS$7,"Итого (с ВСП)",$C38:BS38)</f>
        <v>29965.58968869437</v>
      </c>
      <c r="BU36" s="76"/>
      <c r="BV36" s="2"/>
    </row>
    <row r="37" spans="1:74" ht="11.25" customHeight="1" x14ac:dyDescent="0.25">
      <c r="A37" s="48" t="s">
        <v>0</v>
      </c>
      <c r="B37" s="75" t="s">
        <v>141</v>
      </c>
      <c r="C37" s="72" t="s">
        <v>305</v>
      </c>
      <c r="D37" s="96"/>
      <c r="E37" s="96"/>
      <c r="F37" s="96"/>
      <c r="G37" s="66">
        <v>1</v>
      </c>
      <c r="H37" s="96"/>
      <c r="I37" s="96"/>
      <c r="J37" s="66">
        <v>0</v>
      </c>
      <c r="K37" s="96"/>
      <c r="L37" s="96"/>
      <c r="M37" s="96"/>
      <c r="N37" s="96"/>
      <c r="O37" s="96"/>
      <c r="P37" s="96"/>
      <c r="Q37" s="96"/>
      <c r="R37" s="66">
        <v>0</v>
      </c>
      <c r="S37" s="66">
        <v>1</v>
      </c>
      <c r="T37" s="70"/>
      <c r="U37" s="96"/>
      <c r="V37" s="74">
        <f>SUBTOTAL(9,U39:U39)</f>
        <v>0</v>
      </c>
      <c r="W37" s="73"/>
      <c r="X37" s="96"/>
      <c r="Y37" s="96"/>
      <c r="Z37" s="74">
        <f>SUBTOTAL(9,X39:Y39)</f>
        <v>0</v>
      </c>
      <c r="AA37" s="73"/>
      <c r="AB37" s="72" t="s">
        <v>304</v>
      </c>
      <c r="AC37" s="96"/>
      <c r="AD37" s="96"/>
      <c r="AE37" s="96"/>
      <c r="AF37" s="74">
        <f>SUBTOTAL(9,AB39:AE39)</f>
        <v>1</v>
      </c>
      <c r="AG37" s="73"/>
      <c r="AH37" s="96"/>
      <c r="AI37" s="96"/>
      <c r="AJ37" s="71">
        <f>SUBTOTAL(9,AH39:AI39)</f>
        <v>0</v>
      </c>
      <c r="AK37" s="72"/>
      <c r="AL37" s="96"/>
      <c r="AM37" s="96"/>
      <c r="AN37" s="71">
        <f>SUBTOTAL(9,AK39:AM39)</f>
        <v>0</v>
      </c>
      <c r="AO37" s="66">
        <f>SUBTOTAL(9,AH39:AM39)</f>
        <v>0</v>
      </c>
      <c r="AP37" s="70"/>
      <c r="AQ37" s="97"/>
      <c r="AR37" s="97"/>
      <c r="AS37" s="68"/>
      <c r="AT37" s="67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66">
        <f>SUBTOTAL(9,AT39:BG39)</f>
        <v>0</v>
      </c>
      <c r="BI37" s="65"/>
      <c r="BJ37" s="96"/>
      <c r="BK37" s="96"/>
      <c r="BL37" s="66">
        <f>SUBTOTAL(3,BJ37:BK37)</f>
        <v>0</v>
      </c>
      <c r="BM37" s="171"/>
      <c r="BN37" s="64"/>
      <c r="BO37" s="62"/>
      <c r="BP37" s="62"/>
      <c r="BQ37" s="62"/>
      <c r="BR37" s="62"/>
      <c r="BS37" s="62"/>
      <c r="BT37" s="48" t="s">
        <v>0</v>
      </c>
      <c r="BU37" s="61"/>
      <c r="BV37" s="2"/>
    </row>
    <row r="38" spans="1:74" ht="11.25" customHeight="1" x14ac:dyDescent="0.25">
      <c r="A38" s="48" t="s">
        <v>0</v>
      </c>
      <c r="B38" s="60" t="s">
        <v>138</v>
      </c>
      <c r="C38" s="57">
        <v>70</v>
      </c>
      <c r="D38" s="94"/>
      <c r="E38" s="94"/>
      <c r="F38" s="94"/>
      <c r="G38" s="49">
        <f>SUBTOTAL(9,C38:F38)</f>
        <v>70</v>
      </c>
      <c r="H38" s="94"/>
      <c r="I38" s="94"/>
      <c r="J38" s="49">
        <f>SUBTOTAL(9,H38:I38)</f>
        <v>0</v>
      </c>
      <c r="K38" s="94"/>
      <c r="L38" s="94"/>
      <c r="M38" s="94"/>
      <c r="N38" s="94"/>
      <c r="O38" s="94"/>
      <c r="P38" s="94"/>
      <c r="Q38" s="94"/>
      <c r="R38" s="49">
        <f>SUBTOTAL(9,K38:Q38)</f>
        <v>0</v>
      </c>
      <c r="S38" s="49">
        <f>SUBTOTAL(9,C38:Q38)</f>
        <v>70</v>
      </c>
      <c r="T38" s="56">
        <v>70</v>
      </c>
      <c r="U38" s="94"/>
      <c r="V38" s="59">
        <f>SUBTOTAL(9,U38:U38)</f>
        <v>0</v>
      </c>
      <c r="W38" s="58">
        <f>V38+IF($B34=2,0,W34)</f>
        <v>15</v>
      </c>
      <c r="X38" s="94"/>
      <c r="Y38" s="94"/>
      <c r="Z38" s="59">
        <f>SUBTOTAL(9,X38:Y38)</f>
        <v>0</v>
      </c>
      <c r="AA38" s="58">
        <f>Z38+IF($B34=2,0,AA34)</f>
        <v>0</v>
      </c>
      <c r="AB38" s="57">
        <v>5</v>
      </c>
      <c r="AC38" s="94"/>
      <c r="AD38" s="94"/>
      <c r="AE38" s="94"/>
      <c r="AF38" s="59">
        <f>SUBTOTAL(9,AB38:AE38)</f>
        <v>5</v>
      </c>
      <c r="AG38" s="58">
        <f>AF38+IF($B34=2,0,AG34)</f>
        <v>5</v>
      </c>
      <c r="AH38" s="94"/>
      <c r="AI38" s="94"/>
      <c r="AJ38" s="52">
        <f>SUBTOTAL(9,AH38:AI38)</f>
        <v>0</v>
      </c>
      <c r="AK38" s="57">
        <v>23.163928571428599</v>
      </c>
      <c r="AL38" s="94"/>
      <c r="AM38" s="94"/>
      <c r="AN38" s="52">
        <f>SUBTOTAL(9,AK38:AM38)</f>
        <v>23.163928571428599</v>
      </c>
      <c r="AO38" s="49">
        <f>SUBTOTAL(9,AH38:AM38)</f>
        <v>23.163928571428599</v>
      </c>
      <c r="AP38" s="56">
        <f>AO38+IF($B34=2,0,AP34)</f>
        <v>90.757107142857166</v>
      </c>
      <c r="AQ38" s="95">
        <v>149.1</v>
      </c>
      <c r="AR38" s="95">
        <v>149.1</v>
      </c>
      <c r="AS38" s="54">
        <v>350</v>
      </c>
      <c r="AT38" s="53">
        <v>26.597999999999999</v>
      </c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49">
        <f>SUBTOTAL(9,AT38:BG38)</f>
        <v>26.597999999999999</v>
      </c>
      <c r="BI38" s="52">
        <f>BH38+IF($B34=2,0,BI34)</f>
        <v>230.38021428568584</v>
      </c>
      <c r="BJ38" s="94"/>
      <c r="BK38" s="94"/>
      <c r="BL38" s="49">
        <f>SUBTOTAL(9,BJ38:BK38)</f>
        <v>0</v>
      </c>
      <c r="BM38" s="49">
        <f>BL38+IF($B34=2,0,BM34)</f>
        <v>10.4</v>
      </c>
      <c r="BN38" s="51">
        <f>SUMIF($C$5:BM$5,"Накопленный эффект, т/сут",$C38:BM38)+SUMIF($C$5:BM$5,"Нараст.  по потенциалу",$C38:BM38)-SUMIF($C$5:BM$5,"Нараст. по остановкам",$C38:BM38)-SUMIF($C$5:BM$5,"ИТОГО перевод в ППД",$C38:BM38)-SUMIF($C$5:BM$5,"ИТОГО  нерент, по распоряж.",$C38:BM38)-SUMIF($C$5:BM$5,"ИТОГО ост. дебит от ЗБС, Углуб., ПВЛГ/ПНЛГ",$C38:BM38)</f>
        <v>-60.023107142828671</v>
      </c>
      <c r="BO38" s="49">
        <v>65.5</v>
      </c>
      <c r="BP38" s="49">
        <v>21.126962892549301</v>
      </c>
      <c r="BQ38" s="49">
        <v>240.391774872403</v>
      </c>
      <c r="BR38" s="49">
        <v>8.5124663978494599</v>
      </c>
      <c r="BS38" s="49">
        <f>SUBTOTAL(9,BO38:BR38)</f>
        <v>335.53120416280177</v>
      </c>
      <c r="BT38" s="48" t="s">
        <v>0</v>
      </c>
      <c r="BU38" s="47">
        <f>BU$4+SUMIF($C$5:BS$5,"Нараст. по остановкам",$C38:BS38)-SUMIF($C$5:BS$5,"Нараст.  по потенциалу",$C38:BS38)</f>
        <v>787.22751749399265</v>
      </c>
      <c r="BV38" s="2"/>
    </row>
    <row r="39" spans="1:74" ht="1.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>
        <v>1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2"/>
    </row>
    <row r="40" spans="1:74" ht="11.25" customHeight="1" x14ac:dyDescent="0.25">
      <c r="A40" s="93">
        <v>45330</v>
      </c>
      <c r="B40" s="92" t="s">
        <v>143</v>
      </c>
      <c r="C40" s="98"/>
      <c r="D40" s="98"/>
      <c r="E40" s="98"/>
      <c r="F40" s="98"/>
      <c r="G40" s="87">
        <v>70</v>
      </c>
      <c r="H40" s="98"/>
      <c r="I40" s="98"/>
      <c r="J40" s="87">
        <v>0</v>
      </c>
      <c r="K40" s="89" t="s">
        <v>200</v>
      </c>
      <c r="L40" s="89" t="s">
        <v>201</v>
      </c>
      <c r="M40" s="98"/>
      <c r="N40" s="98"/>
      <c r="O40" s="98"/>
      <c r="P40" s="98"/>
      <c r="Q40" s="98"/>
      <c r="R40" s="87">
        <v>40</v>
      </c>
      <c r="S40" s="87">
        <v>110</v>
      </c>
      <c r="T40" s="86"/>
      <c r="U40" s="98"/>
      <c r="V40" s="91"/>
      <c r="W40" s="90"/>
      <c r="X40" s="98"/>
      <c r="Y40" s="98"/>
      <c r="Z40" s="91"/>
      <c r="AA40" s="90"/>
      <c r="AB40" s="89" t="s">
        <v>209</v>
      </c>
      <c r="AC40" s="98"/>
      <c r="AD40" s="98"/>
      <c r="AE40" s="98"/>
      <c r="AF40" s="91"/>
      <c r="AG40" s="90"/>
      <c r="AH40" s="98"/>
      <c r="AI40" s="98"/>
      <c r="AJ40" s="88">
        <v>7.2</v>
      </c>
      <c r="AK40" s="89"/>
      <c r="AL40" s="98"/>
      <c r="AM40" s="98"/>
      <c r="AN40" s="88">
        <v>94.1571071428572</v>
      </c>
      <c r="AO40" s="87">
        <v>101.357107142857</v>
      </c>
      <c r="AP40" s="86"/>
      <c r="AQ40" s="99"/>
      <c r="AR40" s="99"/>
      <c r="AS40" s="84"/>
      <c r="AT40" s="83" t="s">
        <v>202</v>
      </c>
      <c r="AU40" s="83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82"/>
      <c r="BI40" s="81"/>
      <c r="BJ40" s="98"/>
      <c r="BK40" s="98"/>
      <c r="BL40" s="82"/>
      <c r="BM40" s="82"/>
      <c r="BN40" s="80"/>
      <c r="BO40" s="78"/>
      <c r="BP40" s="78"/>
      <c r="BQ40" s="79"/>
      <c r="BR40" s="78"/>
      <c r="BS40" s="78"/>
      <c r="BT40" s="77">
        <f>BT$4+SUMIF($C$5:BS$5,"Нараст. баланс",$C42:BS42)+SUMIF($C$7:BQ$7,"Итого (с ВНР)",$C42:BQ42)-SUMIF($C$5:BS$5,"Геол. снижение,  т/сут",$C42:BS42)-SUMIF(BR$7:BS$7,"Итого",BR42:BS42)-SUMIF($C$7:BS$7,"Итого (с ВСП)",$C42:BS42)</f>
        <v>30186.015454204604</v>
      </c>
      <c r="BU40" s="76"/>
      <c r="BV40" s="2"/>
    </row>
    <row r="41" spans="1:74" ht="11.25" customHeight="1" x14ac:dyDescent="0.25">
      <c r="A41" s="48" t="s">
        <v>0</v>
      </c>
      <c r="B41" s="75" t="s">
        <v>141</v>
      </c>
      <c r="C41" s="96"/>
      <c r="D41" s="96"/>
      <c r="E41" s="96"/>
      <c r="F41" s="96"/>
      <c r="G41" s="66">
        <v>0</v>
      </c>
      <c r="H41" s="96"/>
      <c r="I41" s="96"/>
      <c r="J41" s="66">
        <v>0</v>
      </c>
      <c r="K41" s="72" t="s">
        <v>303</v>
      </c>
      <c r="L41" s="72" t="s">
        <v>302</v>
      </c>
      <c r="M41" s="96"/>
      <c r="N41" s="96"/>
      <c r="O41" s="96"/>
      <c r="P41" s="96"/>
      <c r="Q41" s="96"/>
      <c r="R41" s="66">
        <v>2</v>
      </c>
      <c r="S41" s="66">
        <v>2</v>
      </c>
      <c r="T41" s="70"/>
      <c r="U41" s="96"/>
      <c r="V41" s="74">
        <f>SUBTOTAL(9,U43:U43)</f>
        <v>0</v>
      </c>
      <c r="W41" s="73"/>
      <c r="X41" s="96"/>
      <c r="Y41" s="96"/>
      <c r="Z41" s="74">
        <f>SUBTOTAL(9,X43:Y43)</f>
        <v>0</v>
      </c>
      <c r="AA41" s="73"/>
      <c r="AB41" s="72" t="s">
        <v>301</v>
      </c>
      <c r="AC41" s="96"/>
      <c r="AD41" s="96"/>
      <c r="AE41" s="96"/>
      <c r="AF41" s="74">
        <f>SUBTOTAL(9,AB43:AE43)</f>
        <v>1</v>
      </c>
      <c r="AG41" s="73"/>
      <c r="AH41" s="96"/>
      <c r="AI41" s="96"/>
      <c r="AJ41" s="71">
        <f>SUBTOTAL(9,AH43:AI43)</f>
        <v>0</v>
      </c>
      <c r="AK41" s="72"/>
      <c r="AL41" s="96"/>
      <c r="AM41" s="96"/>
      <c r="AN41" s="71">
        <f>SUBTOTAL(9,AK43:AM43)</f>
        <v>0</v>
      </c>
      <c r="AO41" s="66">
        <f>SUBTOTAL(9,AH43:AM43)</f>
        <v>0</v>
      </c>
      <c r="AP41" s="70"/>
      <c r="AQ41" s="97"/>
      <c r="AR41" s="97"/>
      <c r="AS41" s="68"/>
      <c r="AT41" s="67" t="s">
        <v>275</v>
      </c>
      <c r="AU41" s="67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66">
        <f>SUBTOTAL(9,AT43:BG43)</f>
        <v>1</v>
      </c>
      <c r="BI41" s="65"/>
      <c r="BJ41" s="96"/>
      <c r="BK41" s="96"/>
      <c r="BL41" s="66">
        <f>SUBTOTAL(3,BJ41:BK41)</f>
        <v>0</v>
      </c>
      <c r="BM41" s="171"/>
      <c r="BN41" s="64"/>
      <c r="BO41" s="62"/>
      <c r="BP41" s="62"/>
      <c r="BQ41" s="63"/>
      <c r="BR41" s="62"/>
      <c r="BS41" s="62"/>
      <c r="BT41" s="48" t="s">
        <v>0</v>
      </c>
      <c r="BU41" s="61"/>
      <c r="BV41" s="2"/>
    </row>
    <row r="42" spans="1:74" ht="11.25" customHeight="1" x14ac:dyDescent="0.25">
      <c r="A42" s="48" t="s">
        <v>0</v>
      </c>
      <c r="B42" s="60" t="s">
        <v>138</v>
      </c>
      <c r="C42" s="94"/>
      <c r="D42" s="94"/>
      <c r="E42" s="94"/>
      <c r="F42" s="94"/>
      <c r="G42" s="49">
        <f>SUBTOTAL(9,C42:F42)</f>
        <v>0</v>
      </c>
      <c r="H42" s="94"/>
      <c r="I42" s="94"/>
      <c r="J42" s="49">
        <f>SUBTOTAL(9,H42:I42)</f>
        <v>0</v>
      </c>
      <c r="K42" s="57">
        <v>20</v>
      </c>
      <c r="L42" s="57">
        <v>20</v>
      </c>
      <c r="M42" s="94"/>
      <c r="N42" s="94"/>
      <c r="O42" s="94"/>
      <c r="P42" s="94"/>
      <c r="Q42" s="94"/>
      <c r="R42" s="49">
        <f>SUBTOTAL(9,K42:Q42)</f>
        <v>40</v>
      </c>
      <c r="S42" s="49">
        <f>SUBTOTAL(9,C42:Q42)</f>
        <v>40</v>
      </c>
      <c r="T42" s="56">
        <v>110</v>
      </c>
      <c r="U42" s="94"/>
      <c r="V42" s="59">
        <f>SUBTOTAL(9,U42:U42)</f>
        <v>0</v>
      </c>
      <c r="W42" s="58">
        <f>V42+IF($B38=2,0,W38)</f>
        <v>15</v>
      </c>
      <c r="X42" s="94"/>
      <c r="Y42" s="94"/>
      <c r="Z42" s="59">
        <f>SUBTOTAL(9,X42:Y42)</f>
        <v>0</v>
      </c>
      <c r="AA42" s="58">
        <f>Z42+IF($B38=2,0,AA38)</f>
        <v>0</v>
      </c>
      <c r="AB42" s="57">
        <v>3</v>
      </c>
      <c r="AC42" s="94"/>
      <c r="AD42" s="94"/>
      <c r="AE42" s="94"/>
      <c r="AF42" s="59">
        <f>SUBTOTAL(9,AB42:AE42)</f>
        <v>3</v>
      </c>
      <c r="AG42" s="58">
        <f>AF42+IF($B38=2,0,AG38)</f>
        <v>8</v>
      </c>
      <c r="AH42" s="94"/>
      <c r="AI42" s="94"/>
      <c r="AJ42" s="52">
        <f>SUBTOTAL(9,AH42:AI42)</f>
        <v>0</v>
      </c>
      <c r="AK42" s="57">
        <v>10.6</v>
      </c>
      <c r="AL42" s="94"/>
      <c r="AM42" s="94"/>
      <c r="AN42" s="52">
        <f>SUBTOTAL(9,AK42:AM42)</f>
        <v>10.6</v>
      </c>
      <c r="AO42" s="49">
        <f>SUBTOTAL(9,AH42:AM42)</f>
        <v>10.6</v>
      </c>
      <c r="AP42" s="56">
        <f>AO42+IF($B38=2,0,AP38)</f>
        <v>101.35710714285716</v>
      </c>
      <c r="AQ42" s="95">
        <v>160.19999999999999</v>
      </c>
      <c r="AR42" s="95">
        <v>160.19999999999999</v>
      </c>
      <c r="AS42" s="54">
        <v>400</v>
      </c>
      <c r="AT42" s="53">
        <v>10.8</v>
      </c>
      <c r="AU42" s="53">
        <v>3.1</v>
      </c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49">
        <f>SUBTOTAL(9,AT42:BG42)</f>
        <v>13.9</v>
      </c>
      <c r="BI42" s="52">
        <f>BH42+IF($B38=2,0,BI38)</f>
        <v>244.28021428568584</v>
      </c>
      <c r="BJ42" s="94"/>
      <c r="BK42" s="94"/>
      <c r="BL42" s="49">
        <f>SUBTOTAL(9,BJ42:BK42)</f>
        <v>0</v>
      </c>
      <c r="BM42" s="49">
        <f>BL42+IF($B38=2,0,BM38)</f>
        <v>10.4</v>
      </c>
      <c r="BN42" s="51">
        <f>SUMIF($C$5:BM$5,"Накопленный эффект, т/сут",$C42:BM42)+SUMIF($C$5:BM$5,"Нараст.  по потенциалу",$C42:BM42)-SUMIF($C$5:BM$5,"Нараст. по остановкам",$C42:BM42)-SUMIF($C$5:BM$5,"ИТОГО перевод в ППД",$C42:BM42)-SUMIF($C$5:BM$5,"ИТОГО  нерент, по распоряж.",$C42:BM42)-SUMIF($C$5:BM$5,"ИТОГО ост. дебит от ЗБС, Углуб., ПВЛГ/ПНЛГ",$C42:BM42)</f>
        <v>-20.323107142828682</v>
      </c>
      <c r="BO42" s="49">
        <v>65.5</v>
      </c>
      <c r="BP42" s="49">
        <v>31.280420805695002</v>
      </c>
      <c r="BQ42" s="50"/>
      <c r="BR42" s="49">
        <v>19.125017846877899</v>
      </c>
      <c r="BS42" s="49">
        <f>SUBTOTAL(9,BO42:BR42)</f>
        <v>115.9054386525729</v>
      </c>
      <c r="BT42" s="48" t="s">
        <v>0</v>
      </c>
      <c r="BU42" s="47">
        <f>BU$4+SUMIF($C$5:BS$5,"Нараст. по остановкам",$C42:BS42)-SUMIF($C$5:BS$5,"Нараст.  по потенциалу",$C42:BS42)</f>
        <v>790.52751749399272</v>
      </c>
      <c r="BV42" s="2"/>
    </row>
    <row r="43" spans="1:74" ht="1.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>
        <v>1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v>1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2"/>
    </row>
    <row r="44" spans="1:74" ht="11.25" customHeight="1" x14ac:dyDescent="0.25">
      <c r="A44" s="93">
        <v>45331</v>
      </c>
      <c r="B44" s="92" t="s">
        <v>143</v>
      </c>
      <c r="C44" s="89" t="s">
        <v>300</v>
      </c>
      <c r="D44" s="89" t="s">
        <v>208</v>
      </c>
      <c r="E44" s="98"/>
      <c r="F44" s="98"/>
      <c r="G44" s="87">
        <v>200</v>
      </c>
      <c r="H44" s="98"/>
      <c r="I44" s="98"/>
      <c r="J44" s="87">
        <v>0</v>
      </c>
      <c r="K44" s="98"/>
      <c r="L44" s="98"/>
      <c r="M44" s="98"/>
      <c r="N44" s="98"/>
      <c r="O44" s="98"/>
      <c r="P44" s="98"/>
      <c r="Q44" s="98"/>
      <c r="R44" s="87">
        <v>40</v>
      </c>
      <c r="S44" s="87">
        <v>240</v>
      </c>
      <c r="T44" s="86"/>
      <c r="U44" s="98"/>
      <c r="V44" s="91"/>
      <c r="W44" s="90"/>
      <c r="X44" s="98"/>
      <c r="Y44" s="98"/>
      <c r="Z44" s="91"/>
      <c r="AA44" s="90"/>
      <c r="AB44" s="89" t="s">
        <v>299</v>
      </c>
      <c r="AC44" s="98"/>
      <c r="AD44" s="98"/>
      <c r="AE44" s="98"/>
      <c r="AF44" s="91"/>
      <c r="AG44" s="90"/>
      <c r="AH44" s="98"/>
      <c r="AI44" s="98"/>
      <c r="AJ44" s="88">
        <v>7.2</v>
      </c>
      <c r="AK44" s="89" t="s">
        <v>200</v>
      </c>
      <c r="AL44" s="98"/>
      <c r="AM44" s="98"/>
      <c r="AN44" s="88">
        <v>95.557107142857205</v>
      </c>
      <c r="AO44" s="87">
        <v>102.757107142857</v>
      </c>
      <c r="AP44" s="86"/>
      <c r="AQ44" s="99"/>
      <c r="AR44" s="99"/>
      <c r="AS44" s="84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82"/>
      <c r="BI44" s="81"/>
      <c r="BJ44" s="98"/>
      <c r="BK44" s="98"/>
      <c r="BL44" s="82"/>
      <c r="BM44" s="82"/>
      <c r="BN44" s="80"/>
      <c r="BO44" s="78"/>
      <c r="BP44" s="78"/>
      <c r="BQ44" s="79"/>
      <c r="BR44" s="78"/>
      <c r="BS44" s="78"/>
      <c r="BT44" s="77">
        <f>BT$4+SUMIF($C$5:BS$5,"Нараст. баланс",$C46:BS46)+SUMIF($C$7:BQ$7,"Итого (с ВНР)",$C46:BQ46)-SUMIF($C$5:BS$5,"Геол. снижение,  т/сут",$C46:BS46)-SUMIF(BR$7:BS$7,"Итого",BR46:BS46)-SUMIF($C$7:BS$7,"Итого (с ВСП)",$C46:BS46)</f>
        <v>30310.469198216273</v>
      </c>
      <c r="BU44" s="76"/>
      <c r="BV44" s="2"/>
    </row>
    <row r="45" spans="1:74" ht="11.25" customHeight="1" x14ac:dyDescent="0.25">
      <c r="A45" s="48" t="s">
        <v>0</v>
      </c>
      <c r="B45" s="75" t="s">
        <v>141</v>
      </c>
      <c r="C45" s="72" t="s">
        <v>298</v>
      </c>
      <c r="D45" s="72" t="s">
        <v>297</v>
      </c>
      <c r="E45" s="96"/>
      <c r="F45" s="96"/>
      <c r="G45" s="66">
        <v>2</v>
      </c>
      <c r="H45" s="96"/>
      <c r="I45" s="96"/>
      <c r="J45" s="66">
        <v>0</v>
      </c>
      <c r="K45" s="96"/>
      <c r="L45" s="96"/>
      <c r="M45" s="96"/>
      <c r="N45" s="96"/>
      <c r="O45" s="96"/>
      <c r="P45" s="96"/>
      <c r="Q45" s="96"/>
      <c r="R45" s="66">
        <v>0</v>
      </c>
      <c r="S45" s="66">
        <v>2</v>
      </c>
      <c r="T45" s="70"/>
      <c r="U45" s="96"/>
      <c r="V45" s="74">
        <f>SUBTOTAL(9,U47:U47)</f>
        <v>0</v>
      </c>
      <c r="W45" s="73"/>
      <c r="X45" s="96"/>
      <c r="Y45" s="96"/>
      <c r="Z45" s="74">
        <f>SUBTOTAL(9,X47:Y47)</f>
        <v>0</v>
      </c>
      <c r="AA45" s="73"/>
      <c r="AB45" s="72" t="s">
        <v>296</v>
      </c>
      <c r="AC45" s="96"/>
      <c r="AD45" s="96"/>
      <c r="AE45" s="96"/>
      <c r="AF45" s="74">
        <f>SUBTOTAL(9,AB47:AE47)</f>
        <v>1</v>
      </c>
      <c r="AG45" s="73"/>
      <c r="AH45" s="96"/>
      <c r="AI45" s="96"/>
      <c r="AJ45" s="71">
        <f>SUBTOTAL(9,AH47:AI47)</f>
        <v>0</v>
      </c>
      <c r="AK45" s="72" t="s">
        <v>295</v>
      </c>
      <c r="AL45" s="96"/>
      <c r="AM45" s="96"/>
      <c r="AN45" s="71">
        <f>SUBTOTAL(9,AK47:AM47)</f>
        <v>1</v>
      </c>
      <c r="AO45" s="66">
        <f>SUBTOTAL(9,AH47:AM47)</f>
        <v>1</v>
      </c>
      <c r="AP45" s="70"/>
      <c r="AQ45" s="97"/>
      <c r="AR45" s="97"/>
      <c r="AS45" s="68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66">
        <f>SUBTOTAL(9,AT47:BG47)</f>
        <v>0</v>
      </c>
      <c r="BI45" s="65"/>
      <c r="BJ45" s="96"/>
      <c r="BK45" s="96"/>
      <c r="BL45" s="66">
        <f>SUBTOTAL(3,BJ45:BK45)</f>
        <v>0</v>
      </c>
      <c r="BM45" s="171"/>
      <c r="BN45" s="64"/>
      <c r="BO45" s="62"/>
      <c r="BP45" s="62"/>
      <c r="BQ45" s="63"/>
      <c r="BR45" s="62"/>
      <c r="BS45" s="62"/>
      <c r="BT45" s="48" t="s">
        <v>0</v>
      </c>
      <c r="BU45" s="61"/>
      <c r="BV45" s="2"/>
    </row>
    <row r="46" spans="1:74" ht="11.25" customHeight="1" x14ac:dyDescent="0.25">
      <c r="A46" s="48" t="s">
        <v>0</v>
      </c>
      <c r="B46" s="60" t="s">
        <v>138</v>
      </c>
      <c r="C46" s="57">
        <v>30</v>
      </c>
      <c r="D46" s="57">
        <v>100</v>
      </c>
      <c r="E46" s="94"/>
      <c r="F46" s="94"/>
      <c r="G46" s="49">
        <f>SUBTOTAL(9,C46:F46)</f>
        <v>130</v>
      </c>
      <c r="H46" s="94"/>
      <c r="I46" s="94"/>
      <c r="J46" s="49">
        <f>SUBTOTAL(9,H46:I46)</f>
        <v>0</v>
      </c>
      <c r="K46" s="94"/>
      <c r="L46" s="94"/>
      <c r="M46" s="94"/>
      <c r="N46" s="94"/>
      <c r="O46" s="94"/>
      <c r="P46" s="94"/>
      <c r="Q46" s="94"/>
      <c r="R46" s="49">
        <f>SUBTOTAL(9,K46:Q46)</f>
        <v>0</v>
      </c>
      <c r="S46" s="49">
        <f>SUBTOTAL(9,C46:Q46)</f>
        <v>130</v>
      </c>
      <c r="T46" s="56">
        <v>240</v>
      </c>
      <c r="U46" s="94"/>
      <c r="V46" s="59">
        <f>SUBTOTAL(9,U46:U46)</f>
        <v>0</v>
      </c>
      <c r="W46" s="58">
        <f>V46+IF($B42=2,0,W42)</f>
        <v>15</v>
      </c>
      <c r="X46" s="94"/>
      <c r="Y46" s="94"/>
      <c r="Z46" s="59">
        <f>SUBTOTAL(9,X46:Y46)</f>
        <v>0</v>
      </c>
      <c r="AA46" s="58">
        <f>Z46+IF($B42=2,0,AA42)</f>
        <v>0</v>
      </c>
      <c r="AB46" s="57">
        <v>9</v>
      </c>
      <c r="AC46" s="94"/>
      <c r="AD46" s="94"/>
      <c r="AE46" s="94"/>
      <c r="AF46" s="59">
        <f>SUBTOTAL(9,AB46:AE46)</f>
        <v>9</v>
      </c>
      <c r="AG46" s="58">
        <f>AF46+IF($B42=2,0,AG42)</f>
        <v>17</v>
      </c>
      <c r="AH46" s="94"/>
      <c r="AI46" s="94"/>
      <c r="AJ46" s="52">
        <f>SUBTOTAL(9,AH46:AI46)</f>
        <v>0</v>
      </c>
      <c r="AK46" s="57">
        <v>1.4</v>
      </c>
      <c r="AL46" s="94"/>
      <c r="AM46" s="94"/>
      <c r="AN46" s="52">
        <f>SUBTOTAL(9,AK46:AM46)</f>
        <v>1.4</v>
      </c>
      <c r="AO46" s="49">
        <f>SUBTOTAL(9,AH46:AM46)</f>
        <v>1.4</v>
      </c>
      <c r="AP46" s="56">
        <f>AO46+IF($B42=2,0,AP42)</f>
        <v>102.75710714285717</v>
      </c>
      <c r="AQ46" s="95">
        <v>171.2</v>
      </c>
      <c r="AR46" s="95">
        <v>171.2</v>
      </c>
      <c r="AS46" s="54">
        <v>450</v>
      </c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49">
        <f>SUBTOTAL(9,AT46:BG46)</f>
        <v>0</v>
      </c>
      <c r="BI46" s="52">
        <f>BH46+IF($B42=2,0,BI42)</f>
        <v>244.28021428568584</v>
      </c>
      <c r="BJ46" s="94"/>
      <c r="BK46" s="94"/>
      <c r="BL46" s="49">
        <f>SUBTOTAL(9,BJ46:BK46)</f>
        <v>0</v>
      </c>
      <c r="BM46" s="49">
        <f>BL46+IF($B42=2,0,BM42)</f>
        <v>10.4</v>
      </c>
      <c r="BN46" s="51">
        <f>SUMIF($C$5:BM$5,"Накопленный эффект, т/сут",$C46:BM46)+SUMIF($C$5:BM$5,"Нараст.  по потенциалу",$C46:BM46)-SUMIF($C$5:BM$5,"Нараст. по остановкам",$C46:BM46)-SUMIF($C$5:BM$5,"ИТОГО перевод в ППД",$C46:BM46)-SUMIF($C$5:BM$5,"ИТОГО  нерент, по распоряж.",$C46:BM46)-SUMIF($C$5:BM$5,"ИТОГО ост. дебит от ЗБС, Углуб., ПВЛГ/ПНЛГ",$C46:BM46)</f>
        <v>120.07689285717134</v>
      </c>
      <c r="BO46" s="49">
        <v>65.5</v>
      </c>
      <c r="BP46" s="49">
        <v>22.843091073542301</v>
      </c>
      <c r="BQ46" s="50"/>
      <c r="BR46" s="49">
        <v>4.5086035673584401</v>
      </c>
      <c r="BS46" s="49">
        <f>SUBTOTAL(9,BO46:BR46)</f>
        <v>92.851694640900732</v>
      </c>
      <c r="BT46" s="48" t="s">
        <v>0</v>
      </c>
      <c r="BU46" s="47">
        <f>BU$4+SUMIF($C$5:BS$5,"Нараст. по остановкам",$C46:BS46)-SUMIF($C$5:BS$5,"Нараст.  по потенциалу",$C46:BS46)</f>
        <v>789.12751749399263</v>
      </c>
      <c r="BV46" s="2"/>
    </row>
    <row r="47" spans="1:74" ht="1.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>
        <v>1</v>
      </c>
      <c r="AC47" s="3"/>
      <c r="AD47" s="3"/>
      <c r="AE47" s="3"/>
      <c r="AF47" s="3"/>
      <c r="AG47" s="3"/>
      <c r="AH47" s="3"/>
      <c r="AI47" s="3"/>
      <c r="AJ47" s="3"/>
      <c r="AK47" s="3">
        <v>1</v>
      </c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2"/>
    </row>
    <row r="48" spans="1:74" ht="11.25" customHeight="1" x14ac:dyDescent="0.25">
      <c r="A48" s="93">
        <v>45332</v>
      </c>
      <c r="B48" s="92" t="s">
        <v>143</v>
      </c>
      <c r="C48" s="98"/>
      <c r="D48" s="98"/>
      <c r="E48" s="98"/>
      <c r="F48" s="98"/>
      <c r="G48" s="87">
        <v>200</v>
      </c>
      <c r="H48" s="98"/>
      <c r="I48" s="98"/>
      <c r="J48" s="87">
        <v>0</v>
      </c>
      <c r="K48" s="98"/>
      <c r="L48" s="98"/>
      <c r="M48" s="98"/>
      <c r="N48" s="98"/>
      <c r="O48" s="98"/>
      <c r="P48" s="98"/>
      <c r="Q48" s="98"/>
      <c r="R48" s="87">
        <v>40</v>
      </c>
      <c r="S48" s="87">
        <v>240</v>
      </c>
      <c r="T48" s="86"/>
      <c r="U48" s="89" t="s">
        <v>205</v>
      </c>
      <c r="V48" s="91"/>
      <c r="W48" s="90"/>
      <c r="X48" s="98"/>
      <c r="Y48" s="98"/>
      <c r="Z48" s="91"/>
      <c r="AA48" s="90"/>
      <c r="AB48" s="89" t="s">
        <v>202</v>
      </c>
      <c r="AC48" s="98"/>
      <c r="AD48" s="98"/>
      <c r="AE48" s="98"/>
      <c r="AF48" s="91"/>
      <c r="AG48" s="90"/>
      <c r="AH48" s="89" t="s">
        <v>205</v>
      </c>
      <c r="AI48" s="98"/>
      <c r="AJ48" s="88">
        <v>16.399999999999999</v>
      </c>
      <c r="AK48" s="89"/>
      <c r="AL48" s="98"/>
      <c r="AM48" s="98"/>
      <c r="AN48" s="88">
        <v>107.657107142857</v>
      </c>
      <c r="AO48" s="87">
        <v>124.05710714285701</v>
      </c>
      <c r="AP48" s="86"/>
      <c r="AQ48" s="99"/>
      <c r="AR48" s="99"/>
      <c r="AS48" s="84"/>
      <c r="AT48" s="83" t="s">
        <v>202</v>
      </c>
      <c r="AU48" s="83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82"/>
      <c r="BI48" s="81"/>
      <c r="BJ48" s="98"/>
      <c r="BK48" s="98"/>
      <c r="BL48" s="82"/>
      <c r="BM48" s="82"/>
      <c r="BN48" s="80"/>
      <c r="BO48" s="78"/>
      <c r="BP48" s="78"/>
      <c r="BQ48" s="79"/>
      <c r="BR48" s="79"/>
      <c r="BS48" s="78"/>
      <c r="BT48" s="77">
        <f>BT$4+SUMIF($C$5:BS$5,"Нараст. баланс",$C50:BS50)+SUMIF($C$7:BQ$7,"Итого (с ВНР)",$C50:BQ50)-SUMIF($C$5:BS$5,"Геол. снижение,  т/сут",$C50:BS50)-SUMIF(BR$7:BS$7,"Итого",BR50:BS50)-SUMIF($C$7:BS$7,"Итого (с ВСП)",$C50:BS50)</f>
        <v>30306.658470284663</v>
      </c>
      <c r="BU48" s="76"/>
      <c r="BV48" s="2"/>
    </row>
    <row r="49" spans="1:74" ht="11.25" customHeight="1" x14ac:dyDescent="0.25">
      <c r="A49" s="48" t="s">
        <v>0</v>
      </c>
      <c r="B49" s="75" t="s">
        <v>141</v>
      </c>
      <c r="C49" s="96"/>
      <c r="D49" s="96"/>
      <c r="E49" s="96"/>
      <c r="F49" s="96"/>
      <c r="G49" s="66">
        <v>0</v>
      </c>
      <c r="H49" s="96"/>
      <c r="I49" s="96"/>
      <c r="J49" s="66">
        <v>0</v>
      </c>
      <c r="K49" s="96"/>
      <c r="L49" s="96"/>
      <c r="M49" s="96"/>
      <c r="N49" s="96"/>
      <c r="O49" s="96"/>
      <c r="P49" s="96"/>
      <c r="Q49" s="96"/>
      <c r="R49" s="66">
        <v>0</v>
      </c>
      <c r="S49" s="66">
        <v>0</v>
      </c>
      <c r="T49" s="70"/>
      <c r="U49" s="72" t="s">
        <v>293</v>
      </c>
      <c r="V49" s="74">
        <f>SUBTOTAL(9,U51:U51)</f>
        <v>1</v>
      </c>
      <c r="W49" s="73"/>
      <c r="X49" s="96"/>
      <c r="Y49" s="96"/>
      <c r="Z49" s="74">
        <f>SUBTOTAL(9,X51:Y51)</f>
        <v>0</v>
      </c>
      <c r="AA49" s="73"/>
      <c r="AB49" s="72" t="s">
        <v>294</v>
      </c>
      <c r="AC49" s="96"/>
      <c r="AD49" s="96"/>
      <c r="AE49" s="96"/>
      <c r="AF49" s="74">
        <f>SUBTOTAL(9,AB51:AE51)</f>
        <v>1</v>
      </c>
      <c r="AG49" s="73"/>
      <c r="AH49" s="72" t="s">
        <v>293</v>
      </c>
      <c r="AI49" s="96"/>
      <c r="AJ49" s="71">
        <f>SUBTOTAL(9,AH51:AI51)</f>
        <v>1</v>
      </c>
      <c r="AK49" s="72"/>
      <c r="AL49" s="96"/>
      <c r="AM49" s="96"/>
      <c r="AN49" s="71">
        <f>SUBTOTAL(9,AK51:AM51)</f>
        <v>0</v>
      </c>
      <c r="AO49" s="66">
        <f>SUBTOTAL(9,AH51:AM51)</f>
        <v>1</v>
      </c>
      <c r="AP49" s="70"/>
      <c r="AQ49" s="97"/>
      <c r="AR49" s="97"/>
      <c r="AS49" s="68"/>
      <c r="AT49" s="67" t="s">
        <v>267</v>
      </c>
      <c r="AU49" s="67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66">
        <f>SUBTOTAL(9,AT51:BG51)</f>
        <v>1</v>
      </c>
      <c r="BI49" s="65"/>
      <c r="BJ49" s="96"/>
      <c r="BK49" s="96"/>
      <c r="BL49" s="66">
        <f>SUBTOTAL(3,BJ49:BK49)</f>
        <v>0</v>
      </c>
      <c r="BM49" s="171"/>
      <c r="BN49" s="64"/>
      <c r="BO49" s="62"/>
      <c r="BP49" s="62"/>
      <c r="BQ49" s="63"/>
      <c r="BR49" s="63"/>
      <c r="BS49" s="62"/>
      <c r="BT49" s="48" t="s">
        <v>0</v>
      </c>
      <c r="BU49" s="61"/>
      <c r="BV49" s="2"/>
    </row>
    <row r="50" spans="1:74" ht="11.25" customHeight="1" x14ac:dyDescent="0.25">
      <c r="A50" s="48" t="s">
        <v>0</v>
      </c>
      <c r="B50" s="60" t="s">
        <v>138</v>
      </c>
      <c r="C50" s="94"/>
      <c r="D50" s="94"/>
      <c r="E50" s="94"/>
      <c r="F50" s="94"/>
      <c r="G50" s="49">
        <f>SUBTOTAL(9,C50:F50)</f>
        <v>0</v>
      </c>
      <c r="H50" s="94"/>
      <c r="I50" s="94"/>
      <c r="J50" s="49">
        <f>SUBTOTAL(9,H50:I50)</f>
        <v>0</v>
      </c>
      <c r="K50" s="94"/>
      <c r="L50" s="94"/>
      <c r="M50" s="94"/>
      <c r="N50" s="94"/>
      <c r="O50" s="94"/>
      <c r="P50" s="94"/>
      <c r="Q50" s="94"/>
      <c r="R50" s="49">
        <f>SUBTOTAL(9,K50:Q50)</f>
        <v>0</v>
      </c>
      <c r="S50" s="49">
        <f>SUBTOTAL(9,C50:Q50)</f>
        <v>0</v>
      </c>
      <c r="T50" s="56">
        <v>240</v>
      </c>
      <c r="U50" s="57">
        <v>6</v>
      </c>
      <c r="V50" s="59">
        <f>SUBTOTAL(9,U50:U50)</f>
        <v>6</v>
      </c>
      <c r="W50" s="58">
        <f>V50+IF($B46=2,0,W46)</f>
        <v>21</v>
      </c>
      <c r="X50" s="94"/>
      <c r="Y50" s="94"/>
      <c r="Z50" s="59">
        <f>SUBTOTAL(9,X50:Y50)</f>
        <v>0</v>
      </c>
      <c r="AA50" s="58">
        <f>Z50+IF($B46=2,0,AA46)</f>
        <v>0</v>
      </c>
      <c r="AB50" s="57">
        <v>5</v>
      </c>
      <c r="AC50" s="94"/>
      <c r="AD50" s="94"/>
      <c r="AE50" s="94"/>
      <c r="AF50" s="59">
        <f>SUBTOTAL(9,AB50:AE50)</f>
        <v>5</v>
      </c>
      <c r="AG50" s="58">
        <f>AF50+IF($B46=2,0,AG46)</f>
        <v>22</v>
      </c>
      <c r="AH50" s="57">
        <v>9.1999999999999993</v>
      </c>
      <c r="AI50" s="94"/>
      <c r="AJ50" s="52">
        <f>SUBTOTAL(9,AH50:AI50)</f>
        <v>9.1999999999999993</v>
      </c>
      <c r="AK50" s="57">
        <v>12.1</v>
      </c>
      <c r="AL50" s="94"/>
      <c r="AM50" s="94"/>
      <c r="AN50" s="52">
        <f>SUBTOTAL(9,AK50:AM50)</f>
        <v>12.1</v>
      </c>
      <c r="AO50" s="49">
        <f>SUBTOTAL(9,AH50:AM50)</f>
        <v>21.299999999999997</v>
      </c>
      <c r="AP50" s="56">
        <f>AO50+IF($B46=2,0,AP46)</f>
        <v>124.05710714285716</v>
      </c>
      <c r="AQ50" s="95">
        <v>260.89999999999998</v>
      </c>
      <c r="AR50" s="95">
        <v>260.89999999999998</v>
      </c>
      <c r="AS50" s="54">
        <v>500</v>
      </c>
      <c r="AT50" s="53">
        <v>3.2</v>
      </c>
      <c r="AU50" s="53">
        <v>41.5</v>
      </c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49">
        <f>SUBTOTAL(9,AT50:BG50)</f>
        <v>44.7</v>
      </c>
      <c r="BI50" s="52">
        <f>BH50+IF($B46=2,0,BI46)</f>
        <v>288.98021428568586</v>
      </c>
      <c r="BJ50" s="94"/>
      <c r="BK50" s="94"/>
      <c r="BL50" s="49">
        <f>SUBTOTAL(9,BJ50:BK50)</f>
        <v>0</v>
      </c>
      <c r="BM50" s="49">
        <f>BL50+IF($B46=2,0,BM46)</f>
        <v>10.4</v>
      </c>
      <c r="BN50" s="51">
        <f>SUMIF($C$5:BM$5,"Накопленный эффект, т/сут",$C50:BM50)+SUMIF($C$5:BM$5,"Нараст.  по потенциалу",$C50:BM50)-SUMIF($C$5:BM$5,"Нараст. по остановкам",$C50:BM50)-SUMIF($C$5:BM$5,"ИТОГО перевод в ППД",$C50:BM50)-SUMIF($C$5:BM$5,"ИТОГО  нерент, по распоряж.",$C50:BM50)-SUMIF($C$5:BM$5,"ИТОГО ост. дебит от ЗБС, Углуб., ПВЛГ/ПНЛГ",$C50:BM50)</f>
        <v>107.67689285717128</v>
      </c>
      <c r="BO50" s="49">
        <v>65.5</v>
      </c>
      <c r="BP50" s="49">
        <v>58.462422572511898</v>
      </c>
      <c r="BQ50" s="50"/>
      <c r="BR50" s="50"/>
      <c r="BS50" s="49">
        <f>SUBTOTAL(9,BO50:BR50)</f>
        <v>123.9624225725119</v>
      </c>
      <c r="BT50" s="48" t="s">
        <v>0</v>
      </c>
      <c r="BU50" s="47">
        <f>BU$4+SUMIF($C$5:BS$5,"Нараст. по остановкам",$C50:BS50)-SUMIF($C$5:BS$5,"Нараст.  по потенциалу",$C50:BS50)</f>
        <v>812.52751749399272</v>
      </c>
      <c r="BV50" s="2"/>
    </row>
    <row r="51" spans="1:74" ht="1.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1</v>
      </c>
      <c r="V51" s="3"/>
      <c r="W51" s="3"/>
      <c r="X51" s="3"/>
      <c r="Y51" s="3"/>
      <c r="Z51" s="3"/>
      <c r="AA51" s="3"/>
      <c r="AB51" s="3">
        <v>1</v>
      </c>
      <c r="AC51" s="3"/>
      <c r="AD51" s="3"/>
      <c r="AE51" s="3"/>
      <c r="AF51" s="3"/>
      <c r="AG51" s="3"/>
      <c r="AH51" s="3">
        <v>1</v>
      </c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>
        <v>1</v>
      </c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2"/>
    </row>
    <row r="52" spans="1:74" ht="11.25" customHeight="1" x14ac:dyDescent="0.25">
      <c r="A52" s="93">
        <v>45333</v>
      </c>
      <c r="B52" s="92" t="s">
        <v>143</v>
      </c>
      <c r="C52" s="89" t="s">
        <v>201</v>
      </c>
      <c r="D52" s="89" t="s">
        <v>209</v>
      </c>
      <c r="E52" s="98"/>
      <c r="F52" s="98"/>
      <c r="G52" s="87">
        <v>260</v>
      </c>
      <c r="H52" s="98"/>
      <c r="I52" s="98"/>
      <c r="J52" s="87">
        <v>0</v>
      </c>
      <c r="K52" s="98"/>
      <c r="L52" s="98"/>
      <c r="M52" s="98"/>
      <c r="N52" s="98"/>
      <c r="O52" s="98"/>
      <c r="P52" s="98"/>
      <c r="Q52" s="98"/>
      <c r="R52" s="87">
        <v>40</v>
      </c>
      <c r="S52" s="87">
        <v>300</v>
      </c>
      <c r="T52" s="86"/>
      <c r="U52" s="98"/>
      <c r="V52" s="91"/>
      <c r="W52" s="90"/>
      <c r="X52" s="98"/>
      <c r="Y52" s="98"/>
      <c r="Z52" s="91"/>
      <c r="AA52" s="90"/>
      <c r="AB52" s="98"/>
      <c r="AC52" s="98"/>
      <c r="AD52" s="98"/>
      <c r="AE52" s="98"/>
      <c r="AF52" s="91"/>
      <c r="AG52" s="90"/>
      <c r="AH52" s="98"/>
      <c r="AI52" s="98"/>
      <c r="AJ52" s="88">
        <v>16.399999999999999</v>
      </c>
      <c r="AK52" s="89" t="s">
        <v>200</v>
      </c>
      <c r="AL52" s="89"/>
      <c r="AM52" s="98"/>
      <c r="AN52" s="88">
        <v>114.293607142857</v>
      </c>
      <c r="AO52" s="87">
        <v>130.69360714285699</v>
      </c>
      <c r="AP52" s="86"/>
      <c r="AQ52" s="99"/>
      <c r="AR52" s="99"/>
      <c r="AS52" s="84"/>
      <c r="AT52" s="83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82"/>
      <c r="BI52" s="81"/>
      <c r="BJ52" s="98"/>
      <c r="BK52" s="98"/>
      <c r="BL52" s="82"/>
      <c r="BM52" s="82"/>
      <c r="BN52" s="80"/>
      <c r="BO52" s="78"/>
      <c r="BP52" s="78"/>
      <c r="BQ52" s="79"/>
      <c r="BR52" s="79"/>
      <c r="BS52" s="78"/>
      <c r="BT52" s="77">
        <f>BT$4+SUMIF($C$5:BS$5,"Нараст. баланс",$C54:BS54)+SUMIF($C$7:BQ$7,"Итого (с ВНР)",$C54:BQ54)-SUMIF($C$5:BS$5,"Геол. снижение,  т/сут",$C54:BS54)-SUMIF(BR$7:BS$7,"Итого",BR54:BS54)-SUMIF($C$7:BS$7,"Итого (с ВСП)",$C54:BS54)</f>
        <v>30335.753109648173</v>
      </c>
      <c r="BU52" s="76"/>
      <c r="BV52" s="2"/>
    </row>
    <row r="53" spans="1:74" ht="11.25" customHeight="1" x14ac:dyDescent="0.25">
      <c r="A53" s="48" t="s">
        <v>0</v>
      </c>
      <c r="B53" s="75" t="s">
        <v>141</v>
      </c>
      <c r="C53" s="72" t="s">
        <v>292</v>
      </c>
      <c r="D53" s="72" t="s">
        <v>291</v>
      </c>
      <c r="E53" s="96"/>
      <c r="F53" s="96"/>
      <c r="G53" s="66">
        <v>2</v>
      </c>
      <c r="H53" s="96"/>
      <c r="I53" s="96"/>
      <c r="J53" s="66">
        <v>0</v>
      </c>
      <c r="K53" s="96"/>
      <c r="L53" s="96"/>
      <c r="M53" s="96"/>
      <c r="N53" s="96"/>
      <c r="O53" s="96"/>
      <c r="P53" s="96"/>
      <c r="Q53" s="96"/>
      <c r="R53" s="66">
        <v>0</v>
      </c>
      <c r="S53" s="66">
        <v>2</v>
      </c>
      <c r="T53" s="70"/>
      <c r="U53" s="96"/>
      <c r="V53" s="74">
        <f>SUBTOTAL(9,U55:U55)</f>
        <v>0</v>
      </c>
      <c r="W53" s="73"/>
      <c r="X53" s="96"/>
      <c r="Y53" s="96"/>
      <c r="Z53" s="74">
        <f>SUBTOTAL(9,X55:Y55)</f>
        <v>0</v>
      </c>
      <c r="AA53" s="73"/>
      <c r="AB53" s="96"/>
      <c r="AC53" s="96"/>
      <c r="AD53" s="96"/>
      <c r="AE53" s="96"/>
      <c r="AF53" s="74">
        <f>SUBTOTAL(9,AB55:AE55)</f>
        <v>0</v>
      </c>
      <c r="AG53" s="73"/>
      <c r="AH53" s="96"/>
      <c r="AI53" s="96"/>
      <c r="AJ53" s="71">
        <f>SUBTOTAL(9,AH55:AI55)</f>
        <v>0</v>
      </c>
      <c r="AK53" s="72" t="s">
        <v>290</v>
      </c>
      <c r="AL53" s="72"/>
      <c r="AM53" s="96"/>
      <c r="AN53" s="71">
        <f>SUBTOTAL(9,AK55:AM55)</f>
        <v>1</v>
      </c>
      <c r="AO53" s="66">
        <f>SUBTOTAL(9,AH55:AM55)</f>
        <v>1</v>
      </c>
      <c r="AP53" s="70"/>
      <c r="AQ53" s="97"/>
      <c r="AR53" s="97"/>
      <c r="AS53" s="68"/>
      <c r="AT53" s="67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66">
        <f>SUBTOTAL(9,AT55:BG55)</f>
        <v>0</v>
      </c>
      <c r="BI53" s="65"/>
      <c r="BJ53" s="96"/>
      <c r="BK53" s="96"/>
      <c r="BL53" s="66">
        <f>SUBTOTAL(3,BJ53:BK53)</f>
        <v>0</v>
      </c>
      <c r="BM53" s="171"/>
      <c r="BN53" s="64"/>
      <c r="BO53" s="62"/>
      <c r="BP53" s="62"/>
      <c r="BQ53" s="63"/>
      <c r="BR53" s="63"/>
      <c r="BS53" s="62"/>
      <c r="BT53" s="48" t="s">
        <v>0</v>
      </c>
      <c r="BU53" s="61"/>
      <c r="BV53" s="2"/>
    </row>
    <row r="54" spans="1:74" ht="11.25" customHeight="1" x14ac:dyDescent="0.25">
      <c r="A54" s="48" t="s">
        <v>0</v>
      </c>
      <c r="B54" s="60" t="s">
        <v>138</v>
      </c>
      <c r="C54" s="57">
        <v>30</v>
      </c>
      <c r="D54" s="57">
        <v>30</v>
      </c>
      <c r="E54" s="94"/>
      <c r="F54" s="94"/>
      <c r="G54" s="49">
        <f>SUBTOTAL(9,C54:F54)</f>
        <v>60</v>
      </c>
      <c r="H54" s="94"/>
      <c r="I54" s="94"/>
      <c r="J54" s="49">
        <f>SUBTOTAL(9,H54:I54)</f>
        <v>0</v>
      </c>
      <c r="K54" s="94"/>
      <c r="L54" s="94"/>
      <c r="M54" s="94"/>
      <c r="N54" s="94"/>
      <c r="O54" s="94"/>
      <c r="P54" s="94"/>
      <c r="Q54" s="94"/>
      <c r="R54" s="49">
        <f>SUBTOTAL(9,K54:Q54)</f>
        <v>0</v>
      </c>
      <c r="S54" s="49">
        <f>SUBTOTAL(9,C54:Q54)</f>
        <v>60</v>
      </c>
      <c r="T54" s="56">
        <v>300</v>
      </c>
      <c r="U54" s="94"/>
      <c r="V54" s="59">
        <f>SUBTOTAL(9,U54:U54)</f>
        <v>0</v>
      </c>
      <c r="W54" s="58">
        <f>V54+IF($B50=2,0,W50)</f>
        <v>21</v>
      </c>
      <c r="X54" s="94"/>
      <c r="Y54" s="94"/>
      <c r="Z54" s="59">
        <f>SUBTOTAL(9,X54:Y54)</f>
        <v>0</v>
      </c>
      <c r="AA54" s="58">
        <f>Z54+IF($B50=2,0,AA50)</f>
        <v>0</v>
      </c>
      <c r="AB54" s="94"/>
      <c r="AC54" s="94"/>
      <c r="AD54" s="94"/>
      <c r="AE54" s="94"/>
      <c r="AF54" s="59">
        <f>SUBTOTAL(9,AB54:AE54)</f>
        <v>0</v>
      </c>
      <c r="AG54" s="58">
        <f>AF54+IF($B50=2,0,AG50)</f>
        <v>22</v>
      </c>
      <c r="AH54" s="94"/>
      <c r="AI54" s="94"/>
      <c r="AJ54" s="52">
        <f>SUBTOTAL(9,AH54:AI54)</f>
        <v>0</v>
      </c>
      <c r="AK54" s="57">
        <v>2.2000000000000002</v>
      </c>
      <c r="AL54" s="57">
        <v>4.4364999999999997</v>
      </c>
      <c r="AM54" s="94"/>
      <c r="AN54" s="52">
        <f>SUBTOTAL(9,AK54:AM54)</f>
        <v>6.6364999999999998</v>
      </c>
      <c r="AO54" s="49">
        <f>SUBTOTAL(9,AH54:AM54)</f>
        <v>6.6364999999999998</v>
      </c>
      <c r="AP54" s="56">
        <f>AO54+IF($B50=2,0,AP50)</f>
        <v>130.69360714285716</v>
      </c>
      <c r="AQ54" s="95">
        <v>214.9</v>
      </c>
      <c r="AR54" s="95">
        <v>214.9</v>
      </c>
      <c r="AS54" s="54">
        <v>550</v>
      </c>
      <c r="AT54" s="53">
        <v>4.9489999999999998</v>
      </c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49">
        <f>SUBTOTAL(9,AT54:BG54)</f>
        <v>4.9489999999999998</v>
      </c>
      <c r="BI54" s="52">
        <f>BH54+IF($B50=2,0,BI50)</f>
        <v>293.92921428568587</v>
      </c>
      <c r="BJ54" s="94"/>
      <c r="BK54" s="94"/>
      <c r="BL54" s="49">
        <f>SUBTOTAL(9,BJ54:BK54)</f>
        <v>0</v>
      </c>
      <c r="BM54" s="49">
        <f>BL54+IF($B50=2,0,BM50)</f>
        <v>10.4</v>
      </c>
      <c r="BN54" s="51">
        <f>SUMIF($C$5:BM$5,"Накопленный эффект, т/сут",$C54:BM54)+SUMIF($C$5:BM$5,"Нараст.  по потенциалу",$C54:BM54)-SUMIF($C$5:BM$5,"Нараст. по остановкам",$C54:BM54)-SUMIF($C$5:BM$5,"ИТОГО перевод в ППД",$C54:BM54)-SUMIF($C$5:BM$5,"ИТОГО  нерент, по распоряж.",$C54:BM54)-SUMIF($C$5:BM$5,"ИТОГО ост. дебит от ЗБС, Углуб., ПВЛГ/ПНЛГ",$C54:BM54)</f>
        <v>169.36439285717128</v>
      </c>
      <c r="BO54" s="49">
        <v>59.2</v>
      </c>
      <c r="BP54" s="49">
        <v>1.3552832090025899</v>
      </c>
      <c r="BQ54" s="50"/>
      <c r="BR54" s="50"/>
      <c r="BS54" s="49">
        <f>SUBTOTAL(9,BO54:BR54)</f>
        <v>60.555283209002596</v>
      </c>
      <c r="BT54" s="48" t="s">
        <v>0</v>
      </c>
      <c r="BU54" s="47">
        <f>BU$4+SUMIF($C$5:BS$5,"Нараст. по остановкам",$C54:BS54)-SUMIF($C$5:BS$5,"Нараст.  по потенциалу",$C54:BS54)</f>
        <v>810.84001749399272</v>
      </c>
      <c r="BV54" s="2"/>
    </row>
    <row r="55" spans="1:74" ht="1.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>
        <v>1</v>
      </c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2"/>
    </row>
    <row r="56" spans="1:74" ht="11.25" customHeight="1" x14ac:dyDescent="0.25">
      <c r="A56" s="93">
        <v>45334</v>
      </c>
      <c r="B56" s="92" t="s">
        <v>143</v>
      </c>
      <c r="C56" s="98"/>
      <c r="D56" s="98"/>
      <c r="E56" s="98"/>
      <c r="F56" s="98"/>
      <c r="G56" s="87">
        <v>260</v>
      </c>
      <c r="H56" s="98"/>
      <c r="I56" s="98"/>
      <c r="J56" s="87">
        <v>0</v>
      </c>
      <c r="K56" s="89" t="s">
        <v>200</v>
      </c>
      <c r="L56" s="89" t="s">
        <v>207</v>
      </c>
      <c r="M56" s="98"/>
      <c r="N56" s="98"/>
      <c r="O56" s="98"/>
      <c r="P56" s="98"/>
      <c r="Q56" s="98"/>
      <c r="R56" s="87">
        <v>79</v>
      </c>
      <c r="S56" s="87">
        <v>339</v>
      </c>
      <c r="T56" s="86"/>
      <c r="U56" s="98"/>
      <c r="V56" s="91"/>
      <c r="W56" s="90"/>
      <c r="X56" s="98"/>
      <c r="Y56" s="98"/>
      <c r="Z56" s="91"/>
      <c r="AA56" s="90"/>
      <c r="AB56" s="89" t="s">
        <v>200</v>
      </c>
      <c r="AC56" s="98"/>
      <c r="AD56" s="98"/>
      <c r="AE56" s="98"/>
      <c r="AF56" s="91"/>
      <c r="AG56" s="90"/>
      <c r="AH56" s="98"/>
      <c r="AI56" s="98"/>
      <c r="AJ56" s="88">
        <v>16.399999999999999</v>
      </c>
      <c r="AK56" s="89"/>
      <c r="AL56" s="98"/>
      <c r="AM56" s="98"/>
      <c r="AN56" s="88">
        <v>141.22103571428599</v>
      </c>
      <c r="AO56" s="87">
        <v>157.62103571428599</v>
      </c>
      <c r="AP56" s="86"/>
      <c r="AQ56" s="99"/>
      <c r="AR56" s="99"/>
      <c r="AS56" s="84"/>
      <c r="AT56" s="83" t="s">
        <v>202</v>
      </c>
      <c r="AU56" s="83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82"/>
      <c r="BI56" s="81"/>
      <c r="BJ56" s="98"/>
      <c r="BK56" s="98"/>
      <c r="BL56" s="82"/>
      <c r="BM56" s="82"/>
      <c r="BN56" s="80"/>
      <c r="BO56" s="78"/>
      <c r="BP56" s="78"/>
      <c r="BQ56" s="78"/>
      <c r="BR56" s="78"/>
      <c r="BS56" s="78"/>
      <c r="BT56" s="77">
        <f>BT$4+SUMIF($C$5:BS$5,"Нараст. баланс",$C58:BS58)+SUMIF($C$7:BQ$7,"Итого (с ВНР)",$C58:BQ58)-SUMIF($C$5:BS$5,"Геол. снижение,  т/сут",$C58:BS58)-SUMIF(BR$7:BS$7,"Итого",BR58:BS58)-SUMIF($C$7:BS$7,"Итого (с ВСП)",$C58:BS58)</f>
        <v>30288.350804893478</v>
      </c>
      <c r="BU56" s="76"/>
      <c r="BV56" s="2"/>
    </row>
    <row r="57" spans="1:74" ht="11.25" customHeight="1" x14ac:dyDescent="0.25">
      <c r="A57" s="48" t="s">
        <v>0</v>
      </c>
      <c r="B57" s="75" t="s">
        <v>141</v>
      </c>
      <c r="C57" s="96"/>
      <c r="D57" s="96"/>
      <c r="E57" s="96"/>
      <c r="F57" s="96"/>
      <c r="G57" s="66">
        <v>0</v>
      </c>
      <c r="H57" s="96"/>
      <c r="I57" s="96"/>
      <c r="J57" s="66">
        <v>0</v>
      </c>
      <c r="K57" s="72" t="s">
        <v>289</v>
      </c>
      <c r="L57" s="72" t="s">
        <v>288</v>
      </c>
      <c r="M57" s="96"/>
      <c r="N57" s="96"/>
      <c r="O57" s="96"/>
      <c r="P57" s="96"/>
      <c r="Q57" s="96"/>
      <c r="R57" s="66">
        <v>2</v>
      </c>
      <c r="S57" s="66">
        <v>2</v>
      </c>
      <c r="T57" s="70"/>
      <c r="U57" s="96"/>
      <c r="V57" s="74">
        <f>SUBTOTAL(9,U59:U59)</f>
        <v>0</v>
      </c>
      <c r="W57" s="73"/>
      <c r="X57" s="96"/>
      <c r="Y57" s="96"/>
      <c r="Z57" s="74">
        <f>SUBTOTAL(9,X59:Y59)</f>
        <v>0</v>
      </c>
      <c r="AA57" s="73"/>
      <c r="AB57" s="72" t="s">
        <v>287</v>
      </c>
      <c r="AC57" s="96"/>
      <c r="AD57" s="96"/>
      <c r="AE57" s="96"/>
      <c r="AF57" s="74">
        <f>SUBTOTAL(9,AB59:AE59)</f>
        <v>1</v>
      </c>
      <c r="AG57" s="73"/>
      <c r="AH57" s="96"/>
      <c r="AI57" s="96"/>
      <c r="AJ57" s="71">
        <f>SUBTOTAL(9,AH59:AI59)</f>
        <v>0</v>
      </c>
      <c r="AK57" s="72"/>
      <c r="AL57" s="96"/>
      <c r="AM57" s="96"/>
      <c r="AN57" s="71">
        <f>SUBTOTAL(9,AK59:AM59)</f>
        <v>0</v>
      </c>
      <c r="AO57" s="66">
        <f>SUBTOTAL(9,AH59:AM59)</f>
        <v>0</v>
      </c>
      <c r="AP57" s="70"/>
      <c r="AQ57" s="97"/>
      <c r="AR57" s="97"/>
      <c r="AS57" s="68"/>
      <c r="AT57" s="67" t="s">
        <v>263</v>
      </c>
      <c r="AU57" s="67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66">
        <f>SUBTOTAL(9,AT59:BG59)</f>
        <v>1</v>
      </c>
      <c r="BI57" s="65"/>
      <c r="BJ57" s="96"/>
      <c r="BK57" s="96"/>
      <c r="BL57" s="66">
        <f>SUBTOTAL(3,BJ57:BK57)</f>
        <v>0</v>
      </c>
      <c r="BM57" s="171"/>
      <c r="BN57" s="64"/>
      <c r="BO57" s="62"/>
      <c r="BP57" s="62"/>
      <c r="BQ57" s="62"/>
      <c r="BR57" s="62"/>
      <c r="BS57" s="62"/>
      <c r="BT57" s="48" t="s">
        <v>0</v>
      </c>
      <c r="BU57" s="61"/>
      <c r="BV57" s="2"/>
    </row>
    <row r="58" spans="1:74" ht="11.25" customHeight="1" x14ac:dyDescent="0.25">
      <c r="A58" s="48" t="s">
        <v>0</v>
      </c>
      <c r="B58" s="60" t="s">
        <v>138</v>
      </c>
      <c r="C58" s="94"/>
      <c r="D58" s="94"/>
      <c r="E58" s="94"/>
      <c r="F58" s="94"/>
      <c r="G58" s="49">
        <f>SUBTOTAL(9,C58:F58)</f>
        <v>0</v>
      </c>
      <c r="H58" s="94"/>
      <c r="I58" s="94"/>
      <c r="J58" s="49">
        <f>SUBTOTAL(9,H58:I58)</f>
        <v>0</v>
      </c>
      <c r="K58" s="57">
        <v>20</v>
      </c>
      <c r="L58" s="57">
        <v>19</v>
      </c>
      <c r="M58" s="94"/>
      <c r="N58" s="94"/>
      <c r="O58" s="94"/>
      <c r="P58" s="94"/>
      <c r="Q58" s="94"/>
      <c r="R58" s="49">
        <f>SUBTOTAL(9,K58:Q58)</f>
        <v>39</v>
      </c>
      <c r="S58" s="49">
        <f>SUBTOTAL(9,C58:Q58)</f>
        <v>39</v>
      </c>
      <c r="T58" s="56">
        <v>339</v>
      </c>
      <c r="U58" s="94"/>
      <c r="V58" s="59">
        <f>SUBTOTAL(9,U58:U58)</f>
        <v>0</v>
      </c>
      <c r="W58" s="58">
        <f>V58+IF($B54=2,0,W54)</f>
        <v>21</v>
      </c>
      <c r="X58" s="94"/>
      <c r="Y58" s="94"/>
      <c r="Z58" s="59">
        <f>SUBTOTAL(9,X58:Y58)</f>
        <v>0</v>
      </c>
      <c r="AA58" s="58">
        <f>Z58+IF($B54=2,0,AA54)</f>
        <v>0</v>
      </c>
      <c r="AB58" s="57">
        <v>5</v>
      </c>
      <c r="AC58" s="94"/>
      <c r="AD58" s="94"/>
      <c r="AE58" s="94"/>
      <c r="AF58" s="59">
        <f>SUBTOTAL(9,AB58:AE58)</f>
        <v>5</v>
      </c>
      <c r="AG58" s="58">
        <f>AF58+IF($B54=2,0,AG54)</f>
        <v>27</v>
      </c>
      <c r="AH58" s="94"/>
      <c r="AI58" s="94"/>
      <c r="AJ58" s="52">
        <f>SUBTOTAL(9,AH58:AI58)</f>
        <v>0</v>
      </c>
      <c r="AK58" s="57">
        <v>26.927428571428599</v>
      </c>
      <c r="AL58" s="94"/>
      <c r="AM58" s="94"/>
      <c r="AN58" s="52">
        <f>SUBTOTAL(9,AK58:AM58)</f>
        <v>26.927428571428599</v>
      </c>
      <c r="AO58" s="49">
        <f>SUBTOTAL(9,AH58:AM58)</f>
        <v>26.927428571428599</v>
      </c>
      <c r="AP58" s="56">
        <f>AO58+IF($B54=2,0,AP54)</f>
        <v>157.62103571428577</v>
      </c>
      <c r="AQ58" s="95">
        <v>226</v>
      </c>
      <c r="AR58" s="95">
        <v>226</v>
      </c>
      <c r="AS58" s="54">
        <v>600</v>
      </c>
      <c r="AT58" s="53">
        <v>3.9</v>
      </c>
      <c r="AU58" s="53">
        <v>22.37</v>
      </c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49">
        <f>SUBTOTAL(9,AT58:BG58)</f>
        <v>26.27</v>
      </c>
      <c r="BI58" s="52">
        <f>BH58+IF($B54=2,0,BI54)</f>
        <v>320.19921428568585</v>
      </c>
      <c r="BJ58" s="94"/>
      <c r="BK58" s="94"/>
      <c r="BL58" s="49">
        <f>SUBTOTAL(9,BJ58:BK58)</f>
        <v>0</v>
      </c>
      <c r="BM58" s="49">
        <f>BL58+IF($B54=2,0,BM54)</f>
        <v>10.4</v>
      </c>
      <c r="BN58" s="51">
        <f>SUMIF($C$5:BM$5,"Накопленный эффект, т/сут",$C58:BM58)+SUMIF($C$5:BM$5,"Нараст.  по потенциалу",$C58:BM58)-SUMIF($C$5:BM$5,"Нараст. по остановкам",$C58:BM58)-SUMIF($C$5:BM$5,"ИТОГО перевод в ППД",$C58:BM58)-SUMIF($C$5:BM$5,"ИТОГО  нерент, по распоряж.",$C58:BM58)-SUMIF($C$5:BM$5,"ИТОГО ост. дебит от ЗБС, Углуб., ПВЛГ/ПНЛГ",$C58:BM58)</f>
        <v>214.02182142859991</v>
      </c>
      <c r="BO58" s="49">
        <v>59.2</v>
      </c>
      <c r="BP58" s="49">
        <v>33.8333298909955</v>
      </c>
      <c r="BQ58" s="49">
        <v>17.716229529603599</v>
      </c>
      <c r="BR58" s="49">
        <v>2.9654571145254698</v>
      </c>
      <c r="BS58" s="49">
        <f>SUBTOTAL(9,BO58:BR58)</f>
        <v>113.71501653512456</v>
      </c>
      <c r="BT58" s="48" t="s">
        <v>0</v>
      </c>
      <c r="BU58" s="47">
        <f>BU$4+SUMIF($C$5:BS$5,"Нараст. по остановкам",$C58:BS58)-SUMIF($C$5:BS$5,"Нараст.  по потенциалу",$C58:BS58)</f>
        <v>810.18258892256415</v>
      </c>
      <c r="BV58" s="2"/>
    </row>
    <row r="59" spans="1:74" ht="1.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>
        <v>1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>
        <v>1</v>
      </c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2"/>
    </row>
    <row r="60" spans="1:74" ht="11.25" customHeight="1" x14ac:dyDescent="0.25">
      <c r="A60" s="93">
        <v>45335</v>
      </c>
      <c r="B60" s="92" t="s">
        <v>143</v>
      </c>
      <c r="C60" s="98"/>
      <c r="D60" s="98"/>
      <c r="E60" s="98"/>
      <c r="F60" s="98"/>
      <c r="G60" s="87">
        <v>260</v>
      </c>
      <c r="H60" s="98"/>
      <c r="I60" s="98"/>
      <c r="J60" s="87">
        <v>0</v>
      </c>
      <c r="K60" s="89" t="s">
        <v>200</v>
      </c>
      <c r="L60" s="89" t="s">
        <v>279</v>
      </c>
      <c r="M60" s="98"/>
      <c r="N60" s="98"/>
      <c r="O60" s="98"/>
      <c r="P60" s="98"/>
      <c r="Q60" s="98"/>
      <c r="R60" s="87">
        <v>120</v>
      </c>
      <c r="S60" s="87">
        <v>380</v>
      </c>
      <c r="T60" s="86"/>
      <c r="U60" s="98"/>
      <c r="V60" s="91"/>
      <c r="W60" s="90"/>
      <c r="X60" s="98"/>
      <c r="Y60" s="98"/>
      <c r="Z60" s="91"/>
      <c r="AA60" s="90"/>
      <c r="AB60" s="89" t="s">
        <v>202</v>
      </c>
      <c r="AC60" s="89" t="s">
        <v>208</v>
      </c>
      <c r="AD60" s="98"/>
      <c r="AE60" s="98"/>
      <c r="AF60" s="91"/>
      <c r="AG60" s="90"/>
      <c r="AH60" s="98"/>
      <c r="AI60" s="98"/>
      <c r="AJ60" s="88">
        <v>16.399999999999999</v>
      </c>
      <c r="AK60" s="89" t="s">
        <v>200</v>
      </c>
      <c r="AL60" s="89"/>
      <c r="AM60" s="98"/>
      <c r="AN60" s="88">
        <v>147.670035714286</v>
      </c>
      <c r="AO60" s="87">
        <v>164.07003571428601</v>
      </c>
      <c r="AP60" s="86"/>
      <c r="AQ60" s="99"/>
      <c r="AR60" s="99"/>
      <c r="AS60" s="84"/>
      <c r="AT60" s="83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82"/>
      <c r="BI60" s="81"/>
      <c r="BJ60" s="98"/>
      <c r="BK60" s="98"/>
      <c r="BL60" s="82"/>
      <c r="BM60" s="82"/>
      <c r="BN60" s="80"/>
      <c r="BO60" s="78"/>
      <c r="BP60" s="78"/>
      <c r="BQ60" s="79"/>
      <c r="BR60" s="78"/>
      <c r="BS60" s="78"/>
      <c r="BT60" s="77">
        <f>BT$4+SUMIF($C$5:BS$5,"Нараст. баланс",$C62:BS62)+SUMIF($C$7:BQ$7,"Итого (с ВНР)",$C62:BQ62)-SUMIF($C$5:BS$5,"Геол. снижение,  т/сут",$C62:BS62)-SUMIF(BR$7:BS$7,"Итого",BR62:BS62)-SUMIF($C$7:BS$7,"Итого (с ВСП)",$C62:BS62)</f>
        <v>30343.522301564528</v>
      </c>
      <c r="BU60" s="76"/>
      <c r="BV60" s="2"/>
    </row>
    <row r="61" spans="1:74" ht="11.25" customHeight="1" x14ac:dyDescent="0.25">
      <c r="A61" s="48" t="s">
        <v>0</v>
      </c>
      <c r="B61" s="75" t="s">
        <v>141</v>
      </c>
      <c r="C61" s="96"/>
      <c r="D61" s="96"/>
      <c r="E61" s="96"/>
      <c r="F61" s="96"/>
      <c r="G61" s="66">
        <v>0</v>
      </c>
      <c r="H61" s="96"/>
      <c r="I61" s="96"/>
      <c r="J61" s="66">
        <v>0</v>
      </c>
      <c r="K61" s="72" t="s">
        <v>286</v>
      </c>
      <c r="L61" s="72" t="s">
        <v>285</v>
      </c>
      <c r="M61" s="96"/>
      <c r="N61" s="96"/>
      <c r="O61" s="96"/>
      <c r="P61" s="96"/>
      <c r="Q61" s="96"/>
      <c r="R61" s="66">
        <v>2</v>
      </c>
      <c r="S61" s="66">
        <v>2</v>
      </c>
      <c r="T61" s="70"/>
      <c r="U61" s="96"/>
      <c r="V61" s="74">
        <f>SUBTOTAL(9,U63:U63)</f>
        <v>0</v>
      </c>
      <c r="W61" s="73"/>
      <c r="X61" s="96"/>
      <c r="Y61" s="96"/>
      <c r="Z61" s="74">
        <f>SUBTOTAL(9,X63:Y63)</f>
        <v>0</v>
      </c>
      <c r="AA61" s="73"/>
      <c r="AB61" s="72" t="s">
        <v>284</v>
      </c>
      <c r="AC61" s="72" t="s">
        <v>283</v>
      </c>
      <c r="AD61" s="96"/>
      <c r="AE61" s="96"/>
      <c r="AF61" s="74">
        <f>SUBTOTAL(9,AB63:AE63)</f>
        <v>2</v>
      </c>
      <c r="AG61" s="73"/>
      <c r="AH61" s="96"/>
      <c r="AI61" s="96"/>
      <c r="AJ61" s="71">
        <f>SUBTOTAL(9,AH63:AI63)</f>
        <v>0</v>
      </c>
      <c r="AK61" s="72" t="s">
        <v>282</v>
      </c>
      <c r="AL61" s="72"/>
      <c r="AM61" s="96"/>
      <c r="AN61" s="71">
        <f>SUBTOTAL(9,AK63:AM63)</f>
        <v>1</v>
      </c>
      <c r="AO61" s="66">
        <f>SUBTOTAL(9,AH63:AM63)</f>
        <v>1</v>
      </c>
      <c r="AP61" s="70"/>
      <c r="AQ61" s="97"/>
      <c r="AR61" s="97"/>
      <c r="AS61" s="68"/>
      <c r="AT61" s="67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66">
        <f>SUBTOTAL(9,AT63:BG63)</f>
        <v>0</v>
      </c>
      <c r="BI61" s="65"/>
      <c r="BJ61" s="96"/>
      <c r="BK61" s="96"/>
      <c r="BL61" s="66">
        <f>SUBTOTAL(3,BJ61:BK61)</f>
        <v>0</v>
      </c>
      <c r="BM61" s="171"/>
      <c r="BN61" s="64"/>
      <c r="BO61" s="62"/>
      <c r="BP61" s="62"/>
      <c r="BQ61" s="63"/>
      <c r="BR61" s="62"/>
      <c r="BS61" s="62"/>
      <c r="BT61" s="48" t="s">
        <v>0</v>
      </c>
      <c r="BU61" s="61"/>
      <c r="BV61" s="2"/>
    </row>
    <row r="62" spans="1:74" ht="11.25" customHeight="1" x14ac:dyDescent="0.25">
      <c r="A62" s="48" t="s">
        <v>0</v>
      </c>
      <c r="B62" s="60" t="s">
        <v>138</v>
      </c>
      <c r="C62" s="94"/>
      <c r="D62" s="94"/>
      <c r="E62" s="94"/>
      <c r="F62" s="94"/>
      <c r="G62" s="49">
        <f>SUBTOTAL(9,C62:F62)</f>
        <v>0</v>
      </c>
      <c r="H62" s="94"/>
      <c r="I62" s="94"/>
      <c r="J62" s="49">
        <f>SUBTOTAL(9,H62:I62)</f>
        <v>0</v>
      </c>
      <c r="K62" s="57">
        <v>21</v>
      </c>
      <c r="L62" s="57">
        <v>20</v>
      </c>
      <c r="M62" s="94"/>
      <c r="N62" s="94"/>
      <c r="O62" s="94"/>
      <c r="P62" s="94"/>
      <c r="Q62" s="94"/>
      <c r="R62" s="49">
        <f>SUBTOTAL(9,K62:Q62)</f>
        <v>41</v>
      </c>
      <c r="S62" s="49">
        <f>SUBTOTAL(9,C62:Q62)</f>
        <v>41</v>
      </c>
      <c r="T62" s="56">
        <v>380</v>
      </c>
      <c r="U62" s="94"/>
      <c r="V62" s="59">
        <f>SUBTOTAL(9,U62:U62)</f>
        <v>0</v>
      </c>
      <c r="W62" s="58">
        <f>V62+IF($B58=2,0,W58)</f>
        <v>21</v>
      </c>
      <c r="X62" s="94"/>
      <c r="Y62" s="94"/>
      <c r="Z62" s="59">
        <f>SUBTOTAL(9,X62:Y62)</f>
        <v>0</v>
      </c>
      <c r="AA62" s="58">
        <f>Z62+IF($B58=2,0,AA58)</f>
        <v>0</v>
      </c>
      <c r="AB62" s="57">
        <v>3</v>
      </c>
      <c r="AC62" s="57">
        <v>18</v>
      </c>
      <c r="AD62" s="94"/>
      <c r="AE62" s="94"/>
      <c r="AF62" s="59">
        <f>SUBTOTAL(9,AB62:AE62)</f>
        <v>21</v>
      </c>
      <c r="AG62" s="58">
        <f>AF62+IF($B58=2,0,AG58)</f>
        <v>48</v>
      </c>
      <c r="AH62" s="94"/>
      <c r="AI62" s="94"/>
      <c r="AJ62" s="52">
        <f>SUBTOTAL(9,AH62:AI62)</f>
        <v>0</v>
      </c>
      <c r="AK62" s="57">
        <v>1.5</v>
      </c>
      <c r="AL62" s="57">
        <v>4.9489999999999998</v>
      </c>
      <c r="AM62" s="94"/>
      <c r="AN62" s="52">
        <f>SUBTOTAL(9,AK62:AM62)</f>
        <v>6.4489999999999998</v>
      </c>
      <c r="AO62" s="49">
        <f>SUBTOTAL(9,AH62:AM62)</f>
        <v>6.4489999999999998</v>
      </c>
      <c r="AP62" s="56">
        <f>AO62+IF($B58=2,0,AP58)</f>
        <v>164.07003571428578</v>
      </c>
      <c r="AQ62" s="95">
        <v>187</v>
      </c>
      <c r="AR62" s="95">
        <v>187</v>
      </c>
      <c r="AS62" s="54">
        <v>650</v>
      </c>
      <c r="AT62" s="53">
        <v>14.227333333300001</v>
      </c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49">
        <f>SUBTOTAL(9,AT62:BG62)</f>
        <v>14.227333333300001</v>
      </c>
      <c r="BI62" s="52">
        <f>BH62+IF($B58=2,0,BI58)</f>
        <v>334.42654761898586</v>
      </c>
      <c r="BJ62" s="94"/>
      <c r="BK62" s="94"/>
      <c r="BL62" s="49">
        <f>SUBTOTAL(9,BJ62:BK62)</f>
        <v>0</v>
      </c>
      <c r="BM62" s="49">
        <f>BL62+IF($B58=2,0,BM58)</f>
        <v>10.4</v>
      </c>
      <c r="BN62" s="51">
        <f>SUMIF($C$5:BM$5,"Накопленный эффект, т/сут",$C62:BM62)+SUMIF($C$5:BM$5,"Нараст.  по потенциалу",$C62:BM62)-SUMIF($C$5:BM$5,"Нараст. по остановкам",$C62:BM62)-SUMIF($C$5:BM$5,"ИТОГО перевод в ППД",$C62:BM62)-SUMIF($C$5:BM$5,"ИТОГО  нерент, по распоряж.",$C62:BM62)-SUMIF($C$5:BM$5,"ИТОГО ост. дебит от ЗБС, Углуб., ПВЛГ/ПНЛГ",$C62:BM62)</f>
        <v>268.24348809529988</v>
      </c>
      <c r="BO62" s="49">
        <v>9.1</v>
      </c>
      <c r="BP62" s="49">
        <v>9.0795445665803207</v>
      </c>
      <c r="BQ62" s="50"/>
      <c r="BR62" s="49">
        <v>5.5856419641925097</v>
      </c>
      <c r="BS62" s="49">
        <f>SUBTOTAL(9,BO62:BR62)</f>
        <v>23.76518653077283</v>
      </c>
      <c r="BT62" s="48" t="s">
        <v>0</v>
      </c>
      <c r="BU62" s="47">
        <f>BU$4+SUMIF($C$5:BS$5,"Нараст. по остановкам",$C62:BS62)-SUMIF($C$5:BS$5,"Нараст.  по потенциалу",$C62:BS62)</f>
        <v>817.96092225586403</v>
      </c>
      <c r="BV62" s="2"/>
    </row>
    <row r="63" spans="1:74" ht="1.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>
        <v>1</v>
      </c>
      <c r="AC63" s="3">
        <v>1</v>
      </c>
      <c r="AD63" s="3"/>
      <c r="AE63" s="3"/>
      <c r="AF63" s="3"/>
      <c r="AG63" s="3"/>
      <c r="AH63" s="3"/>
      <c r="AI63" s="3"/>
      <c r="AJ63" s="3"/>
      <c r="AK63" s="3">
        <v>1</v>
      </c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2"/>
    </row>
    <row r="64" spans="1:74" ht="11.25" customHeight="1" x14ac:dyDescent="0.25">
      <c r="A64" s="93">
        <v>45336</v>
      </c>
      <c r="B64" s="92" t="s">
        <v>143</v>
      </c>
      <c r="C64" s="98"/>
      <c r="D64" s="98"/>
      <c r="E64" s="98"/>
      <c r="F64" s="98"/>
      <c r="G64" s="87">
        <v>260</v>
      </c>
      <c r="H64" s="98"/>
      <c r="I64" s="98"/>
      <c r="J64" s="87">
        <v>0</v>
      </c>
      <c r="K64" s="98"/>
      <c r="L64" s="98"/>
      <c r="M64" s="98"/>
      <c r="N64" s="98"/>
      <c r="O64" s="98"/>
      <c r="P64" s="98"/>
      <c r="Q64" s="98"/>
      <c r="R64" s="87">
        <v>120</v>
      </c>
      <c r="S64" s="87">
        <v>380</v>
      </c>
      <c r="T64" s="86"/>
      <c r="U64" s="98"/>
      <c r="V64" s="91"/>
      <c r="W64" s="90"/>
      <c r="X64" s="98"/>
      <c r="Y64" s="98"/>
      <c r="Z64" s="91"/>
      <c r="AA64" s="90"/>
      <c r="AB64" s="89" t="s">
        <v>205</v>
      </c>
      <c r="AC64" s="98"/>
      <c r="AD64" s="98"/>
      <c r="AE64" s="98"/>
      <c r="AF64" s="91"/>
      <c r="AG64" s="90"/>
      <c r="AH64" s="98"/>
      <c r="AI64" s="98"/>
      <c r="AJ64" s="88">
        <v>16.399999999999999</v>
      </c>
      <c r="AK64" s="89" t="s">
        <v>241</v>
      </c>
      <c r="AL64" s="89"/>
      <c r="AM64" s="98"/>
      <c r="AN64" s="88">
        <v>187.686702380886</v>
      </c>
      <c r="AO64" s="87">
        <v>204.08670238088601</v>
      </c>
      <c r="AP64" s="86"/>
      <c r="AQ64" s="99"/>
      <c r="AR64" s="99"/>
      <c r="AS64" s="84"/>
      <c r="AT64" s="83" t="s">
        <v>241</v>
      </c>
      <c r="AU64" s="83" t="s">
        <v>203</v>
      </c>
      <c r="AV64" s="83" t="s">
        <v>205</v>
      </c>
      <c r="AW64" s="83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82"/>
      <c r="BI64" s="81"/>
      <c r="BJ64" s="83" t="s">
        <v>241</v>
      </c>
      <c r="BK64" s="98"/>
      <c r="BL64" s="82"/>
      <c r="BM64" s="82"/>
      <c r="BN64" s="80"/>
      <c r="BO64" s="78"/>
      <c r="BP64" s="78"/>
      <c r="BQ64" s="78"/>
      <c r="BR64" s="78"/>
      <c r="BS64" s="78"/>
      <c r="BT64" s="77">
        <f>BT$4+SUMIF($C$5:BS$5,"Нараст. баланс",$C66:BS66)+SUMIF($C$7:BQ$7,"Итого (с ВНР)",$C66:BQ66)-SUMIF($C$5:BS$5,"Геол. снижение,  т/сут",$C66:BS66)-SUMIF(BR$7:BS$7,"Итого",BR66:BS66)-SUMIF($C$7:BS$7,"Итого (с ВСП)",$C66:BS66)</f>
        <v>30292.915232353625</v>
      </c>
      <c r="BU64" s="76"/>
      <c r="BV64" s="2"/>
    </row>
    <row r="65" spans="1:74" ht="11.25" customHeight="1" x14ac:dyDescent="0.25">
      <c r="A65" s="48" t="s">
        <v>0</v>
      </c>
      <c r="B65" s="75" t="s">
        <v>141</v>
      </c>
      <c r="C65" s="96"/>
      <c r="D65" s="96"/>
      <c r="E65" s="96"/>
      <c r="F65" s="96"/>
      <c r="G65" s="66">
        <v>0</v>
      </c>
      <c r="H65" s="96"/>
      <c r="I65" s="96"/>
      <c r="J65" s="66">
        <v>0</v>
      </c>
      <c r="K65" s="96"/>
      <c r="L65" s="96"/>
      <c r="M65" s="96"/>
      <c r="N65" s="96"/>
      <c r="O65" s="96"/>
      <c r="P65" s="96"/>
      <c r="Q65" s="96"/>
      <c r="R65" s="66">
        <v>0</v>
      </c>
      <c r="S65" s="66">
        <v>0</v>
      </c>
      <c r="T65" s="70"/>
      <c r="U65" s="96"/>
      <c r="V65" s="74">
        <f>SUBTOTAL(9,U67:U67)</f>
        <v>0</v>
      </c>
      <c r="W65" s="73"/>
      <c r="X65" s="96"/>
      <c r="Y65" s="96"/>
      <c r="Z65" s="74">
        <f>SUBTOTAL(9,X67:Y67)</f>
        <v>0</v>
      </c>
      <c r="AA65" s="73"/>
      <c r="AB65" s="72" t="s">
        <v>281</v>
      </c>
      <c r="AC65" s="96"/>
      <c r="AD65" s="96"/>
      <c r="AE65" s="96"/>
      <c r="AF65" s="74">
        <f>SUBTOTAL(9,AB67:AE67)</f>
        <v>1</v>
      </c>
      <c r="AG65" s="73"/>
      <c r="AH65" s="96"/>
      <c r="AI65" s="96"/>
      <c r="AJ65" s="71">
        <f>SUBTOTAL(9,AH67:AI67)</f>
        <v>0</v>
      </c>
      <c r="AK65" s="72" t="s">
        <v>280</v>
      </c>
      <c r="AL65" s="72"/>
      <c r="AM65" s="96"/>
      <c r="AN65" s="71">
        <f>SUBTOTAL(9,AK67:AM67)</f>
        <v>1</v>
      </c>
      <c r="AO65" s="66">
        <f>SUBTOTAL(9,AH67:AM67)</f>
        <v>1</v>
      </c>
      <c r="AP65" s="70"/>
      <c r="AQ65" s="97"/>
      <c r="AR65" s="97"/>
      <c r="AS65" s="68"/>
      <c r="AT65" s="67" t="s">
        <v>280</v>
      </c>
      <c r="AU65" s="67" t="s">
        <v>261</v>
      </c>
      <c r="AV65" s="67" t="s">
        <v>255</v>
      </c>
      <c r="AW65" s="67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66">
        <f>SUBTOTAL(9,AT67:BG67)</f>
        <v>3</v>
      </c>
      <c r="BI65" s="65"/>
      <c r="BJ65" s="67" t="s">
        <v>280</v>
      </c>
      <c r="BK65" s="96"/>
      <c r="BL65" s="66">
        <f>SUBTOTAL(3,BJ65:BK65)</f>
        <v>1</v>
      </c>
      <c r="BM65" s="171"/>
      <c r="BN65" s="64"/>
      <c r="BO65" s="62"/>
      <c r="BP65" s="62"/>
      <c r="BQ65" s="62"/>
      <c r="BR65" s="62"/>
      <c r="BS65" s="62"/>
      <c r="BT65" s="48" t="s">
        <v>0</v>
      </c>
      <c r="BU65" s="61"/>
      <c r="BV65" s="2"/>
    </row>
    <row r="66" spans="1:74" ht="11.25" customHeight="1" x14ac:dyDescent="0.25">
      <c r="A66" s="48" t="s">
        <v>0</v>
      </c>
      <c r="B66" s="60" t="s">
        <v>138</v>
      </c>
      <c r="C66" s="94"/>
      <c r="D66" s="94"/>
      <c r="E66" s="94"/>
      <c r="F66" s="94"/>
      <c r="G66" s="49">
        <f>SUBTOTAL(9,C66:F66)</f>
        <v>0</v>
      </c>
      <c r="H66" s="94"/>
      <c r="I66" s="94"/>
      <c r="J66" s="49">
        <f>SUBTOTAL(9,H66:I66)</f>
        <v>0</v>
      </c>
      <c r="K66" s="94"/>
      <c r="L66" s="94"/>
      <c r="M66" s="94"/>
      <c r="N66" s="94"/>
      <c r="O66" s="94"/>
      <c r="P66" s="94"/>
      <c r="Q66" s="94"/>
      <c r="R66" s="49">
        <f>SUBTOTAL(9,K66:Q66)</f>
        <v>0</v>
      </c>
      <c r="S66" s="49">
        <f>SUBTOTAL(9,C66:Q66)</f>
        <v>0</v>
      </c>
      <c r="T66" s="56">
        <v>380</v>
      </c>
      <c r="U66" s="94"/>
      <c r="V66" s="59">
        <f>SUBTOTAL(9,U66:U66)</f>
        <v>0</v>
      </c>
      <c r="W66" s="58">
        <f>V66+IF($B62=2,0,W62)</f>
        <v>21</v>
      </c>
      <c r="X66" s="94"/>
      <c r="Y66" s="94"/>
      <c r="Z66" s="59">
        <f>SUBTOTAL(9,X66:Y66)</f>
        <v>0</v>
      </c>
      <c r="AA66" s="58">
        <f>Z66+IF($B62=2,0,AA62)</f>
        <v>0</v>
      </c>
      <c r="AB66" s="57">
        <v>5</v>
      </c>
      <c r="AC66" s="94"/>
      <c r="AD66" s="94"/>
      <c r="AE66" s="94"/>
      <c r="AF66" s="59">
        <f>SUBTOTAL(9,AB66:AE66)</f>
        <v>5</v>
      </c>
      <c r="AG66" s="58">
        <f>AF66+IF($B62=2,0,AG62)</f>
        <v>53</v>
      </c>
      <c r="AH66" s="94"/>
      <c r="AI66" s="94"/>
      <c r="AJ66" s="52">
        <f>SUBTOTAL(9,AH66:AI66)</f>
        <v>0</v>
      </c>
      <c r="AK66" s="57">
        <v>3.1</v>
      </c>
      <c r="AL66" s="57">
        <v>36.916666666600001</v>
      </c>
      <c r="AM66" s="94"/>
      <c r="AN66" s="52">
        <f>SUBTOTAL(9,AK66:AM66)</f>
        <v>40.016666666600003</v>
      </c>
      <c r="AO66" s="49">
        <f>SUBTOTAL(9,AH66:AM66)</f>
        <v>40.016666666600003</v>
      </c>
      <c r="AP66" s="56">
        <f>AO66+IF($B62=2,0,AP62)</f>
        <v>204.08670238088578</v>
      </c>
      <c r="AQ66" s="95">
        <v>219.6</v>
      </c>
      <c r="AR66" s="95">
        <v>219.6</v>
      </c>
      <c r="AS66" s="54">
        <v>700</v>
      </c>
      <c r="AT66" s="53">
        <v>3.1</v>
      </c>
      <c r="AU66" s="53">
        <v>30.2</v>
      </c>
      <c r="AV66" s="53">
        <v>0.8</v>
      </c>
      <c r="AW66" s="53">
        <v>29.8</v>
      </c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49">
        <f>SUBTOTAL(9,AT66:BG66)</f>
        <v>63.899999999999991</v>
      </c>
      <c r="BI66" s="52">
        <f>BH66+IF($B62=2,0,BI62)</f>
        <v>398.32654761898584</v>
      </c>
      <c r="BJ66" s="53">
        <v>3.1</v>
      </c>
      <c r="BK66" s="94"/>
      <c r="BL66" s="49">
        <f>SUBTOTAL(9,BJ66:BK66)</f>
        <v>3.1</v>
      </c>
      <c r="BM66" s="49">
        <f>BL66+IF($B62=2,0,BM62)</f>
        <v>13.5</v>
      </c>
      <c r="BN66" s="51">
        <f>SUMIF($C$5:BM$5,"Накопленный эффект, т/сут",$C66:BM66)+SUMIF($C$5:BM$5,"Нараст.  по потенциалу",$C66:BM66)-SUMIF($C$5:BM$5,"Нараст. по остановкам",$C66:BM66)-SUMIF($C$5:BM$5,"ИТОГО перевод в ППД",$C66:BM66)-SUMIF($C$5:BM$5,"ИТОГО  нерент, по распоряж.",$C66:BM66)-SUMIF($C$5:BM$5,"ИТОГО ост. дебит от ЗБС, Углуб., ПВЛГ/ПНЛГ",$C66:BM66)</f>
        <v>246.26015476189991</v>
      </c>
      <c r="BO66" s="49">
        <v>9.1</v>
      </c>
      <c r="BP66" s="49">
        <v>8.1641020262577495</v>
      </c>
      <c r="BQ66" s="49">
        <v>14.519327956989301</v>
      </c>
      <c r="BR66" s="49">
        <v>3.2054924250295</v>
      </c>
      <c r="BS66" s="49">
        <f>SUBTOTAL(9,BO66:BR66)</f>
        <v>34.988922408276551</v>
      </c>
      <c r="BT66" s="48" t="s">
        <v>0</v>
      </c>
      <c r="BU66" s="47">
        <f>BU$4+SUMIF($C$5:BS$5,"Нараст. по остановкам",$C66:BS66)-SUMIF($C$5:BS$5,"Нараст.  по потенциалу",$C66:BS66)</f>
        <v>841.84425558926409</v>
      </c>
      <c r="BV66" s="2"/>
    </row>
    <row r="67" spans="1:74" ht="1.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>
        <v>1</v>
      </c>
      <c r="AC67" s="3"/>
      <c r="AD67" s="3"/>
      <c r="AE67" s="3"/>
      <c r="AF67" s="3"/>
      <c r="AG67" s="3"/>
      <c r="AH67" s="3"/>
      <c r="AI67" s="3"/>
      <c r="AJ67" s="3"/>
      <c r="AK67" s="3">
        <v>1</v>
      </c>
      <c r="AL67" s="3"/>
      <c r="AM67" s="3"/>
      <c r="AN67" s="3"/>
      <c r="AO67" s="3"/>
      <c r="AP67" s="3"/>
      <c r="AQ67" s="3"/>
      <c r="AR67" s="3"/>
      <c r="AS67" s="3"/>
      <c r="AT67" s="3">
        <v>1</v>
      </c>
      <c r="AU67" s="3">
        <v>1</v>
      </c>
      <c r="AV67" s="3">
        <v>1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2"/>
    </row>
    <row r="68" spans="1:74" ht="11.25" customHeight="1" x14ac:dyDescent="0.25">
      <c r="A68" s="93">
        <v>45337</v>
      </c>
      <c r="B68" s="92" t="s">
        <v>143</v>
      </c>
      <c r="C68" s="98"/>
      <c r="D68" s="98"/>
      <c r="E68" s="98"/>
      <c r="F68" s="98"/>
      <c r="G68" s="87">
        <v>260</v>
      </c>
      <c r="H68" s="98"/>
      <c r="I68" s="98"/>
      <c r="J68" s="87">
        <v>0</v>
      </c>
      <c r="K68" s="89" t="s">
        <v>219</v>
      </c>
      <c r="L68" s="98"/>
      <c r="M68" s="98"/>
      <c r="N68" s="98"/>
      <c r="O68" s="98"/>
      <c r="P68" s="98"/>
      <c r="Q68" s="98"/>
      <c r="R68" s="87">
        <v>140</v>
      </c>
      <c r="S68" s="87">
        <v>400</v>
      </c>
      <c r="T68" s="86"/>
      <c r="U68" s="98"/>
      <c r="V68" s="91"/>
      <c r="W68" s="90"/>
      <c r="X68" s="98"/>
      <c r="Y68" s="98"/>
      <c r="Z68" s="91"/>
      <c r="AA68" s="90"/>
      <c r="AB68" s="89" t="s">
        <v>209</v>
      </c>
      <c r="AC68" s="89" t="s">
        <v>201</v>
      </c>
      <c r="AD68" s="98"/>
      <c r="AE68" s="98"/>
      <c r="AF68" s="91"/>
      <c r="AG68" s="90"/>
      <c r="AH68" s="98"/>
      <c r="AI68" s="98"/>
      <c r="AJ68" s="88">
        <v>16.399999999999999</v>
      </c>
      <c r="AK68" s="89" t="s">
        <v>279</v>
      </c>
      <c r="AL68" s="89" t="s">
        <v>202</v>
      </c>
      <c r="AM68" s="98"/>
      <c r="AN68" s="88">
        <v>205.98670238088599</v>
      </c>
      <c r="AO68" s="87">
        <v>222.38670238088599</v>
      </c>
      <c r="AP68" s="86"/>
      <c r="AQ68" s="99"/>
      <c r="AR68" s="99"/>
      <c r="AS68" s="84"/>
      <c r="AT68" s="83" t="s">
        <v>279</v>
      </c>
      <c r="AU68" s="83" t="s">
        <v>200</v>
      </c>
      <c r="AV68" s="83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82"/>
      <c r="BI68" s="81"/>
      <c r="BJ68" s="83" t="s">
        <v>279</v>
      </c>
      <c r="BK68" s="98"/>
      <c r="BL68" s="82"/>
      <c r="BM68" s="82"/>
      <c r="BN68" s="80"/>
      <c r="BO68" s="79"/>
      <c r="BP68" s="78"/>
      <c r="BQ68" s="78"/>
      <c r="BR68" s="78"/>
      <c r="BS68" s="78"/>
      <c r="BT68" s="77">
        <f>BT$4+SUMIF($C$5:BS$5,"Нараст. баланс",$C70:BS70)+SUMIF($C$7:BQ$7,"Итого (с ВНР)",$C70:BQ70)-SUMIF($C$5:BS$5,"Геол. снижение,  т/сут",$C70:BS70)-SUMIF(BR$7:BS$7,"Итого",BR70:BS70)-SUMIF($C$7:BS$7,"Итого (с ВСП)",$C70:BS70)</f>
        <v>30148.54981770859</v>
      </c>
      <c r="BU68" s="76"/>
      <c r="BV68" s="2"/>
    </row>
    <row r="69" spans="1:74" ht="11.25" customHeight="1" x14ac:dyDescent="0.25">
      <c r="A69" s="48" t="s">
        <v>0</v>
      </c>
      <c r="B69" s="75" t="s">
        <v>141</v>
      </c>
      <c r="C69" s="96"/>
      <c r="D69" s="96"/>
      <c r="E69" s="96"/>
      <c r="F69" s="96"/>
      <c r="G69" s="66">
        <v>0</v>
      </c>
      <c r="H69" s="96"/>
      <c r="I69" s="96"/>
      <c r="J69" s="66">
        <v>0</v>
      </c>
      <c r="K69" s="72" t="s">
        <v>278</v>
      </c>
      <c r="L69" s="96"/>
      <c r="M69" s="96"/>
      <c r="N69" s="96"/>
      <c r="O69" s="96"/>
      <c r="P69" s="96"/>
      <c r="Q69" s="96"/>
      <c r="R69" s="66">
        <v>1</v>
      </c>
      <c r="S69" s="66">
        <v>1</v>
      </c>
      <c r="T69" s="70"/>
      <c r="U69" s="96"/>
      <c r="V69" s="74">
        <f>SUBTOTAL(9,U71:U71)</f>
        <v>0</v>
      </c>
      <c r="W69" s="73"/>
      <c r="X69" s="96"/>
      <c r="Y69" s="96"/>
      <c r="Z69" s="74">
        <f>SUBTOTAL(9,X71:Y71)</f>
        <v>0</v>
      </c>
      <c r="AA69" s="73"/>
      <c r="AB69" s="72" t="s">
        <v>277</v>
      </c>
      <c r="AC69" s="72" t="s">
        <v>276</v>
      </c>
      <c r="AD69" s="96"/>
      <c r="AE69" s="96"/>
      <c r="AF69" s="74">
        <f>SUBTOTAL(9,AB71:AE71)</f>
        <v>2</v>
      </c>
      <c r="AG69" s="73"/>
      <c r="AH69" s="96"/>
      <c r="AI69" s="96"/>
      <c r="AJ69" s="71">
        <f>SUBTOTAL(9,AH71:AI71)</f>
        <v>0</v>
      </c>
      <c r="AK69" s="72" t="s">
        <v>273</v>
      </c>
      <c r="AL69" s="72" t="s">
        <v>275</v>
      </c>
      <c r="AM69" s="96"/>
      <c r="AN69" s="71">
        <f>SUBTOTAL(9,AK71:AM71)</f>
        <v>2</v>
      </c>
      <c r="AO69" s="66">
        <f>SUBTOTAL(9,AH71:AM71)</f>
        <v>2</v>
      </c>
      <c r="AP69" s="70"/>
      <c r="AQ69" s="97"/>
      <c r="AR69" s="97"/>
      <c r="AS69" s="68"/>
      <c r="AT69" s="67" t="s">
        <v>273</v>
      </c>
      <c r="AU69" s="67" t="s">
        <v>274</v>
      </c>
      <c r="AV69" s="67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66">
        <f>SUBTOTAL(9,AT71:BG71)</f>
        <v>2</v>
      </c>
      <c r="BI69" s="65"/>
      <c r="BJ69" s="67" t="s">
        <v>273</v>
      </c>
      <c r="BK69" s="96"/>
      <c r="BL69" s="66">
        <f>SUBTOTAL(3,BJ69:BK69)</f>
        <v>1</v>
      </c>
      <c r="BM69" s="171"/>
      <c r="BN69" s="64"/>
      <c r="BO69" s="63"/>
      <c r="BP69" s="62"/>
      <c r="BQ69" s="62"/>
      <c r="BR69" s="62"/>
      <c r="BS69" s="62"/>
      <c r="BT69" s="48" t="s">
        <v>0</v>
      </c>
      <c r="BU69" s="61"/>
      <c r="BV69" s="2"/>
    </row>
    <row r="70" spans="1:74" ht="11.25" customHeight="1" x14ac:dyDescent="0.25">
      <c r="A70" s="48" t="s">
        <v>0</v>
      </c>
      <c r="B70" s="60" t="s">
        <v>138</v>
      </c>
      <c r="C70" s="94"/>
      <c r="D70" s="94"/>
      <c r="E70" s="94"/>
      <c r="F70" s="94"/>
      <c r="G70" s="49">
        <f>SUBTOTAL(9,C70:F70)</f>
        <v>0</v>
      </c>
      <c r="H70" s="94"/>
      <c r="I70" s="94"/>
      <c r="J70" s="49">
        <f>SUBTOTAL(9,H70:I70)</f>
        <v>0</v>
      </c>
      <c r="K70" s="57">
        <v>20</v>
      </c>
      <c r="L70" s="94"/>
      <c r="M70" s="94"/>
      <c r="N70" s="94"/>
      <c r="O70" s="94"/>
      <c r="P70" s="94"/>
      <c r="Q70" s="94"/>
      <c r="R70" s="49">
        <f>SUBTOTAL(9,K70:Q70)</f>
        <v>20</v>
      </c>
      <c r="S70" s="49">
        <f>SUBTOTAL(9,C70:Q70)</f>
        <v>20</v>
      </c>
      <c r="T70" s="56">
        <v>400</v>
      </c>
      <c r="U70" s="94"/>
      <c r="V70" s="59">
        <f>SUBTOTAL(9,U70:U70)</f>
        <v>0</v>
      </c>
      <c r="W70" s="58">
        <f>V70+IF($B66=2,0,W66)</f>
        <v>21</v>
      </c>
      <c r="X70" s="94"/>
      <c r="Y70" s="94"/>
      <c r="Z70" s="59">
        <f>SUBTOTAL(9,X70:Y70)</f>
        <v>0</v>
      </c>
      <c r="AA70" s="58">
        <f>Z70+IF($B66=2,0,AA66)</f>
        <v>0</v>
      </c>
      <c r="AB70" s="57">
        <v>5</v>
      </c>
      <c r="AC70" s="57">
        <v>6</v>
      </c>
      <c r="AD70" s="94"/>
      <c r="AE70" s="94"/>
      <c r="AF70" s="59">
        <f>SUBTOTAL(9,AB70:AE70)</f>
        <v>11</v>
      </c>
      <c r="AG70" s="58">
        <f>AF70+IF($B66=2,0,AG66)</f>
        <v>64</v>
      </c>
      <c r="AH70" s="94"/>
      <c r="AI70" s="94"/>
      <c r="AJ70" s="52">
        <f>SUBTOTAL(9,AH70:AI70)</f>
        <v>0</v>
      </c>
      <c r="AK70" s="57">
        <v>7.5</v>
      </c>
      <c r="AL70" s="57">
        <v>10.8</v>
      </c>
      <c r="AM70" s="94"/>
      <c r="AN70" s="52">
        <f>SUBTOTAL(9,AK70:AM70)</f>
        <v>18.3</v>
      </c>
      <c r="AO70" s="49">
        <f>SUBTOTAL(9,AH70:AM70)</f>
        <v>18.3</v>
      </c>
      <c r="AP70" s="56">
        <f>AO70+IF($B66=2,0,AP66)</f>
        <v>222.38670238088579</v>
      </c>
      <c r="AQ70" s="95">
        <v>230.7</v>
      </c>
      <c r="AR70" s="95">
        <v>230.7</v>
      </c>
      <c r="AS70" s="54">
        <v>750</v>
      </c>
      <c r="AT70" s="53">
        <v>7.5</v>
      </c>
      <c r="AU70" s="53">
        <v>0.1</v>
      </c>
      <c r="AV70" s="53">
        <v>11.1</v>
      </c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49">
        <f>SUBTOTAL(9,AT70:BG70)</f>
        <v>18.7</v>
      </c>
      <c r="BI70" s="52">
        <f>BH70+IF($B66=2,0,BI66)</f>
        <v>417.02654761898583</v>
      </c>
      <c r="BJ70" s="53">
        <v>7.5</v>
      </c>
      <c r="BK70" s="94"/>
      <c r="BL70" s="49">
        <f>SUBTOTAL(9,BJ70:BK70)</f>
        <v>7.5</v>
      </c>
      <c r="BM70" s="49">
        <f>BL70+IF($B66=2,0,BM66)</f>
        <v>21</v>
      </c>
      <c r="BN70" s="51">
        <f>SUMIF($C$5:BM$5,"Накопленный эффект, т/сут",$C70:BM70)+SUMIF($C$5:BM$5,"Нараст.  по потенциалу",$C70:BM70)-SUMIF($C$5:BM$5,"Нараст. по остановкам",$C70:BM70)-SUMIF($C$5:BM$5,"ИТОГО перевод в ППД",$C70:BM70)-SUMIF($C$5:BM$5,"ИТОГО  нерент, по распоряж.",$C70:BM70)-SUMIF($C$5:BM$5,"ИТОГО ост. дебит от ЗБС, Углуб., ПВЛГ/ПНЛГ",$C70:BM70)</f>
        <v>269.36015476189999</v>
      </c>
      <c r="BO70" s="50"/>
      <c r="BP70" s="49">
        <v>6.62045341847345</v>
      </c>
      <c r="BQ70" s="49">
        <v>140.76596767906699</v>
      </c>
      <c r="BR70" s="49">
        <v>16.167915955770699</v>
      </c>
      <c r="BS70" s="49">
        <f>SUBTOTAL(9,BO70:BR70)</f>
        <v>163.55433705331114</v>
      </c>
      <c r="BT70" s="48" t="s">
        <v>0</v>
      </c>
      <c r="BU70" s="47">
        <f>BU$4+SUMIF($C$5:BS$5,"Нараст. по остановкам",$C70:BS70)-SUMIF($C$5:BS$5,"Нараст.  по потенциалу",$C70:BS70)</f>
        <v>842.24425558926407</v>
      </c>
      <c r="BV70" s="2"/>
    </row>
    <row r="71" spans="1:74" ht="1.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>
        <v>1</v>
      </c>
      <c r="AC71" s="3">
        <v>1</v>
      </c>
      <c r="AD71" s="3"/>
      <c r="AE71" s="3"/>
      <c r="AF71" s="3"/>
      <c r="AG71" s="3"/>
      <c r="AH71" s="3"/>
      <c r="AI71" s="3"/>
      <c r="AJ71" s="3"/>
      <c r="AK71" s="3">
        <v>1</v>
      </c>
      <c r="AL71" s="3">
        <v>1</v>
      </c>
      <c r="AM71" s="3"/>
      <c r="AN71" s="3"/>
      <c r="AO71" s="3"/>
      <c r="AP71" s="3"/>
      <c r="AQ71" s="3"/>
      <c r="AR71" s="3"/>
      <c r="AS71" s="3"/>
      <c r="AT71" s="3">
        <v>1</v>
      </c>
      <c r="AU71" s="3">
        <v>1</v>
      </c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2"/>
    </row>
    <row r="72" spans="1:74" ht="11.25" customHeight="1" x14ac:dyDescent="0.25">
      <c r="A72" s="93">
        <v>45338</v>
      </c>
      <c r="B72" s="92" t="s">
        <v>143</v>
      </c>
      <c r="C72" s="98"/>
      <c r="D72" s="98"/>
      <c r="E72" s="98"/>
      <c r="F72" s="98"/>
      <c r="G72" s="87">
        <v>260</v>
      </c>
      <c r="H72" s="98"/>
      <c r="I72" s="98"/>
      <c r="J72" s="87">
        <v>0</v>
      </c>
      <c r="K72" s="89" t="s">
        <v>203</v>
      </c>
      <c r="L72" s="89" t="s">
        <v>206</v>
      </c>
      <c r="M72" s="98"/>
      <c r="N72" s="98"/>
      <c r="O72" s="98"/>
      <c r="P72" s="98"/>
      <c r="Q72" s="98"/>
      <c r="R72" s="87">
        <v>181</v>
      </c>
      <c r="S72" s="87">
        <v>441</v>
      </c>
      <c r="T72" s="86"/>
      <c r="U72" s="98"/>
      <c r="V72" s="91"/>
      <c r="W72" s="90"/>
      <c r="X72" s="98"/>
      <c r="Y72" s="98"/>
      <c r="Z72" s="91"/>
      <c r="AA72" s="90"/>
      <c r="AB72" s="89" t="s">
        <v>201</v>
      </c>
      <c r="AC72" s="98"/>
      <c r="AD72" s="98"/>
      <c r="AE72" s="98"/>
      <c r="AF72" s="91"/>
      <c r="AG72" s="90"/>
      <c r="AH72" s="98"/>
      <c r="AI72" s="98"/>
      <c r="AJ72" s="88">
        <v>16.399999999999999</v>
      </c>
      <c r="AK72" s="98"/>
      <c r="AL72" s="98"/>
      <c r="AM72" s="98"/>
      <c r="AN72" s="88">
        <v>205.98670238088599</v>
      </c>
      <c r="AO72" s="87">
        <v>222.38670238088599</v>
      </c>
      <c r="AP72" s="86"/>
      <c r="AQ72" s="99"/>
      <c r="AR72" s="99"/>
      <c r="AS72" s="84"/>
      <c r="AT72" s="83" t="s">
        <v>205</v>
      </c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82"/>
      <c r="BI72" s="81"/>
      <c r="BJ72" s="98"/>
      <c r="BK72" s="98"/>
      <c r="BL72" s="82"/>
      <c r="BM72" s="82"/>
      <c r="BN72" s="80"/>
      <c r="BO72" s="79"/>
      <c r="BP72" s="78"/>
      <c r="BQ72" s="78"/>
      <c r="BR72" s="78"/>
      <c r="BS72" s="78"/>
      <c r="BT72" s="77">
        <f>BT$4+SUMIF($C$5:BS$5,"Нараст. баланс",$C74:BS74)+SUMIF($C$7:BQ$7,"Итого (с ВНР)",$C74:BQ74)-SUMIF($C$5:BS$5,"Геол. снижение,  т/сут",$C74:BS74)-SUMIF(BR$7:BS$7,"Итого",BR74:BS74)-SUMIF($C$7:BS$7,"Итого (с ВСП)",$C74:BS74)</f>
        <v>30257.638760593643</v>
      </c>
      <c r="BU72" s="76"/>
      <c r="BV72" s="2"/>
    </row>
    <row r="73" spans="1:74" ht="11.25" customHeight="1" x14ac:dyDescent="0.25">
      <c r="A73" s="48" t="s">
        <v>0</v>
      </c>
      <c r="B73" s="75" t="s">
        <v>141</v>
      </c>
      <c r="C73" s="96"/>
      <c r="D73" s="96"/>
      <c r="E73" s="96"/>
      <c r="F73" s="96"/>
      <c r="G73" s="66">
        <v>0</v>
      </c>
      <c r="H73" s="96"/>
      <c r="I73" s="96"/>
      <c r="J73" s="66">
        <v>0</v>
      </c>
      <c r="K73" s="72" t="s">
        <v>272</v>
      </c>
      <c r="L73" s="72" t="s">
        <v>271</v>
      </c>
      <c r="M73" s="96"/>
      <c r="N73" s="96"/>
      <c r="O73" s="96"/>
      <c r="P73" s="96"/>
      <c r="Q73" s="96"/>
      <c r="R73" s="66">
        <v>2</v>
      </c>
      <c r="S73" s="66">
        <v>2</v>
      </c>
      <c r="T73" s="70"/>
      <c r="U73" s="96"/>
      <c r="V73" s="74">
        <f>SUBTOTAL(9,U75:U75)</f>
        <v>0</v>
      </c>
      <c r="W73" s="73"/>
      <c r="X73" s="96"/>
      <c r="Y73" s="96"/>
      <c r="Z73" s="74">
        <f>SUBTOTAL(9,X75:Y75)</f>
        <v>0</v>
      </c>
      <c r="AA73" s="73"/>
      <c r="AB73" s="72" t="s">
        <v>270</v>
      </c>
      <c r="AC73" s="96"/>
      <c r="AD73" s="96"/>
      <c r="AE73" s="96"/>
      <c r="AF73" s="74">
        <f>SUBTOTAL(9,AB75:AE75)</f>
        <v>1</v>
      </c>
      <c r="AG73" s="73"/>
      <c r="AH73" s="96"/>
      <c r="AI73" s="96"/>
      <c r="AJ73" s="71">
        <f>SUBTOTAL(9,AH75:AI75)</f>
        <v>0</v>
      </c>
      <c r="AK73" s="96"/>
      <c r="AL73" s="96"/>
      <c r="AM73" s="96"/>
      <c r="AN73" s="71">
        <f>SUBTOTAL(9,AK75:AM75)</f>
        <v>0</v>
      </c>
      <c r="AO73" s="66">
        <f>SUBTOTAL(9,AH75:AM75)</f>
        <v>0</v>
      </c>
      <c r="AP73" s="70"/>
      <c r="AQ73" s="97"/>
      <c r="AR73" s="97"/>
      <c r="AS73" s="68"/>
      <c r="AT73" s="67" t="s">
        <v>246</v>
      </c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66">
        <f>SUBTOTAL(9,AT75:BG75)</f>
        <v>1</v>
      </c>
      <c r="BI73" s="65"/>
      <c r="BJ73" s="96"/>
      <c r="BK73" s="96"/>
      <c r="BL73" s="66">
        <f>SUBTOTAL(3,BJ73:BK73)</f>
        <v>0</v>
      </c>
      <c r="BM73" s="171"/>
      <c r="BN73" s="64"/>
      <c r="BO73" s="63"/>
      <c r="BP73" s="62"/>
      <c r="BQ73" s="62"/>
      <c r="BR73" s="62"/>
      <c r="BS73" s="62"/>
      <c r="BT73" s="48" t="s">
        <v>0</v>
      </c>
      <c r="BU73" s="61"/>
      <c r="BV73" s="2"/>
    </row>
    <row r="74" spans="1:74" ht="11.25" customHeight="1" x14ac:dyDescent="0.25">
      <c r="A74" s="48" t="s">
        <v>0</v>
      </c>
      <c r="B74" s="60" t="s">
        <v>138</v>
      </c>
      <c r="C74" s="94"/>
      <c r="D74" s="94"/>
      <c r="E74" s="94"/>
      <c r="F74" s="94"/>
      <c r="G74" s="49">
        <f>SUBTOTAL(9,C74:F74)</f>
        <v>0</v>
      </c>
      <c r="H74" s="94"/>
      <c r="I74" s="94"/>
      <c r="J74" s="49">
        <f>SUBTOTAL(9,H74:I74)</f>
        <v>0</v>
      </c>
      <c r="K74" s="57">
        <v>19</v>
      </c>
      <c r="L74" s="57">
        <v>22</v>
      </c>
      <c r="M74" s="94"/>
      <c r="N74" s="94"/>
      <c r="O74" s="94"/>
      <c r="P74" s="94"/>
      <c r="Q74" s="94"/>
      <c r="R74" s="49">
        <f>SUBTOTAL(9,K74:Q74)</f>
        <v>41</v>
      </c>
      <c r="S74" s="49">
        <f>SUBTOTAL(9,C74:Q74)</f>
        <v>41</v>
      </c>
      <c r="T74" s="56">
        <v>441</v>
      </c>
      <c r="U74" s="94"/>
      <c r="V74" s="59">
        <f>SUBTOTAL(9,U74:U74)</f>
        <v>0</v>
      </c>
      <c r="W74" s="58">
        <f>V74+IF($B70=2,0,W70)</f>
        <v>21</v>
      </c>
      <c r="X74" s="94"/>
      <c r="Y74" s="94"/>
      <c r="Z74" s="59">
        <f>SUBTOTAL(9,X74:Y74)</f>
        <v>0</v>
      </c>
      <c r="AA74" s="58">
        <f>Z74+IF($B70=2,0,AA70)</f>
        <v>0</v>
      </c>
      <c r="AB74" s="57">
        <v>5</v>
      </c>
      <c r="AC74" s="94"/>
      <c r="AD74" s="94"/>
      <c r="AE74" s="94"/>
      <c r="AF74" s="59">
        <f>SUBTOTAL(9,AB74:AE74)</f>
        <v>5</v>
      </c>
      <c r="AG74" s="58">
        <f>AF74+IF($B70=2,0,AG70)</f>
        <v>69</v>
      </c>
      <c r="AH74" s="94"/>
      <c r="AI74" s="94"/>
      <c r="AJ74" s="52">
        <f>SUBTOTAL(9,AH74:AI74)</f>
        <v>0</v>
      </c>
      <c r="AK74" s="94"/>
      <c r="AL74" s="94"/>
      <c r="AM74" s="94"/>
      <c r="AN74" s="52">
        <f>SUBTOTAL(9,AK74:AM74)</f>
        <v>0</v>
      </c>
      <c r="AO74" s="49">
        <f>SUBTOTAL(9,AH74:AM74)</f>
        <v>0</v>
      </c>
      <c r="AP74" s="56">
        <f>AO74+IF($B70=2,0,AP70)</f>
        <v>222.38670238088579</v>
      </c>
      <c r="AQ74" s="95">
        <v>241.7</v>
      </c>
      <c r="AR74" s="95">
        <v>241.7</v>
      </c>
      <c r="AS74" s="54">
        <v>800</v>
      </c>
      <c r="AT74" s="53">
        <v>1.4</v>
      </c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49">
        <f>SUBTOTAL(9,AT74:BG74)</f>
        <v>1.4</v>
      </c>
      <c r="BI74" s="52">
        <f>BH74+IF($B70=2,0,BI70)</f>
        <v>418.42654761898581</v>
      </c>
      <c r="BJ74" s="94"/>
      <c r="BK74" s="94"/>
      <c r="BL74" s="49">
        <f>SUBTOTAL(9,BJ74:BK74)</f>
        <v>0</v>
      </c>
      <c r="BM74" s="49">
        <f>BL74+IF($B70=2,0,BM70)</f>
        <v>21</v>
      </c>
      <c r="BN74" s="51">
        <f>SUMIF($C$5:BM$5,"Накопленный эффект, т/сут",$C74:BM74)+SUMIF($C$5:BM$5,"Нараст.  по потенциалу",$C74:BM74)-SUMIF($C$5:BM$5,"Нараст. по остановкам",$C74:BM74)-SUMIF($C$5:BM$5,"ИТОГО перевод в ППД",$C74:BM74)-SUMIF($C$5:BM$5,"ИТОГО  нерент, по распоряж.",$C74:BM74)-SUMIF($C$5:BM$5,"ИТОГО ост. дебит от ЗБС, Углуб., ПВЛГ/ПНЛГ",$C74:BM74)</f>
        <v>313.96015476190001</v>
      </c>
      <c r="BO74" s="50"/>
      <c r="BP74" s="49">
        <v>55.033923738148701</v>
      </c>
      <c r="BQ74" s="49">
        <v>2.9759892473118299</v>
      </c>
      <c r="BR74" s="49">
        <v>2.0554811827956998</v>
      </c>
      <c r="BS74" s="49">
        <f>SUBTOTAL(9,BO74:BR74)</f>
        <v>60.065394168256233</v>
      </c>
      <c r="BT74" s="48" t="s">
        <v>0</v>
      </c>
      <c r="BU74" s="47">
        <f>BU$4+SUMIF($C$5:BS$5,"Нараст. по остановкам",$C74:BS74)-SUMIF($C$5:BS$5,"Нараст.  по потенциалу",$C74:BS74)</f>
        <v>843.64425558926393</v>
      </c>
      <c r="BV74" s="2"/>
    </row>
    <row r="75" spans="1:74" ht="1.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>
        <v>1</v>
      </c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>
        <v>1</v>
      </c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2"/>
    </row>
    <row r="76" spans="1:74" ht="11.25" customHeight="1" x14ac:dyDescent="0.25">
      <c r="A76" s="93">
        <v>45339</v>
      </c>
      <c r="B76" s="92" t="s">
        <v>143</v>
      </c>
      <c r="C76" s="89" t="s">
        <v>204</v>
      </c>
      <c r="D76" s="98"/>
      <c r="E76" s="98"/>
      <c r="F76" s="98"/>
      <c r="G76" s="87">
        <v>300</v>
      </c>
      <c r="H76" s="98"/>
      <c r="I76" s="98"/>
      <c r="J76" s="87">
        <v>0</v>
      </c>
      <c r="K76" s="98"/>
      <c r="L76" s="98"/>
      <c r="M76" s="98"/>
      <c r="N76" s="98"/>
      <c r="O76" s="98"/>
      <c r="P76" s="98"/>
      <c r="Q76" s="98"/>
      <c r="R76" s="87">
        <v>181</v>
      </c>
      <c r="S76" s="87">
        <v>481</v>
      </c>
      <c r="T76" s="86"/>
      <c r="U76" s="98"/>
      <c r="V76" s="91"/>
      <c r="W76" s="90"/>
      <c r="X76" s="98"/>
      <c r="Y76" s="98"/>
      <c r="Z76" s="91"/>
      <c r="AA76" s="90"/>
      <c r="AB76" s="89" t="s">
        <v>202</v>
      </c>
      <c r="AC76" s="98"/>
      <c r="AD76" s="98"/>
      <c r="AE76" s="98"/>
      <c r="AF76" s="91"/>
      <c r="AG76" s="90"/>
      <c r="AH76" s="98"/>
      <c r="AI76" s="98"/>
      <c r="AJ76" s="88">
        <v>16.399999999999999</v>
      </c>
      <c r="AK76" s="89" t="s">
        <v>202</v>
      </c>
      <c r="AL76" s="89"/>
      <c r="AM76" s="98"/>
      <c r="AN76" s="88">
        <v>214.186702380886</v>
      </c>
      <c r="AO76" s="87">
        <v>230.58670238088601</v>
      </c>
      <c r="AP76" s="86"/>
      <c r="AQ76" s="99"/>
      <c r="AR76" s="99"/>
      <c r="AS76" s="84"/>
      <c r="AT76" s="83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82"/>
      <c r="BI76" s="81"/>
      <c r="BJ76" s="98"/>
      <c r="BK76" s="98"/>
      <c r="BL76" s="82"/>
      <c r="BM76" s="82"/>
      <c r="BN76" s="80"/>
      <c r="BO76" s="79"/>
      <c r="BP76" s="78"/>
      <c r="BQ76" s="79"/>
      <c r="BR76" s="78"/>
      <c r="BS76" s="78"/>
      <c r="BT76" s="77">
        <f>BT$4+SUMIF($C$5:BS$5,"Нараст. баланс",$C78:BS78)+SUMIF($C$7:BQ$7,"Итого (с ВНР)",$C78:BQ78)-SUMIF($C$5:BS$5,"Геол. снижение,  т/сут",$C78:BS78)-SUMIF(BR$7:BS$7,"Итого",BR78:BS78)-SUMIF($C$7:BS$7,"Итого (с ВСП)",$C78:BS78)</f>
        <v>30304.234651769217</v>
      </c>
      <c r="BU76" s="76"/>
      <c r="BV76" s="2"/>
    </row>
    <row r="77" spans="1:74" ht="11.25" customHeight="1" x14ac:dyDescent="0.25">
      <c r="A77" s="48" t="s">
        <v>0</v>
      </c>
      <c r="B77" s="75" t="s">
        <v>141</v>
      </c>
      <c r="C77" s="72" t="s">
        <v>269</v>
      </c>
      <c r="D77" s="96"/>
      <c r="E77" s="96"/>
      <c r="F77" s="96"/>
      <c r="G77" s="66">
        <v>1</v>
      </c>
      <c r="H77" s="96"/>
      <c r="I77" s="96"/>
      <c r="J77" s="66">
        <v>0</v>
      </c>
      <c r="K77" s="96"/>
      <c r="L77" s="96"/>
      <c r="M77" s="96"/>
      <c r="N77" s="96"/>
      <c r="O77" s="96"/>
      <c r="P77" s="96"/>
      <c r="Q77" s="96"/>
      <c r="R77" s="66">
        <v>0</v>
      </c>
      <c r="S77" s="66">
        <v>1</v>
      </c>
      <c r="T77" s="70"/>
      <c r="U77" s="96"/>
      <c r="V77" s="74">
        <f>SUBTOTAL(9,U79:U79)</f>
        <v>0</v>
      </c>
      <c r="W77" s="73"/>
      <c r="X77" s="96"/>
      <c r="Y77" s="96"/>
      <c r="Z77" s="74">
        <f>SUBTOTAL(9,X79:Y79)</f>
        <v>0</v>
      </c>
      <c r="AA77" s="73"/>
      <c r="AB77" s="72" t="s">
        <v>268</v>
      </c>
      <c r="AC77" s="96"/>
      <c r="AD77" s="96"/>
      <c r="AE77" s="96"/>
      <c r="AF77" s="74">
        <f>SUBTOTAL(9,AB79:AE79)</f>
        <v>1</v>
      </c>
      <c r="AG77" s="73"/>
      <c r="AH77" s="96"/>
      <c r="AI77" s="96"/>
      <c r="AJ77" s="71">
        <f>SUBTOTAL(9,AH79:AI79)</f>
        <v>0</v>
      </c>
      <c r="AK77" s="72" t="s">
        <v>267</v>
      </c>
      <c r="AL77" s="72"/>
      <c r="AM77" s="96"/>
      <c r="AN77" s="71">
        <f>SUBTOTAL(9,AK79:AM79)</f>
        <v>1</v>
      </c>
      <c r="AO77" s="66">
        <f>SUBTOTAL(9,AH79:AM79)</f>
        <v>1</v>
      </c>
      <c r="AP77" s="70"/>
      <c r="AQ77" s="97"/>
      <c r="AR77" s="97"/>
      <c r="AS77" s="68"/>
      <c r="AT77" s="67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6"/>
      <c r="BG77" s="96"/>
      <c r="BH77" s="66">
        <f>SUBTOTAL(9,AT79:BG79)</f>
        <v>0</v>
      </c>
      <c r="BI77" s="65"/>
      <c r="BJ77" s="96"/>
      <c r="BK77" s="96"/>
      <c r="BL77" s="66">
        <f>SUBTOTAL(3,BJ77:BK77)</f>
        <v>0</v>
      </c>
      <c r="BM77" s="171"/>
      <c r="BN77" s="64"/>
      <c r="BO77" s="63"/>
      <c r="BP77" s="62"/>
      <c r="BQ77" s="63"/>
      <c r="BR77" s="62"/>
      <c r="BS77" s="62"/>
      <c r="BT77" s="48" t="s">
        <v>0</v>
      </c>
      <c r="BU77" s="61"/>
      <c r="BV77" s="2"/>
    </row>
    <row r="78" spans="1:74" ht="11.25" customHeight="1" x14ac:dyDescent="0.25">
      <c r="A78" s="48" t="s">
        <v>0</v>
      </c>
      <c r="B78" s="60" t="s">
        <v>138</v>
      </c>
      <c r="C78" s="57">
        <v>40</v>
      </c>
      <c r="D78" s="94"/>
      <c r="E78" s="94"/>
      <c r="F78" s="94"/>
      <c r="G78" s="49">
        <f>SUBTOTAL(9,C78:F78)</f>
        <v>40</v>
      </c>
      <c r="H78" s="94"/>
      <c r="I78" s="94"/>
      <c r="J78" s="49">
        <f>SUBTOTAL(9,H78:I78)</f>
        <v>0</v>
      </c>
      <c r="K78" s="94"/>
      <c r="L78" s="94"/>
      <c r="M78" s="94"/>
      <c r="N78" s="94"/>
      <c r="O78" s="94"/>
      <c r="P78" s="94"/>
      <c r="Q78" s="94"/>
      <c r="R78" s="49">
        <f>SUBTOTAL(9,K78:Q78)</f>
        <v>0</v>
      </c>
      <c r="S78" s="49">
        <f>SUBTOTAL(9,C78:Q78)</f>
        <v>40</v>
      </c>
      <c r="T78" s="56">
        <v>481</v>
      </c>
      <c r="U78" s="94"/>
      <c r="V78" s="59">
        <f>SUBTOTAL(9,U78:U78)</f>
        <v>0</v>
      </c>
      <c r="W78" s="58">
        <f>V78+IF($B74=2,0,W74)</f>
        <v>21</v>
      </c>
      <c r="X78" s="94"/>
      <c r="Y78" s="94"/>
      <c r="Z78" s="59">
        <f>SUBTOTAL(9,X78:Y78)</f>
        <v>0</v>
      </c>
      <c r="AA78" s="58">
        <f>Z78+IF($B74=2,0,AA74)</f>
        <v>0</v>
      </c>
      <c r="AB78" s="57">
        <v>2</v>
      </c>
      <c r="AC78" s="94"/>
      <c r="AD78" s="94"/>
      <c r="AE78" s="94"/>
      <c r="AF78" s="59">
        <f>SUBTOTAL(9,AB78:AE78)</f>
        <v>2</v>
      </c>
      <c r="AG78" s="58">
        <f>AF78+IF($B74=2,0,AG74)</f>
        <v>71</v>
      </c>
      <c r="AH78" s="94"/>
      <c r="AI78" s="94"/>
      <c r="AJ78" s="52">
        <f>SUBTOTAL(9,AH78:AI78)</f>
        <v>0</v>
      </c>
      <c r="AK78" s="57">
        <v>3.2</v>
      </c>
      <c r="AL78" s="57">
        <v>5</v>
      </c>
      <c r="AM78" s="94"/>
      <c r="AN78" s="52">
        <f>SUBTOTAL(9,AK78:AM78)</f>
        <v>8.1999999999999993</v>
      </c>
      <c r="AO78" s="49">
        <f>SUBTOTAL(9,AH78:AM78)</f>
        <v>8.1999999999999993</v>
      </c>
      <c r="AP78" s="56">
        <f>AO78+IF($B74=2,0,AP74)</f>
        <v>230.58670238088578</v>
      </c>
      <c r="AQ78" s="95">
        <v>252.8</v>
      </c>
      <c r="AR78" s="95">
        <v>252.8</v>
      </c>
      <c r="AS78" s="54">
        <v>850</v>
      </c>
      <c r="AT78" s="53">
        <v>7.8</v>
      </c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49">
        <f>SUBTOTAL(9,AT78:BG78)</f>
        <v>7.8</v>
      </c>
      <c r="BI78" s="52">
        <f>BH78+IF($B74=2,0,BI74)</f>
        <v>426.22654761898582</v>
      </c>
      <c r="BJ78" s="94"/>
      <c r="BK78" s="94"/>
      <c r="BL78" s="49">
        <f>SUBTOTAL(9,BJ78:BK78)</f>
        <v>0</v>
      </c>
      <c r="BM78" s="49">
        <f>BL78+IF($B74=2,0,BM74)</f>
        <v>21</v>
      </c>
      <c r="BN78" s="51">
        <f>SUMIF($C$5:BM$5,"Накопленный эффект, т/сут",$C78:BM78)+SUMIF($C$5:BM$5,"Нараст.  по потенциалу",$C78:BM78)-SUMIF($C$5:BM$5,"Нараст. по остановкам",$C78:BM78)-SUMIF($C$5:BM$5,"ИТОГО перевод в ППД",$C78:BM78)-SUMIF($C$5:BM$5,"ИТОГО  нерент, по распоряж.",$C78:BM78)-SUMIF($C$5:BM$5,"ИТОГО ост. дебит от ЗБС, Углуб., ПВЛГ/ПНЛГ",$C78:BM78)</f>
        <v>356.36015476189993</v>
      </c>
      <c r="BO78" s="50"/>
      <c r="BP78" s="49">
        <v>15.300169934170199</v>
      </c>
      <c r="BQ78" s="50"/>
      <c r="BR78" s="49">
        <v>1.66933305851546</v>
      </c>
      <c r="BS78" s="49">
        <f>SUBTOTAL(9,BO78:BR78)</f>
        <v>16.969502992685658</v>
      </c>
      <c r="BT78" s="48" t="s">
        <v>0</v>
      </c>
      <c r="BU78" s="47">
        <f>BU$4+SUMIF($C$5:BS$5,"Нараст. по остановкам",$C78:BS78)-SUMIF($C$5:BS$5,"Нараст.  по потенциалу",$C78:BS78)</f>
        <v>843.24425558926418</v>
      </c>
      <c r="BV78" s="2"/>
    </row>
    <row r="79" spans="1:74" ht="1.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>
        <v>1</v>
      </c>
      <c r="AC79" s="3"/>
      <c r="AD79" s="3"/>
      <c r="AE79" s="3"/>
      <c r="AF79" s="3"/>
      <c r="AG79" s="3"/>
      <c r="AH79" s="3"/>
      <c r="AI79" s="3"/>
      <c r="AJ79" s="3"/>
      <c r="AK79" s="3">
        <v>1</v>
      </c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2"/>
    </row>
    <row r="80" spans="1:74" ht="11.25" customHeight="1" x14ac:dyDescent="0.25">
      <c r="A80" s="93">
        <v>45340</v>
      </c>
      <c r="B80" s="92" t="s">
        <v>143</v>
      </c>
      <c r="C80" s="98"/>
      <c r="D80" s="98"/>
      <c r="E80" s="98"/>
      <c r="F80" s="98"/>
      <c r="G80" s="87">
        <v>300</v>
      </c>
      <c r="H80" s="98"/>
      <c r="I80" s="98"/>
      <c r="J80" s="87">
        <v>0</v>
      </c>
      <c r="K80" s="98"/>
      <c r="L80" s="98"/>
      <c r="M80" s="98"/>
      <c r="N80" s="98"/>
      <c r="O80" s="98"/>
      <c r="P80" s="98"/>
      <c r="Q80" s="98"/>
      <c r="R80" s="87">
        <v>181</v>
      </c>
      <c r="S80" s="87">
        <v>481</v>
      </c>
      <c r="T80" s="86"/>
      <c r="U80" s="98"/>
      <c r="V80" s="91"/>
      <c r="W80" s="90"/>
      <c r="X80" s="98"/>
      <c r="Y80" s="98"/>
      <c r="Z80" s="91"/>
      <c r="AA80" s="90"/>
      <c r="AB80" s="98"/>
      <c r="AC80" s="98"/>
      <c r="AD80" s="98"/>
      <c r="AE80" s="98"/>
      <c r="AF80" s="91"/>
      <c r="AG80" s="90"/>
      <c r="AH80" s="98"/>
      <c r="AI80" s="98"/>
      <c r="AJ80" s="88">
        <v>16.399999999999999</v>
      </c>
      <c r="AK80" s="89"/>
      <c r="AL80" s="98"/>
      <c r="AM80" s="98"/>
      <c r="AN80" s="88">
        <v>217.286702380886</v>
      </c>
      <c r="AO80" s="87">
        <v>233.686702380886</v>
      </c>
      <c r="AP80" s="86"/>
      <c r="AQ80" s="99"/>
      <c r="AR80" s="99"/>
      <c r="AS80" s="84"/>
      <c r="AT80" s="83" t="s">
        <v>205</v>
      </c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82"/>
      <c r="BI80" s="81"/>
      <c r="BJ80" s="98"/>
      <c r="BK80" s="98"/>
      <c r="BL80" s="82"/>
      <c r="BM80" s="82"/>
      <c r="BN80" s="80"/>
      <c r="BO80" s="79"/>
      <c r="BP80" s="78"/>
      <c r="BQ80" s="79"/>
      <c r="BR80" s="79"/>
      <c r="BS80" s="78"/>
      <c r="BT80" s="77">
        <f>BT$4+SUMIF($C$5:BS$5,"Нараст. баланс",$C82:BS82)+SUMIF($C$7:BQ$7,"Итого (с ВНР)",$C82:BQ82)-SUMIF($C$5:BS$5,"Геол. снижение,  т/сут",$C82:BS82)-SUMIF(BR$7:BS$7,"Итого",BR82:BS82)-SUMIF($C$7:BS$7,"Итого (с ВСП)",$C82:BS82)</f>
        <v>30280.481923579107</v>
      </c>
      <c r="BU80" s="76"/>
      <c r="BV80" s="2"/>
    </row>
    <row r="81" spans="1:74" ht="11.25" customHeight="1" x14ac:dyDescent="0.25">
      <c r="A81" s="48" t="s">
        <v>0</v>
      </c>
      <c r="B81" s="75" t="s">
        <v>141</v>
      </c>
      <c r="C81" s="96"/>
      <c r="D81" s="96"/>
      <c r="E81" s="96"/>
      <c r="F81" s="96"/>
      <c r="G81" s="66">
        <v>0</v>
      </c>
      <c r="H81" s="96"/>
      <c r="I81" s="96"/>
      <c r="J81" s="66">
        <v>0</v>
      </c>
      <c r="K81" s="96"/>
      <c r="L81" s="96"/>
      <c r="M81" s="96"/>
      <c r="N81" s="96"/>
      <c r="O81" s="96"/>
      <c r="P81" s="96"/>
      <c r="Q81" s="96"/>
      <c r="R81" s="66">
        <v>0</v>
      </c>
      <c r="S81" s="66">
        <v>0</v>
      </c>
      <c r="T81" s="70"/>
      <c r="U81" s="96"/>
      <c r="V81" s="74">
        <f>SUBTOTAL(9,U83:U83)</f>
        <v>0</v>
      </c>
      <c r="W81" s="73"/>
      <c r="X81" s="96"/>
      <c r="Y81" s="96"/>
      <c r="Z81" s="74">
        <f>SUBTOTAL(9,X83:Y83)</f>
        <v>0</v>
      </c>
      <c r="AA81" s="73"/>
      <c r="AB81" s="96"/>
      <c r="AC81" s="96"/>
      <c r="AD81" s="96"/>
      <c r="AE81" s="96"/>
      <c r="AF81" s="74">
        <f>SUBTOTAL(9,AB83:AE83)</f>
        <v>0</v>
      </c>
      <c r="AG81" s="73"/>
      <c r="AH81" s="96"/>
      <c r="AI81" s="96"/>
      <c r="AJ81" s="71">
        <f>SUBTOTAL(9,AH83:AI83)</f>
        <v>0</v>
      </c>
      <c r="AK81" s="72"/>
      <c r="AL81" s="96"/>
      <c r="AM81" s="96"/>
      <c r="AN81" s="71">
        <f>SUBTOTAL(9,AK83:AM83)</f>
        <v>0</v>
      </c>
      <c r="AO81" s="66">
        <f>SUBTOTAL(9,AH83:AM83)</f>
        <v>0</v>
      </c>
      <c r="AP81" s="70"/>
      <c r="AQ81" s="97"/>
      <c r="AR81" s="97"/>
      <c r="AS81" s="68"/>
      <c r="AT81" s="67" t="s">
        <v>231</v>
      </c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66">
        <f>SUBTOTAL(9,AT83:BG83)</f>
        <v>1</v>
      </c>
      <c r="BI81" s="65"/>
      <c r="BJ81" s="96"/>
      <c r="BK81" s="96"/>
      <c r="BL81" s="66">
        <f>SUBTOTAL(3,BJ81:BK81)</f>
        <v>0</v>
      </c>
      <c r="BM81" s="171"/>
      <c r="BN81" s="64"/>
      <c r="BO81" s="63"/>
      <c r="BP81" s="62"/>
      <c r="BQ81" s="63"/>
      <c r="BR81" s="63"/>
      <c r="BS81" s="62"/>
      <c r="BT81" s="48" t="s">
        <v>0</v>
      </c>
      <c r="BU81" s="61"/>
      <c r="BV81" s="2"/>
    </row>
    <row r="82" spans="1:74" ht="11.25" customHeight="1" x14ac:dyDescent="0.25">
      <c r="A82" s="48" t="s">
        <v>0</v>
      </c>
      <c r="B82" s="60" t="s">
        <v>138</v>
      </c>
      <c r="C82" s="94"/>
      <c r="D82" s="94"/>
      <c r="E82" s="94"/>
      <c r="F82" s="94"/>
      <c r="G82" s="49">
        <f>SUBTOTAL(9,C82:F82)</f>
        <v>0</v>
      </c>
      <c r="H82" s="94"/>
      <c r="I82" s="94"/>
      <c r="J82" s="49">
        <f>SUBTOTAL(9,H82:I82)</f>
        <v>0</v>
      </c>
      <c r="K82" s="94"/>
      <c r="L82" s="94"/>
      <c r="M82" s="94"/>
      <c r="N82" s="94"/>
      <c r="O82" s="94"/>
      <c r="P82" s="94"/>
      <c r="Q82" s="94"/>
      <c r="R82" s="49">
        <f>SUBTOTAL(9,K82:Q82)</f>
        <v>0</v>
      </c>
      <c r="S82" s="49">
        <f>SUBTOTAL(9,C82:Q82)</f>
        <v>0</v>
      </c>
      <c r="T82" s="56">
        <v>481</v>
      </c>
      <c r="U82" s="94"/>
      <c r="V82" s="59">
        <f>SUBTOTAL(9,U82:U82)</f>
        <v>0</v>
      </c>
      <c r="W82" s="58">
        <f>V82+IF($B78=2,0,W78)</f>
        <v>21</v>
      </c>
      <c r="X82" s="94"/>
      <c r="Y82" s="94"/>
      <c r="Z82" s="59">
        <f>SUBTOTAL(9,X82:Y82)</f>
        <v>0</v>
      </c>
      <c r="AA82" s="58">
        <f>Z82+IF($B78=2,0,AA78)</f>
        <v>0</v>
      </c>
      <c r="AB82" s="94"/>
      <c r="AC82" s="94"/>
      <c r="AD82" s="94"/>
      <c r="AE82" s="94"/>
      <c r="AF82" s="59">
        <f>SUBTOTAL(9,AB82:AE82)</f>
        <v>0</v>
      </c>
      <c r="AG82" s="58">
        <f>AF82+IF($B78=2,0,AG78)</f>
        <v>71</v>
      </c>
      <c r="AH82" s="94"/>
      <c r="AI82" s="94"/>
      <c r="AJ82" s="52">
        <f>SUBTOTAL(9,AH82:AI82)</f>
        <v>0</v>
      </c>
      <c r="AK82" s="57">
        <v>3.1</v>
      </c>
      <c r="AL82" s="94"/>
      <c r="AM82" s="94"/>
      <c r="AN82" s="52">
        <f>SUBTOTAL(9,AK82:AM82)</f>
        <v>3.1</v>
      </c>
      <c r="AO82" s="49">
        <f>SUBTOTAL(9,AH82:AM82)</f>
        <v>3.1</v>
      </c>
      <c r="AP82" s="56">
        <f>AO82+IF($B78=2,0,AP78)</f>
        <v>233.68670238088578</v>
      </c>
      <c r="AQ82" s="95">
        <v>263.89999999999998</v>
      </c>
      <c r="AR82" s="95">
        <v>263.89999999999998</v>
      </c>
      <c r="AS82" s="54">
        <v>900</v>
      </c>
      <c r="AT82" s="53">
        <v>3.4</v>
      </c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49">
        <f>SUBTOTAL(9,AT82:BG82)</f>
        <v>3.4</v>
      </c>
      <c r="BI82" s="52">
        <f>BH82+IF($B78=2,0,BI78)</f>
        <v>429.6265476189858</v>
      </c>
      <c r="BJ82" s="94"/>
      <c r="BK82" s="94"/>
      <c r="BL82" s="49">
        <f>SUBTOTAL(9,BJ82:BK82)</f>
        <v>0</v>
      </c>
      <c r="BM82" s="49">
        <f>BL82+IF($B78=2,0,BM78)</f>
        <v>21</v>
      </c>
      <c r="BN82" s="51">
        <f>SUMIF($C$5:BM$5,"Накопленный эффект, т/сут",$C82:BM82)+SUMIF($C$5:BM$5,"Нараст.  по потенциалу",$C82:BM82)-SUMIF($C$5:BM$5,"Нараст. по остановкам",$C82:BM82)-SUMIF($C$5:BM$5,"ИТОГО перевод в ППД",$C82:BM82)-SUMIF($C$5:BM$5,"ИТОГО  нерент, по распоряж.",$C82:BM82)-SUMIF($C$5:BM$5,"ИТОГО ост. дебит от ЗБС, Углуб., ПВЛГ/ПНЛГ",$C82:BM82)</f>
        <v>356.06015476189998</v>
      </c>
      <c r="BO82" s="50"/>
      <c r="BP82" s="49">
        <v>1.5222311827957</v>
      </c>
      <c r="BQ82" s="50"/>
      <c r="BR82" s="50"/>
      <c r="BS82" s="49">
        <f>SUBTOTAL(9,BO82:BR82)</f>
        <v>1.5222311827957</v>
      </c>
      <c r="BT82" s="48" t="s">
        <v>0</v>
      </c>
      <c r="BU82" s="47">
        <f>BU$4+SUMIF($C$5:BS$5,"Нараст. по остановкам",$C82:BS82)-SUMIF($C$5:BS$5,"Нараст.  по потенциалу",$C82:BS82)</f>
        <v>843.54425558926403</v>
      </c>
      <c r="BV82" s="2"/>
    </row>
    <row r="83" spans="1:74" ht="1.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>
        <v>1</v>
      </c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2"/>
    </row>
    <row r="84" spans="1:74" ht="11.25" customHeight="1" x14ac:dyDescent="0.25">
      <c r="A84" s="93">
        <v>45341</v>
      </c>
      <c r="B84" s="92" t="s">
        <v>143</v>
      </c>
      <c r="C84" s="89" t="s">
        <v>200</v>
      </c>
      <c r="D84" s="89" t="s">
        <v>211</v>
      </c>
      <c r="E84" s="98"/>
      <c r="F84" s="98"/>
      <c r="G84" s="87">
        <v>380</v>
      </c>
      <c r="H84" s="98"/>
      <c r="I84" s="98"/>
      <c r="J84" s="87">
        <v>0</v>
      </c>
      <c r="K84" s="98"/>
      <c r="L84" s="98"/>
      <c r="M84" s="98"/>
      <c r="N84" s="98"/>
      <c r="O84" s="98"/>
      <c r="P84" s="98"/>
      <c r="Q84" s="98"/>
      <c r="R84" s="87">
        <v>181</v>
      </c>
      <c r="S84" s="87">
        <v>561</v>
      </c>
      <c r="T84" s="86"/>
      <c r="U84" s="98"/>
      <c r="V84" s="91"/>
      <c r="W84" s="90"/>
      <c r="X84" s="98"/>
      <c r="Y84" s="98"/>
      <c r="Z84" s="91"/>
      <c r="AA84" s="90"/>
      <c r="AB84" s="89" t="s">
        <v>208</v>
      </c>
      <c r="AC84" s="98"/>
      <c r="AD84" s="98"/>
      <c r="AE84" s="98"/>
      <c r="AF84" s="91"/>
      <c r="AG84" s="90"/>
      <c r="AH84" s="98"/>
      <c r="AI84" s="98"/>
      <c r="AJ84" s="88">
        <v>16.399999999999999</v>
      </c>
      <c r="AK84" s="89" t="s">
        <v>202</v>
      </c>
      <c r="AL84" s="98"/>
      <c r="AM84" s="98"/>
      <c r="AN84" s="88">
        <v>221.186702380886</v>
      </c>
      <c r="AO84" s="87">
        <v>237.58670238088601</v>
      </c>
      <c r="AP84" s="86"/>
      <c r="AQ84" s="99"/>
      <c r="AR84" s="99"/>
      <c r="AS84" s="84"/>
      <c r="AT84" s="83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82"/>
      <c r="BI84" s="81"/>
      <c r="BJ84" s="98"/>
      <c r="BK84" s="98"/>
      <c r="BL84" s="82"/>
      <c r="BM84" s="82"/>
      <c r="BN84" s="80"/>
      <c r="BO84" s="78"/>
      <c r="BP84" s="78"/>
      <c r="BQ84" s="78"/>
      <c r="BR84" s="78"/>
      <c r="BS84" s="78"/>
      <c r="BT84" s="77">
        <f>BT$4+SUMIF($C$5:BS$5,"Нараст. баланс",$C86:BS86)+SUMIF($C$7:BQ$7,"Итого (с ВНР)",$C86:BQ86)-SUMIF($C$5:BS$5,"Геол. снижение,  т/сут",$C86:BS86)-SUMIF(BR$7:BS$7,"Итого",BR86:BS86)-SUMIF($C$7:BS$7,"Итого (с ВСП)",$C86:BS86)</f>
        <v>30203.65500161512</v>
      </c>
      <c r="BU84" s="76"/>
      <c r="BV84" s="2"/>
    </row>
    <row r="85" spans="1:74" ht="11.25" customHeight="1" x14ac:dyDescent="0.25">
      <c r="A85" s="48" t="s">
        <v>0</v>
      </c>
      <c r="B85" s="75" t="s">
        <v>141</v>
      </c>
      <c r="C85" s="72" t="s">
        <v>266</v>
      </c>
      <c r="D85" s="72" t="s">
        <v>265</v>
      </c>
      <c r="E85" s="96"/>
      <c r="F85" s="96"/>
      <c r="G85" s="66">
        <v>2</v>
      </c>
      <c r="H85" s="96"/>
      <c r="I85" s="96"/>
      <c r="J85" s="66">
        <v>0</v>
      </c>
      <c r="K85" s="96"/>
      <c r="L85" s="96"/>
      <c r="M85" s="96"/>
      <c r="N85" s="96"/>
      <c r="O85" s="96"/>
      <c r="P85" s="96"/>
      <c r="Q85" s="96"/>
      <c r="R85" s="66">
        <v>0</v>
      </c>
      <c r="S85" s="66">
        <v>2</v>
      </c>
      <c r="T85" s="70"/>
      <c r="U85" s="96"/>
      <c r="V85" s="74">
        <f>SUBTOTAL(9,U87:U87)</f>
        <v>0</v>
      </c>
      <c r="W85" s="73"/>
      <c r="X85" s="96"/>
      <c r="Y85" s="96"/>
      <c r="Z85" s="74">
        <f>SUBTOTAL(9,X87:Y87)</f>
        <v>0</v>
      </c>
      <c r="AA85" s="73"/>
      <c r="AB85" s="72" t="s">
        <v>264</v>
      </c>
      <c r="AC85" s="96"/>
      <c r="AD85" s="96"/>
      <c r="AE85" s="96"/>
      <c r="AF85" s="74">
        <f>SUBTOTAL(9,AB87:AE87)</f>
        <v>1</v>
      </c>
      <c r="AG85" s="73"/>
      <c r="AH85" s="96"/>
      <c r="AI85" s="96"/>
      <c r="AJ85" s="71">
        <f>SUBTOTAL(9,AH87:AI87)</f>
        <v>0</v>
      </c>
      <c r="AK85" s="72" t="s">
        <v>263</v>
      </c>
      <c r="AL85" s="96"/>
      <c r="AM85" s="96"/>
      <c r="AN85" s="71">
        <f>SUBTOTAL(9,AK87:AM87)</f>
        <v>1</v>
      </c>
      <c r="AO85" s="66">
        <f>SUBTOTAL(9,AH87:AM87)</f>
        <v>1</v>
      </c>
      <c r="AP85" s="70"/>
      <c r="AQ85" s="97"/>
      <c r="AR85" s="97"/>
      <c r="AS85" s="68"/>
      <c r="AT85" s="67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66">
        <f>SUBTOTAL(9,AT87:BG87)</f>
        <v>0</v>
      </c>
      <c r="BI85" s="65"/>
      <c r="BJ85" s="96"/>
      <c r="BK85" s="96"/>
      <c r="BL85" s="66">
        <f>SUBTOTAL(3,BJ85:BK85)</f>
        <v>0</v>
      </c>
      <c r="BM85" s="171"/>
      <c r="BN85" s="64"/>
      <c r="BO85" s="62"/>
      <c r="BP85" s="62"/>
      <c r="BQ85" s="62"/>
      <c r="BR85" s="62"/>
      <c r="BS85" s="62"/>
      <c r="BT85" s="48" t="s">
        <v>0</v>
      </c>
      <c r="BU85" s="61"/>
      <c r="BV85" s="2"/>
    </row>
    <row r="86" spans="1:74" ht="11.25" customHeight="1" x14ac:dyDescent="0.25">
      <c r="A86" s="48" t="s">
        <v>0</v>
      </c>
      <c r="B86" s="60" t="s">
        <v>138</v>
      </c>
      <c r="C86" s="57">
        <v>30</v>
      </c>
      <c r="D86" s="57">
        <v>50</v>
      </c>
      <c r="E86" s="94"/>
      <c r="F86" s="94"/>
      <c r="G86" s="49">
        <f>SUBTOTAL(9,C86:F86)</f>
        <v>80</v>
      </c>
      <c r="H86" s="94"/>
      <c r="I86" s="94"/>
      <c r="J86" s="49">
        <f>SUBTOTAL(9,H86:I86)</f>
        <v>0</v>
      </c>
      <c r="K86" s="94"/>
      <c r="L86" s="94"/>
      <c r="M86" s="94"/>
      <c r="N86" s="94"/>
      <c r="O86" s="94"/>
      <c r="P86" s="94"/>
      <c r="Q86" s="94"/>
      <c r="R86" s="49">
        <f>SUBTOTAL(9,K86:Q86)</f>
        <v>0</v>
      </c>
      <c r="S86" s="49">
        <f>SUBTOTAL(9,C86:Q86)</f>
        <v>80</v>
      </c>
      <c r="T86" s="56">
        <v>561</v>
      </c>
      <c r="U86" s="94"/>
      <c r="V86" s="59">
        <f>SUBTOTAL(9,U86:U86)</f>
        <v>0</v>
      </c>
      <c r="W86" s="58">
        <f>V86+IF($B82=2,0,W82)</f>
        <v>21</v>
      </c>
      <c r="X86" s="94"/>
      <c r="Y86" s="94"/>
      <c r="Z86" s="59">
        <f>SUBTOTAL(9,X86:Y86)</f>
        <v>0</v>
      </c>
      <c r="AA86" s="58">
        <f>Z86+IF($B82=2,0,AA82)</f>
        <v>0</v>
      </c>
      <c r="AB86" s="57">
        <v>4</v>
      </c>
      <c r="AC86" s="94"/>
      <c r="AD86" s="94"/>
      <c r="AE86" s="94"/>
      <c r="AF86" s="59">
        <f>SUBTOTAL(9,AB86:AE86)</f>
        <v>4</v>
      </c>
      <c r="AG86" s="58">
        <f>AF86+IF($B82=2,0,AG82)</f>
        <v>75</v>
      </c>
      <c r="AH86" s="94"/>
      <c r="AI86" s="94"/>
      <c r="AJ86" s="52">
        <f>SUBTOTAL(9,AH86:AI86)</f>
        <v>0</v>
      </c>
      <c r="AK86" s="57">
        <v>3.9</v>
      </c>
      <c r="AL86" s="94"/>
      <c r="AM86" s="94"/>
      <c r="AN86" s="52">
        <f>SUBTOTAL(9,AK86:AM86)</f>
        <v>3.9</v>
      </c>
      <c r="AO86" s="49">
        <f>SUBTOTAL(9,AH86:AM86)</f>
        <v>3.9</v>
      </c>
      <c r="AP86" s="56">
        <f>AO86+IF($B82=2,0,AP82)</f>
        <v>237.58670238088578</v>
      </c>
      <c r="AQ86" s="95">
        <v>296.5</v>
      </c>
      <c r="AR86" s="95">
        <v>296.5</v>
      </c>
      <c r="AS86" s="54">
        <v>950</v>
      </c>
      <c r="AT86" s="53">
        <v>26.1</v>
      </c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49">
        <f>SUBTOTAL(9,AT86:BG86)</f>
        <v>26.1</v>
      </c>
      <c r="BI86" s="52">
        <f>BH86+IF($B82=2,0,BI82)</f>
        <v>455.72654761898582</v>
      </c>
      <c r="BJ86" s="94"/>
      <c r="BK86" s="94"/>
      <c r="BL86" s="49">
        <f>SUBTOTAL(9,BJ86:BK86)</f>
        <v>0</v>
      </c>
      <c r="BM86" s="49">
        <f>BL86+IF($B82=2,0,BM82)</f>
        <v>21</v>
      </c>
      <c r="BN86" s="51">
        <f>SUMIF($C$5:BM$5,"Накопленный эффект, т/сут",$C86:BM86)+SUMIF($C$5:BM$5,"Нараст.  по потенциалу",$C86:BM86)-SUMIF($C$5:BM$5,"Нараст. по остановкам",$C86:BM86)-SUMIF($C$5:BM$5,"ИТОГО перевод в ППД",$C86:BM86)-SUMIF($C$5:BM$5,"ИТОГО  нерент, по распоряж.",$C86:BM86)-SUMIF($C$5:BM$5,"ИТОГО ост. дебит от ЗБС, Углуб., ПВЛГ/ПНЛГ",$C86:BM86)</f>
        <v>417.86015476189993</v>
      </c>
      <c r="BO86" s="49">
        <v>10.1</v>
      </c>
      <c r="BP86" s="49">
        <v>64.293601206245995</v>
      </c>
      <c r="BQ86" s="49">
        <v>40.715199277201002</v>
      </c>
      <c r="BR86" s="49">
        <v>7.6403526633334904</v>
      </c>
      <c r="BS86" s="49">
        <f>SUBTOTAL(9,BO86:BR86)</f>
        <v>122.74915314678049</v>
      </c>
      <c r="BT86" s="48" t="s">
        <v>0</v>
      </c>
      <c r="BU86" s="47">
        <f>BU$4+SUMIF($C$5:BS$5,"Нараст. по остановкам",$C86:BS86)-SUMIF($C$5:BS$5,"Нараст.  по потенциалу",$C86:BS86)</f>
        <v>865.74425558926418</v>
      </c>
      <c r="BV86" s="2"/>
    </row>
    <row r="87" spans="1:74" ht="1.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>
        <v>1</v>
      </c>
      <c r="AC87" s="3"/>
      <c r="AD87" s="3"/>
      <c r="AE87" s="3"/>
      <c r="AF87" s="3"/>
      <c r="AG87" s="3"/>
      <c r="AH87" s="3"/>
      <c r="AI87" s="3"/>
      <c r="AJ87" s="3"/>
      <c r="AK87" s="3">
        <v>1</v>
      </c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2"/>
    </row>
    <row r="88" spans="1:74" ht="11.25" customHeight="1" x14ac:dyDescent="0.25">
      <c r="A88" s="93">
        <v>45342</v>
      </c>
      <c r="B88" s="92" t="s">
        <v>143</v>
      </c>
      <c r="C88" s="98"/>
      <c r="D88" s="98"/>
      <c r="E88" s="98"/>
      <c r="F88" s="98"/>
      <c r="G88" s="87">
        <v>380</v>
      </c>
      <c r="H88" s="98"/>
      <c r="I88" s="98"/>
      <c r="J88" s="87">
        <v>0</v>
      </c>
      <c r="K88" s="98"/>
      <c r="L88" s="98"/>
      <c r="M88" s="98"/>
      <c r="N88" s="98"/>
      <c r="O88" s="98"/>
      <c r="P88" s="98"/>
      <c r="Q88" s="98"/>
      <c r="R88" s="87">
        <v>181</v>
      </c>
      <c r="S88" s="87">
        <v>561</v>
      </c>
      <c r="T88" s="86"/>
      <c r="U88" s="89" t="s">
        <v>203</v>
      </c>
      <c r="V88" s="91"/>
      <c r="W88" s="90"/>
      <c r="X88" s="98"/>
      <c r="Y88" s="98"/>
      <c r="Z88" s="91"/>
      <c r="AA88" s="90"/>
      <c r="AB88" s="89" t="s">
        <v>205</v>
      </c>
      <c r="AC88" s="98"/>
      <c r="AD88" s="98"/>
      <c r="AE88" s="98"/>
      <c r="AF88" s="91"/>
      <c r="AG88" s="90"/>
      <c r="AH88" s="89" t="s">
        <v>203</v>
      </c>
      <c r="AI88" s="98"/>
      <c r="AJ88" s="88">
        <v>46.6</v>
      </c>
      <c r="AK88" s="89" t="s">
        <v>201</v>
      </c>
      <c r="AL88" s="89"/>
      <c r="AM88" s="98"/>
      <c r="AN88" s="88">
        <v>227.58670238088601</v>
      </c>
      <c r="AO88" s="87">
        <v>274.186702380886</v>
      </c>
      <c r="AP88" s="86"/>
      <c r="AQ88" s="99"/>
      <c r="AR88" s="99"/>
      <c r="AS88" s="84"/>
      <c r="AT88" s="83" t="s">
        <v>207</v>
      </c>
      <c r="AU88" s="83" t="s">
        <v>201</v>
      </c>
      <c r="AV88" s="83"/>
      <c r="AW88" s="98"/>
      <c r="AX88" s="98"/>
      <c r="AY88" s="98"/>
      <c r="AZ88" s="98"/>
      <c r="BA88" s="98"/>
      <c r="BB88" s="98"/>
      <c r="BC88" s="98"/>
      <c r="BD88" s="98"/>
      <c r="BE88" s="98"/>
      <c r="BF88" s="98"/>
      <c r="BG88" s="98"/>
      <c r="BH88" s="82"/>
      <c r="BI88" s="81"/>
      <c r="BJ88" s="83" t="s">
        <v>201</v>
      </c>
      <c r="BK88" s="98"/>
      <c r="BL88" s="82"/>
      <c r="BM88" s="82"/>
      <c r="BN88" s="80"/>
      <c r="BO88" s="78"/>
      <c r="BP88" s="78"/>
      <c r="BQ88" s="78"/>
      <c r="BR88" s="78"/>
      <c r="BS88" s="78"/>
      <c r="BT88" s="77">
        <f>BT$4+SUMIF($C$5:BS$5,"Нараст. баланс",$C90:BS90)+SUMIF($C$7:BQ$7,"Итого (с ВНР)",$C90:BQ90)-SUMIF($C$5:BS$5,"Геол. снижение,  т/сут",$C90:BS90)-SUMIF(BR$7:BS$7,"Итого",BR90:BS90)-SUMIF($C$7:BS$7,"Итого (с ВСП)",$C90:BS90)</f>
        <v>30128.677204068772</v>
      </c>
      <c r="BU88" s="76"/>
      <c r="BV88" s="2"/>
    </row>
    <row r="89" spans="1:74" ht="11.25" customHeight="1" x14ac:dyDescent="0.25">
      <c r="A89" s="48" t="s">
        <v>0</v>
      </c>
      <c r="B89" s="75" t="s">
        <v>141</v>
      </c>
      <c r="C89" s="96"/>
      <c r="D89" s="96"/>
      <c r="E89" s="96"/>
      <c r="F89" s="96"/>
      <c r="G89" s="66">
        <v>0</v>
      </c>
      <c r="H89" s="96"/>
      <c r="I89" s="96"/>
      <c r="J89" s="66">
        <v>0</v>
      </c>
      <c r="K89" s="96"/>
      <c r="L89" s="96"/>
      <c r="M89" s="96"/>
      <c r="N89" s="96"/>
      <c r="O89" s="96"/>
      <c r="P89" s="96"/>
      <c r="Q89" s="96"/>
      <c r="R89" s="66">
        <v>0</v>
      </c>
      <c r="S89" s="66">
        <v>0</v>
      </c>
      <c r="T89" s="70"/>
      <c r="U89" s="72" t="s">
        <v>261</v>
      </c>
      <c r="V89" s="74">
        <f>SUBTOTAL(9,U91:U91)</f>
        <v>1</v>
      </c>
      <c r="W89" s="73"/>
      <c r="X89" s="96"/>
      <c r="Y89" s="96"/>
      <c r="Z89" s="74">
        <f>SUBTOTAL(9,X91:Y91)</f>
        <v>0</v>
      </c>
      <c r="AA89" s="73"/>
      <c r="AB89" s="72" t="s">
        <v>262</v>
      </c>
      <c r="AC89" s="96"/>
      <c r="AD89" s="96"/>
      <c r="AE89" s="96"/>
      <c r="AF89" s="74">
        <f>SUBTOTAL(9,AB91:AE91)</f>
        <v>1</v>
      </c>
      <c r="AG89" s="73"/>
      <c r="AH89" s="72" t="s">
        <v>261</v>
      </c>
      <c r="AI89" s="96"/>
      <c r="AJ89" s="71">
        <f>SUBTOTAL(9,AH91:AI91)</f>
        <v>1</v>
      </c>
      <c r="AK89" s="72" t="s">
        <v>260</v>
      </c>
      <c r="AL89" s="72"/>
      <c r="AM89" s="96"/>
      <c r="AN89" s="71">
        <f>SUBTOTAL(9,AK91:AM91)</f>
        <v>1</v>
      </c>
      <c r="AO89" s="66">
        <f>SUBTOTAL(9,AH91:AM91)</f>
        <v>2</v>
      </c>
      <c r="AP89" s="70"/>
      <c r="AQ89" s="97"/>
      <c r="AR89" s="97"/>
      <c r="AS89" s="68"/>
      <c r="AT89" s="67" t="s">
        <v>184</v>
      </c>
      <c r="AU89" s="67" t="s">
        <v>260</v>
      </c>
      <c r="AV89" s="67"/>
      <c r="AW89" s="96"/>
      <c r="AX89" s="96"/>
      <c r="AY89" s="96"/>
      <c r="AZ89" s="96"/>
      <c r="BA89" s="96"/>
      <c r="BB89" s="96"/>
      <c r="BC89" s="96"/>
      <c r="BD89" s="96"/>
      <c r="BE89" s="96"/>
      <c r="BF89" s="96"/>
      <c r="BG89" s="96"/>
      <c r="BH89" s="66">
        <f>SUBTOTAL(9,AT91:BG91)</f>
        <v>2</v>
      </c>
      <c r="BI89" s="65"/>
      <c r="BJ89" s="67" t="s">
        <v>260</v>
      </c>
      <c r="BK89" s="96"/>
      <c r="BL89" s="66">
        <f>SUBTOTAL(3,BJ89:BK89)</f>
        <v>1</v>
      </c>
      <c r="BM89" s="171"/>
      <c r="BN89" s="64"/>
      <c r="BO89" s="62"/>
      <c r="BP89" s="62"/>
      <c r="BQ89" s="62"/>
      <c r="BR89" s="62"/>
      <c r="BS89" s="62"/>
      <c r="BT89" s="48" t="s">
        <v>0</v>
      </c>
      <c r="BU89" s="61"/>
      <c r="BV89" s="2"/>
    </row>
    <row r="90" spans="1:74" ht="11.25" customHeight="1" x14ac:dyDescent="0.25">
      <c r="A90" s="48" t="s">
        <v>0</v>
      </c>
      <c r="B90" s="60" t="s">
        <v>138</v>
      </c>
      <c r="C90" s="94"/>
      <c r="D90" s="94"/>
      <c r="E90" s="94"/>
      <c r="F90" s="94"/>
      <c r="G90" s="49">
        <f>SUBTOTAL(9,C90:F90)</f>
        <v>0</v>
      </c>
      <c r="H90" s="94"/>
      <c r="I90" s="94"/>
      <c r="J90" s="49">
        <f>SUBTOTAL(9,H90:I90)</f>
        <v>0</v>
      </c>
      <c r="K90" s="94"/>
      <c r="L90" s="94"/>
      <c r="M90" s="94"/>
      <c r="N90" s="94"/>
      <c r="O90" s="94"/>
      <c r="P90" s="94"/>
      <c r="Q90" s="94"/>
      <c r="R90" s="49">
        <f>SUBTOTAL(9,K90:Q90)</f>
        <v>0</v>
      </c>
      <c r="S90" s="49">
        <f>SUBTOTAL(9,C90:Q90)</f>
        <v>0</v>
      </c>
      <c r="T90" s="56">
        <v>561</v>
      </c>
      <c r="U90" s="57">
        <v>10</v>
      </c>
      <c r="V90" s="59">
        <f>SUBTOTAL(9,U90:U90)</f>
        <v>10</v>
      </c>
      <c r="W90" s="58">
        <f>V90+IF($B86=2,0,W86)</f>
        <v>31</v>
      </c>
      <c r="X90" s="94"/>
      <c r="Y90" s="94"/>
      <c r="Z90" s="59">
        <f>SUBTOTAL(9,X90:Y90)</f>
        <v>0</v>
      </c>
      <c r="AA90" s="58">
        <f>Z90+IF($B86=2,0,AA86)</f>
        <v>0</v>
      </c>
      <c r="AB90" s="57">
        <v>3</v>
      </c>
      <c r="AC90" s="94"/>
      <c r="AD90" s="94"/>
      <c r="AE90" s="94"/>
      <c r="AF90" s="59">
        <f>SUBTOTAL(9,AB90:AE90)</f>
        <v>3</v>
      </c>
      <c r="AG90" s="58">
        <f>AF90+IF($B86=2,0,AG86)</f>
        <v>78</v>
      </c>
      <c r="AH90" s="57">
        <v>30.2</v>
      </c>
      <c r="AI90" s="94"/>
      <c r="AJ90" s="52">
        <f>SUBTOTAL(9,AH90:AI90)</f>
        <v>30.2</v>
      </c>
      <c r="AK90" s="57">
        <v>2</v>
      </c>
      <c r="AL90" s="57">
        <v>4.4000000000000004</v>
      </c>
      <c r="AM90" s="94"/>
      <c r="AN90" s="52">
        <f>SUBTOTAL(9,AK90:AM90)</f>
        <v>6.4</v>
      </c>
      <c r="AO90" s="49">
        <f>SUBTOTAL(9,AH90:AM90)</f>
        <v>36.6</v>
      </c>
      <c r="AP90" s="56">
        <f>AO90+IF($B86=2,0,AP86)</f>
        <v>274.18670238088578</v>
      </c>
      <c r="AQ90" s="95">
        <v>307.60000000000002</v>
      </c>
      <c r="AR90" s="95">
        <v>307.60000000000002</v>
      </c>
      <c r="AS90" s="54">
        <v>1000</v>
      </c>
      <c r="AT90" s="53">
        <v>5.3</v>
      </c>
      <c r="AU90" s="53">
        <v>2</v>
      </c>
      <c r="AV90" s="53">
        <v>30.8565</v>
      </c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49">
        <f>SUBTOTAL(9,AT90:BG90)</f>
        <v>38.156500000000001</v>
      </c>
      <c r="BI90" s="52">
        <f>BH90+IF($B86=2,0,BI86)</f>
        <v>493.88304761898581</v>
      </c>
      <c r="BJ90" s="53">
        <v>2</v>
      </c>
      <c r="BK90" s="94"/>
      <c r="BL90" s="49">
        <f>SUBTOTAL(9,BJ90:BK90)</f>
        <v>2</v>
      </c>
      <c r="BM90" s="49">
        <f>BL90+IF($B86=2,0,BM86)</f>
        <v>23</v>
      </c>
      <c r="BN90" s="51">
        <f>SUMIF($C$5:BM$5,"Накопленный эффект, т/сут",$C90:BM90)+SUMIF($C$5:BM$5,"Нараст.  по потенциалу",$C90:BM90)-SUMIF($C$5:BM$5,"Нараст. по остановкам",$C90:BM90)-SUMIF($C$5:BM$5,"ИТОГО перевод в ППД",$C90:BM90)-SUMIF($C$5:BM$5,"ИТОГО  нерент, по распоряж.",$C90:BM90)-SUMIF($C$5:BM$5,"ИТОГО ост. дебит от ЗБС, Углуб., ПВЛГ/ПНЛГ",$C90:BM90)</f>
        <v>427.30365476189996</v>
      </c>
      <c r="BO90" s="49">
        <v>18.3</v>
      </c>
      <c r="BP90" s="49">
        <v>89.145170596869704</v>
      </c>
      <c r="BQ90" s="49">
        <v>33.249156936279697</v>
      </c>
      <c r="BR90" s="49">
        <v>27.576123159979101</v>
      </c>
      <c r="BS90" s="49">
        <f>SUBTOTAL(9,BO90:BR90)</f>
        <v>168.27045069312848</v>
      </c>
      <c r="BT90" s="48" t="s">
        <v>0</v>
      </c>
      <c r="BU90" s="47">
        <f>BU$4+SUMIF($C$5:BS$5,"Нараст. по остановкам",$C90:BS90)-SUMIF($C$5:BS$5,"Нараст.  по потенциалу",$C90:BS90)</f>
        <v>867.30075558926399</v>
      </c>
      <c r="BV90" s="2"/>
    </row>
    <row r="91" spans="1:74" ht="1.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>
        <v>1</v>
      </c>
      <c r="V91" s="3"/>
      <c r="W91" s="3"/>
      <c r="X91" s="3"/>
      <c r="Y91" s="3"/>
      <c r="Z91" s="3"/>
      <c r="AA91" s="3"/>
      <c r="AB91" s="3">
        <v>1</v>
      </c>
      <c r="AC91" s="3"/>
      <c r="AD91" s="3"/>
      <c r="AE91" s="3"/>
      <c r="AF91" s="3"/>
      <c r="AG91" s="3"/>
      <c r="AH91" s="3">
        <v>1</v>
      </c>
      <c r="AI91" s="3"/>
      <c r="AJ91" s="3"/>
      <c r="AK91" s="3">
        <v>1</v>
      </c>
      <c r="AL91" s="3"/>
      <c r="AM91" s="3"/>
      <c r="AN91" s="3"/>
      <c r="AO91" s="3"/>
      <c r="AP91" s="3"/>
      <c r="AQ91" s="3"/>
      <c r="AR91" s="3"/>
      <c r="AS91" s="3"/>
      <c r="AT91" s="3">
        <v>1</v>
      </c>
      <c r="AU91" s="3">
        <v>1</v>
      </c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2"/>
    </row>
    <row r="92" spans="1:74" ht="11.25" customHeight="1" x14ac:dyDescent="0.25">
      <c r="A92" s="93">
        <v>45343</v>
      </c>
      <c r="B92" s="92" t="s">
        <v>143</v>
      </c>
      <c r="C92" s="89" t="s">
        <v>204</v>
      </c>
      <c r="D92" s="98"/>
      <c r="E92" s="98"/>
      <c r="F92" s="98"/>
      <c r="G92" s="87">
        <v>420</v>
      </c>
      <c r="H92" s="98"/>
      <c r="I92" s="98"/>
      <c r="J92" s="87">
        <v>0</v>
      </c>
      <c r="K92" s="89" t="s">
        <v>200</v>
      </c>
      <c r="L92" s="98"/>
      <c r="M92" s="98"/>
      <c r="N92" s="98"/>
      <c r="O92" s="98"/>
      <c r="P92" s="98"/>
      <c r="Q92" s="98"/>
      <c r="R92" s="87">
        <v>192</v>
      </c>
      <c r="S92" s="87">
        <v>612</v>
      </c>
      <c r="T92" s="86"/>
      <c r="U92" s="98"/>
      <c r="V92" s="91"/>
      <c r="W92" s="90"/>
      <c r="X92" s="98"/>
      <c r="Y92" s="98"/>
      <c r="Z92" s="91"/>
      <c r="AA92" s="90"/>
      <c r="AB92" s="89" t="s">
        <v>202</v>
      </c>
      <c r="AC92" s="89" t="s">
        <v>200</v>
      </c>
      <c r="AD92" s="98"/>
      <c r="AE92" s="98"/>
      <c r="AF92" s="91"/>
      <c r="AG92" s="90"/>
      <c r="AH92" s="98"/>
      <c r="AI92" s="98"/>
      <c r="AJ92" s="88">
        <v>46.6</v>
      </c>
      <c r="AK92" s="89" t="s">
        <v>205</v>
      </c>
      <c r="AL92" s="98"/>
      <c r="AM92" s="98"/>
      <c r="AN92" s="88">
        <v>228.38670238088599</v>
      </c>
      <c r="AO92" s="87">
        <v>274.98670238088602</v>
      </c>
      <c r="AP92" s="86"/>
      <c r="AQ92" s="99"/>
      <c r="AR92" s="99"/>
      <c r="AS92" s="84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82"/>
      <c r="BI92" s="81"/>
      <c r="BJ92" s="98"/>
      <c r="BK92" s="98"/>
      <c r="BL92" s="82"/>
      <c r="BM92" s="82"/>
      <c r="BN92" s="80"/>
      <c r="BO92" s="78"/>
      <c r="BP92" s="78"/>
      <c r="BQ92" s="79"/>
      <c r="BR92" s="78"/>
      <c r="BS92" s="78"/>
      <c r="BT92" s="77">
        <f>BT$4+SUMIF($C$5:BS$5,"Нараст. баланс",$C94:BS94)+SUMIF($C$7:BQ$7,"Итого (с ВНР)",$C94:BQ94)-SUMIF($C$5:BS$5,"Геол. снижение,  т/сут",$C94:BS94)-SUMIF(BR$7:BS$7,"Итого",BR94:BS94)-SUMIF($C$7:BS$7,"Итого (с ВСП)",$C94:BS94)</f>
        <v>30198.515536810366</v>
      </c>
      <c r="BU92" s="76"/>
      <c r="BV92" s="2"/>
    </row>
    <row r="93" spans="1:74" ht="11.25" customHeight="1" x14ac:dyDescent="0.25">
      <c r="A93" s="48" t="s">
        <v>0</v>
      </c>
      <c r="B93" s="75" t="s">
        <v>141</v>
      </c>
      <c r="C93" s="72" t="s">
        <v>259</v>
      </c>
      <c r="D93" s="96"/>
      <c r="E93" s="96"/>
      <c r="F93" s="96"/>
      <c r="G93" s="66">
        <v>1</v>
      </c>
      <c r="H93" s="96"/>
      <c r="I93" s="96"/>
      <c r="J93" s="66">
        <v>0</v>
      </c>
      <c r="K93" s="72" t="s">
        <v>258</v>
      </c>
      <c r="L93" s="96"/>
      <c r="M93" s="96"/>
      <c r="N93" s="96"/>
      <c r="O93" s="96"/>
      <c r="P93" s="96"/>
      <c r="Q93" s="96"/>
      <c r="R93" s="66">
        <v>1</v>
      </c>
      <c r="S93" s="66">
        <v>2</v>
      </c>
      <c r="T93" s="70"/>
      <c r="U93" s="96"/>
      <c r="V93" s="74">
        <f>SUBTOTAL(9,U95:U95)</f>
        <v>0</v>
      </c>
      <c r="W93" s="73"/>
      <c r="X93" s="96"/>
      <c r="Y93" s="96"/>
      <c r="Z93" s="74">
        <f>SUBTOTAL(9,X95:Y95)</f>
        <v>0</v>
      </c>
      <c r="AA93" s="73"/>
      <c r="AB93" s="72" t="s">
        <v>257</v>
      </c>
      <c r="AC93" s="72" t="s">
        <v>256</v>
      </c>
      <c r="AD93" s="96"/>
      <c r="AE93" s="96"/>
      <c r="AF93" s="74">
        <f>SUBTOTAL(9,AB95:AE95)</f>
        <v>2</v>
      </c>
      <c r="AG93" s="73"/>
      <c r="AH93" s="96"/>
      <c r="AI93" s="96"/>
      <c r="AJ93" s="71">
        <f>SUBTOTAL(9,AH95:AI95)</f>
        <v>0</v>
      </c>
      <c r="AK93" s="72" t="s">
        <v>255</v>
      </c>
      <c r="AL93" s="96"/>
      <c r="AM93" s="96"/>
      <c r="AN93" s="71">
        <f>SUBTOTAL(9,AK95:AM95)</f>
        <v>1</v>
      </c>
      <c r="AO93" s="66">
        <f>SUBTOTAL(9,AH95:AM95)</f>
        <v>1</v>
      </c>
      <c r="AP93" s="70"/>
      <c r="AQ93" s="97"/>
      <c r="AR93" s="97"/>
      <c r="AS93" s="68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66">
        <f>SUBTOTAL(9,AT95:BG95)</f>
        <v>0</v>
      </c>
      <c r="BI93" s="65"/>
      <c r="BJ93" s="96"/>
      <c r="BK93" s="96"/>
      <c r="BL93" s="66">
        <f>SUBTOTAL(3,BJ93:BK93)</f>
        <v>0</v>
      </c>
      <c r="BM93" s="171"/>
      <c r="BN93" s="64"/>
      <c r="BO93" s="62"/>
      <c r="BP93" s="62"/>
      <c r="BQ93" s="63"/>
      <c r="BR93" s="62"/>
      <c r="BS93" s="62"/>
      <c r="BT93" s="48" t="s">
        <v>0</v>
      </c>
      <c r="BU93" s="61"/>
      <c r="BV93" s="2"/>
    </row>
    <row r="94" spans="1:74" ht="11.25" customHeight="1" x14ac:dyDescent="0.25">
      <c r="A94" s="48" t="s">
        <v>0</v>
      </c>
      <c r="B94" s="60" t="s">
        <v>138</v>
      </c>
      <c r="C94" s="57">
        <v>40</v>
      </c>
      <c r="D94" s="94"/>
      <c r="E94" s="94"/>
      <c r="F94" s="94"/>
      <c r="G94" s="49">
        <f>SUBTOTAL(9,C94:F94)</f>
        <v>40</v>
      </c>
      <c r="H94" s="94"/>
      <c r="I94" s="94"/>
      <c r="J94" s="49">
        <f>SUBTOTAL(9,H94:I94)</f>
        <v>0</v>
      </c>
      <c r="K94" s="57">
        <v>11</v>
      </c>
      <c r="L94" s="94"/>
      <c r="M94" s="94"/>
      <c r="N94" s="94"/>
      <c r="O94" s="94"/>
      <c r="P94" s="94"/>
      <c r="Q94" s="94"/>
      <c r="R94" s="49">
        <f>SUBTOTAL(9,K94:Q94)</f>
        <v>11</v>
      </c>
      <c r="S94" s="49">
        <f>SUBTOTAL(9,C94:Q94)</f>
        <v>51</v>
      </c>
      <c r="T94" s="56">
        <v>612</v>
      </c>
      <c r="U94" s="94"/>
      <c r="V94" s="59">
        <f>SUBTOTAL(9,U94:U94)</f>
        <v>0</v>
      </c>
      <c r="W94" s="58">
        <f>V94+IF($B90=2,0,W90)</f>
        <v>31</v>
      </c>
      <c r="X94" s="94"/>
      <c r="Y94" s="94"/>
      <c r="Z94" s="59">
        <f>SUBTOTAL(9,X94:Y94)</f>
        <v>0</v>
      </c>
      <c r="AA94" s="58">
        <f>Z94+IF($B90=2,0,AA90)</f>
        <v>0</v>
      </c>
      <c r="AB94" s="57">
        <v>4</v>
      </c>
      <c r="AC94" s="57">
        <v>9</v>
      </c>
      <c r="AD94" s="94"/>
      <c r="AE94" s="94"/>
      <c r="AF94" s="59">
        <f>SUBTOTAL(9,AB94:AE94)</f>
        <v>13</v>
      </c>
      <c r="AG94" s="58">
        <f>AF94+IF($B90=2,0,AG90)</f>
        <v>91</v>
      </c>
      <c r="AH94" s="94"/>
      <c r="AI94" s="94"/>
      <c r="AJ94" s="52">
        <f>SUBTOTAL(9,AH94:AI94)</f>
        <v>0</v>
      </c>
      <c r="AK94" s="57">
        <v>0.8</v>
      </c>
      <c r="AL94" s="94"/>
      <c r="AM94" s="94"/>
      <c r="AN94" s="52">
        <f>SUBTOTAL(9,AK94:AM94)</f>
        <v>0.8</v>
      </c>
      <c r="AO94" s="49">
        <f>SUBTOTAL(9,AH94:AM94)</f>
        <v>0.8</v>
      </c>
      <c r="AP94" s="56">
        <f>AO94+IF($B90=2,0,AP90)</f>
        <v>274.98670238088579</v>
      </c>
      <c r="AQ94" s="95">
        <v>318.60000000000002</v>
      </c>
      <c r="AR94" s="95">
        <v>318.60000000000002</v>
      </c>
      <c r="AS94" s="54">
        <v>1050</v>
      </c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49">
        <f>SUBTOTAL(9,AT94:BG94)</f>
        <v>0</v>
      </c>
      <c r="BI94" s="52">
        <f>BH94+IF($B90=2,0,BI90)</f>
        <v>493.88304761898581</v>
      </c>
      <c r="BJ94" s="94"/>
      <c r="BK94" s="94"/>
      <c r="BL94" s="49">
        <f>SUBTOTAL(9,BJ94:BK94)</f>
        <v>0</v>
      </c>
      <c r="BM94" s="49">
        <f>BL94+IF($B90=2,0,BM90)</f>
        <v>23</v>
      </c>
      <c r="BN94" s="51">
        <f>SUMIF($C$5:BM$5,"Накопленный эффект, т/сут",$C94:BM94)+SUMIF($C$5:BM$5,"Нараст.  по потенциалу",$C94:BM94)-SUMIF($C$5:BM$5,"Нараст. по остановкам",$C94:BM94)-SUMIF($C$5:BM$5,"ИТОГО перевод в ППД",$C94:BM94)-SUMIF($C$5:BM$5,"ИТОГО  нерент, по распоряж.",$C94:BM94)-SUMIF($C$5:BM$5,"ИТОГО ост. дебит от ЗБС, Углуб., ПВЛГ/ПНЛГ",$C94:BM94)</f>
        <v>492.10365476190009</v>
      </c>
      <c r="BO94" s="49">
        <v>18.3</v>
      </c>
      <c r="BP94" s="49">
        <v>83.388967203636795</v>
      </c>
      <c r="BQ94" s="50"/>
      <c r="BR94" s="49">
        <v>22.543150747896199</v>
      </c>
      <c r="BS94" s="49">
        <f>SUBTOTAL(9,BO94:BR94)</f>
        <v>124.23211795153298</v>
      </c>
      <c r="BT94" s="48" t="s">
        <v>0</v>
      </c>
      <c r="BU94" s="47">
        <f>BU$4+SUMIF($C$5:BS$5,"Нараст. по остановкам",$C94:BS94)-SUMIF($C$5:BS$5,"Нараст.  по потенциалу",$C94:BS94)</f>
        <v>866.50075558926392</v>
      </c>
      <c r="BV94" s="2"/>
    </row>
    <row r="95" spans="1:74" ht="1.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>
        <v>1</v>
      </c>
      <c r="AC95" s="3">
        <v>1</v>
      </c>
      <c r="AD95" s="3"/>
      <c r="AE95" s="3"/>
      <c r="AF95" s="3"/>
      <c r="AG95" s="3"/>
      <c r="AH95" s="3"/>
      <c r="AI95" s="3"/>
      <c r="AJ95" s="3"/>
      <c r="AK95" s="3">
        <v>1</v>
      </c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2"/>
    </row>
    <row r="96" spans="1:74" ht="11.25" customHeight="1" x14ac:dyDescent="0.25">
      <c r="A96" s="93">
        <v>45344</v>
      </c>
      <c r="B96" s="92" t="s">
        <v>143</v>
      </c>
      <c r="C96" s="98"/>
      <c r="D96" s="98"/>
      <c r="E96" s="98"/>
      <c r="F96" s="98"/>
      <c r="G96" s="87">
        <v>420</v>
      </c>
      <c r="H96" s="98"/>
      <c r="I96" s="98"/>
      <c r="J96" s="87">
        <v>0</v>
      </c>
      <c r="K96" s="89" t="s">
        <v>200</v>
      </c>
      <c r="L96" s="89" t="s">
        <v>200</v>
      </c>
      <c r="M96" s="98"/>
      <c r="N96" s="98"/>
      <c r="O96" s="98"/>
      <c r="P96" s="98"/>
      <c r="Q96" s="98"/>
      <c r="R96" s="87">
        <v>230</v>
      </c>
      <c r="S96" s="87">
        <v>650</v>
      </c>
      <c r="T96" s="86"/>
      <c r="U96" s="98"/>
      <c r="V96" s="91"/>
      <c r="W96" s="90"/>
      <c r="X96" s="98"/>
      <c r="Y96" s="98"/>
      <c r="Z96" s="91"/>
      <c r="AA96" s="90"/>
      <c r="AB96" s="89" t="s">
        <v>209</v>
      </c>
      <c r="AC96" s="89" t="s">
        <v>200</v>
      </c>
      <c r="AD96" s="98"/>
      <c r="AE96" s="98"/>
      <c r="AF96" s="91"/>
      <c r="AG96" s="90"/>
      <c r="AH96" s="98"/>
      <c r="AI96" s="98"/>
      <c r="AJ96" s="88">
        <v>46.6</v>
      </c>
      <c r="AK96" s="89"/>
      <c r="AL96" s="98"/>
      <c r="AM96" s="98"/>
      <c r="AN96" s="88">
        <v>231.65245238088599</v>
      </c>
      <c r="AO96" s="87">
        <v>278.25245238088598</v>
      </c>
      <c r="AP96" s="86"/>
      <c r="AQ96" s="99"/>
      <c r="AR96" s="99"/>
      <c r="AS96" s="84"/>
      <c r="AT96" s="83" t="s">
        <v>205</v>
      </c>
      <c r="AU96" s="83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82"/>
      <c r="BI96" s="81"/>
      <c r="BJ96" s="98"/>
      <c r="BK96" s="98"/>
      <c r="BL96" s="82"/>
      <c r="BM96" s="82"/>
      <c r="BN96" s="80"/>
      <c r="BO96" s="78"/>
      <c r="BP96" s="78"/>
      <c r="BQ96" s="78"/>
      <c r="BR96" s="78"/>
      <c r="BS96" s="78"/>
      <c r="BT96" s="77">
        <f>BT$4+SUMIF($C$5:BS$5,"Нараст. баланс",$C98:BS98)+SUMIF($C$7:BQ$7,"Итого (с ВНР)",$C98:BQ98)-SUMIF($C$5:BS$5,"Геол. снижение,  т/сут",$C98:BS98)-SUMIF(BR$7:BS$7,"Итого",BR98:BS98)-SUMIF($C$7:BS$7,"Итого (с ВСП)",$C98:BS98)</f>
        <v>30227.048742827228</v>
      </c>
      <c r="BU96" s="76"/>
      <c r="BV96" s="2"/>
    </row>
    <row r="97" spans="1:74" ht="11.25" customHeight="1" x14ac:dyDescent="0.25">
      <c r="A97" s="48" t="s">
        <v>0</v>
      </c>
      <c r="B97" s="75" t="s">
        <v>141</v>
      </c>
      <c r="C97" s="96"/>
      <c r="D97" s="96"/>
      <c r="E97" s="96"/>
      <c r="F97" s="96"/>
      <c r="G97" s="66">
        <v>0</v>
      </c>
      <c r="H97" s="96"/>
      <c r="I97" s="96"/>
      <c r="J97" s="66">
        <v>0</v>
      </c>
      <c r="K97" s="72" t="s">
        <v>254</v>
      </c>
      <c r="L97" s="72" t="s">
        <v>253</v>
      </c>
      <c r="M97" s="96"/>
      <c r="N97" s="96"/>
      <c r="O97" s="96"/>
      <c r="P97" s="96"/>
      <c r="Q97" s="96"/>
      <c r="R97" s="66">
        <v>2</v>
      </c>
      <c r="S97" s="66">
        <v>2</v>
      </c>
      <c r="T97" s="70"/>
      <c r="U97" s="96"/>
      <c r="V97" s="74">
        <f>SUBTOTAL(9,U99:U99)</f>
        <v>0</v>
      </c>
      <c r="W97" s="73"/>
      <c r="X97" s="96"/>
      <c r="Y97" s="96"/>
      <c r="Z97" s="74">
        <f>SUBTOTAL(9,X99:Y99)</f>
        <v>0</v>
      </c>
      <c r="AA97" s="73"/>
      <c r="AB97" s="72" t="s">
        <v>252</v>
      </c>
      <c r="AC97" s="72" t="s">
        <v>251</v>
      </c>
      <c r="AD97" s="96"/>
      <c r="AE97" s="96"/>
      <c r="AF97" s="74">
        <f>SUBTOTAL(9,AB99:AE99)</f>
        <v>2</v>
      </c>
      <c r="AG97" s="73"/>
      <c r="AH97" s="96"/>
      <c r="AI97" s="96"/>
      <c r="AJ97" s="71">
        <f>SUBTOTAL(9,AH99:AI99)</f>
        <v>0</v>
      </c>
      <c r="AK97" s="72"/>
      <c r="AL97" s="96"/>
      <c r="AM97" s="96"/>
      <c r="AN97" s="71">
        <f>SUBTOTAL(9,AK99:AM99)</f>
        <v>0</v>
      </c>
      <c r="AO97" s="66">
        <f>SUBTOTAL(9,AH99:AM99)</f>
        <v>0</v>
      </c>
      <c r="AP97" s="70"/>
      <c r="AQ97" s="97"/>
      <c r="AR97" s="97"/>
      <c r="AS97" s="68"/>
      <c r="AT97" s="67" t="s">
        <v>182</v>
      </c>
      <c r="AU97" s="67"/>
      <c r="AV97" s="96"/>
      <c r="AW97" s="96"/>
      <c r="AX97" s="96"/>
      <c r="AY97" s="96"/>
      <c r="AZ97" s="96"/>
      <c r="BA97" s="96"/>
      <c r="BB97" s="96"/>
      <c r="BC97" s="96"/>
      <c r="BD97" s="96"/>
      <c r="BE97" s="96"/>
      <c r="BF97" s="96"/>
      <c r="BG97" s="96"/>
      <c r="BH97" s="66">
        <f>SUBTOTAL(9,AT99:BG99)</f>
        <v>1</v>
      </c>
      <c r="BI97" s="65"/>
      <c r="BJ97" s="96"/>
      <c r="BK97" s="96"/>
      <c r="BL97" s="66">
        <f>SUBTOTAL(3,BJ97:BK97)</f>
        <v>0</v>
      </c>
      <c r="BM97" s="171"/>
      <c r="BN97" s="64"/>
      <c r="BO97" s="62"/>
      <c r="BP97" s="62"/>
      <c r="BQ97" s="62"/>
      <c r="BR97" s="62"/>
      <c r="BS97" s="62"/>
      <c r="BT97" s="48" t="s">
        <v>0</v>
      </c>
      <c r="BU97" s="61"/>
      <c r="BV97" s="2"/>
    </row>
    <row r="98" spans="1:74" ht="11.25" customHeight="1" x14ac:dyDescent="0.25">
      <c r="A98" s="48" t="s">
        <v>0</v>
      </c>
      <c r="B98" s="60" t="s">
        <v>138</v>
      </c>
      <c r="C98" s="94"/>
      <c r="D98" s="94"/>
      <c r="E98" s="94"/>
      <c r="F98" s="94"/>
      <c r="G98" s="49">
        <f>SUBTOTAL(9,C98:F98)</f>
        <v>0</v>
      </c>
      <c r="H98" s="94"/>
      <c r="I98" s="94"/>
      <c r="J98" s="49">
        <f>SUBTOTAL(9,H98:I98)</f>
        <v>0</v>
      </c>
      <c r="K98" s="57">
        <v>18</v>
      </c>
      <c r="L98" s="57">
        <v>20</v>
      </c>
      <c r="M98" s="94"/>
      <c r="N98" s="94"/>
      <c r="O98" s="94"/>
      <c r="P98" s="94"/>
      <c r="Q98" s="94"/>
      <c r="R98" s="49">
        <f>SUBTOTAL(9,K98:Q98)</f>
        <v>38</v>
      </c>
      <c r="S98" s="49">
        <f>SUBTOTAL(9,C98:Q98)</f>
        <v>38</v>
      </c>
      <c r="T98" s="56">
        <v>650</v>
      </c>
      <c r="U98" s="94"/>
      <c r="V98" s="59">
        <f>SUBTOTAL(9,U98:U98)</f>
        <v>0</v>
      </c>
      <c r="W98" s="58">
        <f>V98+IF($B94=2,0,W94)</f>
        <v>31</v>
      </c>
      <c r="X98" s="94"/>
      <c r="Y98" s="94"/>
      <c r="Z98" s="59">
        <f>SUBTOTAL(9,X98:Y98)</f>
        <v>0</v>
      </c>
      <c r="AA98" s="58">
        <f>Z98+IF($B94=2,0,AA94)</f>
        <v>0</v>
      </c>
      <c r="AB98" s="57">
        <v>5</v>
      </c>
      <c r="AC98" s="57">
        <v>4</v>
      </c>
      <c r="AD98" s="94"/>
      <c r="AE98" s="94"/>
      <c r="AF98" s="59">
        <f>SUBTOTAL(9,AB98:AE98)</f>
        <v>9</v>
      </c>
      <c r="AG98" s="58">
        <f>AF98+IF($B94=2,0,AG94)</f>
        <v>100</v>
      </c>
      <c r="AH98" s="94"/>
      <c r="AI98" s="94"/>
      <c r="AJ98" s="52">
        <f>SUBTOTAL(9,AH98:AI98)</f>
        <v>0</v>
      </c>
      <c r="AK98" s="57">
        <v>3.2657500000000002</v>
      </c>
      <c r="AL98" s="94"/>
      <c r="AM98" s="94"/>
      <c r="AN98" s="52">
        <f>SUBTOTAL(9,AK98:AM98)</f>
        <v>3.2657500000000002</v>
      </c>
      <c r="AO98" s="49">
        <f>SUBTOTAL(9,AH98:AM98)</f>
        <v>3.2657500000000002</v>
      </c>
      <c r="AP98" s="56">
        <f>AO98+IF($B94=2,0,AP94)</f>
        <v>278.25245238088581</v>
      </c>
      <c r="AQ98" s="95">
        <v>329.7</v>
      </c>
      <c r="AR98" s="95">
        <v>329.7</v>
      </c>
      <c r="AS98" s="54">
        <v>1100</v>
      </c>
      <c r="AT98" s="53">
        <v>1.2</v>
      </c>
      <c r="AU98" s="53">
        <v>8.1999999999999993</v>
      </c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49">
        <f>SUBTOTAL(9,AT98:BG98)</f>
        <v>9.3999999999999986</v>
      </c>
      <c r="BI98" s="52">
        <f>BH98+IF($B94=2,0,BI94)</f>
        <v>503.28304761898579</v>
      </c>
      <c r="BJ98" s="94"/>
      <c r="BK98" s="94"/>
      <c r="BL98" s="49">
        <f>SUBTOTAL(9,BJ98:BK98)</f>
        <v>0</v>
      </c>
      <c r="BM98" s="49">
        <f>BL98+IF($B94=2,0,BM94)</f>
        <v>23</v>
      </c>
      <c r="BN98" s="51">
        <f>SUMIF($C$5:BM$5,"Накопленный эффект, т/сут",$C98:BM98)+SUMIF($C$5:BM$5,"Нараст.  по потенциалу",$C98:BM98)-SUMIF($C$5:BM$5,"Нараст. по остановкам",$C98:BM98)-SUMIF($C$5:BM$5,"ИТОГО перевод в ППД",$C98:BM98)-SUMIF($C$5:BM$5,"ИТОГО  нерент, по распоряж.",$C98:BM98)-SUMIF($C$5:BM$5,"ИТОГО ост. дебит от ЗБС, Углуб., ПВЛГ/ПНЛГ",$C98:BM98)</f>
        <v>532.96940476190002</v>
      </c>
      <c r="BO98" s="49">
        <v>18.3</v>
      </c>
      <c r="BP98" s="49">
        <v>25.958809090120901</v>
      </c>
      <c r="BQ98" s="49">
        <v>19.8939237861557</v>
      </c>
      <c r="BR98" s="49">
        <v>33.511929058397598</v>
      </c>
      <c r="BS98" s="49">
        <f>SUBTOTAL(9,BO98:BR98)</f>
        <v>97.6646619346742</v>
      </c>
      <c r="BT98" s="48" t="s">
        <v>0</v>
      </c>
      <c r="BU98" s="47">
        <f>BU$4+SUMIF($C$5:BS$5,"Нараст. по остановкам",$C98:BS98)-SUMIF($C$5:BS$5,"Нараст.  по потенциалу",$C98:BS98)</f>
        <v>872.63500558926398</v>
      </c>
      <c r="BV98" s="2"/>
    </row>
    <row r="99" spans="1:74" ht="1.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>
        <v>1</v>
      </c>
      <c r="AC99" s="3">
        <v>1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>
        <v>1</v>
      </c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2"/>
    </row>
    <row r="100" spans="1:74" ht="11.25" customHeight="1" x14ac:dyDescent="0.25">
      <c r="A100" s="93">
        <v>45345</v>
      </c>
      <c r="B100" s="92" t="s">
        <v>143</v>
      </c>
      <c r="C100" s="89" t="s">
        <v>239</v>
      </c>
      <c r="D100" s="89" t="s">
        <v>204</v>
      </c>
      <c r="E100" s="98"/>
      <c r="F100" s="98"/>
      <c r="G100" s="87">
        <v>490</v>
      </c>
      <c r="H100" s="98"/>
      <c r="I100" s="98"/>
      <c r="J100" s="87">
        <v>0</v>
      </c>
      <c r="K100" s="98"/>
      <c r="L100" s="98"/>
      <c r="M100" s="98"/>
      <c r="N100" s="98"/>
      <c r="O100" s="98"/>
      <c r="P100" s="98"/>
      <c r="Q100" s="98"/>
      <c r="R100" s="87">
        <v>230</v>
      </c>
      <c r="S100" s="87">
        <v>720</v>
      </c>
      <c r="T100" s="86"/>
      <c r="U100" s="98"/>
      <c r="V100" s="91"/>
      <c r="W100" s="90"/>
      <c r="X100" s="98"/>
      <c r="Y100" s="98"/>
      <c r="Z100" s="91"/>
      <c r="AA100" s="90"/>
      <c r="AB100" s="89" t="s">
        <v>209</v>
      </c>
      <c r="AC100" s="89" t="s">
        <v>201</v>
      </c>
      <c r="AD100" s="98"/>
      <c r="AE100" s="98"/>
      <c r="AF100" s="91"/>
      <c r="AG100" s="90"/>
      <c r="AH100" s="98"/>
      <c r="AI100" s="98"/>
      <c r="AJ100" s="88">
        <v>46.6</v>
      </c>
      <c r="AK100" s="89" t="s">
        <v>205</v>
      </c>
      <c r="AL100" s="89"/>
      <c r="AM100" s="98"/>
      <c r="AN100" s="88">
        <v>248.291452380886</v>
      </c>
      <c r="AO100" s="87">
        <v>294.89145238088599</v>
      </c>
      <c r="AP100" s="86"/>
      <c r="AQ100" s="99"/>
      <c r="AR100" s="99"/>
      <c r="AS100" s="84"/>
      <c r="AT100" s="83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82"/>
      <c r="BI100" s="81"/>
      <c r="BJ100" s="98"/>
      <c r="BK100" s="98"/>
      <c r="BL100" s="82"/>
      <c r="BM100" s="82"/>
      <c r="BN100" s="80"/>
      <c r="BO100" s="78"/>
      <c r="BP100" s="78"/>
      <c r="BQ100" s="79"/>
      <c r="BR100" s="78"/>
      <c r="BS100" s="78"/>
      <c r="BT100" s="77">
        <f>BT$4+SUMIF($C$5:BS$5,"Нараст. баланс",$C102:BS102)+SUMIF($C$7:BQ$7,"Итого (с ВНР)",$C102:BQ102)-SUMIF($C$5:BS$5,"Геол. снижение,  т/сут",$C102:BS102)-SUMIF(BR$7:BS$7,"Итого",BR102:BS102)-SUMIF($C$7:BS$7,"Итого (с ВСП)",$C102:BS102)</f>
        <v>30271.018644552812</v>
      </c>
      <c r="BU100" s="76"/>
      <c r="BV100" s="2"/>
    </row>
    <row r="101" spans="1:74" ht="11.25" customHeight="1" x14ac:dyDescent="0.25">
      <c r="A101" s="48" t="s">
        <v>0</v>
      </c>
      <c r="B101" s="75" t="s">
        <v>141</v>
      </c>
      <c r="C101" s="72" t="s">
        <v>250</v>
      </c>
      <c r="D101" s="72" t="s">
        <v>249</v>
      </c>
      <c r="E101" s="96"/>
      <c r="F101" s="96"/>
      <c r="G101" s="66">
        <v>2</v>
      </c>
      <c r="H101" s="96"/>
      <c r="I101" s="96"/>
      <c r="J101" s="66">
        <v>0</v>
      </c>
      <c r="K101" s="96"/>
      <c r="L101" s="96"/>
      <c r="M101" s="96"/>
      <c r="N101" s="96"/>
      <c r="O101" s="96"/>
      <c r="P101" s="96"/>
      <c r="Q101" s="96"/>
      <c r="R101" s="66">
        <v>0</v>
      </c>
      <c r="S101" s="66">
        <v>2</v>
      </c>
      <c r="T101" s="70"/>
      <c r="U101" s="96"/>
      <c r="V101" s="74">
        <f>SUBTOTAL(9,U103:U103)</f>
        <v>0</v>
      </c>
      <c r="W101" s="73"/>
      <c r="X101" s="96"/>
      <c r="Y101" s="96"/>
      <c r="Z101" s="74">
        <f>SUBTOTAL(9,X103:Y103)</f>
        <v>0</v>
      </c>
      <c r="AA101" s="73"/>
      <c r="AB101" s="72" t="s">
        <v>248</v>
      </c>
      <c r="AC101" s="72" t="s">
        <v>247</v>
      </c>
      <c r="AD101" s="96"/>
      <c r="AE101" s="96"/>
      <c r="AF101" s="74">
        <f>SUBTOTAL(9,AB103:AE103)</f>
        <v>2</v>
      </c>
      <c r="AG101" s="73"/>
      <c r="AH101" s="96"/>
      <c r="AI101" s="96"/>
      <c r="AJ101" s="71">
        <f>SUBTOTAL(9,AH103:AI103)</f>
        <v>0</v>
      </c>
      <c r="AK101" s="72" t="s">
        <v>246</v>
      </c>
      <c r="AL101" s="72"/>
      <c r="AM101" s="96"/>
      <c r="AN101" s="71">
        <f>SUBTOTAL(9,AK103:AM103)</f>
        <v>1</v>
      </c>
      <c r="AO101" s="66">
        <f>SUBTOTAL(9,AH103:AM103)</f>
        <v>1</v>
      </c>
      <c r="AP101" s="70"/>
      <c r="AQ101" s="97"/>
      <c r="AR101" s="97"/>
      <c r="AS101" s="68"/>
      <c r="AT101" s="67"/>
      <c r="AU101" s="96"/>
      <c r="AV101" s="96"/>
      <c r="AW101" s="96"/>
      <c r="AX101" s="96"/>
      <c r="AY101" s="96"/>
      <c r="AZ101" s="96"/>
      <c r="BA101" s="96"/>
      <c r="BB101" s="96"/>
      <c r="BC101" s="96"/>
      <c r="BD101" s="96"/>
      <c r="BE101" s="96"/>
      <c r="BF101" s="96"/>
      <c r="BG101" s="96"/>
      <c r="BH101" s="66">
        <f>SUBTOTAL(9,AT103:BG103)</f>
        <v>0</v>
      </c>
      <c r="BI101" s="65"/>
      <c r="BJ101" s="96"/>
      <c r="BK101" s="96"/>
      <c r="BL101" s="66">
        <f>SUBTOTAL(3,BJ101:BK101)</f>
        <v>0</v>
      </c>
      <c r="BM101" s="171"/>
      <c r="BN101" s="64"/>
      <c r="BO101" s="62"/>
      <c r="BP101" s="62"/>
      <c r="BQ101" s="63"/>
      <c r="BR101" s="62"/>
      <c r="BS101" s="62"/>
      <c r="BT101" s="48" t="s">
        <v>0</v>
      </c>
      <c r="BU101" s="61"/>
      <c r="BV101" s="2"/>
    </row>
    <row r="102" spans="1:74" ht="11.25" customHeight="1" x14ac:dyDescent="0.25">
      <c r="A102" s="48" t="s">
        <v>0</v>
      </c>
      <c r="B102" s="60" t="s">
        <v>138</v>
      </c>
      <c r="C102" s="57">
        <v>30</v>
      </c>
      <c r="D102" s="57">
        <v>40</v>
      </c>
      <c r="E102" s="94"/>
      <c r="F102" s="94"/>
      <c r="G102" s="49">
        <f>SUBTOTAL(9,C102:F102)</f>
        <v>70</v>
      </c>
      <c r="H102" s="94"/>
      <c r="I102" s="94"/>
      <c r="J102" s="49">
        <f>SUBTOTAL(9,H102:I102)</f>
        <v>0</v>
      </c>
      <c r="K102" s="94"/>
      <c r="L102" s="94"/>
      <c r="M102" s="94"/>
      <c r="N102" s="94"/>
      <c r="O102" s="94"/>
      <c r="P102" s="94"/>
      <c r="Q102" s="94"/>
      <c r="R102" s="49">
        <f>SUBTOTAL(9,K102:Q102)</f>
        <v>0</v>
      </c>
      <c r="S102" s="49">
        <f>SUBTOTAL(9,C102:Q102)</f>
        <v>70</v>
      </c>
      <c r="T102" s="56">
        <v>720</v>
      </c>
      <c r="U102" s="94"/>
      <c r="V102" s="59">
        <f>SUBTOTAL(9,U102:U102)</f>
        <v>0</v>
      </c>
      <c r="W102" s="58">
        <f>V102+IF($B98=2,0,W98)</f>
        <v>31</v>
      </c>
      <c r="X102" s="94"/>
      <c r="Y102" s="94"/>
      <c r="Z102" s="59">
        <f>SUBTOTAL(9,X102:Y102)</f>
        <v>0</v>
      </c>
      <c r="AA102" s="58">
        <f>Z102+IF($B98=2,0,AA98)</f>
        <v>0</v>
      </c>
      <c r="AB102" s="57">
        <v>14</v>
      </c>
      <c r="AC102" s="57">
        <v>4</v>
      </c>
      <c r="AD102" s="94"/>
      <c r="AE102" s="94"/>
      <c r="AF102" s="59">
        <f>SUBTOTAL(9,AB102:AE102)</f>
        <v>18</v>
      </c>
      <c r="AG102" s="58">
        <f>AF102+IF($B98=2,0,AG98)</f>
        <v>118</v>
      </c>
      <c r="AH102" s="94"/>
      <c r="AI102" s="94"/>
      <c r="AJ102" s="52">
        <f>SUBTOTAL(9,AH102:AI102)</f>
        <v>0</v>
      </c>
      <c r="AK102" s="57">
        <v>1.4</v>
      </c>
      <c r="AL102" s="57">
        <v>15.239000000000001</v>
      </c>
      <c r="AM102" s="94"/>
      <c r="AN102" s="52">
        <f>SUBTOTAL(9,AK102:AM102)</f>
        <v>16.638999999999999</v>
      </c>
      <c r="AO102" s="49">
        <f>SUBTOTAL(9,AH102:AM102)</f>
        <v>16.638999999999999</v>
      </c>
      <c r="AP102" s="56">
        <f>AO102+IF($B98=2,0,AP98)</f>
        <v>294.89145238088582</v>
      </c>
      <c r="AQ102" s="95">
        <v>340.8</v>
      </c>
      <c r="AR102" s="95">
        <v>340.8</v>
      </c>
      <c r="AS102" s="54">
        <v>1150</v>
      </c>
      <c r="AT102" s="53">
        <v>11.9593333333</v>
      </c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49">
        <f>SUBTOTAL(9,AT102:BG102)</f>
        <v>11.9593333333</v>
      </c>
      <c r="BI102" s="52">
        <f>BH102+IF($B98=2,0,BI98)</f>
        <v>515.24238095228577</v>
      </c>
      <c r="BJ102" s="94"/>
      <c r="BK102" s="94"/>
      <c r="BL102" s="49">
        <f>SUBTOTAL(9,BJ102:BK102)</f>
        <v>0</v>
      </c>
      <c r="BM102" s="49">
        <f>BL102+IF($B98=2,0,BM98)</f>
        <v>23</v>
      </c>
      <c r="BN102" s="51">
        <f>SUMIF($C$5:BM$5,"Накопленный эффект, т/сут",$C102:BM102)+SUMIF($C$5:BM$5,"Нараст.  по потенциалу",$C102:BM102)-SUMIF($C$5:BM$5,"Нараст. по остановкам",$C102:BM102)-SUMIF($C$5:BM$5,"ИТОГО перевод в ППД",$C102:BM102)-SUMIF($C$5:BM$5,"ИТОГО  нерент, по распоряж.",$C102:BM102)-SUMIF($C$5:BM$5,"ИТОГО ост. дебит от ЗБС, Углуб., ПВЛГ/ПНЛГ",$C102:BM102)</f>
        <v>625.6490714286</v>
      </c>
      <c r="BO102" s="49">
        <v>18.3</v>
      </c>
      <c r="BP102" s="49">
        <v>75.423664779016406</v>
      </c>
      <c r="BQ102" s="50"/>
      <c r="BR102" s="49">
        <v>13.750762096774199</v>
      </c>
      <c r="BS102" s="49">
        <f>SUBTOTAL(9,BO102:BR102)</f>
        <v>107.4744268757906</v>
      </c>
      <c r="BT102" s="48" t="s">
        <v>0</v>
      </c>
      <c r="BU102" s="47">
        <f>BU$4+SUMIF($C$5:BS$5,"Нараст. по остановкам",$C102:BS102)-SUMIF($C$5:BS$5,"Нараст.  по потенциалу",$C102:BS102)</f>
        <v>867.9553389225639</v>
      </c>
      <c r="BV102" s="2"/>
    </row>
    <row r="103" spans="1:74" ht="1.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>
        <v>1</v>
      </c>
      <c r="AC103" s="3">
        <v>1</v>
      </c>
      <c r="AD103" s="3"/>
      <c r="AE103" s="3"/>
      <c r="AF103" s="3"/>
      <c r="AG103" s="3"/>
      <c r="AH103" s="3"/>
      <c r="AI103" s="3"/>
      <c r="AJ103" s="3"/>
      <c r="AK103" s="3">
        <v>1</v>
      </c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2"/>
    </row>
    <row r="104" spans="1:74" ht="11.25" customHeight="1" x14ac:dyDescent="0.25">
      <c r="A104" s="93">
        <v>45346</v>
      </c>
      <c r="B104" s="92" t="s">
        <v>143</v>
      </c>
      <c r="C104" s="98"/>
      <c r="D104" s="98"/>
      <c r="E104" s="98"/>
      <c r="F104" s="98"/>
      <c r="G104" s="87">
        <v>490</v>
      </c>
      <c r="H104" s="98"/>
      <c r="I104" s="98"/>
      <c r="J104" s="87">
        <v>0</v>
      </c>
      <c r="K104" s="98"/>
      <c r="L104" s="98"/>
      <c r="M104" s="98"/>
      <c r="N104" s="98"/>
      <c r="O104" s="98"/>
      <c r="P104" s="98"/>
      <c r="Q104" s="98"/>
      <c r="R104" s="87">
        <v>230</v>
      </c>
      <c r="S104" s="87">
        <v>720</v>
      </c>
      <c r="T104" s="86"/>
      <c r="U104" s="98"/>
      <c r="V104" s="91"/>
      <c r="W104" s="90"/>
      <c r="X104" s="98"/>
      <c r="Y104" s="98"/>
      <c r="Z104" s="91"/>
      <c r="AA104" s="90"/>
      <c r="AB104" s="89" t="s">
        <v>207</v>
      </c>
      <c r="AC104" s="89" t="s">
        <v>209</v>
      </c>
      <c r="AD104" s="89" t="s">
        <v>203</v>
      </c>
      <c r="AE104" s="98"/>
      <c r="AF104" s="91"/>
      <c r="AG104" s="90"/>
      <c r="AH104" s="98"/>
      <c r="AI104" s="98"/>
      <c r="AJ104" s="88">
        <v>46.6</v>
      </c>
      <c r="AK104" s="98"/>
      <c r="AL104" s="98"/>
      <c r="AM104" s="98"/>
      <c r="AN104" s="88">
        <v>248.291452380886</v>
      </c>
      <c r="AO104" s="87">
        <v>294.89145238088599</v>
      </c>
      <c r="AP104" s="86"/>
      <c r="AQ104" s="99"/>
      <c r="AR104" s="99"/>
      <c r="AS104" s="84"/>
      <c r="AT104" s="83" t="s">
        <v>205</v>
      </c>
      <c r="AU104" s="83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82"/>
      <c r="BI104" s="81"/>
      <c r="BJ104" s="98"/>
      <c r="BK104" s="98"/>
      <c r="BL104" s="82"/>
      <c r="BM104" s="82"/>
      <c r="BN104" s="80"/>
      <c r="BO104" s="78"/>
      <c r="BP104" s="78"/>
      <c r="BQ104" s="79"/>
      <c r="BR104" s="79"/>
      <c r="BS104" s="78"/>
      <c r="BT104" s="77">
        <f>BT$4+SUMIF($C$5:BS$5,"Нараст. баланс",$C106:BS106)+SUMIF($C$7:BQ$7,"Итого (с ВНР)",$C106:BQ106)-SUMIF($C$5:BS$5,"Геол. снижение,  т/сут",$C106:BS106)-SUMIF(BR$7:BS$7,"Итого",BR106:BS106)-SUMIF($C$7:BS$7,"Итого (с ВСП)",$C106:BS106)</f>
        <v>30322.892029343991</v>
      </c>
      <c r="BU104" s="76"/>
      <c r="BV104" s="2"/>
    </row>
    <row r="105" spans="1:74" ht="11.25" customHeight="1" x14ac:dyDescent="0.25">
      <c r="A105" s="48" t="s">
        <v>0</v>
      </c>
      <c r="B105" s="75" t="s">
        <v>141</v>
      </c>
      <c r="C105" s="96"/>
      <c r="D105" s="96"/>
      <c r="E105" s="96"/>
      <c r="F105" s="96"/>
      <c r="G105" s="66">
        <v>0</v>
      </c>
      <c r="H105" s="96"/>
      <c r="I105" s="96"/>
      <c r="J105" s="66">
        <v>0</v>
      </c>
      <c r="K105" s="96"/>
      <c r="L105" s="96"/>
      <c r="M105" s="96"/>
      <c r="N105" s="96"/>
      <c r="O105" s="96"/>
      <c r="P105" s="96"/>
      <c r="Q105" s="96"/>
      <c r="R105" s="66">
        <v>0</v>
      </c>
      <c r="S105" s="66">
        <v>0</v>
      </c>
      <c r="T105" s="70"/>
      <c r="U105" s="96"/>
      <c r="V105" s="74">
        <f>SUBTOTAL(9,U107:U107)</f>
        <v>0</v>
      </c>
      <c r="W105" s="73"/>
      <c r="X105" s="96"/>
      <c r="Y105" s="96"/>
      <c r="Z105" s="74">
        <f>SUBTOTAL(9,X107:Y107)</f>
        <v>0</v>
      </c>
      <c r="AA105" s="73"/>
      <c r="AB105" s="72" t="s">
        <v>245</v>
      </c>
      <c r="AC105" s="72" t="s">
        <v>244</v>
      </c>
      <c r="AD105" s="72" t="s">
        <v>243</v>
      </c>
      <c r="AE105" s="96"/>
      <c r="AF105" s="74">
        <f>SUBTOTAL(9,AB107:AE107)</f>
        <v>3</v>
      </c>
      <c r="AG105" s="73"/>
      <c r="AH105" s="96"/>
      <c r="AI105" s="96"/>
      <c r="AJ105" s="71">
        <f>SUBTOTAL(9,AH107:AI107)</f>
        <v>0</v>
      </c>
      <c r="AK105" s="96"/>
      <c r="AL105" s="96"/>
      <c r="AM105" s="96"/>
      <c r="AN105" s="71">
        <f>SUBTOTAL(9,AK107:AM107)</f>
        <v>0</v>
      </c>
      <c r="AO105" s="66">
        <f>SUBTOTAL(9,AH107:AM107)</f>
        <v>0</v>
      </c>
      <c r="AP105" s="70"/>
      <c r="AQ105" s="97"/>
      <c r="AR105" s="97"/>
      <c r="AS105" s="68"/>
      <c r="AT105" s="67" t="s">
        <v>242</v>
      </c>
      <c r="AU105" s="67"/>
      <c r="AV105" s="96"/>
      <c r="AW105" s="96"/>
      <c r="AX105" s="96"/>
      <c r="AY105" s="96"/>
      <c r="AZ105" s="96"/>
      <c r="BA105" s="96"/>
      <c r="BB105" s="96"/>
      <c r="BC105" s="96"/>
      <c r="BD105" s="96"/>
      <c r="BE105" s="96"/>
      <c r="BF105" s="96"/>
      <c r="BG105" s="96"/>
      <c r="BH105" s="66">
        <f>SUBTOTAL(9,AT107:BG107)</f>
        <v>1</v>
      </c>
      <c r="BI105" s="65"/>
      <c r="BJ105" s="96"/>
      <c r="BK105" s="96"/>
      <c r="BL105" s="66">
        <f>SUBTOTAL(3,BJ105:BK105)</f>
        <v>0</v>
      </c>
      <c r="BM105" s="171"/>
      <c r="BN105" s="64"/>
      <c r="BO105" s="62"/>
      <c r="BP105" s="62"/>
      <c r="BQ105" s="63"/>
      <c r="BR105" s="63"/>
      <c r="BS105" s="62"/>
      <c r="BT105" s="48" t="s">
        <v>0</v>
      </c>
      <c r="BU105" s="61"/>
      <c r="BV105" s="2"/>
    </row>
    <row r="106" spans="1:74" ht="11.25" customHeight="1" x14ac:dyDescent="0.25">
      <c r="A106" s="48" t="s">
        <v>0</v>
      </c>
      <c r="B106" s="60" t="s">
        <v>138</v>
      </c>
      <c r="C106" s="94"/>
      <c r="D106" s="94"/>
      <c r="E106" s="94"/>
      <c r="F106" s="94"/>
      <c r="G106" s="49">
        <f>SUBTOTAL(9,C106:F106)</f>
        <v>0</v>
      </c>
      <c r="H106" s="94"/>
      <c r="I106" s="94"/>
      <c r="J106" s="49">
        <f>SUBTOTAL(9,H106:I106)</f>
        <v>0</v>
      </c>
      <c r="K106" s="94"/>
      <c r="L106" s="94"/>
      <c r="M106" s="94"/>
      <c r="N106" s="94"/>
      <c r="O106" s="94"/>
      <c r="P106" s="94"/>
      <c r="Q106" s="94"/>
      <c r="R106" s="49">
        <f>SUBTOTAL(9,K106:Q106)</f>
        <v>0</v>
      </c>
      <c r="S106" s="49">
        <f>SUBTOTAL(9,C106:Q106)</f>
        <v>0</v>
      </c>
      <c r="T106" s="56">
        <v>720</v>
      </c>
      <c r="U106" s="94"/>
      <c r="V106" s="59">
        <f>SUBTOTAL(9,U106:U106)</f>
        <v>0</v>
      </c>
      <c r="W106" s="58">
        <f>V106+IF($B102=2,0,W102)</f>
        <v>31</v>
      </c>
      <c r="X106" s="94"/>
      <c r="Y106" s="94"/>
      <c r="Z106" s="59">
        <f>SUBTOTAL(9,X106:Y106)</f>
        <v>0</v>
      </c>
      <c r="AA106" s="58">
        <f>Z106+IF($B102=2,0,AA102)</f>
        <v>0</v>
      </c>
      <c r="AB106" s="57">
        <v>5</v>
      </c>
      <c r="AC106" s="57">
        <v>6</v>
      </c>
      <c r="AD106" s="57">
        <v>10</v>
      </c>
      <c r="AE106" s="94"/>
      <c r="AF106" s="59">
        <f>SUBTOTAL(9,AB106:AE106)</f>
        <v>21</v>
      </c>
      <c r="AG106" s="58">
        <f>AF106+IF($B102=2,0,AG102)</f>
        <v>139</v>
      </c>
      <c r="AH106" s="94"/>
      <c r="AI106" s="94"/>
      <c r="AJ106" s="52">
        <f>SUBTOTAL(9,AH106:AI106)</f>
        <v>0</v>
      </c>
      <c r="AK106" s="94"/>
      <c r="AL106" s="94"/>
      <c r="AM106" s="94"/>
      <c r="AN106" s="52">
        <f>SUBTOTAL(9,AK106:AM106)</f>
        <v>0</v>
      </c>
      <c r="AO106" s="49">
        <f>SUBTOTAL(9,AH106:AM106)</f>
        <v>0</v>
      </c>
      <c r="AP106" s="56">
        <f>AO106+IF($B102=2,0,AP102)</f>
        <v>294.89145238088582</v>
      </c>
      <c r="AQ106" s="95">
        <v>360.8</v>
      </c>
      <c r="AR106" s="95">
        <v>360.8</v>
      </c>
      <c r="AS106" s="54">
        <v>1200</v>
      </c>
      <c r="AT106" s="53">
        <v>1.8</v>
      </c>
      <c r="AU106" s="53">
        <v>9</v>
      </c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49">
        <f>SUBTOTAL(9,AT106:BG106)</f>
        <v>10.8</v>
      </c>
      <c r="BI106" s="52">
        <f>BH106+IF($B102=2,0,BI102)</f>
        <v>526.04238095228573</v>
      </c>
      <c r="BJ106" s="94"/>
      <c r="BK106" s="94"/>
      <c r="BL106" s="49">
        <f>SUBTOTAL(9,BJ106:BK106)</f>
        <v>0</v>
      </c>
      <c r="BM106" s="49">
        <f>BL106+IF($B102=2,0,BM102)</f>
        <v>23</v>
      </c>
      <c r="BN106" s="51">
        <f>SUMIF($C$5:BM$5,"Накопленный эффект, т/сут",$C106:BM106)+SUMIF($C$5:BM$5,"Нараст.  по потенциалу",$C106:BM106)-SUMIF($C$5:BM$5,"Нараст. по остановкам",$C106:BM106)-SUMIF($C$5:BM$5,"ИТОГО перевод в ППД",$C106:BM106)-SUMIF($C$5:BM$5,"ИТОГО  нерент, по распоряж.",$C106:BM106)-SUMIF($C$5:BM$5,"ИТОГО ост. дебит от ЗБС, Углуб., ПВЛГ/ПНЛГ",$C106:BM106)</f>
        <v>635.84907142860004</v>
      </c>
      <c r="BO106" s="49">
        <v>18.3</v>
      </c>
      <c r="BP106" s="49">
        <v>17.501042084610798</v>
      </c>
      <c r="BQ106" s="50"/>
      <c r="BR106" s="50"/>
      <c r="BS106" s="49">
        <f>SUBTOTAL(9,BO106:BR106)</f>
        <v>35.801042084610799</v>
      </c>
      <c r="BT106" s="48" t="s">
        <v>0</v>
      </c>
      <c r="BU106" s="47">
        <f>BU$4+SUMIF($C$5:BS$5,"Нараст. по остановкам",$C106:BS106)-SUMIF($C$5:BS$5,"Нараст.  по потенциалу",$C106:BS106)</f>
        <v>878.75533892256408</v>
      </c>
      <c r="BV106" s="2"/>
    </row>
    <row r="107" spans="1:74" ht="1.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>
        <v>1</v>
      </c>
      <c r="AC107" s="3">
        <v>1</v>
      </c>
      <c r="AD107" s="3">
        <v>1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>
        <v>1</v>
      </c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2"/>
    </row>
    <row r="108" spans="1:74" ht="11.25" customHeight="1" x14ac:dyDescent="0.25">
      <c r="A108" s="93">
        <v>45347</v>
      </c>
      <c r="B108" s="92" t="s">
        <v>143</v>
      </c>
      <c r="C108" s="89" t="s">
        <v>241</v>
      </c>
      <c r="D108" s="89" t="s">
        <v>240</v>
      </c>
      <c r="E108" s="89" t="s">
        <v>239</v>
      </c>
      <c r="F108" s="98"/>
      <c r="G108" s="87">
        <v>610</v>
      </c>
      <c r="H108" s="98"/>
      <c r="I108" s="98"/>
      <c r="J108" s="87">
        <v>0</v>
      </c>
      <c r="K108" s="98"/>
      <c r="L108" s="98"/>
      <c r="M108" s="98"/>
      <c r="N108" s="98"/>
      <c r="O108" s="98"/>
      <c r="P108" s="98"/>
      <c r="Q108" s="98"/>
      <c r="R108" s="87">
        <v>230</v>
      </c>
      <c r="S108" s="87">
        <v>840</v>
      </c>
      <c r="T108" s="86"/>
      <c r="U108" s="98"/>
      <c r="V108" s="91"/>
      <c r="W108" s="90"/>
      <c r="X108" s="89" t="s">
        <v>203</v>
      </c>
      <c r="Y108" s="98"/>
      <c r="Z108" s="91"/>
      <c r="AA108" s="90"/>
      <c r="AB108" s="89" t="s">
        <v>238</v>
      </c>
      <c r="AC108" s="89" t="s">
        <v>200</v>
      </c>
      <c r="AD108" s="98"/>
      <c r="AE108" s="98"/>
      <c r="AF108" s="91"/>
      <c r="AG108" s="90"/>
      <c r="AH108" s="98"/>
      <c r="AI108" s="98"/>
      <c r="AJ108" s="88">
        <v>46.6</v>
      </c>
      <c r="AK108" s="89" t="s">
        <v>205</v>
      </c>
      <c r="AL108" s="98"/>
      <c r="AM108" s="98"/>
      <c r="AN108" s="88">
        <v>251.69145238088601</v>
      </c>
      <c r="AO108" s="87">
        <v>298.29145238088603</v>
      </c>
      <c r="AP108" s="86"/>
      <c r="AQ108" s="99"/>
      <c r="AR108" s="99"/>
      <c r="AS108" s="84"/>
      <c r="AT108" s="83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82"/>
      <c r="BI108" s="81"/>
      <c r="BJ108" s="98"/>
      <c r="BK108" s="98"/>
      <c r="BL108" s="82"/>
      <c r="BM108" s="82"/>
      <c r="BN108" s="80"/>
      <c r="BO108" s="78"/>
      <c r="BP108" s="78"/>
      <c r="BQ108" s="78"/>
      <c r="BR108" s="79"/>
      <c r="BS108" s="78"/>
      <c r="BT108" s="77">
        <f>BT$4+SUMIF($C$5:BS$5,"Нараст. баланс",$C110:BS110)+SUMIF($C$7:BQ$7,"Итого (с ВНР)",$C110:BQ110)-SUMIF($C$5:BS$5,"Геол. снижение,  т/сут",$C110:BS110)-SUMIF(BR$7:BS$7,"Итого",BR110:BS110)-SUMIF($C$7:BS$7,"Итого (с ВСП)",$C110:BS110)</f>
        <v>29471.669780872144</v>
      </c>
      <c r="BU108" s="76"/>
      <c r="BV108" s="2"/>
    </row>
    <row r="109" spans="1:74" ht="11.25" customHeight="1" x14ac:dyDescent="0.25">
      <c r="A109" s="48" t="s">
        <v>0</v>
      </c>
      <c r="B109" s="75" t="s">
        <v>141</v>
      </c>
      <c r="C109" s="72" t="s">
        <v>237</v>
      </c>
      <c r="D109" s="72" t="s">
        <v>236</v>
      </c>
      <c r="E109" s="72" t="s">
        <v>235</v>
      </c>
      <c r="F109" s="96"/>
      <c r="G109" s="66">
        <v>3</v>
      </c>
      <c r="H109" s="96"/>
      <c r="I109" s="96"/>
      <c r="J109" s="66">
        <v>0</v>
      </c>
      <c r="K109" s="96"/>
      <c r="L109" s="96"/>
      <c r="M109" s="96"/>
      <c r="N109" s="96"/>
      <c r="O109" s="96"/>
      <c r="P109" s="96"/>
      <c r="Q109" s="96"/>
      <c r="R109" s="66">
        <v>0</v>
      </c>
      <c r="S109" s="66">
        <v>3</v>
      </c>
      <c r="T109" s="70"/>
      <c r="U109" s="96"/>
      <c r="V109" s="74">
        <f>SUBTOTAL(9,U111:U111)</f>
        <v>0</v>
      </c>
      <c r="W109" s="73"/>
      <c r="X109" s="72" t="s">
        <v>234</v>
      </c>
      <c r="Y109" s="96"/>
      <c r="Z109" s="74">
        <f>SUBTOTAL(9,X111:Y111)</f>
        <v>1</v>
      </c>
      <c r="AA109" s="73"/>
      <c r="AB109" s="72" t="s">
        <v>233</v>
      </c>
      <c r="AC109" s="72" t="s">
        <v>232</v>
      </c>
      <c r="AD109" s="96"/>
      <c r="AE109" s="96"/>
      <c r="AF109" s="74">
        <f>SUBTOTAL(9,AB111:AE111)</f>
        <v>2</v>
      </c>
      <c r="AG109" s="73"/>
      <c r="AH109" s="96"/>
      <c r="AI109" s="96"/>
      <c r="AJ109" s="71">
        <f>SUBTOTAL(9,AH111:AI111)</f>
        <v>0</v>
      </c>
      <c r="AK109" s="72" t="s">
        <v>231</v>
      </c>
      <c r="AL109" s="96"/>
      <c r="AM109" s="96"/>
      <c r="AN109" s="71">
        <f>SUBTOTAL(9,AK111:AM111)</f>
        <v>1</v>
      </c>
      <c r="AO109" s="66">
        <f>SUBTOTAL(9,AH111:AM111)</f>
        <v>1</v>
      </c>
      <c r="AP109" s="70"/>
      <c r="AQ109" s="97"/>
      <c r="AR109" s="97"/>
      <c r="AS109" s="68"/>
      <c r="AT109" s="67"/>
      <c r="AU109" s="96"/>
      <c r="AV109" s="96"/>
      <c r="AW109" s="96"/>
      <c r="AX109" s="96"/>
      <c r="AY109" s="96"/>
      <c r="AZ109" s="96"/>
      <c r="BA109" s="96"/>
      <c r="BB109" s="96"/>
      <c r="BC109" s="96"/>
      <c r="BD109" s="96"/>
      <c r="BE109" s="96"/>
      <c r="BF109" s="96"/>
      <c r="BG109" s="96"/>
      <c r="BH109" s="66">
        <f>SUBTOTAL(9,AT111:BG111)</f>
        <v>0</v>
      </c>
      <c r="BI109" s="65"/>
      <c r="BJ109" s="96"/>
      <c r="BK109" s="96"/>
      <c r="BL109" s="66">
        <f>SUBTOTAL(3,BJ109:BK109)</f>
        <v>0</v>
      </c>
      <c r="BM109" s="171"/>
      <c r="BN109" s="64"/>
      <c r="BO109" s="62"/>
      <c r="BP109" s="62"/>
      <c r="BQ109" s="62"/>
      <c r="BR109" s="63"/>
      <c r="BS109" s="62"/>
      <c r="BT109" s="48" t="s">
        <v>0</v>
      </c>
      <c r="BU109" s="61"/>
      <c r="BV109" s="2"/>
    </row>
    <row r="110" spans="1:74" ht="11.25" customHeight="1" x14ac:dyDescent="0.25">
      <c r="A110" s="48" t="s">
        <v>0</v>
      </c>
      <c r="B110" s="60" t="s">
        <v>138</v>
      </c>
      <c r="C110" s="57">
        <v>30</v>
      </c>
      <c r="D110" s="57">
        <v>40</v>
      </c>
      <c r="E110" s="57">
        <v>50</v>
      </c>
      <c r="F110" s="94"/>
      <c r="G110" s="49">
        <f>SUBTOTAL(9,C110:F110)</f>
        <v>120</v>
      </c>
      <c r="H110" s="94"/>
      <c r="I110" s="94"/>
      <c r="J110" s="49">
        <f>SUBTOTAL(9,H110:I110)</f>
        <v>0</v>
      </c>
      <c r="K110" s="94"/>
      <c r="L110" s="94"/>
      <c r="M110" s="94"/>
      <c r="N110" s="94"/>
      <c r="O110" s="94"/>
      <c r="P110" s="94"/>
      <c r="Q110" s="94"/>
      <c r="R110" s="49">
        <f>SUBTOTAL(9,K110:Q110)</f>
        <v>0</v>
      </c>
      <c r="S110" s="49">
        <f>SUBTOTAL(9,C110:Q110)</f>
        <v>120</v>
      </c>
      <c r="T110" s="56">
        <v>840</v>
      </c>
      <c r="U110" s="94"/>
      <c r="V110" s="59">
        <f>SUBTOTAL(9,U110:U110)</f>
        <v>0</v>
      </c>
      <c r="W110" s="58">
        <f>V110+IF($B106=2,0,W106)</f>
        <v>31</v>
      </c>
      <c r="X110" s="57">
        <v>40</v>
      </c>
      <c r="Y110" s="94"/>
      <c r="Z110" s="59">
        <f>SUBTOTAL(9,X110:Y110)</f>
        <v>40</v>
      </c>
      <c r="AA110" s="58">
        <f>Z110+IF($B106=2,0,AA106)</f>
        <v>40</v>
      </c>
      <c r="AB110" s="57">
        <v>3</v>
      </c>
      <c r="AC110" s="57">
        <v>4</v>
      </c>
      <c r="AD110" s="94"/>
      <c r="AE110" s="94"/>
      <c r="AF110" s="59">
        <f>SUBTOTAL(9,AB110:AE110)</f>
        <v>7</v>
      </c>
      <c r="AG110" s="58">
        <f>AF110+IF($B106=2,0,AG106)</f>
        <v>146</v>
      </c>
      <c r="AH110" s="94"/>
      <c r="AI110" s="94"/>
      <c r="AJ110" s="52">
        <f>SUBTOTAL(9,AH110:AI110)</f>
        <v>0</v>
      </c>
      <c r="AK110" s="57">
        <v>3.4</v>
      </c>
      <c r="AL110" s="94"/>
      <c r="AM110" s="94"/>
      <c r="AN110" s="52">
        <f>SUBTOTAL(9,AK110:AM110)</f>
        <v>3.4</v>
      </c>
      <c r="AO110" s="49">
        <f>SUBTOTAL(9,AH110:AM110)</f>
        <v>3.4</v>
      </c>
      <c r="AP110" s="56">
        <f>AO110+IF($B106=2,0,AP106)</f>
        <v>298.2914523808858</v>
      </c>
      <c r="AQ110" s="95">
        <v>371.9</v>
      </c>
      <c r="AR110" s="95">
        <v>371.9</v>
      </c>
      <c r="AS110" s="54">
        <v>1250</v>
      </c>
      <c r="AT110" s="53">
        <v>3.1</v>
      </c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49">
        <f>SUBTOTAL(9,AT110:BG110)</f>
        <v>3.1</v>
      </c>
      <c r="BI110" s="52">
        <f>BH110+IF($B106=2,0,BI106)</f>
        <v>529.14238095228575</v>
      </c>
      <c r="BJ110" s="94"/>
      <c r="BK110" s="94"/>
      <c r="BL110" s="49">
        <f>SUBTOTAL(9,BJ110:BK110)</f>
        <v>0</v>
      </c>
      <c r="BM110" s="49">
        <f>BL110+IF($B106=2,0,BM106)</f>
        <v>23</v>
      </c>
      <c r="BN110" s="51">
        <f>SUMIF($C$5:BM$5,"Накопленный эффект, т/сут",$C110:BM110)+SUMIF($C$5:BM$5,"Нараст.  по потенциалу",$C110:BM110)-SUMIF($C$5:BM$5,"Нараст. по остановкам",$C110:BM110)-SUMIF($C$5:BM$5,"ИТОГО перевод в ППД",$C110:BM110)-SUMIF($C$5:BM$5,"ИТОГО  нерент, по распоряж.",$C110:BM110)-SUMIF($C$5:BM$5,"ИТОГО ост. дебит от ЗБС, Углуб., ПВЛГ/ПНЛГ",$C110:BM110)</f>
        <v>803.14907142860011</v>
      </c>
      <c r="BO110" s="49">
        <v>10.1</v>
      </c>
      <c r="BP110" s="49">
        <v>5.10948561827957</v>
      </c>
      <c r="BQ110" s="49">
        <v>1000.21380493818</v>
      </c>
      <c r="BR110" s="50"/>
      <c r="BS110" s="49">
        <f>SUBTOTAL(9,BO110:BR110)</f>
        <v>1015.4232905564596</v>
      </c>
      <c r="BT110" s="48" t="s">
        <v>0</v>
      </c>
      <c r="BU110" s="47">
        <f>BU$4+SUMIF($C$5:BS$5,"Нараст. по остановкам",$C110:BS110)-SUMIF($C$5:BS$5,"Нараст.  по потенциалу",$C110:BS110)</f>
        <v>878.4553389225639</v>
      </c>
      <c r="BV110" s="2"/>
    </row>
    <row r="111" spans="1:74" ht="1.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>
        <v>1</v>
      </c>
      <c r="Y111" s="3"/>
      <c r="Z111" s="3"/>
      <c r="AA111" s="3"/>
      <c r="AB111" s="3">
        <v>1</v>
      </c>
      <c r="AC111" s="3">
        <v>1</v>
      </c>
      <c r="AD111" s="3"/>
      <c r="AE111" s="3"/>
      <c r="AF111" s="3"/>
      <c r="AG111" s="3"/>
      <c r="AH111" s="3"/>
      <c r="AI111" s="3"/>
      <c r="AJ111" s="3"/>
      <c r="AK111" s="3">
        <v>1</v>
      </c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2"/>
    </row>
    <row r="112" spans="1:74" ht="11.25" customHeight="1" x14ac:dyDescent="0.25">
      <c r="A112" s="93">
        <v>45348</v>
      </c>
      <c r="B112" s="92" t="s">
        <v>143</v>
      </c>
      <c r="C112" s="89" t="s">
        <v>211</v>
      </c>
      <c r="D112" s="98"/>
      <c r="E112" s="98"/>
      <c r="F112" s="98"/>
      <c r="G112" s="87">
        <v>660</v>
      </c>
      <c r="H112" s="98"/>
      <c r="I112" s="98"/>
      <c r="J112" s="87">
        <v>0</v>
      </c>
      <c r="K112" s="98"/>
      <c r="L112" s="98"/>
      <c r="M112" s="98"/>
      <c r="N112" s="98"/>
      <c r="O112" s="98"/>
      <c r="P112" s="98"/>
      <c r="Q112" s="98"/>
      <c r="R112" s="87">
        <v>230</v>
      </c>
      <c r="S112" s="87">
        <v>890</v>
      </c>
      <c r="T112" s="86"/>
      <c r="U112" s="98"/>
      <c r="V112" s="91"/>
      <c r="W112" s="90"/>
      <c r="X112" s="98"/>
      <c r="Y112" s="98"/>
      <c r="Z112" s="91"/>
      <c r="AA112" s="90"/>
      <c r="AB112" s="89" t="s">
        <v>200</v>
      </c>
      <c r="AC112" s="89" t="s">
        <v>204</v>
      </c>
      <c r="AD112" s="98"/>
      <c r="AE112" s="98"/>
      <c r="AF112" s="91"/>
      <c r="AG112" s="90"/>
      <c r="AH112" s="98"/>
      <c r="AI112" s="98"/>
      <c r="AJ112" s="88">
        <v>46.6</v>
      </c>
      <c r="AK112" s="89"/>
      <c r="AL112" s="98"/>
      <c r="AM112" s="98"/>
      <c r="AN112" s="88">
        <v>267.19145238088601</v>
      </c>
      <c r="AO112" s="87">
        <v>313.79145238088603</v>
      </c>
      <c r="AP112" s="86"/>
      <c r="AQ112" s="99"/>
      <c r="AR112" s="99"/>
      <c r="AS112" s="84"/>
      <c r="AT112" s="83" t="s">
        <v>205</v>
      </c>
      <c r="AU112" s="98"/>
      <c r="AV112" s="98"/>
      <c r="AW112" s="98"/>
      <c r="AX112" s="98"/>
      <c r="AY112" s="98"/>
      <c r="AZ112" s="98"/>
      <c r="BA112" s="98"/>
      <c r="BB112" s="98"/>
      <c r="BC112" s="98"/>
      <c r="BD112" s="98"/>
      <c r="BE112" s="98"/>
      <c r="BF112" s="98"/>
      <c r="BG112" s="98"/>
      <c r="BH112" s="82"/>
      <c r="BI112" s="81"/>
      <c r="BJ112" s="98"/>
      <c r="BK112" s="98"/>
      <c r="BL112" s="82"/>
      <c r="BM112" s="82"/>
      <c r="BN112" s="80"/>
      <c r="BO112" s="78"/>
      <c r="BP112" s="78"/>
      <c r="BQ112" s="79"/>
      <c r="BR112" s="78"/>
      <c r="BS112" s="78"/>
      <c r="BT112" s="77">
        <f>BT$4+SUMIF($C$5:BS$5,"Нараст. баланс",$C114:BS114)+SUMIF($C$7:BQ$7,"Итого (с ВНР)",$C114:BQ114)-SUMIF($C$5:BS$5,"Геол. снижение,  т/сут",$C114:BS114)-SUMIF(BR$7:BS$7,"Итого",BR114:BS114)-SUMIF($C$7:BS$7,"Итого (с ВСП)",$C114:BS114)</f>
        <v>30498.689054314964</v>
      </c>
      <c r="BU112" s="76"/>
      <c r="BV112" s="2"/>
    </row>
    <row r="113" spans="1:74" ht="11.25" customHeight="1" x14ac:dyDescent="0.25">
      <c r="A113" s="48" t="s">
        <v>0</v>
      </c>
      <c r="B113" s="75" t="s">
        <v>141</v>
      </c>
      <c r="C113" s="72" t="s">
        <v>230</v>
      </c>
      <c r="D113" s="96"/>
      <c r="E113" s="96"/>
      <c r="F113" s="96"/>
      <c r="G113" s="66">
        <v>1</v>
      </c>
      <c r="H113" s="96"/>
      <c r="I113" s="96"/>
      <c r="J113" s="66">
        <v>0</v>
      </c>
      <c r="K113" s="96"/>
      <c r="L113" s="96"/>
      <c r="M113" s="96"/>
      <c r="N113" s="96"/>
      <c r="O113" s="96"/>
      <c r="P113" s="96"/>
      <c r="Q113" s="96"/>
      <c r="R113" s="66">
        <v>0</v>
      </c>
      <c r="S113" s="66">
        <v>1</v>
      </c>
      <c r="T113" s="70"/>
      <c r="U113" s="96"/>
      <c r="V113" s="74">
        <f>SUBTOTAL(9,U115:U115)</f>
        <v>0</v>
      </c>
      <c r="W113" s="73"/>
      <c r="X113" s="96"/>
      <c r="Y113" s="96"/>
      <c r="Z113" s="74">
        <f>SUBTOTAL(9,X115:Y115)</f>
        <v>0</v>
      </c>
      <c r="AA113" s="73"/>
      <c r="AB113" s="72" t="s">
        <v>229</v>
      </c>
      <c r="AC113" s="72" t="s">
        <v>228</v>
      </c>
      <c r="AD113" s="96"/>
      <c r="AE113" s="96"/>
      <c r="AF113" s="74">
        <f>SUBTOTAL(9,AB115:AE115)</f>
        <v>2</v>
      </c>
      <c r="AG113" s="73"/>
      <c r="AH113" s="96"/>
      <c r="AI113" s="96"/>
      <c r="AJ113" s="71">
        <f>SUBTOTAL(9,AH115:AI115)</f>
        <v>0</v>
      </c>
      <c r="AK113" s="72"/>
      <c r="AL113" s="96"/>
      <c r="AM113" s="96"/>
      <c r="AN113" s="71">
        <f>SUBTOTAL(9,AK115:AM115)</f>
        <v>0</v>
      </c>
      <c r="AO113" s="66">
        <f>SUBTOTAL(9,AH115:AM115)</f>
        <v>0</v>
      </c>
      <c r="AP113" s="70"/>
      <c r="AQ113" s="97"/>
      <c r="AR113" s="97"/>
      <c r="AS113" s="68"/>
      <c r="AT113" s="67" t="s">
        <v>227</v>
      </c>
      <c r="AU113" s="96"/>
      <c r="AV113" s="96"/>
      <c r="AW113" s="96"/>
      <c r="AX113" s="96"/>
      <c r="AY113" s="96"/>
      <c r="AZ113" s="96"/>
      <c r="BA113" s="96"/>
      <c r="BB113" s="96"/>
      <c r="BC113" s="96"/>
      <c r="BD113" s="96"/>
      <c r="BE113" s="96"/>
      <c r="BF113" s="96"/>
      <c r="BG113" s="96"/>
      <c r="BH113" s="66">
        <f>SUBTOTAL(9,AT115:BG115)</f>
        <v>1</v>
      </c>
      <c r="BI113" s="65"/>
      <c r="BJ113" s="96"/>
      <c r="BK113" s="96"/>
      <c r="BL113" s="66">
        <f>SUBTOTAL(3,BJ113:BK113)</f>
        <v>0</v>
      </c>
      <c r="BM113" s="171"/>
      <c r="BN113" s="64"/>
      <c r="BO113" s="62"/>
      <c r="BP113" s="62"/>
      <c r="BQ113" s="63"/>
      <c r="BR113" s="62"/>
      <c r="BS113" s="62"/>
      <c r="BT113" s="48" t="s">
        <v>0</v>
      </c>
      <c r="BU113" s="61"/>
      <c r="BV113" s="2"/>
    </row>
    <row r="114" spans="1:74" ht="11.25" customHeight="1" x14ac:dyDescent="0.25">
      <c r="A114" s="48" t="s">
        <v>0</v>
      </c>
      <c r="B114" s="60" t="s">
        <v>138</v>
      </c>
      <c r="C114" s="57">
        <v>50</v>
      </c>
      <c r="D114" s="94"/>
      <c r="E114" s="94"/>
      <c r="F114" s="94"/>
      <c r="G114" s="49">
        <f>SUBTOTAL(9,C114:F114)</f>
        <v>50</v>
      </c>
      <c r="H114" s="94"/>
      <c r="I114" s="94"/>
      <c r="J114" s="49">
        <f>SUBTOTAL(9,H114:I114)</f>
        <v>0</v>
      </c>
      <c r="K114" s="94"/>
      <c r="L114" s="94"/>
      <c r="M114" s="94"/>
      <c r="N114" s="94"/>
      <c r="O114" s="94"/>
      <c r="P114" s="94"/>
      <c r="Q114" s="94"/>
      <c r="R114" s="49">
        <f>SUBTOTAL(9,K114:Q114)</f>
        <v>0</v>
      </c>
      <c r="S114" s="49">
        <f>SUBTOTAL(9,C114:Q114)</f>
        <v>50</v>
      </c>
      <c r="T114" s="56">
        <v>890</v>
      </c>
      <c r="U114" s="94"/>
      <c r="V114" s="59">
        <f>SUBTOTAL(9,U114:U114)</f>
        <v>0</v>
      </c>
      <c r="W114" s="58">
        <f>V114+IF($B110=2,0,W110)</f>
        <v>31</v>
      </c>
      <c r="X114" s="94"/>
      <c r="Y114" s="94"/>
      <c r="Z114" s="59">
        <f>SUBTOTAL(9,X114:Y114)</f>
        <v>0</v>
      </c>
      <c r="AA114" s="58">
        <f>Z114+IF($B110=2,0,AA110)</f>
        <v>40</v>
      </c>
      <c r="AB114" s="57">
        <v>3</v>
      </c>
      <c r="AC114" s="57">
        <v>18</v>
      </c>
      <c r="AD114" s="94"/>
      <c r="AE114" s="94"/>
      <c r="AF114" s="59">
        <f>SUBTOTAL(9,AB114:AE114)</f>
        <v>21</v>
      </c>
      <c r="AG114" s="58">
        <f>AF114+IF($B110=2,0,AG110)</f>
        <v>167</v>
      </c>
      <c r="AH114" s="94"/>
      <c r="AI114" s="94"/>
      <c r="AJ114" s="52">
        <f>SUBTOTAL(9,AH114:AI114)</f>
        <v>0</v>
      </c>
      <c r="AK114" s="57">
        <v>15.5</v>
      </c>
      <c r="AL114" s="94"/>
      <c r="AM114" s="94"/>
      <c r="AN114" s="52">
        <f>SUBTOTAL(9,AK114:AM114)</f>
        <v>15.5</v>
      </c>
      <c r="AO114" s="49">
        <f>SUBTOTAL(9,AH114:AM114)</f>
        <v>15.5</v>
      </c>
      <c r="AP114" s="56">
        <f>AO114+IF($B110=2,0,AP110)</f>
        <v>313.7914523808858</v>
      </c>
      <c r="AQ114" s="95">
        <v>382.9</v>
      </c>
      <c r="AR114" s="95">
        <v>382.9</v>
      </c>
      <c r="AS114" s="54">
        <v>1300</v>
      </c>
      <c r="AT114" s="53">
        <v>2.1</v>
      </c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49">
        <f>SUBTOTAL(9,AT114:BG114)</f>
        <v>2.1</v>
      </c>
      <c r="BI114" s="52">
        <f>BH114+IF($B110=2,0,BI110)</f>
        <v>531.24238095228577</v>
      </c>
      <c r="BJ114" s="94"/>
      <c r="BK114" s="94"/>
      <c r="BL114" s="49">
        <f>SUBTOTAL(9,BJ114:BK114)</f>
        <v>0</v>
      </c>
      <c r="BM114" s="49">
        <f>BL114+IF($B110=2,0,BM110)</f>
        <v>23</v>
      </c>
      <c r="BN114" s="51">
        <f>SUMIF($C$5:BM$5,"Накопленный эффект, т/сут",$C114:BM114)+SUMIF($C$5:BM$5,"Нараст.  по потенциалу",$C114:BM114)-SUMIF($C$5:BM$5,"Нараст. по остановкам",$C114:BM114)-SUMIF($C$5:BM$5,"ИТОГО перевод в ППД",$C114:BM114)-SUMIF($C$5:BM$5,"ИТОГО  нерент, по распоряж.",$C114:BM114)-SUMIF($C$5:BM$5,"ИТОГО ост. дебит от ЗБС, Углуб., ПВЛГ/ПНЛГ",$C114:BM114)</f>
        <v>887.54907142860009</v>
      </c>
      <c r="BO114" s="49">
        <v>10.1</v>
      </c>
      <c r="BP114" s="49">
        <v>11.8553333333333</v>
      </c>
      <c r="BQ114" s="50"/>
      <c r="BR114" s="49">
        <v>11.8486837803041</v>
      </c>
      <c r="BS114" s="49">
        <f>SUBTOTAL(9,BO114:BR114)</f>
        <v>33.8040171136374</v>
      </c>
      <c r="BT114" s="48" t="s">
        <v>0</v>
      </c>
      <c r="BU114" s="47">
        <f>BU$4+SUMIF($C$5:BS$5,"Нараст. по остановкам",$C114:BS114)-SUMIF($C$5:BS$5,"Нараст.  по потенциалу",$C114:BS114)</f>
        <v>865.05533892256381</v>
      </c>
      <c r="BV114" s="2"/>
    </row>
    <row r="115" spans="1:74" ht="1.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>
        <v>1</v>
      </c>
      <c r="AC115" s="3">
        <v>1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>
        <v>1</v>
      </c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2"/>
    </row>
    <row r="116" spans="1:74" ht="11.25" customHeight="1" x14ac:dyDescent="0.25">
      <c r="A116" s="93">
        <v>45349</v>
      </c>
      <c r="B116" s="92" t="s">
        <v>143</v>
      </c>
      <c r="C116" s="89" t="s">
        <v>226</v>
      </c>
      <c r="D116" s="89" t="s">
        <v>211</v>
      </c>
      <c r="E116" s="98"/>
      <c r="F116" s="98"/>
      <c r="G116" s="87">
        <v>780</v>
      </c>
      <c r="H116" s="98"/>
      <c r="I116" s="98"/>
      <c r="J116" s="87">
        <v>0</v>
      </c>
      <c r="K116" s="98"/>
      <c r="L116" s="98"/>
      <c r="M116" s="98"/>
      <c r="N116" s="98"/>
      <c r="O116" s="98"/>
      <c r="P116" s="98"/>
      <c r="Q116" s="98"/>
      <c r="R116" s="87">
        <v>230</v>
      </c>
      <c r="S116" s="87">
        <v>1010</v>
      </c>
      <c r="T116" s="86"/>
      <c r="U116" s="98"/>
      <c r="V116" s="91"/>
      <c r="W116" s="90"/>
      <c r="X116" s="98"/>
      <c r="Y116" s="98"/>
      <c r="Z116" s="91"/>
      <c r="AA116" s="90"/>
      <c r="AB116" s="89" t="s">
        <v>225</v>
      </c>
      <c r="AC116" s="98"/>
      <c r="AD116" s="98"/>
      <c r="AE116" s="98"/>
      <c r="AF116" s="91"/>
      <c r="AG116" s="90"/>
      <c r="AH116" s="98"/>
      <c r="AI116" s="98"/>
      <c r="AJ116" s="88">
        <v>46.6</v>
      </c>
      <c r="AK116" s="89" t="s">
        <v>205</v>
      </c>
      <c r="AL116" s="98"/>
      <c r="AM116" s="98"/>
      <c r="AN116" s="88">
        <v>267.99145238088602</v>
      </c>
      <c r="AO116" s="87">
        <v>314.59145238088598</v>
      </c>
      <c r="AP116" s="86"/>
      <c r="AQ116" s="99"/>
      <c r="AR116" s="99"/>
      <c r="AS116" s="84"/>
      <c r="AT116" s="83" t="s">
        <v>205</v>
      </c>
      <c r="AU116" s="98"/>
      <c r="AV116" s="98"/>
      <c r="AW116" s="98"/>
      <c r="AX116" s="98"/>
      <c r="AY116" s="98"/>
      <c r="AZ116" s="98"/>
      <c r="BA116" s="98"/>
      <c r="BB116" s="98"/>
      <c r="BC116" s="98"/>
      <c r="BD116" s="98"/>
      <c r="BE116" s="98"/>
      <c r="BF116" s="98"/>
      <c r="BG116" s="98"/>
      <c r="BH116" s="82"/>
      <c r="BI116" s="81"/>
      <c r="BJ116" s="98"/>
      <c r="BK116" s="98"/>
      <c r="BL116" s="82"/>
      <c r="BM116" s="82"/>
      <c r="BN116" s="80"/>
      <c r="BO116" s="78"/>
      <c r="BP116" s="78"/>
      <c r="BQ116" s="79"/>
      <c r="BR116" s="79"/>
      <c r="BS116" s="78"/>
      <c r="BT116" s="77">
        <f>BT$4+SUMIF($C$5:BS$5,"Нараст. баланс",$C118:BS118)+SUMIF($C$7:BQ$7,"Итого (с ВНР)",$C118:BQ118)-SUMIF($C$5:BS$5,"Геол. снижение,  т/сут",$C118:BS118)-SUMIF(BR$7:BS$7,"Итого",BR118:BS118)-SUMIF($C$7:BS$7,"Итого (с ВСП)",$C118:BS118)</f>
        <v>30494.451252015926</v>
      </c>
      <c r="BU116" s="76"/>
      <c r="BV116" s="2"/>
    </row>
    <row r="117" spans="1:74" ht="11.25" customHeight="1" x14ac:dyDescent="0.25">
      <c r="A117" s="48" t="s">
        <v>0</v>
      </c>
      <c r="B117" s="75" t="s">
        <v>141</v>
      </c>
      <c r="C117" s="72" t="s">
        <v>224</v>
      </c>
      <c r="D117" s="72" t="s">
        <v>223</v>
      </c>
      <c r="E117" s="96"/>
      <c r="F117" s="96"/>
      <c r="G117" s="66">
        <v>2</v>
      </c>
      <c r="H117" s="96"/>
      <c r="I117" s="96"/>
      <c r="J117" s="66">
        <v>0</v>
      </c>
      <c r="K117" s="96"/>
      <c r="L117" s="96"/>
      <c r="M117" s="96"/>
      <c r="N117" s="96"/>
      <c r="O117" s="96"/>
      <c r="P117" s="96"/>
      <c r="Q117" s="96"/>
      <c r="R117" s="66">
        <v>0</v>
      </c>
      <c r="S117" s="66">
        <v>2</v>
      </c>
      <c r="T117" s="70"/>
      <c r="U117" s="96"/>
      <c r="V117" s="74">
        <f>SUBTOTAL(9,U119:U119)</f>
        <v>0</v>
      </c>
      <c r="W117" s="73"/>
      <c r="X117" s="96"/>
      <c r="Y117" s="96"/>
      <c r="Z117" s="74">
        <f>SUBTOTAL(9,X119:Y119)</f>
        <v>0</v>
      </c>
      <c r="AA117" s="73"/>
      <c r="AB117" s="72" t="s">
        <v>222</v>
      </c>
      <c r="AC117" s="96"/>
      <c r="AD117" s="96"/>
      <c r="AE117" s="96"/>
      <c r="AF117" s="74">
        <f>SUBTOTAL(9,AB119:AE119)</f>
        <v>1</v>
      </c>
      <c r="AG117" s="73"/>
      <c r="AH117" s="96"/>
      <c r="AI117" s="96"/>
      <c r="AJ117" s="71">
        <f>SUBTOTAL(9,AH119:AI119)</f>
        <v>0</v>
      </c>
      <c r="AK117" s="72" t="s">
        <v>221</v>
      </c>
      <c r="AL117" s="96"/>
      <c r="AM117" s="96"/>
      <c r="AN117" s="71">
        <f>SUBTOTAL(9,AK119:AM119)</f>
        <v>1</v>
      </c>
      <c r="AO117" s="66">
        <f>SUBTOTAL(9,AH119:AM119)</f>
        <v>1</v>
      </c>
      <c r="AP117" s="70"/>
      <c r="AQ117" s="97"/>
      <c r="AR117" s="97"/>
      <c r="AS117" s="68"/>
      <c r="AT117" s="67" t="s">
        <v>220</v>
      </c>
      <c r="AU117" s="96"/>
      <c r="AV117" s="96"/>
      <c r="AW117" s="96"/>
      <c r="AX117" s="96"/>
      <c r="AY117" s="96"/>
      <c r="AZ117" s="96"/>
      <c r="BA117" s="96"/>
      <c r="BB117" s="96"/>
      <c r="BC117" s="96"/>
      <c r="BD117" s="96"/>
      <c r="BE117" s="96"/>
      <c r="BF117" s="96"/>
      <c r="BG117" s="96"/>
      <c r="BH117" s="66">
        <f>SUBTOTAL(9,AT119:BG119)</f>
        <v>1</v>
      </c>
      <c r="BI117" s="65"/>
      <c r="BJ117" s="96"/>
      <c r="BK117" s="96"/>
      <c r="BL117" s="66">
        <f>SUBTOTAL(3,BJ117:BK117)</f>
        <v>0</v>
      </c>
      <c r="BM117" s="171"/>
      <c r="BN117" s="64"/>
      <c r="BO117" s="62"/>
      <c r="BP117" s="62"/>
      <c r="BQ117" s="63"/>
      <c r="BR117" s="63"/>
      <c r="BS117" s="62"/>
      <c r="BT117" s="48" t="s">
        <v>0</v>
      </c>
      <c r="BU117" s="61"/>
      <c r="BV117" s="2"/>
    </row>
    <row r="118" spans="1:74" ht="11.25" customHeight="1" x14ac:dyDescent="0.25">
      <c r="A118" s="48" t="s">
        <v>0</v>
      </c>
      <c r="B118" s="60" t="s">
        <v>138</v>
      </c>
      <c r="C118" s="57">
        <v>30</v>
      </c>
      <c r="D118" s="57">
        <v>90</v>
      </c>
      <c r="E118" s="94"/>
      <c r="F118" s="94"/>
      <c r="G118" s="49">
        <f>SUBTOTAL(9,C118:F118)</f>
        <v>120</v>
      </c>
      <c r="H118" s="94"/>
      <c r="I118" s="94"/>
      <c r="J118" s="49">
        <f>SUBTOTAL(9,H118:I118)</f>
        <v>0</v>
      </c>
      <c r="K118" s="94"/>
      <c r="L118" s="94"/>
      <c r="M118" s="94"/>
      <c r="N118" s="94"/>
      <c r="O118" s="94"/>
      <c r="P118" s="94"/>
      <c r="Q118" s="94"/>
      <c r="R118" s="49">
        <f>SUBTOTAL(9,K118:Q118)</f>
        <v>0</v>
      </c>
      <c r="S118" s="49">
        <f>SUBTOTAL(9,C118:Q118)</f>
        <v>120</v>
      </c>
      <c r="T118" s="56">
        <v>1010</v>
      </c>
      <c r="U118" s="94"/>
      <c r="V118" s="59">
        <f>SUBTOTAL(9,U118:U118)</f>
        <v>0</v>
      </c>
      <c r="W118" s="58">
        <f>V118+IF($B114=2,0,W114)</f>
        <v>31</v>
      </c>
      <c r="X118" s="94"/>
      <c r="Y118" s="94"/>
      <c r="Z118" s="59">
        <f>SUBTOTAL(9,X118:Y118)</f>
        <v>0</v>
      </c>
      <c r="AA118" s="58">
        <f>Z118+IF($B114=2,0,AA114)</f>
        <v>40</v>
      </c>
      <c r="AB118" s="57">
        <v>7</v>
      </c>
      <c r="AC118" s="94"/>
      <c r="AD118" s="94"/>
      <c r="AE118" s="94"/>
      <c r="AF118" s="59">
        <f>SUBTOTAL(9,AB118:AE118)</f>
        <v>7</v>
      </c>
      <c r="AG118" s="58">
        <f>AF118+IF($B114=2,0,AG114)</f>
        <v>174</v>
      </c>
      <c r="AH118" s="94"/>
      <c r="AI118" s="94"/>
      <c r="AJ118" s="52">
        <f>SUBTOTAL(9,AH118:AI118)</f>
        <v>0</v>
      </c>
      <c r="AK118" s="57">
        <v>0.8</v>
      </c>
      <c r="AL118" s="94"/>
      <c r="AM118" s="94"/>
      <c r="AN118" s="52">
        <f>SUBTOTAL(9,AK118:AM118)</f>
        <v>0.8</v>
      </c>
      <c r="AO118" s="49">
        <f>SUBTOTAL(9,AH118:AM118)</f>
        <v>0.8</v>
      </c>
      <c r="AP118" s="56">
        <f>AO118+IF($B114=2,0,AP114)</f>
        <v>314.59145238088581</v>
      </c>
      <c r="AQ118" s="95">
        <v>450</v>
      </c>
      <c r="AR118" s="95">
        <v>450</v>
      </c>
      <c r="AS118" s="54">
        <v>1350</v>
      </c>
      <c r="AT118" s="53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49">
        <f>SUBTOTAL(9,AT118:BG118)</f>
        <v>0</v>
      </c>
      <c r="BI118" s="52">
        <f>BH118+IF($B114=2,0,BI114)</f>
        <v>531.24238095228577</v>
      </c>
      <c r="BJ118" s="94"/>
      <c r="BK118" s="94"/>
      <c r="BL118" s="49">
        <f>SUBTOTAL(9,BJ118:BK118)</f>
        <v>0</v>
      </c>
      <c r="BM118" s="49">
        <f>BL118+IF($B114=2,0,BM114)</f>
        <v>23</v>
      </c>
      <c r="BN118" s="51">
        <f>SUMIF($C$5:BM$5,"Накопленный эффект, т/сут",$C118:BM118)+SUMIF($C$5:BM$5,"Нараст.  по потенциалу",$C118:BM118)-SUMIF($C$5:BM$5,"Нараст. по остановкам",$C118:BM118)-SUMIF($C$5:BM$5,"ИТОГО перевод в ППД",$C118:BM118)-SUMIF($C$5:BM$5,"ИТОГО  нерент, по распоряж.",$C118:BM118)-SUMIF($C$5:BM$5,"ИТОГО ост. дебит от ЗБС, Углуб., ПВЛГ/ПНЛГ",$C118:BM118)</f>
        <v>1015.3490714285999</v>
      </c>
      <c r="BO118" s="49">
        <v>10.1</v>
      </c>
      <c r="BP118" s="49">
        <v>172.84181941267801</v>
      </c>
      <c r="BQ118" s="50"/>
      <c r="BR118" s="50"/>
      <c r="BS118" s="49">
        <f>SUBTOTAL(9,BO118:BR118)</f>
        <v>182.941819412678</v>
      </c>
      <c r="BT118" s="48" t="s">
        <v>0</v>
      </c>
      <c r="BU118" s="47">
        <f>BU$4+SUMIF($C$5:BS$5,"Нараст. по остановкам",$C118:BS118)-SUMIF($C$5:BS$5,"Нараст.  по потенциалу",$C118:BS118)</f>
        <v>864.25533892256385</v>
      </c>
      <c r="BV118" s="2"/>
    </row>
    <row r="119" spans="1:74" ht="1.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>
        <v>1</v>
      </c>
      <c r="AC119" s="3"/>
      <c r="AD119" s="3"/>
      <c r="AE119" s="3"/>
      <c r="AF119" s="3"/>
      <c r="AG119" s="3"/>
      <c r="AH119" s="3"/>
      <c r="AI119" s="3"/>
      <c r="AJ119" s="3"/>
      <c r="AK119" s="3">
        <v>1</v>
      </c>
      <c r="AL119" s="3"/>
      <c r="AM119" s="3"/>
      <c r="AN119" s="3"/>
      <c r="AO119" s="3"/>
      <c r="AP119" s="3"/>
      <c r="AQ119" s="3"/>
      <c r="AR119" s="3"/>
      <c r="AS119" s="3"/>
      <c r="AT119" s="3">
        <v>1</v>
      </c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2"/>
    </row>
    <row r="120" spans="1:74" ht="11.25" customHeight="1" x14ac:dyDescent="0.25">
      <c r="A120" s="93">
        <v>45350</v>
      </c>
      <c r="B120" s="92" t="s">
        <v>143</v>
      </c>
      <c r="C120" s="98"/>
      <c r="D120" s="98"/>
      <c r="E120" s="98"/>
      <c r="F120" s="98"/>
      <c r="G120" s="87">
        <v>780</v>
      </c>
      <c r="H120" s="89" t="s">
        <v>200</v>
      </c>
      <c r="I120" s="98"/>
      <c r="J120" s="87">
        <v>6</v>
      </c>
      <c r="K120" s="89" t="s">
        <v>201</v>
      </c>
      <c r="L120" s="89" t="s">
        <v>219</v>
      </c>
      <c r="M120" s="98"/>
      <c r="N120" s="98"/>
      <c r="O120" s="98"/>
      <c r="P120" s="98"/>
      <c r="Q120" s="98"/>
      <c r="R120" s="87">
        <v>270</v>
      </c>
      <c r="S120" s="87">
        <v>1056</v>
      </c>
      <c r="T120" s="86"/>
      <c r="U120" s="98"/>
      <c r="V120" s="91"/>
      <c r="W120" s="90"/>
      <c r="X120" s="98"/>
      <c r="Y120" s="98"/>
      <c r="Z120" s="91"/>
      <c r="AA120" s="90"/>
      <c r="AB120" s="89" t="s">
        <v>205</v>
      </c>
      <c r="AC120" s="89" t="s">
        <v>200</v>
      </c>
      <c r="AD120" s="89" t="s">
        <v>200</v>
      </c>
      <c r="AE120" s="98"/>
      <c r="AF120" s="91"/>
      <c r="AG120" s="90"/>
      <c r="AH120" s="98"/>
      <c r="AI120" s="98"/>
      <c r="AJ120" s="88">
        <v>46.6</v>
      </c>
      <c r="AK120" s="98"/>
      <c r="AL120" s="98"/>
      <c r="AM120" s="98"/>
      <c r="AN120" s="88">
        <v>267.99145238088602</v>
      </c>
      <c r="AO120" s="87">
        <v>314.59145238088598</v>
      </c>
      <c r="AP120" s="86"/>
      <c r="AQ120" s="99"/>
      <c r="AR120" s="99"/>
      <c r="AS120" s="84"/>
      <c r="AT120" s="83" t="s">
        <v>205</v>
      </c>
      <c r="AU120" s="98"/>
      <c r="AV120" s="98"/>
      <c r="AW120" s="98"/>
      <c r="AX120" s="98"/>
      <c r="AY120" s="98"/>
      <c r="AZ120" s="98"/>
      <c r="BA120" s="98"/>
      <c r="BB120" s="98"/>
      <c r="BC120" s="98"/>
      <c r="BD120" s="98"/>
      <c r="BE120" s="98"/>
      <c r="BF120" s="98"/>
      <c r="BG120" s="98"/>
      <c r="BH120" s="82"/>
      <c r="BI120" s="81"/>
      <c r="BJ120" s="98"/>
      <c r="BK120" s="98"/>
      <c r="BL120" s="82"/>
      <c r="BM120" s="82"/>
      <c r="BN120" s="80"/>
      <c r="BO120" s="78"/>
      <c r="BP120" s="78"/>
      <c r="BQ120" s="79"/>
      <c r="BR120" s="78"/>
      <c r="BS120" s="78"/>
      <c r="BT120" s="77">
        <f>BT$4+SUMIF($C$5:BS$5,"Нараст. баланс",$C122:BS122)+SUMIF($C$7:BQ$7,"Итого (с ВНР)",$C122:BQ122)-SUMIF($C$5:BS$5,"Геол. снижение,  т/сут",$C122:BS122)-SUMIF(BR$7:BS$7,"Итого",BR122:BS122)-SUMIF($C$7:BS$7,"Итого (с ВСП)",$C122:BS122)</f>
        <v>30573.020518272093</v>
      </c>
      <c r="BU120" s="76"/>
      <c r="BV120" s="2"/>
    </row>
    <row r="121" spans="1:74" ht="11.25" customHeight="1" x14ac:dyDescent="0.25">
      <c r="A121" s="48" t="s">
        <v>0</v>
      </c>
      <c r="B121" s="75" t="s">
        <v>141</v>
      </c>
      <c r="C121" s="96"/>
      <c r="D121" s="96"/>
      <c r="E121" s="96"/>
      <c r="F121" s="96"/>
      <c r="G121" s="66">
        <v>0</v>
      </c>
      <c r="H121" s="72" t="s">
        <v>214</v>
      </c>
      <c r="I121" s="96"/>
      <c r="J121" s="66">
        <v>1</v>
      </c>
      <c r="K121" s="72" t="s">
        <v>218</v>
      </c>
      <c r="L121" s="72" t="s">
        <v>217</v>
      </c>
      <c r="M121" s="96"/>
      <c r="N121" s="96"/>
      <c r="O121" s="96"/>
      <c r="P121" s="96"/>
      <c r="Q121" s="96"/>
      <c r="R121" s="66">
        <v>2</v>
      </c>
      <c r="S121" s="66">
        <v>3</v>
      </c>
      <c r="T121" s="70"/>
      <c r="U121" s="96"/>
      <c r="V121" s="74">
        <f>SUBTOTAL(9,U123:U123)</f>
        <v>0</v>
      </c>
      <c r="W121" s="73"/>
      <c r="X121" s="96"/>
      <c r="Y121" s="96"/>
      <c r="Z121" s="74">
        <f>SUBTOTAL(9,X123:Y123)</f>
        <v>0</v>
      </c>
      <c r="AA121" s="73"/>
      <c r="AB121" s="72" t="s">
        <v>216</v>
      </c>
      <c r="AC121" s="72" t="s">
        <v>215</v>
      </c>
      <c r="AD121" s="72" t="s">
        <v>214</v>
      </c>
      <c r="AE121" s="96"/>
      <c r="AF121" s="74">
        <f>SUBTOTAL(9,AB123:AE123)</f>
        <v>3</v>
      </c>
      <c r="AG121" s="73"/>
      <c r="AH121" s="96"/>
      <c r="AI121" s="96"/>
      <c r="AJ121" s="71">
        <f>SUBTOTAL(9,AH123:AI123)</f>
        <v>0</v>
      </c>
      <c r="AK121" s="96"/>
      <c r="AL121" s="96"/>
      <c r="AM121" s="96"/>
      <c r="AN121" s="71">
        <f>SUBTOTAL(9,AK123:AM123)</f>
        <v>0</v>
      </c>
      <c r="AO121" s="66">
        <f>SUBTOTAL(9,AH123:AM123)</f>
        <v>0</v>
      </c>
      <c r="AP121" s="70"/>
      <c r="AQ121" s="97"/>
      <c r="AR121" s="97"/>
      <c r="AS121" s="68"/>
      <c r="AT121" s="67" t="s">
        <v>213</v>
      </c>
      <c r="AU121" s="96"/>
      <c r="AV121" s="96"/>
      <c r="AW121" s="96"/>
      <c r="AX121" s="96"/>
      <c r="AY121" s="96"/>
      <c r="AZ121" s="96"/>
      <c r="BA121" s="96"/>
      <c r="BB121" s="96"/>
      <c r="BC121" s="96"/>
      <c r="BD121" s="96"/>
      <c r="BE121" s="96"/>
      <c r="BF121" s="96"/>
      <c r="BG121" s="96"/>
      <c r="BH121" s="66">
        <f>SUBTOTAL(9,AT123:BG123)</f>
        <v>1</v>
      </c>
      <c r="BI121" s="65"/>
      <c r="BJ121" s="96"/>
      <c r="BK121" s="96"/>
      <c r="BL121" s="66">
        <f>SUBTOTAL(3,BJ121:BK121)</f>
        <v>0</v>
      </c>
      <c r="BM121" s="171"/>
      <c r="BN121" s="64"/>
      <c r="BO121" s="62"/>
      <c r="BP121" s="62"/>
      <c r="BQ121" s="63"/>
      <c r="BR121" s="62"/>
      <c r="BS121" s="62"/>
      <c r="BT121" s="48" t="s">
        <v>0</v>
      </c>
      <c r="BU121" s="61"/>
      <c r="BV121" s="2"/>
    </row>
    <row r="122" spans="1:74" ht="11.25" customHeight="1" x14ac:dyDescent="0.25">
      <c r="A122" s="48" t="s">
        <v>0</v>
      </c>
      <c r="B122" s="60" t="s">
        <v>138</v>
      </c>
      <c r="C122" s="94"/>
      <c r="D122" s="94"/>
      <c r="E122" s="94"/>
      <c r="F122" s="94"/>
      <c r="G122" s="49">
        <f>SUBTOTAL(9,C122:F122)</f>
        <v>0</v>
      </c>
      <c r="H122" s="57">
        <v>6</v>
      </c>
      <c r="I122" s="94"/>
      <c r="J122" s="49">
        <f>SUBTOTAL(9,H122:I122)</f>
        <v>6</v>
      </c>
      <c r="K122" s="57">
        <v>20</v>
      </c>
      <c r="L122" s="57">
        <v>20</v>
      </c>
      <c r="M122" s="94"/>
      <c r="N122" s="94"/>
      <c r="O122" s="94"/>
      <c r="P122" s="94"/>
      <c r="Q122" s="94"/>
      <c r="R122" s="49">
        <f>SUBTOTAL(9,K122:Q122)</f>
        <v>40</v>
      </c>
      <c r="S122" s="49">
        <f>SUBTOTAL(9,C122:Q122)</f>
        <v>46</v>
      </c>
      <c r="T122" s="56">
        <v>1056</v>
      </c>
      <c r="U122" s="94"/>
      <c r="V122" s="59">
        <f>SUBTOTAL(9,U122:U122)</f>
        <v>0</v>
      </c>
      <c r="W122" s="58">
        <f>V122+IF($B118=2,0,W118)</f>
        <v>31</v>
      </c>
      <c r="X122" s="94"/>
      <c r="Y122" s="94"/>
      <c r="Z122" s="59">
        <f>SUBTOTAL(9,X122:Y122)</f>
        <v>0</v>
      </c>
      <c r="AA122" s="58">
        <f>Z122+IF($B118=2,0,AA118)</f>
        <v>40</v>
      </c>
      <c r="AB122" s="57">
        <v>6</v>
      </c>
      <c r="AC122" s="57">
        <v>5</v>
      </c>
      <c r="AD122" s="57">
        <v>2.1</v>
      </c>
      <c r="AE122" s="94"/>
      <c r="AF122" s="59">
        <f>SUBTOTAL(9,AB122:AE122)</f>
        <v>13.1</v>
      </c>
      <c r="AG122" s="58">
        <f>AF122+IF($B118=2,0,AG118)</f>
        <v>187.1</v>
      </c>
      <c r="AH122" s="94"/>
      <c r="AI122" s="94"/>
      <c r="AJ122" s="52">
        <f>SUBTOTAL(9,AH122:AI122)</f>
        <v>0</v>
      </c>
      <c r="AK122" s="94"/>
      <c r="AL122" s="94"/>
      <c r="AM122" s="94"/>
      <c r="AN122" s="52">
        <f>SUBTOTAL(9,AK122:AM122)</f>
        <v>0</v>
      </c>
      <c r="AO122" s="49">
        <f>SUBTOTAL(9,AH122:AM122)</f>
        <v>0</v>
      </c>
      <c r="AP122" s="56">
        <f>AO122+IF($B118=2,0,AP118)</f>
        <v>314.59145238088581</v>
      </c>
      <c r="AQ122" s="95">
        <v>405.1</v>
      </c>
      <c r="AR122" s="95">
        <v>405.1</v>
      </c>
      <c r="AS122" s="54">
        <v>1400</v>
      </c>
      <c r="AT122" s="53">
        <v>0.4</v>
      </c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49">
        <f>SUBTOTAL(9,AT122:BG122)</f>
        <v>0.4</v>
      </c>
      <c r="BI122" s="52">
        <f>BH122+IF($B118=2,0,BI118)</f>
        <v>531.64238095228575</v>
      </c>
      <c r="BJ122" s="94"/>
      <c r="BK122" s="94"/>
      <c r="BL122" s="49">
        <f>SUBTOTAL(9,BJ122:BK122)</f>
        <v>0</v>
      </c>
      <c r="BM122" s="49">
        <f>BL122+IF($B118=2,0,BM118)</f>
        <v>23</v>
      </c>
      <c r="BN122" s="51">
        <f>SUMIF($C$5:BM$5,"Накопленный эффект, т/сут",$C122:BM122)+SUMIF($C$5:BM$5,"Нараст.  по потенциалу",$C122:BM122)-SUMIF($C$5:BM$5,"Нараст. по остановкам",$C122:BM122)-SUMIF($C$5:BM$5,"ИТОГО перевод в ППД",$C122:BM122)-SUMIF($C$5:BM$5,"ИТОГО  нерент, по распоряж.",$C122:BM122)-SUMIF($C$5:BM$5,"ИТОГО ост. дебит от ЗБС, Углуб., ПВЛГ/ПНЛГ",$C122:BM122)</f>
        <v>1074.0490714286</v>
      </c>
      <c r="BO122" s="49">
        <v>10.1</v>
      </c>
      <c r="BP122" s="49">
        <v>55.613293237978098</v>
      </c>
      <c r="BQ122" s="50"/>
      <c r="BR122" s="49">
        <v>2.4592599185263899</v>
      </c>
      <c r="BS122" s="49">
        <f>SUBTOTAL(9,BO122:BR122)</f>
        <v>68.172553156504478</v>
      </c>
      <c r="BT122" s="48" t="s">
        <v>0</v>
      </c>
      <c r="BU122" s="47">
        <f>BU$4+SUMIF($C$5:BS$5,"Нараст. по остановкам",$C122:BS122)-SUMIF($C$5:BS$5,"Нараст.  по потенциалу",$C122:BS122)</f>
        <v>864.65533892256394</v>
      </c>
      <c r="BV122" s="2"/>
    </row>
    <row r="123" spans="1:74" ht="1.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>
        <v>1</v>
      </c>
      <c r="AC123" s="3">
        <v>1</v>
      </c>
      <c r="AD123" s="3">
        <v>1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>
        <v>1</v>
      </c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2"/>
    </row>
    <row r="124" spans="1:74" ht="11.25" customHeight="1" x14ac:dyDescent="0.25">
      <c r="A124" s="93">
        <v>45351</v>
      </c>
      <c r="B124" s="92" t="s">
        <v>143</v>
      </c>
      <c r="C124" s="89" t="s">
        <v>200</v>
      </c>
      <c r="D124" s="89" t="s">
        <v>212</v>
      </c>
      <c r="E124" s="89" t="s">
        <v>200</v>
      </c>
      <c r="F124" s="89" t="s">
        <v>211</v>
      </c>
      <c r="G124" s="87">
        <v>930</v>
      </c>
      <c r="H124" s="89" t="s">
        <v>207</v>
      </c>
      <c r="I124" s="89" t="s">
        <v>206</v>
      </c>
      <c r="J124" s="87">
        <v>18</v>
      </c>
      <c r="K124" s="89" t="s">
        <v>203</v>
      </c>
      <c r="L124" s="89" t="s">
        <v>201</v>
      </c>
      <c r="M124" s="89" t="s">
        <v>201</v>
      </c>
      <c r="N124" s="89" t="s">
        <v>202</v>
      </c>
      <c r="O124" s="89" t="s">
        <v>200</v>
      </c>
      <c r="P124" s="89" t="s">
        <v>200</v>
      </c>
      <c r="Q124" s="89" t="s">
        <v>207</v>
      </c>
      <c r="R124" s="87">
        <v>404</v>
      </c>
      <c r="S124" s="87">
        <v>1352</v>
      </c>
      <c r="T124" s="86"/>
      <c r="U124" s="98"/>
      <c r="V124" s="91"/>
      <c r="W124" s="90"/>
      <c r="X124" s="89" t="s">
        <v>210</v>
      </c>
      <c r="Y124" s="89" t="s">
        <v>142</v>
      </c>
      <c r="Z124" s="91"/>
      <c r="AA124" s="90"/>
      <c r="AB124" s="89" t="s">
        <v>209</v>
      </c>
      <c r="AC124" s="89" t="s">
        <v>142</v>
      </c>
      <c r="AD124" s="89" t="s">
        <v>208</v>
      </c>
      <c r="AE124" s="89" t="s">
        <v>200</v>
      </c>
      <c r="AF124" s="91"/>
      <c r="AG124" s="90"/>
      <c r="AH124" s="89" t="s">
        <v>207</v>
      </c>
      <c r="AI124" s="89" t="s">
        <v>206</v>
      </c>
      <c r="AJ124" s="88">
        <v>52</v>
      </c>
      <c r="AK124" s="89" t="s">
        <v>205</v>
      </c>
      <c r="AL124" s="89"/>
      <c r="AM124" s="98"/>
      <c r="AN124" s="88">
        <v>336.225452380886</v>
      </c>
      <c r="AO124" s="87">
        <v>388.225452380886</v>
      </c>
      <c r="AP124" s="86"/>
      <c r="AQ124" s="85"/>
      <c r="AR124" s="85"/>
      <c r="AS124" s="84"/>
      <c r="AT124" s="83" t="s">
        <v>203</v>
      </c>
      <c r="AU124" s="83" t="s">
        <v>201</v>
      </c>
      <c r="AV124" s="83" t="s">
        <v>200</v>
      </c>
      <c r="AW124" s="83" t="s">
        <v>200</v>
      </c>
      <c r="AX124" s="83" t="s">
        <v>200</v>
      </c>
      <c r="AY124" s="83" t="s">
        <v>204</v>
      </c>
      <c r="AZ124" s="83" t="s">
        <v>200</v>
      </c>
      <c r="BA124" s="83" t="s">
        <v>203</v>
      </c>
      <c r="BB124" s="83" t="s">
        <v>200</v>
      </c>
      <c r="BC124" s="83" t="s">
        <v>202</v>
      </c>
      <c r="BD124" s="83" t="s">
        <v>201</v>
      </c>
      <c r="BE124" s="83" t="s">
        <v>200</v>
      </c>
      <c r="BF124" s="83" t="s">
        <v>142</v>
      </c>
      <c r="BG124" s="83"/>
      <c r="BH124" s="82"/>
      <c r="BI124" s="81"/>
      <c r="BJ124" s="98"/>
      <c r="BK124" s="98"/>
      <c r="BL124" s="82"/>
      <c r="BM124" s="82"/>
      <c r="BN124" s="80"/>
      <c r="BO124" s="79"/>
      <c r="BP124" s="79"/>
      <c r="BQ124" s="79"/>
      <c r="BR124" s="79"/>
      <c r="BS124" s="78"/>
      <c r="BT124" s="77">
        <f>BT$4+SUMIF($C$5:BS$5,"Нараст. баланс",$C126:BS126)+SUMIF($C$7:BQ$7,"Итого (с ВНР)",$C126:BQ126)-SUMIF($C$5:BS$5,"Геол. снижение,  т/сут",$C126:BS126)-SUMIF(BR$7:BS$7,"Итого",BR126:BS126)-SUMIF($C$7:BS$7,"Итого (с ВСП)",$C126:BS126)</f>
        <v>30930.381321428602</v>
      </c>
      <c r="BU124" s="76"/>
      <c r="BV124" s="2"/>
    </row>
    <row r="125" spans="1:74" ht="11.25" customHeight="1" x14ac:dyDescent="0.25">
      <c r="A125" s="48" t="s">
        <v>0</v>
      </c>
      <c r="B125" s="75" t="s">
        <v>141</v>
      </c>
      <c r="C125" s="72" t="s">
        <v>199</v>
      </c>
      <c r="D125" s="72" t="s">
        <v>198</v>
      </c>
      <c r="E125" s="72" t="s">
        <v>197</v>
      </c>
      <c r="F125" s="72" t="s">
        <v>196</v>
      </c>
      <c r="G125" s="66">
        <v>4</v>
      </c>
      <c r="H125" s="72" t="s">
        <v>184</v>
      </c>
      <c r="I125" s="72" t="s">
        <v>183</v>
      </c>
      <c r="J125" s="66">
        <v>2</v>
      </c>
      <c r="K125" s="72" t="s">
        <v>195</v>
      </c>
      <c r="L125" s="72" t="s">
        <v>194</v>
      </c>
      <c r="M125" s="72" t="s">
        <v>193</v>
      </c>
      <c r="N125" s="72" t="s">
        <v>192</v>
      </c>
      <c r="O125" s="72" t="s">
        <v>191</v>
      </c>
      <c r="P125" s="72" t="s">
        <v>190</v>
      </c>
      <c r="Q125" s="72" t="s">
        <v>189</v>
      </c>
      <c r="R125" s="66">
        <v>7</v>
      </c>
      <c r="S125" s="66">
        <v>13</v>
      </c>
      <c r="T125" s="70"/>
      <c r="U125" s="96"/>
      <c r="V125" s="74">
        <f>SUBTOTAL(9,U127:U127)</f>
        <v>0</v>
      </c>
      <c r="W125" s="73"/>
      <c r="X125" s="72" t="s">
        <v>188</v>
      </c>
      <c r="Y125" s="72"/>
      <c r="Z125" s="74">
        <f>SUBTOTAL(9,X127:Y127)</f>
        <v>1</v>
      </c>
      <c r="AA125" s="73"/>
      <c r="AB125" s="72" t="s">
        <v>187</v>
      </c>
      <c r="AC125" s="72" t="s">
        <v>140</v>
      </c>
      <c r="AD125" s="72" t="s">
        <v>186</v>
      </c>
      <c r="AE125" s="72" t="s">
        <v>185</v>
      </c>
      <c r="AF125" s="74">
        <f>SUBTOTAL(9,AB127:AE127)</f>
        <v>4</v>
      </c>
      <c r="AG125" s="73"/>
      <c r="AH125" s="72" t="s">
        <v>184</v>
      </c>
      <c r="AI125" s="72" t="s">
        <v>183</v>
      </c>
      <c r="AJ125" s="71">
        <f>SUBTOTAL(9,AH127:AI127)</f>
        <v>2</v>
      </c>
      <c r="AK125" s="72" t="s">
        <v>182</v>
      </c>
      <c r="AL125" s="72"/>
      <c r="AM125" s="96"/>
      <c r="AN125" s="71">
        <f>SUBTOTAL(9,AK127:AM127)</f>
        <v>1</v>
      </c>
      <c r="AO125" s="66">
        <f>SUBTOTAL(9,AH127:AM127)</f>
        <v>3</v>
      </c>
      <c r="AP125" s="70"/>
      <c r="AQ125" s="69"/>
      <c r="AR125" s="69"/>
      <c r="AS125" s="68"/>
      <c r="AT125" s="67" t="s">
        <v>181</v>
      </c>
      <c r="AU125" s="67" t="s">
        <v>180</v>
      </c>
      <c r="AV125" s="67" t="s">
        <v>179</v>
      </c>
      <c r="AW125" s="67" t="s">
        <v>178</v>
      </c>
      <c r="AX125" s="67" t="s">
        <v>177</v>
      </c>
      <c r="AY125" s="67" t="s">
        <v>176</v>
      </c>
      <c r="AZ125" s="67" t="s">
        <v>175</v>
      </c>
      <c r="BA125" s="67" t="s">
        <v>174</v>
      </c>
      <c r="BB125" s="67" t="s">
        <v>173</v>
      </c>
      <c r="BC125" s="67" t="s">
        <v>172</v>
      </c>
      <c r="BD125" s="67" t="s">
        <v>171</v>
      </c>
      <c r="BE125" s="67" t="s">
        <v>170</v>
      </c>
      <c r="BF125" s="67" t="s">
        <v>139</v>
      </c>
      <c r="BG125" s="67"/>
      <c r="BH125" s="66">
        <f>SUBTOTAL(9,AT127:BG127)</f>
        <v>13</v>
      </c>
      <c r="BI125" s="65"/>
      <c r="BJ125" s="96"/>
      <c r="BK125" s="96"/>
      <c r="BL125" s="66">
        <f>SUBTOTAL(3,BJ125:BK125)</f>
        <v>0</v>
      </c>
      <c r="BM125" s="171"/>
      <c r="BN125" s="64"/>
      <c r="BO125" s="63"/>
      <c r="BP125" s="63"/>
      <c r="BQ125" s="63"/>
      <c r="BR125" s="63"/>
      <c r="BS125" s="62"/>
      <c r="BT125" s="48" t="s">
        <v>0</v>
      </c>
      <c r="BU125" s="61"/>
      <c r="BV125" s="2"/>
    </row>
    <row r="126" spans="1:74" ht="11.25" customHeight="1" x14ac:dyDescent="0.25">
      <c r="A126" s="48" t="s">
        <v>0</v>
      </c>
      <c r="B126" s="60" t="s">
        <v>138</v>
      </c>
      <c r="C126" s="57">
        <v>30</v>
      </c>
      <c r="D126" s="57">
        <v>30</v>
      </c>
      <c r="E126" s="57">
        <v>30</v>
      </c>
      <c r="F126" s="57">
        <v>60</v>
      </c>
      <c r="G126" s="49">
        <f>SUBTOTAL(9,C126:F126)</f>
        <v>150</v>
      </c>
      <c r="H126" s="57">
        <v>6</v>
      </c>
      <c r="I126" s="57">
        <v>6</v>
      </c>
      <c r="J126" s="49">
        <f>SUBTOTAL(9,H126:I126)</f>
        <v>12</v>
      </c>
      <c r="K126" s="57">
        <v>19</v>
      </c>
      <c r="L126" s="57">
        <v>20</v>
      </c>
      <c r="M126" s="57">
        <v>19</v>
      </c>
      <c r="N126" s="57">
        <v>18</v>
      </c>
      <c r="O126" s="57">
        <v>19</v>
      </c>
      <c r="P126" s="57">
        <v>20</v>
      </c>
      <c r="Q126" s="57">
        <v>19</v>
      </c>
      <c r="R126" s="49">
        <f>SUBTOTAL(9,K126:Q126)</f>
        <v>134</v>
      </c>
      <c r="S126" s="49">
        <f>SUBTOTAL(9,C126:Q126)</f>
        <v>296</v>
      </c>
      <c r="T126" s="56">
        <v>1352</v>
      </c>
      <c r="U126" s="94"/>
      <c r="V126" s="59">
        <f>SUBTOTAL(9,U126:U126)</f>
        <v>0</v>
      </c>
      <c r="W126" s="58">
        <f>V126+IF($B122=2,0,W122)</f>
        <v>31</v>
      </c>
      <c r="X126" s="57">
        <v>20</v>
      </c>
      <c r="Y126" s="57">
        <v>408.5</v>
      </c>
      <c r="Z126" s="59">
        <f>SUBTOTAL(9,X126:Y126)</f>
        <v>428.5</v>
      </c>
      <c r="AA126" s="58">
        <f>Z126+IF($B122=2,0,AA122)</f>
        <v>468.5</v>
      </c>
      <c r="AB126" s="57">
        <v>3</v>
      </c>
      <c r="AC126" s="57">
        <v>7</v>
      </c>
      <c r="AD126" s="57">
        <v>4</v>
      </c>
      <c r="AE126" s="57">
        <v>4</v>
      </c>
      <c r="AF126" s="59">
        <f>SUBTOTAL(9,AB126:AE126)</f>
        <v>18</v>
      </c>
      <c r="AG126" s="58">
        <f>AF126+IF($B122=2,0,AG122)</f>
        <v>205.1</v>
      </c>
      <c r="AH126" s="57">
        <v>5.3</v>
      </c>
      <c r="AI126" s="57">
        <v>0.1</v>
      </c>
      <c r="AJ126" s="52">
        <f>SUBTOTAL(9,AH126:AI126)</f>
        <v>5.3999999999999995</v>
      </c>
      <c r="AK126" s="57">
        <v>1.2</v>
      </c>
      <c r="AL126" s="57">
        <v>67.034000000000006</v>
      </c>
      <c r="AM126" s="94"/>
      <c r="AN126" s="52">
        <f>SUBTOTAL(9,AK126:AM126)</f>
        <v>68.234000000000009</v>
      </c>
      <c r="AO126" s="49">
        <f>SUBTOTAL(9,AH126:AM126)</f>
        <v>73.634</v>
      </c>
      <c r="AP126" s="56">
        <f>AO126+IF($B122=2,0,AP122)</f>
        <v>388.22545238088583</v>
      </c>
      <c r="AQ126" s="55"/>
      <c r="AR126" s="55"/>
      <c r="AS126" s="54">
        <v>1450</v>
      </c>
      <c r="AT126" s="53">
        <v>5.8</v>
      </c>
      <c r="AU126" s="53">
        <v>4.5</v>
      </c>
      <c r="AV126" s="53">
        <v>3.9</v>
      </c>
      <c r="AW126" s="53">
        <v>5.2</v>
      </c>
      <c r="AX126" s="53">
        <v>4.5999999999999996</v>
      </c>
      <c r="AY126" s="53">
        <v>2.1</v>
      </c>
      <c r="AZ126" s="53">
        <v>3.6</v>
      </c>
      <c r="BA126" s="53">
        <v>2.2000000000000002</v>
      </c>
      <c r="BB126" s="53">
        <v>5.4</v>
      </c>
      <c r="BC126" s="53">
        <v>2.9</v>
      </c>
      <c r="BD126" s="53">
        <v>3.9</v>
      </c>
      <c r="BE126" s="53">
        <v>1.8</v>
      </c>
      <c r="BF126" s="53">
        <v>8.4</v>
      </c>
      <c r="BG126" s="53">
        <v>17.545750000000002</v>
      </c>
      <c r="BH126" s="49">
        <f>SUBTOTAL(9,AT126:BG126)</f>
        <v>71.845749999999995</v>
      </c>
      <c r="BI126" s="52">
        <f>BH126+IF($B122=2,0,BI122)</f>
        <v>603.4881309522857</v>
      </c>
      <c r="BJ126" s="94"/>
      <c r="BK126" s="94"/>
      <c r="BL126" s="49">
        <f>SUBTOTAL(9,BJ126:BK126)</f>
        <v>0</v>
      </c>
      <c r="BM126" s="49">
        <f>BL126+IF($B122=2,0,BM122)</f>
        <v>23</v>
      </c>
      <c r="BN126" s="51">
        <f>SUMIF($C$5:BM$5,"Накопленный эффект, т/сут",$C126:BM126)+SUMIF($C$5:BM$5,"Нараст.  по потенциалу",$C126:BM126)-SUMIF($C$5:BM$5,"Нараст. по остановкам",$C126:BM126)-SUMIF($C$5:BM$5,"ИТОГО перевод в ППД",$C126:BM126)-SUMIF($C$5:BM$5,"ИТОГО  нерент, по распоряж.",$C126:BM126)-SUMIF($C$5:BM$5,"ИТОГО ост. дебит от ЗБС, Углуб., ПВЛГ/ПНЛГ",$C126:BM126)</f>
        <v>1818.3373214285998</v>
      </c>
      <c r="BO126" s="50"/>
      <c r="BP126" s="50"/>
      <c r="BQ126" s="50"/>
      <c r="BR126" s="50"/>
      <c r="BS126" s="49">
        <f>SUBTOTAL(9,BO126:BR126)</f>
        <v>0</v>
      </c>
      <c r="BT126" s="48" t="s">
        <v>0</v>
      </c>
      <c r="BU126" s="47">
        <f>BU$4+SUMIF($C$5:BS$5,"Нараст. по остановкам",$C126:BS126)-SUMIF($C$5:BS$5,"Нараст.  по потенциалу",$C126:BS126)</f>
        <v>862.86708892256388</v>
      </c>
      <c r="BV126" s="2"/>
    </row>
    <row r="127" spans="1:74" ht="1.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>
        <v>1</v>
      </c>
      <c r="Y127" s="3"/>
      <c r="Z127" s="3"/>
      <c r="AA127" s="3"/>
      <c r="AB127" s="3">
        <v>1</v>
      </c>
      <c r="AC127" s="3">
        <v>1</v>
      </c>
      <c r="AD127" s="3">
        <v>1</v>
      </c>
      <c r="AE127" s="3">
        <v>1</v>
      </c>
      <c r="AF127" s="3"/>
      <c r="AG127" s="3"/>
      <c r="AH127" s="3">
        <v>1</v>
      </c>
      <c r="AI127" s="3">
        <v>1</v>
      </c>
      <c r="AJ127" s="3"/>
      <c r="AK127" s="3">
        <v>1</v>
      </c>
      <c r="AL127" s="3"/>
      <c r="AM127" s="3"/>
      <c r="AN127" s="3"/>
      <c r="AO127" s="3"/>
      <c r="AP127" s="3"/>
      <c r="AQ127" s="3"/>
      <c r="AR127" s="3"/>
      <c r="AS127" s="3"/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2"/>
    </row>
    <row r="128" spans="1:74" ht="24" customHeight="1" x14ac:dyDescent="0.25">
      <c r="A128" s="46" t="s">
        <v>137</v>
      </c>
      <c r="B128" s="45" t="s">
        <v>0</v>
      </c>
      <c r="C128" s="43"/>
      <c r="D128" s="43"/>
      <c r="E128" s="43"/>
      <c r="F128" s="43"/>
      <c r="G128" s="42">
        <v>21</v>
      </c>
      <c r="H128" s="43"/>
      <c r="I128" s="43"/>
      <c r="J128" s="42">
        <v>3</v>
      </c>
      <c r="K128" s="43"/>
      <c r="L128" s="43"/>
      <c r="M128" s="43"/>
      <c r="N128" s="43"/>
      <c r="O128" s="43"/>
      <c r="P128" s="43"/>
      <c r="Q128" s="43"/>
      <c r="R128" s="42">
        <v>21</v>
      </c>
      <c r="S128" s="170">
        <v>45</v>
      </c>
      <c r="T128" s="169"/>
      <c r="U128" s="43"/>
      <c r="V128" s="42">
        <v>4</v>
      </c>
      <c r="W128" s="44"/>
      <c r="X128" s="43"/>
      <c r="Y128" s="43"/>
      <c r="Z128" s="42">
        <v>2</v>
      </c>
      <c r="AA128" s="44"/>
      <c r="AB128" s="43"/>
      <c r="AC128" s="43"/>
      <c r="AD128" s="43"/>
      <c r="AE128" s="43"/>
      <c r="AF128" s="42">
        <v>35</v>
      </c>
      <c r="AG128" s="44"/>
      <c r="AH128" s="43"/>
      <c r="AI128" s="43"/>
      <c r="AJ128" s="42">
        <v>6</v>
      </c>
      <c r="AK128" s="43"/>
      <c r="AL128" s="43"/>
      <c r="AM128" s="43"/>
      <c r="AN128" s="42">
        <v>16</v>
      </c>
      <c r="AO128" s="37">
        <v>22</v>
      </c>
      <c r="AP128" s="41"/>
      <c r="AQ128" s="40" t="s">
        <v>0</v>
      </c>
      <c r="AR128" s="40" t="s">
        <v>0</v>
      </c>
      <c r="AS128" s="39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7">
        <v>37</v>
      </c>
      <c r="BI128" s="36"/>
      <c r="BJ128" s="38"/>
      <c r="BK128" s="38"/>
      <c r="BL128" s="168">
        <v>5</v>
      </c>
      <c r="BM128" s="36"/>
      <c r="BN128" s="35"/>
      <c r="BO128" s="34"/>
      <c r="BP128" s="34"/>
      <c r="BQ128" s="34"/>
      <c r="BR128" s="34"/>
      <c r="BS128" s="34"/>
      <c r="BT128" s="34"/>
      <c r="BU128" s="33"/>
      <c r="BV128" s="2"/>
    </row>
    <row r="129" spans="1:74" ht="24" customHeight="1" x14ac:dyDescent="0.25">
      <c r="A129" s="23" t="s">
        <v>136</v>
      </c>
      <c r="B129" s="22" t="s">
        <v>0</v>
      </c>
      <c r="C129" s="20"/>
      <c r="D129" s="20"/>
      <c r="E129" s="20"/>
      <c r="F129" s="20"/>
      <c r="G129" s="31">
        <v>930</v>
      </c>
      <c r="H129" s="20"/>
      <c r="I129" s="20"/>
      <c r="J129" s="31">
        <v>18</v>
      </c>
      <c r="K129" s="20"/>
      <c r="L129" s="20"/>
      <c r="M129" s="20"/>
      <c r="N129" s="20"/>
      <c r="O129" s="20"/>
      <c r="P129" s="20"/>
      <c r="Q129" s="20"/>
      <c r="R129" s="31">
        <v>404</v>
      </c>
      <c r="S129" s="167">
        <v>1352</v>
      </c>
      <c r="T129" s="166"/>
      <c r="U129" s="20"/>
      <c r="V129" s="31">
        <v>31</v>
      </c>
      <c r="W129" s="32"/>
      <c r="X129" s="20"/>
      <c r="Y129" s="20"/>
      <c r="Z129" s="31">
        <v>468.5</v>
      </c>
      <c r="AA129" s="32"/>
      <c r="AB129" s="20"/>
      <c r="AC129" s="20"/>
      <c r="AD129" s="20"/>
      <c r="AE129" s="20"/>
      <c r="AF129" s="31">
        <v>205.1</v>
      </c>
      <c r="AG129" s="32"/>
      <c r="AH129" s="20"/>
      <c r="AI129" s="20"/>
      <c r="AJ129" s="31">
        <v>52</v>
      </c>
      <c r="AK129" s="20"/>
      <c r="AL129" s="20"/>
      <c r="AM129" s="20"/>
      <c r="AN129" s="31">
        <v>336.225452380886</v>
      </c>
      <c r="AO129" s="10">
        <v>388.225452380886</v>
      </c>
      <c r="AP129" s="26"/>
      <c r="AQ129" s="30"/>
      <c r="AR129" s="30"/>
      <c r="AS129" s="29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0">
        <v>603.48813095228604</v>
      </c>
      <c r="BI129" s="28"/>
      <c r="BJ129" s="16"/>
      <c r="BK129" s="16"/>
      <c r="BL129" s="10">
        <v>23</v>
      </c>
      <c r="BM129" s="28"/>
      <c r="BN129" s="27"/>
      <c r="BO129" s="26"/>
      <c r="BP129" s="26"/>
      <c r="BQ129" s="26"/>
      <c r="BR129" s="26"/>
      <c r="BS129" s="26"/>
      <c r="BT129" s="25" t="s">
        <v>135</v>
      </c>
      <c r="BU129" s="24"/>
      <c r="BV129" s="2"/>
    </row>
    <row r="130" spans="1:74" ht="24" customHeight="1" x14ac:dyDescent="0.25">
      <c r="A130" s="23" t="s">
        <v>134</v>
      </c>
      <c r="B130" s="22" t="s">
        <v>0</v>
      </c>
      <c r="C130" s="20"/>
      <c r="D130" s="20"/>
      <c r="E130" s="20"/>
      <c r="F130" s="20"/>
      <c r="G130" s="19">
        <v>9040</v>
      </c>
      <c r="H130" s="20"/>
      <c r="I130" s="20"/>
      <c r="J130" s="19">
        <v>24</v>
      </c>
      <c r="K130" s="20"/>
      <c r="L130" s="20"/>
      <c r="M130" s="20"/>
      <c r="N130" s="20"/>
      <c r="O130" s="20"/>
      <c r="P130" s="20"/>
      <c r="Q130" s="20"/>
      <c r="R130" s="19">
        <v>3770</v>
      </c>
      <c r="S130" s="165">
        <v>12834</v>
      </c>
      <c r="T130" s="165">
        <f>SUM(T$12:T126)</f>
        <v>12834</v>
      </c>
      <c r="U130" s="20"/>
      <c r="V130" s="19">
        <f>W130</f>
        <v>601</v>
      </c>
      <c r="W130" s="21">
        <f>SUM(W$12:W126)</f>
        <v>601</v>
      </c>
      <c r="X130" s="20"/>
      <c r="Y130" s="20"/>
      <c r="Z130" s="19">
        <f>AA130</f>
        <v>628.5</v>
      </c>
      <c r="AA130" s="21">
        <f>SUM(AA$12:AA126)</f>
        <v>628.5</v>
      </c>
      <c r="AB130" s="20"/>
      <c r="AC130" s="20"/>
      <c r="AD130" s="20"/>
      <c r="AE130" s="20"/>
      <c r="AF130" s="19">
        <f>AG130</f>
        <v>1957.1999999999998</v>
      </c>
      <c r="AG130" s="21">
        <f>SUM(AG$12:AG126)</f>
        <v>1957.1999999999998</v>
      </c>
      <c r="AH130" s="20"/>
      <c r="AI130" s="20"/>
      <c r="AJ130" s="19">
        <v>674</v>
      </c>
      <c r="AK130" s="20"/>
      <c r="AL130" s="20"/>
      <c r="AM130" s="20"/>
      <c r="AN130" s="19">
        <v>4827.88545237989</v>
      </c>
      <c r="AO130" s="15">
        <v>5501.88545237989</v>
      </c>
      <c r="AP130" s="11">
        <f>SUM(AP$12:AP126)</f>
        <v>5501.8854523798873</v>
      </c>
      <c r="AQ130" s="18">
        <f>SUM(AQ$14:AQ126)</f>
        <v>6680.7</v>
      </c>
      <c r="AR130" s="18">
        <f>SUM(AR$14:AR126)</f>
        <v>6680.7</v>
      </c>
      <c r="AS130" s="17">
        <f>SUM(AS$12:AS126)</f>
        <v>21750</v>
      </c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5">
        <f>BI130</f>
        <v>10535.741964284118</v>
      </c>
      <c r="BI130" s="14">
        <f>SUM(BI$12:BI126)</f>
        <v>10535.741964284118</v>
      </c>
      <c r="BJ130" s="16"/>
      <c r="BK130" s="16"/>
      <c r="BL130" s="10">
        <f>BM130</f>
        <v>442.1</v>
      </c>
      <c r="BM130" s="164">
        <f>SUM(BM$12:BM126)</f>
        <v>442.1</v>
      </c>
      <c r="BN130" s="13">
        <f>SUM(BN$12:BN126)</f>
        <v>10544.74348809577</v>
      </c>
      <c r="BO130" s="12">
        <f>SUBTOTAL(9,BO$14:BO126)</f>
        <v>615.20000000000005</v>
      </c>
      <c r="BP130" s="12">
        <f>SUBTOTAL(9,BP$14:BP126)</f>
        <v>1149.3742040048069</v>
      </c>
      <c r="BQ130" s="12">
        <f>SUBTOTAL(9,BQ$14:BQ126)</f>
        <v>1533.7478311651453</v>
      </c>
      <c r="BR130" s="12">
        <f>SUBTOTAL(9,BR$14:BR126)</f>
        <v>295.80703727636569</v>
      </c>
      <c r="BS130" s="12">
        <f>SUM(BS$12:BS126)</f>
        <v>3594.129072446317</v>
      </c>
      <c r="BT130" s="11">
        <f>BT$4*DAY($A124)+SUMIF($C$5:BS$5,"Нараст. баланс",$C130:BS130)+SUMIF($C$7:BQ$7,"Итого (с ВНР)",$C130:BQ130)-SUMIF($C$5:BS$5,"Геол. снижение,  т/сут",$C130:BS130)-SUMIF(BR$7:BS$7,"Итого",BR130:BS130)-SUMIF($C$7:BS$7,"Итого (с ВСП)",$C130:BS130)</f>
        <v>878180.59041564958</v>
      </c>
      <c r="BU130" s="10">
        <f>SUBTOTAL(1,BU$12:BU126)</f>
        <v>821.18566938234449</v>
      </c>
      <c r="BV130" s="2"/>
    </row>
    <row r="131" spans="1:74" ht="26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5"/>
      <c r="AG131" s="4"/>
      <c r="AH131" s="9" t="s">
        <v>133</v>
      </c>
      <c r="AI131" s="7" t="s">
        <v>0</v>
      </c>
      <c r="AJ131" s="7" t="s">
        <v>0</v>
      </c>
      <c r="AK131" s="7" t="s">
        <v>0</v>
      </c>
      <c r="AL131" s="7" t="s">
        <v>0</v>
      </c>
      <c r="AM131" s="7" t="s">
        <v>0</v>
      </c>
      <c r="AN131" s="7" t="s">
        <v>0</v>
      </c>
      <c r="AO131" s="7" t="s">
        <v>0</v>
      </c>
      <c r="AP131" s="7" t="s">
        <v>0</v>
      </c>
      <c r="AQ131" s="3"/>
      <c r="AR131" s="3"/>
      <c r="AS131" s="8" t="s">
        <v>132</v>
      </c>
      <c r="AT131" s="7" t="s">
        <v>0</v>
      </c>
      <c r="AU131" s="7" t="s">
        <v>0</v>
      </c>
      <c r="AV131" s="7" t="s">
        <v>0</v>
      </c>
      <c r="AW131" s="7" t="s">
        <v>0</v>
      </c>
      <c r="AX131" s="7" t="s">
        <v>0</v>
      </c>
      <c r="AY131" s="7" t="s">
        <v>0</v>
      </c>
      <c r="AZ131" s="7" t="s">
        <v>0</v>
      </c>
      <c r="BA131" s="7" t="s">
        <v>0</v>
      </c>
      <c r="BB131" s="7" t="s">
        <v>0</v>
      </c>
      <c r="BC131" s="7" t="s">
        <v>0</v>
      </c>
      <c r="BD131" s="7" t="s">
        <v>0</v>
      </c>
      <c r="BE131" s="7" t="s">
        <v>0</v>
      </c>
      <c r="BF131" s="7" t="s">
        <v>0</v>
      </c>
      <c r="BG131" s="7" t="s">
        <v>0</v>
      </c>
      <c r="BH131" s="7" t="s">
        <v>0</v>
      </c>
      <c r="BI131" s="7" t="s">
        <v>0</v>
      </c>
      <c r="BJ131" s="7" t="s">
        <v>0</v>
      </c>
      <c r="BK131" s="7" t="s">
        <v>0</v>
      </c>
      <c r="BL131" s="7" t="s">
        <v>0</v>
      </c>
      <c r="BM131" s="7" t="s">
        <v>0</v>
      </c>
      <c r="BN131" s="7" t="s">
        <v>0</v>
      </c>
      <c r="BO131" s="7" t="s">
        <v>0</v>
      </c>
      <c r="BP131" s="7" t="s">
        <v>0</v>
      </c>
      <c r="BQ131" s="7" t="s">
        <v>0</v>
      </c>
      <c r="BR131" s="7" t="s">
        <v>0</v>
      </c>
      <c r="BS131" s="7" t="s">
        <v>0</v>
      </c>
      <c r="BT131" s="6">
        <f>BT124-SUMIF($C$7:BQ$7,"Итого (с ВНР)",$C126:BQ126)+SUMIF($C$7:BS$7,"Итого (с ВСП)",$C126:BS126)+SUMIF(BR$7:BS$7,"Итого",BR126:BS126)</f>
        <v>30930.381321428602</v>
      </c>
      <c r="BU131" s="4" t="s">
        <v>16</v>
      </c>
      <c r="BV131" s="2"/>
    </row>
    <row r="132" spans="1:74" ht="15" customHeight="1" x14ac:dyDescent="0.2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</row>
    <row r="133" spans="1:74" ht="15" customHeight="1" x14ac:dyDescent="0.2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</row>
    <row r="134" spans="1:74" ht="15" customHeight="1" x14ac:dyDescent="0.2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</row>
  </sheetData>
  <mergeCells count="115">
    <mergeCell ref="BI5:BI9"/>
    <mergeCell ref="BJ5:BL7"/>
    <mergeCell ref="BM5:BM9"/>
    <mergeCell ref="AG5:AG9"/>
    <mergeCell ref="AH5:AO5"/>
    <mergeCell ref="AP5:AP9"/>
    <mergeCell ref="AQ5:AR6"/>
    <mergeCell ref="AS5:AS9"/>
    <mergeCell ref="AT5:BH7"/>
    <mergeCell ref="T5:T9"/>
    <mergeCell ref="U5:V7"/>
    <mergeCell ref="W5:W9"/>
    <mergeCell ref="X5:Z7"/>
    <mergeCell ref="AA5:AA9"/>
    <mergeCell ref="AB5:AF7"/>
    <mergeCell ref="BS7:BS9"/>
    <mergeCell ref="C1:AC1"/>
    <mergeCell ref="C2:AB2"/>
    <mergeCell ref="C3:K3"/>
    <mergeCell ref="A4:B4"/>
    <mergeCell ref="C4:AR4"/>
    <mergeCell ref="AS4:BS4"/>
    <mergeCell ref="A5:A9"/>
    <mergeCell ref="B5:B9"/>
    <mergeCell ref="C5:S5"/>
    <mergeCell ref="BU5:BU9"/>
    <mergeCell ref="C6:G7"/>
    <mergeCell ref="H6:J7"/>
    <mergeCell ref="K6:R7"/>
    <mergeCell ref="S6:S9"/>
    <mergeCell ref="AH6:AJ7"/>
    <mergeCell ref="AK6:AN7"/>
    <mergeCell ref="AO6:AO9"/>
    <mergeCell ref="AQ7:AQ9"/>
    <mergeCell ref="AR7:AR9"/>
    <mergeCell ref="AH10:AJ10"/>
    <mergeCell ref="AK10:AN10"/>
    <mergeCell ref="AT10:BH10"/>
    <mergeCell ref="BN5:BN9"/>
    <mergeCell ref="BO5:BS5"/>
    <mergeCell ref="BT5:BT9"/>
    <mergeCell ref="BO7:BO9"/>
    <mergeCell ref="BP7:BP9"/>
    <mergeCell ref="BQ7:BQ9"/>
    <mergeCell ref="BR7:BR9"/>
    <mergeCell ref="C10:G10"/>
    <mergeCell ref="H10:J10"/>
    <mergeCell ref="K10:R10"/>
    <mergeCell ref="U10:V10"/>
    <mergeCell ref="X10:Z10"/>
    <mergeCell ref="AB10:AF10"/>
    <mergeCell ref="BT44:BT46"/>
    <mergeCell ref="BJ10:BL10"/>
    <mergeCell ref="A12:A14"/>
    <mergeCell ref="BT12:BT14"/>
    <mergeCell ref="A16:A18"/>
    <mergeCell ref="BT16:BT18"/>
    <mergeCell ref="A20:A22"/>
    <mergeCell ref="BT20:BT22"/>
    <mergeCell ref="A24:A26"/>
    <mergeCell ref="BT24:BT26"/>
    <mergeCell ref="BT64:BT66"/>
    <mergeCell ref="A28:A30"/>
    <mergeCell ref="BT28:BT30"/>
    <mergeCell ref="A32:A34"/>
    <mergeCell ref="BT32:BT34"/>
    <mergeCell ref="A36:A38"/>
    <mergeCell ref="BT36:BT38"/>
    <mergeCell ref="A40:A42"/>
    <mergeCell ref="BT40:BT42"/>
    <mergeCell ref="A44:A46"/>
    <mergeCell ref="BT84:BT86"/>
    <mergeCell ref="A48:A50"/>
    <mergeCell ref="BT48:BT50"/>
    <mergeCell ref="A52:A54"/>
    <mergeCell ref="BT52:BT54"/>
    <mergeCell ref="A56:A58"/>
    <mergeCell ref="BT56:BT58"/>
    <mergeCell ref="A60:A62"/>
    <mergeCell ref="BT60:BT62"/>
    <mergeCell ref="A64:A66"/>
    <mergeCell ref="BT104:BT106"/>
    <mergeCell ref="A68:A70"/>
    <mergeCell ref="BT68:BT70"/>
    <mergeCell ref="A72:A74"/>
    <mergeCell ref="BT72:BT74"/>
    <mergeCell ref="A76:A78"/>
    <mergeCell ref="BT76:BT78"/>
    <mergeCell ref="A80:A82"/>
    <mergeCell ref="BT80:BT82"/>
    <mergeCell ref="A84:A86"/>
    <mergeCell ref="BT124:BT126"/>
    <mergeCell ref="A88:A90"/>
    <mergeCell ref="BT88:BT90"/>
    <mergeCell ref="A92:A94"/>
    <mergeCell ref="BT92:BT94"/>
    <mergeCell ref="A96:A98"/>
    <mergeCell ref="BT96:BT98"/>
    <mergeCell ref="A100:A102"/>
    <mergeCell ref="BT100:BT102"/>
    <mergeCell ref="A104:A106"/>
    <mergeCell ref="BT108:BT110"/>
    <mergeCell ref="A112:A114"/>
    <mergeCell ref="BT112:BT114"/>
    <mergeCell ref="A116:A118"/>
    <mergeCell ref="BT116:BT118"/>
    <mergeCell ref="A120:A122"/>
    <mergeCell ref="BT120:BT122"/>
    <mergeCell ref="A128:B128"/>
    <mergeCell ref="A129:B129"/>
    <mergeCell ref="A130:B130"/>
    <mergeCell ref="AH131:AP131"/>
    <mergeCell ref="AS131:BS131"/>
    <mergeCell ref="A108:A110"/>
    <mergeCell ref="A124:A126"/>
  </mergeCells>
  <pageMargins left="0" right="0" top="0" bottom="0" header="0" footer="0"/>
  <pageSetup paperSize="8" scale="75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График_Суточной_Добычи_Нефть</vt:lpstr>
      <vt:lpstr>Расч_сут_добычи_итоги</vt:lpstr>
      <vt:lpstr>Расчет_Суточной_Добычи_По_Датам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 Александр Сергеевич</dc:creator>
  <cp:lastModifiedBy> </cp:lastModifiedBy>
  <dcterms:created xsi:type="dcterms:W3CDTF">2024-01-31T13:18:15Z</dcterms:created>
  <dcterms:modified xsi:type="dcterms:W3CDTF">2024-01-31T15:12:11Z</dcterms:modified>
</cp:coreProperties>
</file>