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j-ng-fs2\СИП\1. ГИП\2024\02\Рассылка\ВН\Чистовой\"/>
    </mc:Choice>
  </mc:AlternateContent>
  <bookViews>
    <workbookView xWindow="0" yWindow="0" windowWidth="28800" windowHeight="13500" activeTab="1"/>
  </bookViews>
  <sheets>
    <sheet name="График_Суточной_Добычи_Нефть" sheetId="2" r:id="rId1"/>
    <sheet name="Расч_сут_добычи_итоги" sheetId="3" r:id="rId2"/>
    <sheet name="Расчет_Суточной_Добычи_По_Датам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J14" i="3"/>
  <c r="J10" i="3"/>
  <c r="Q58" i="3" l="1"/>
  <c r="P58" i="3"/>
  <c r="Q55" i="3"/>
  <c r="P55" i="3"/>
  <c r="I7" i="3"/>
  <c r="P7" i="3"/>
  <c r="Q7" i="3"/>
  <c r="O58" i="3"/>
  <c r="N58" i="3"/>
  <c r="O55" i="3"/>
  <c r="N55" i="3"/>
  <c r="N53" i="3" s="1"/>
  <c r="N43" i="3" s="1"/>
  <c r="O53" i="3"/>
  <c r="O43" i="3"/>
  <c r="O41" i="3"/>
  <c r="N41" i="3"/>
  <c r="O38" i="3"/>
  <c r="O34" i="3" s="1"/>
  <c r="O33" i="3" s="1"/>
  <c r="N38" i="3"/>
  <c r="O35" i="3"/>
  <c r="N35" i="3"/>
  <c r="N34" i="3"/>
  <c r="O23" i="3"/>
  <c r="N23" i="3"/>
  <c r="O9" i="3"/>
  <c r="N9" i="3"/>
  <c r="O8" i="3"/>
  <c r="N8" i="3"/>
  <c r="J7" i="3"/>
  <c r="J26" i="3"/>
  <c r="G43" i="3"/>
  <c r="F43" i="3"/>
  <c r="E43" i="3"/>
  <c r="G41" i="3"/>
  <c r="F41" i="3"/>
  <c r="G38" i="3"/>
  <c r="F38" i="3"/>
  <c r="G35" i="3"/>
  <c r="G34" i="3" s="1"/>
  <c r="G33" i="3" s="1"/>
  <c r="F35" i="3"/>
  <c r="F34" i="3"/>
  <c r="F33" i="3"/>
  <c r="E33" i="3"/>
  <c r="G23" i="3"/>
  <c r="F23" i="3"/>
  <c r="E23" i="3"/>
  <c r="G9" i="3"/>
  <c r="G8" i="3" s="1"/>
  <c r="F9" i="3"/>
  <c r="E9" i="3"/>
  <c r="E8" i="3" s="1"/>
  <c r="F8" i="3"/>
  <c r="AU8" i="2"/>
  <c r="N33" i="3" l="1"/>
  <c r="K7" i="3" l="1"/>
  <c r="L7" i="3"/>
  <c r="R7" i="3"/>
  <c r="S7" i="3"/>
  <c r="J8" i="3"/>
  <c r="C9" i="3"/>
  <c r="C8" i="3" s="1"/>
  <c r="D9" i="3"/>
  <c r="H9" i="3"/>
  <c r="I9" i="3"/>
  <c r="I8" i="3" s="1"/>
  <c r="J9" i="3"/>
  <c r="M9" i="3"/>
  <c r="M8" i="3" s="1"/>
  <c r="P9" i="3"/>
  <c r="Q9" i="3"/>
  <c r="Q8" i="3" s="1"/>
  <c r="K10" i="3"/>
  <c r="L10" i="3"/>
  <c r="R10" i="3"/>
  <c r="R9" i="3" s="1"/>
  <c r="R8" i="3" s="1"/>
  <c r="S10" i="3"/>
  <c r="K11" i="3"/>
  <c r="L11" i="3"/>
  <c r="R11" i="3"/>
  <c r="S11" i="3"/>
  <c r="K12" i="3"/>
  <c r="L12" i="3"/>
  <c r="R12" i="3"/>
  <c r="S12" i="3"/>
  <c r="K13" i="3"/>
  <c r="L13" i="3"/>
  <c r="R13" i="3"/>
  <c r="S13" i="3"/>
  <c r="K14" i="3"/>
  <c r="L14" i="3"/>
  <c r="R14" i="3"/>
  <c r="S14" i="3"/>
  <c r="K15" i="3"/>
  <c r="L15" i="3"/>
  <c r="R15" i="3"/>
  <c r="S15" i="3"/>
  <c r="K16" i="3"/>
  <c r="L16" i="3"/>
  <c r="R16" i="3"/>
  <c r="S16" i="3"/>
  <c r="K17" i="3"/>
  <c r="L17" i="3"/>
  <c r="R17" i="3"/>
  <c r="S17" i="3"/>
  <c r="K18" i="3"/>
  <c r="L18" i="3"/>
  <c r="R18" i="3"/>
  <c r="S18" i="3"/>
  <c r="K19" i="3"/>
  <c r="L19" i="3"/>
  <c r="R19" i="3"/>
  <c r="S19" i="3"/>
  <c r="K20" i="3"/>
  <c r="L20" i="3"/>
  <c r="R20" i="3"/>
  <c r="S20" i="3"/>
  <c r="K21" i="3"/>
  <c r="L21" i="3"/>
  <c r="R21" i="3"/>
  <c r="S21" i="3"/>
  <c r="K22" i="3"/>
  <c r="L22" i="3"/>
  <c r="R22" i="3"/>
  <c r="S22" i="3"/>
  <c r="C23" i="3"/>
  <c r="D23" i="3"/>
  <c r="D8" i="3" s="1"/>
  <c r="H23" i="3"/>
  <c r="H8" i="3" s="1"/>
  <c r="I23" i="3"/>
  <c r="J23" i="3"/>
  <c r="M23" i="3"/>
  <c r="P23" i="3"/>
  <c r="P8" i="3" s="1"/>
  <c r="Q23" i="3"/>
  <c r="K24" i="3"/>
  <c r="L24" i="3"/>
  <c r="R24" i="3"/>
  <c r="R23" i="3" s="1"/>
  <c r="S24" i="3"/>
  <c r="K25" i="3"/>
  <c r="L25" i="3"/>
  <c r="R25" i="3"/>
  <c r="S25" i="3"/>
  <c r="K26" i="3"/>
  <c r="L26" i="3"/>
  <c r="R26" i="3"/>
  <c r="S26" i="3"/>
  <c r="K27" i="3"/>
  <c r="L27" i="3"/>
  <c r="R27" i="3"/>
  <c r="S27" i="3"/>
  <c r="K28" i="3"/>
  <c r="L28" i="3"/>
  <c r="R28" i="3"/>
  <c r="S28" i="3"/>
  <c r="L29" i="3"/>
  <c r="S29" i="3"/>
  <c r="S30" i="3"/>
  <c r="I35" i="3"/>
  <c r="I34" i="3" s="1"/>
  <c r="I33" i="3" s="1"/>
  <c r="J35" i="3"/>
  <c r="J34" i="3" s="1"/>
  <c r="J33" i="3" s="1"/>
  <c r="P35" i="3"/>
  <c r="P34" i="3" s="1"/>
  <c r="Q35" i="3"/>
  <c r="L36" i="3"/>
  <c r="L35" i="3" s="1"/>
  <c r="S36" i="3"/>
  <c r="L37" i="3"/>
  <c r="S37" i="3"/>
  <c r="F62" i="3"/>
  <c r="I38" i="3"/>
  <c r="J38" i="3"/>
  <c r="P38" i="3"/>
  <c r="Q38" i="3"/>
  <c r="Q34" i="3" s="1"/>
  <c r="L39" i="3"/>
  <c r="S39" i="3"/>
  <c r="L40" i="3"/>
  <c r="S40" i="3"/>
  <c r="I41" i="3"/>
  <c r="J41" i="3"/>
  <c r="P41" i="3"/>
  <c r="Q41" i="3"/>
  <c r="L42" i="3"/>
  <c r="L41" i="3" s="1"/>
  <c r="S42" i="3"/>
  <c r="S41" i="3" s="1"/>
  <c r="H43" i="3"/>
  <c r="H33" i="3" s="1"/>
  <c r="I43" i="3"/>
  <c r="J43" i="3"/>
  <c r="L44" i="3"/>
  <c r="L43" i="3" s="1"/>
  <c r="S44" i="3"/>
  <c r="L45" i="3"/>
  <c r="S45" i="3"/>
  <c r="L46" i="3"/>
  <c r="S46" i="3"/>
  <c r="L47" i="3"/>
  <c r="S47" i="3"/>
  <c r="L48" i="3"/>
  <c r="S48" i="3"/>
  <c r="L49" i="3"/>
  <c r="S49" i="3"/>
  <c r="L50" i="3"/>
  <c r="S50" i="3"/>
  <c r="L51" i="3"/>
  <c r="S51" i="3"/>
  <c r="L52" i="3"/>
  <c r="S52" i="3"/>
  <c r="S54" i="3"/>
  <c r="Q53" i="3"/>
  <c r="Q43" i="3" s="1"/>
  <c r="S56" i="3"/>
  <c r="S57" i="3"/>
  <c r="P53" i="3"/>
  <c r="P43" i="3" s="1"/>
  <c r="S59" i="3"/>
  <c r="S60" i="3"/>
  <c r="S61" i="3"/>
  <c r="E72" i="3"/>
  <c r="G72" i="3"/>
  <c r="H72" i="3"/>
  <c r="J72" i="3"/>
  <c r="O72" i="3"/>
  <c r="Q72" i="3"/>
  <c r="H79" i="3"/>
  <c r="I79" i="3"/>
  <c r="J79" i="3"/>
  <c r="K79" i="3"/>
  <c r="L79" i="3"/>
  <c r="P79" i="3"/>
  <c r="Q79" i="3"/>
  <c r="R79" i="3"/>
  <c r="S79" i="3"/>
  <c r="C80" i="3"/>
  <c r="D80" i="3"/>
  <c r="E80" i="3"/>
  <c r="F80" i="3"/>
  <c r="G80" i="3"/>
  <c r="M80" i="3"/>
  <c r="N80" i="3"/>
  <c r="N79" i="3" s="1"/>
  <c r="O80" i="3"/>
  <c r="C94" i="3"/>
  <c r="D94" i="3"/>
  <c r="D79" i="3" s="1"/>
  <c r="E94" i="3"/>
  <c r="F94" i="3"/>
  <c r="F79" i="3" s="1"/>
  <c r="G94" i="3"/>
  <c r="M94" i="3"/>
  <c r="N94" i="3"/>
  <c r="O94" i="3"/>
  <c r="E104" i="3"/>
  <c r="F106" i="3"/>
  <c r="F105" i="3" s="1"/>
  <c r="F104" i="3" s="1"/>
  <c r="G106" i="3"/>
  <c r="G105" i="3" s="1"/>
  <c r="G104" i="3" s="1"/>
  <c r="N106" i="3"/>
  <c r="N105" i="3" s="1"/>
  <c r="N104" i="3" s="1"/>
  <c r="O106" i="3"/>
  <c r="O105" i="3" s="1"/>
  <c r="F109" i="3"/>
  <c r="G109" i="3"/>
  <c r="N109" i="3"/>
  <c r="O109" i="3"/>
  <c r="F112" i="3"/>
  <c r="G112" i="3"/>
  <c r="N112" i="3"/>
  <c r="O112" i="3"/>
  <c r="E114" i="3"/>
  <c r="F114" i="3"/>
  <c r="G114" i="3"/>
  <c r="N126" i="3"/>
  <c r="O126" i="3"/>
  <c r="O124" i="3" s="1"/>
  <c r="O114" i="3" s="1"/>
  <c r="N129" i="3"/>
  <c r="N124" i="3" s="1"/>
  <c r="N114" i="3" s="1"/>
  <c r="O129" i="3"/>
  <c r="S132" i="3"/>
  <c r="E143" i="3"/>
  <c r="G143" i="3"/>
  <c r="H143" i="3"/>
  <c r="J143" i="3"/>
  <c r="O143" i="3"/>
  <c r="Q143" i="3"/>
  <c r="M8" i="2"/>
  <c r="W8" i="2"/>
  <c r="AT8" i="2"/>
  <c r="M9" i="2"/>
  <c r="AU10" i="2" s="1"/>
  <c r="W9" i="2"/>
  <c r="AT9" i="2"/>
  <c r="M10" i="2"/>
  <c r="W10" i="2"/>
  <c r="W41" i="2" s="1"/>
  <c r="AT10" i="2"/>
  <c r="M11" i="2"/>
  <c r="W11" i="2"/>
  <c r="AT11" i="2"/>
  <c r="M12" i="2"/>
  <c r="W12" i="2"/>
  <c r="AT12" i="2"/>
  <c r="M13" i="2"/>
  <c r="W13" i="2"/>
  <c r="AT13" i="2"/>
  <c r="M14" i="2"/>
  <c r="W14" i="2"/>
  <c r="AT14" i="2"/>
  <c r="M15" i="2"/>
  <c r="W15" i="2"/>
  <c r="AT15" i="2"/>
  <c r="M16" i="2"/>
  <c r="W16" i="2"/>
  <c r="AT16" i="2"/>
  <c r="M17" i="2"/>
  <c r="W17" i="2"/>
  <c r="AT17" i="2"/>
  <c r="M18" i="2"/>
  <c r="W18" i="2"/>
  <c r="AT18" i="2"/>
  <c r="M19" i="2"/>
  <c r="W19" i="2"/>
  <c r="AT19" i="2"/>
  <c r="M20" i="2"/>
  <c r="W20" i="2"/>
  <c r="AT20" i="2"/>
  <c r="M21" i="2"/>
  <c r="W21" i="2"/>
  <c r="AT21" i="2"/>
  <c r="M22" i="2"/>
  <c r="W22" i="2"/>
  <c r="AT22" i="2"/>
  <c r="M23" i="2"/>
  <c r="W23" i="2"/>
  <c r="AT23" i="2"/>
  <c r="M24" i="2"/>
  <c r="W24" i="2"/>
  <c r="AT24" i="2"/>
  <c r="M25" i="2"/>
  <c r="W25" i="2"/>
  <c r="AT25" i="2"/>
  <c r="M26" i="2"/>
  <c r="W26" i="2"/>
  <c r="AT26" i="2"/>
  <c r="M27" i="2"/>
  <c r="W27" i="2"/>
  <c r="AT27" i="2"/>
  <c r="M28" i="2"/>
  <c r="W28" i="2"/>
  <c r="AT28" i="2"/>
  <c r="M29" i="2"/>
  <c r="W29" i="2"/>
  <c r="AT29" i="2"/>
  <c r="M30" i="2"/>
  <c r="W30" i="2"/>
  <c r="AT30" i="2"/>
  <c r="M31" i="2"/>
  <c r="W31" i="2"/>
  <c r="AT31" i="2"/>
  <c r="M32" i="2"/>
  <c r="W32" i="2"/>
  <c r="AT32" i="2"/>
  <c r="M33" i="2"/>
  <c r="W33" i="2"/>
  <c r="AT33" i="2"/>
  <c r="M34" i="2"/>
  <c r="W34" i="2"/>
  <c r="AT34" i="2"/>
  <c r="M35" i="2"/>
  <c r="W35" i="2"/>
  <c r="AT35" i="2"/>
  <c r="M36" i="2"/>
  <c r="W36" i="2"/>
  <c r="AT36" i="2"/>
  <c r="M37" i="2"/>
  <c r="W37" i="2"/>
  <c r="AT37" i="2"/>
  <c r="M38" i="2"/>
  <c r="W38" i="2"/>
  <c r="AT38" i="2"/>
  <c r="M39" i="2"/>
  <c r="W39" i="2"/>
  <c r="AT39" i="2"/>
  <c r="M40" i="2"/>
  <c r="W40" i="2"/>
  <c r="AT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M43" i="2"/>
  <c r="W43" i="2"/>
  <c r="AT43" i="2"/>
  <c r="AU43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M47" i="2"/>
  <c r="W47" i="2"/>
  <c r="AT47" i="2"/>
  <c r="AU47" i="2"/>
  <c r="M79" i="3" l="1"/>
  <c r="O79" i="3"/>
  <c r="E79" i="3"/>
  <c r="C79" i="3"/>
  <c r="G79" i="3"/>
  <c r="G133" i="3" s="1"/>
  <c r="I62" i="3"/>
  <c r="K9" i="3"/>
  <c r="S58" i="3"/>
  <c r="S23" i="3"/>
  <c r="S55" i="3"/>
  <c r="S53" i="3" s="1"/>
  <c r="S43" i="3" s="1"/>
  <c r="S38" i="3"/>
  <c r="S9" i="3"/>
  <c r="S8" i="3" s="1"/>
  <c r="S35" i="3"/>
  <c r="L23" i="3"/>
  <c r="K23" i="3"/>
  <c r="K8" i="3" s="1"/>
  <c r="L38" i="3"/>
  <c r="L9" i="3"/>
  <c r="N62" i="3"/>
  <c r="F63" i="3" s="1"/>
  <c r="L34" i="3"/>
  <c r="L33" i="3" s="1"/>
  <c r="O62" i="3"/>
  <c r="P62" i="3"/>
  <c r="I63" i="3" s="1"/>
  <c r="J62" i="3"/>
  <c r="G62" i="3"/>
  <c r="O104" i="3"/>
  <c r="O133" i="3" s="1"/>
  <c r="Q33" i="3"/>
  <c r="N133" i="3"/>
  <c r="F134" i="3" s="1"/>
  <c r="F133" i="3"/>
  <c r="P33" i="3"/>
  <c r="Q62" i="3"/>
  <c r="Z63" i="3" s="1"/>
  <c r="W45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41" i="2" s="1"/>
  <c r="AU45" i="2" s="1"/>
  <c r="S33" i="3" l="1"/>
  <c r="S34" i="3"/>
  <c r="L8" i="3"/>
  <c r="L62" i="3"/>
  <c r="O136" i="3"/>
  <c r="G134" i="3"/>
  <c r="G136" i="3" s="1"/>
  <c r="S62" i="3"/>
  <c r="J63" i="3"/>
  <c r="Q65" i="3"/>
  <c r="O65" i="3"/>
  <c r="G63" i="3"/>
  <c r="G65" i="3" s="1"/>
  <c r="L63" i="3" l="1"/>
  <c r="J65" i="3"/>
  <c r="CI6" i="1" l="1"/>
  <c r="CJ6" i="1"/>
  <c r="CK6" i="1"/>
  <c r="CL6" i="1"/>
  <c r="T13" i="1"/>
  <c r="X13" i="1"/>
  <c r="AH13" i="1"/>
  <c r="AL13" i="1"/>
  <c r="AU13" i="1"/>
  <c r="AV13" i="1"/>
  <c r="BV13" i="1"/>
  <c r="CD13" i="1"/>
  <c r="G14" i="1"/>
  <c r="I14" i="1"/>
  <c r="Q14" i="1" s="1"/>
  <c r="M14" i="1"/>
  <c r="P14" i="1"/>
  <c r="T14" i="1"/>
  <c r="U14" i="1" s="1"/>
  <c r="X14" i="1"/>
  <c r="Y14" i="1" s="1"/>
  <c r="Y18" i="1" s="1"/>
  <c r="AH14" i="1"/>
  <c r="AI14" i="1" s="1"/>
  <c r="AL14" i="1"/>
  <c r="AU14" i="1"/>
  <c r="AV14" i="1"/>
  <c r="AW14" i="1" s="1"/>
  <c r="BV14" i="1"/>
  <c r="BW14" i="1" s="1"/>
  <c r="BW18" i="1" s="1"/>
  <c r="CD14" i="1"/>
  <c r="CE14" i="1" s="1"/>
  <c r="CE18" i="1" s="1"/>
  <c r="CM14" i="1"/>
  <c r="T17" i="1"/>
  <c r="X17" i="1"/>
  <c r="AH17" i="1"/>
  <c r="AL17" i="1"/>
  <c r="AU17" i="1"/>
  <c r="AV17" i="1"/>
  <c r="BV17" i="1"/>
  <c r="CD17" i="1"/>
  <c r="G18" i="1"/>
  <c r="I18" i="1"/>
  <c r="M18" i="1"/>
  <c r="Q18" i="1" s="1"/>
  <c r="P18" i="1"/>
  <c r="T18" i="1"/>
  <c r="U18" i="1"/>
  <c r="X18" i="1"/>
  <c r="AH18" i="1"/>
  <c r="AI18" i="1"/>
  <c r="AL18" i="1"/>
  <c r="AV18" i="1" s="1"/>
  <c r="AW18" i="1" s="1"/>
  <c r="AU18" i="1"/>
  <c r="BV18" i="1"/>
  <c r="CD18" i="1"/>
  <c r="CM18" i="1"/>
  <c r="T21" i="1"/>
  <c r="X21" i="1"/>
  <c r="AH21" i="1"/>
  <c r="AL21" i="1"/>
  <c r="AU21" i="1"/>
  <c r="AV21" i="1"/>
  <c r="BV21" i="1"/>
  <c r="CD21" i="1"/>
  <c r="G22" i="1"/>
  <c r="I22" i="1"/>
  <c r="Q22" i="1" s="1"/>
  <c r="M22" i="1"/>
  <c r="P22" i="1"/>
  <c r="T22" i="1"/>
  <c r="U22" i="1" s="1"/>
  <c r="U26" i="1" s="1"/>
  <c r="X22" i="1"/>
  <c r="Y22" i="1" s="1"/>
  <c r="AH22" i="1"/>
  <c r="AL22" i="1"/>
  <c r="AV22" i="1" s="1"/>
  <c r="AU22" i="1"/>
  <c r="BV22" i="1"/>
  <c r="CD22" i="1"/>
  <c r="CM22" i="1"/>
  <c r="T25" i="1"/>
  <c r="X25" i="1"/>
  <c r="AH25" i="1"/>
  <c r="AL25" i="1"/>
  <c r="AU25" i="1"/>
  <c r="AV25" i="1"/>
  <c r="BV25" i="1"/>
  <c r="CD25" i="1"/>
  <c r="G26" i="1"/>
  <c r="I26" i="1"/>
  <c r="M26" i="1"/>
  <c r="P26" i="1"/>
  <c r="Q26" i="1"/>
  <c r="T26" i="1"/>
  <c r="X26" i="1"/>
  <c r="Y26" i="1"/>
  <c r="AH26" i="1"/>
  <c r="AL26" i="1"/>
  <c r="AU26" i="1"/>
  <c r="AV26" i="1"/>
  <c r="BV26" i="1"/>
  <c r="CD26" i="1"/>
  <c r="CM26" i="1"/>
  <c r="T29" i="1"/>
  <c r="X29" i="1"/>
  <c r="AH29" i="1"/>
  <c r="AL29" i="1"/>
  <c r="AU29" i="1"/>
  <c r="AV29" i="1"/>
  <c r="BV29" i="1"/>
  <c r="CD29" i="1"/>
  <c r="G30" i="1"/>
  <c r="I30" i="1"/>
  <c r="Q30" i="1" s="1"/>
  <c r="M30" i="1"/>
  <c r="P30" i="1"/>
  <c r="T30" i="1"/>
  <c r="X30" i="1"/>
  <c r="AH30" i="1"/>
  <c r="AL30" i="1"/>
  <c r="AU30" i="1"/>
  <c r="AV30" i="1"/>
  <c r="BV30" i="1"/>
  <c r="CD30" i="1"/>
  <c r="CM30" i="1"/>
  <c r="T33" i="1"/>
  <c r="X33" i="1"/>
  <c r="AH33" i="1"/>
  <c r="AL33" i="1"/>
  <c r="AU33" i="1"/>
  <c r="AV33" i="1"/>
  <c r="BV33" i="1"/>
  <c r="CD33" i="1"/>
  <c r="G34" i="1"/>
  <c r="I34" i="1"/>
  <c r="M34" i="1"/>
  <c r="Q34" i="1" s="1"/>
  <c r="P34" i="1"/>
  <c r="T34" i="1"/>
  <c r="X34" i="1"/>
  <c r="AH34" i="1"/>
  <c r="AL34" i="1"/>
  <c r="AV34" i="1" s="1"/>
  <c r="AU34" i="1"/>
  <c r="BV34" i="1"/>
  <c r="CD34" i="1"/>
  <c r="CM34" i="1"/>
  <c r="T37" i="1"/>
  <c r="X37" i="1"/>
  <c r="AH37" i="1"/>
  <c r="AL37" i="1"/>
  <c r="AU37" i="1"/>
  <c r="AV37" i="1"/>
  <c r="BV37" i="1"/>
  <c r="CD37" i="1"/>
  <c r="G38" i="1"/>
  <c r="I38" i="1"/>
  <c r="Q38" i="1" s="1"/>
  <c r="M38" i="1"/>
  <c r="P38" i="1"/>
  <c r="T38" i="1"/>
  <c r="X38" i="1"/>
  <c r="AH38" i="1"/>
  <c r="AL38" i="1"/>
  <c r="AV38" i="1" s="1"/>
  <c r="AU38" i="1"/>
  <c r="BV38" i="1"/>
  <c r="CD38" i="1"/>
  <c r="CM38" i="1"/>
  <c r="T41" i="1"/>
  <c r="X41" i="1"/>
  <c r="AH41" i="1"/>
  <c r="AL41" i="1"/>
  <c r="AU41" i="1"/>
  <c r="AV41" i="1"/>
  <c r="BV41" i="1"/>
  <c r="CD41" i="1"/>
  <c r="G42" i="1"/>
  <c r="I42" i="1"/>
  <c r="M42" i="1"/>
  <c r="P42" i="1"/>
  <c r="Q42" i="1"/>
  <c r="T42" i="1"/>
  <c r="X42" i="1"/>
  <c r="AH42" i="1"/>
  <c r="AL42" i="1"/>
  <c r="AU42" i="1"/>
  <c r="AV42" i="1"/>
  <c r="BV42" i="1"/>
  <c r="CD42" i="1"/>
  <c r="CM42" i="1"/>
  <c r="T45" i="1"/>
  <c r="X45" i="1"/>
  <c r="AH45" i="1"/>
  <c r="AL45" i="1"/>
  <c r="AU45" i="1"/>
  <c r="AV45" i="1"/>
  <c r="BV45" i="1"/>
  <c r="CD45" i="1"/>
  <c r="G46" i="1"/>
  <c r="I46" i="1"/>
  <c r="Q46" i="1" s="1"/>
  <c r="M46" i="1"/>
  <c r="P46" i="1"/>
  <c r="T46" i="1"/>
  <c r="X46" i="1"/>
  <c r="AH46" i="1"/>
  <c r="AL46" i="1"/>
  <c r="AU46" i="1"/>
  <c r="AV46" i="1"/>
  <c r="BV46" i="1"/>
  <c r="CD46" i="1"/>
  <c r="CM46" i="1"/>
  <c r="T49" i="1"/>
  <c r="X49" i="1"/>
  <c r="AH49" i="1"/>
  <c r="AL49" i="1"/>
  <c r="AU49" i="1"/>
  <c r="AV49" i="1"/>
  <c r="BV49" i="1"/>
  <c r="CD49" i="1"/>
  <c r="G50" i="1"/>
  <c r="I50" i="1"/>
  <c r="M50" i="1"/>
  <c r="Q50" i="1" s="1"/>
  <c r="P50" i="1"/>
  <c r="T50" i="1"/>
  <c r="X50" i="1"/>
  <c r="AH50" i="1"/>
  <c r="AL50" i="1"/>
  <c r="AV50" i="1" s="1"/>
  <c r="AU50" i="1"/>
  <c r="BV50" i="1"/>
  <c r="CD50" i="1"/>
  <c r="CM50" i="1"/>
  <c r="T53" i="1"/>
  <c r="X53" i="1"/>
  <c r="AH53" i="1"/>
  <c r="AL53" i="1"/>
  <c r="AU53" i="1"/>
  <c r="AV53" i="1"/>
  <c r="BV53" i="1"/>
  <c r="CD53" i="1"/>
  <c r="G54" i="1"/>
  <c r="I54" i="1"/>
  <c r="Q54" i="1" s="1"/>
  <c r="M54" i="1"/>
  <c r="P54" i="1"/>
  <c r="T54" i="1"/>
  <c r="X54" i="1"/>
  <c r="AH54" i="1"/>
  <c r="AL54" i="1"/>
  <c r="AV54" i="1" s="1"/>
  <c r="AU54" i="1"/>
  <c r="BV54" i="1"/>
  <c r="CD54" i="1"/>
  <c r="CM54" i="1"/>
  <c r="T57" i="1"/>
  <c r="X57" i="1"/>
  <c r="AH57" i="1"/>
  <c r="AL57" i="1"/>
  <c r="AU57" i="1"/>
  <c r="AV57" i="1"/>
  <c r="BV57" i="1"/>
  <c r="CD57" i="1"/>
  <c r="G58" i="1"/>
  <c r="I58" i="1"/>
  <c r="M58" i="1"/>
  <c r="P58" i="1"/>
  <c r="Q58" i="1"/>
  <c r="T58" i="1"/>
  <c r="X58" i="1"/>
  <c r="AH58" i="1"/>
  <c r="AL58" i="1"/>
  <c r="AV58" i="1" s="1"/>
  <c r="AU58" i="1"/>
  <c r="BV58" i="1"/>
  <c r="CD58" i="1"/>
  <c r="CM58" i="1"/>
  <c r="T61" i="1"/>
  <c r="X61" i="1"/>
  <c r="AH61" i="1"/>
  <c r="AL61" i="1"/>
  <c r="AU61" i="1"/>
  <c r="AV61" i="1"/>
  <c r="BV61" i="1"/>
  <c r="CD61" i="1"/>
  <c r="G62" i="1"/>
  <c r="I62" i="1"/>
  <c r="Q62" i="1" s="1"/>
  <c r="M62" i="1"/>
  <c r="P62" i="1"/>
  <c r="T62" i="1"/>
  <c r="X62" i="1"/>
  <c r="AH62" i="1"/>
  <c r="AL62" i="1"/>
  <c r="AU62" i="1"/>
  <c r="AV62" i="1"/>
  <c r="BV62" i="1"/>
  <c r="CD62" i="1"/>
  <c r="CM62" i="1"/>
  <c r="T65" i="1"/>
  <c r="X65" i="1"/>
  <c r="AH65" i="1"/>
  <c r="AL65" i="1"/>
  <c r="AU65" i="1"/>
  <c r="AV65" i="1"/>
  <c r="BV65" i="1"/>
  <c r="CD65" i="1"/>
  <c r="G66" i="1"/>
  <c r="I66" i="1"/>
  <c r="M66" i="1"/>
  <c r="Q66" i="1" s="1"/>
  <c r="P66" i="1"/>
  <c r="T66" i="1"/>
  <c r="X66" i="1"/>
  <c r="AH66" i="1"/>
  <c r="AL66" i="1"/>
  <c r="AV66" i="1" s="1"/>
  <c r="AU66" i="1"/>
  <c r="BV66" i="1"/>
  <c r="CD66" i="1"/>
  <c r="CM66" i="1"/>
  <c r="T69" i="1"/>
  <c r="X69" i="1"/>
  <c r="AH69" i="1"/>
  <c r="AL69" i="1"/>
  <c r="AU69" i="1"/>
  <c r="AV69" i="1"/>
  <c r="BV69" i="1"/>
  <c r="CD69" i="1"/>
  <c r="G70" i="1"/>
  <c r="I70" i="1"/>
  <c r="Q70" i="1" s="1"/>
  <c r="M70" i="1"/>
  <c r="P70" i="1"/>
  <c r="T70" i="1"/>
  <c r="X70" i="1"/>
  <c r="AH70" i="1"/>
  <c r="AL70" i="1"/>
  <c r="AV70" i="1" s="1"/>
  <c r="AU70" i="1"/>
  <c r="BV70" i="1"/>
  <c r="CD70" i="1"/>
  <c r="CM70" i="1"/>
  <c r="T73" i="1"/>
  <c r="X73" i="1"/>
  <c r="AH73" i="1"/>
  <c r="AL73" i="1"/>
  <c r="AU73" i="1"/>
  <c r="AV73" i="1"/>
  <c r="BV73" i="1"/>
  <c r="CD73" i="1"/>
  <c r="G74" i="1"/>
  <c r="I74" i="1"/>
  <c r="M74" i="1"/>
  <c r="P74" i="1"/>
  <c r="Q74" i="1"/>
  <c r="T74" i="1"/>
  <c r="X74" i="1"/>
  <c r="AH74" i="1"/>
  <c r="AL74" i="1"/>
  <c r="AU74" i="1"/>
  <c r="AV74" i="1"/>
  <c r="BV74" i="1"/>
  <c r="CD74" i="1"/>
  <c r="CM74" i="1"/>
  <c r="T77" i="1"/>
  <c r="X77" i="1"/>
  <c r="AH77" i="1"/>
  <c r="AL77" i="1"/>
  <c r="AU77" i="1"/>
  <c r="AV77" i="1"/>
  <c r="BV77" i="1"/>
  <c r="CD77" i="1"/>
  <c r="G78" i="1"/>
  <c r="I78" i="1"/>
  <c r="Q78" i="1" s="1"/>
  <c r="M78" i="1"/>
  <c r="P78" i="1"/>
  <c r="T78" i="1"/>
  <c r="X78" i="1"/>
  <c r="AH78" i="1"/>
  <c r="AL78" i="1"/>
  <c r="AU78" i="1"/>
  <c r="AV78" i="1"/>
  <c r="BV78" i="1"/>
  <c r="CD78" i="1"/>
  <c r="CM78" i="1"/>
  <c r="T81" i="1"/>
  <c r="X81" i="1"/>
  <c r="AH81" i="1"/>
  <c r="AL81" i="1"/>
  <c r="AU81" i="1"/>
  <c r="AV81" i="1"/>
  <c r="BV81" i="1"/>
  <c r="CD81" i="1"/>
  <c r="G82" i="1"/>
  <c r="I82" i="1"/>
  <c r="M82" i="1"/>
  <c r="Q82" i="1" s="1"/>
  <c r="P82" i="1"/>
  <c r="T82" i="1"/>
  <c r="X82" i="1"/>
  <c r="AH82" i="1"/>
  <c r="AL82" i="1"/>
  <c r="AV82" i="1" s="1"/>
  <c r="AU82" i="1"/>
  <c r="BV82" i="1"/>
  <c r="CD82" i="1"/>
  <c r="CM82" i="1"/>
  <c r="T85" i="1"/>
  <c r="X85" i="1"/>
  <c r="AH85" i="1"/>
  <c r="AL85" i="1"/>
  <c r="AU85" i="1"/>
  <c r="AV85" i="1"/>
  <c r="BV85" i="1"/>
  <c r="CD85" i="1"/>
  <c r="G86" i="1"/>
  <c r="I86" i="1"/>
  <c r="Q86" i="1" s="1"/>
  <c r="M86" i="1"/>
  <c r="P86" i="1"/>
  <c r="T86" i="1"/>
  <c r="X86" i="1"/>
  <c r="AH86" i="1"/>
  <c r="AL86" i="1"/>
  <c r="AV86" i="1" s="1"/>
  <c r="AU86" i="1"/>
  <c r="BV86" i="1"/>
  <c r="CD86" i="1"/>
  <c r="CM86" i="1"/>
  <c r="T89" i="1"/>
  <c r="X89" i="1"/>
  <c r="AH89" i="1"/>
  <c r="AL89" i="1"/>
  <c r="AU89" i="1"/>
  <c r="AV89" i="1"/>
  <c r="BV89" i="1"/>
  <c r="CD89" i="1"/>
  <c r="G90" i="1"/>
  <c r="I90" i="1"/>
  <c r="M90" i="1"/>
  <c r="P90" i="1"/>
  <c r="Q90" i="1"/>
  <c r="T90" i="1"/>
  <c r="X90" i="1"/>
  <c r="AH90" i="1"/>
  <c r="AL90" i="1"/>
  <c r="AV90" i="1" s="1"/>
  <c r="AU90" i="1"/>
  <c r="BV90" i="1"/>
  <c r="CD90" i="1"/>
  <c r="CM90" i="1"/>
  <c r="T93" i="1"/>
  <c r="X93" i="1"/>
  <c r="AH93" i="1"/>
  <c r="AL93" i="1"/>
  <c r="AU93" i="1"/>
  <c r="AV93" i="1"/>
  <c r="BV93" i="1"/>
  <c r="CD93" i="1"/>
  <c r="G94" i="1"/>
  <c r="I94" i="1"/>
  <c r="Q94" i="1" s="1"/>
  <c r="M94" i="1"/>
  <c r="P94" i="1"/>
  <c r="T94" i="1"/>
  <c r="X94" i="1"/>
  <c r="AH94" i="1"/>
  <c r="AL94" i="1"/>
  <c r="AU94" i="1"/>
  <c r="AV94" i="1"/>
  <c r="BV94" i="1"/>
  <c r="CD94" i="1"/>
  <c r="CM94" i="1"/>
  <c r="T97" i="1"/>
  <c r="X97" i="1"/>
  <c r="AH97" i="1"/>
  <c r="AL97" i="1"/>
  <c r="AU97" i="1"/>
  <c r="AV97" i="1"/>
  <c r="BV97" i="1"/>
  <c r="CD97" i="1"/>
  <c r="G98" i="1"/>
  <c r="I98" i="1"/>
  <c r="M98" i="1"/>
  <c r="Q98" i="1" s="1"/>
  <c r="P98" i="1"/>
  <c r="T98" i="1"/>
  <c r="X98" i="1"/>
  <c r="AH98" i="1"/>
  <c r="AL98" i="1"/>
  <c r="AV98" i="1" s="1"/>
  <c r="AU98" i="1"/>
  <c r="BV98" i="1"/>
  <c r="CD98" i="1"/>
  <c r="CM98" i="1"/>
  <c r="T101" i="1"/>
  <c r="X101" i="1"/>
  <c r="AH101" i="1"/>
  <c r="AL101" i="1"/>
  <c r="AU101" i="1"/>
  <c r="AV101" i="1"/>
  <c r="BV101" i="1"/>
  <c r="CD101" i="1"/>
  <c r="G102" i="1"/>
  <c r="I102" i="1"/>
  <c r="Q102" i="1" s="1"/>
  <c r="M102" i="1"/>
  <c r="P102" i="1"/>
  <c r="T102" i="1"/>
  <c r="X102" i="1"/>
  <c r="AH102" i="1"/>
  <c r="AL102" i="1"/>
  <c r="AV102" i="1" s="1"/>
  <c r="AU102" i="1"/>
  <c r="BV102" i="1"/>
  <c r="CD102" i="1"/>
  <c r="CM102" i="1"/>
  <c r="T105" i="1"/>
  <c r="X105" i="1"/>
  <c r="AH105" i="1"/>
  <c r="AL105" i="1"/>
  <c r="AU105" i="1"/>
  <c r="AV105" i="1"/>
  <c r="BV105" i="1"/>
  <c r="CD105" i="1"/>
  <c r="G106" i="1"/>
  <c r="Q106" i="1" s="1"/>
  <c r="I106" i="1"/>
  <c r="M106" i="1"/>
  <c r="P106" i="1"/>
  <c r="T106" i="1"/>
  <c r="X106" i="1"/>
  <c r="AH106" i="1"/>
  <c r="AL106" i="1"/>
  <c r="AV106" i="1" s="1"/>
  <c r="AU106" i="1"/>
  <c r="BV106" i="1"/>
  <c r="CD106" i="1"/>
  <c r="CM106" i="1"/>
  <c r="T109" i="1"/>
  <c r="X109" i="1"/>
  <c r="AH109" i="1"/>
  <c r="AL109" i="1"/>
  <c r="AU109" i="1"/>
  <c r="AV109" i="1"/>
  <c r="BV109" i="1"/>
  <c r="CD109" i="1"/>
  <c r="G110" i="1"/>
  <c r="I110" i="1"/>
  <c r="Q110" i="1" s="1"/>
  <c r="M110" i="1"/>
  <c r="P110" i="1"/>
  <c r="T110" i="1"/>
  <c r="X110" i="1"/>
  <c r="AH110" i="1"/>
  <c r="AL110" i="1"/>
  <c r="AU110" i="1"/>
  <c r="AV110" i="1"/>
  <c r="BV110" i="1"/>
  <c r="CD110" i="1"/>
  <c r="CM110" i="1"/>
  <c r="T113" i="1"/>
  <c r="X113" i="1"/>
  <c r="AH113" i="1"/>
  <c r="AL113" i="1"/>
  <c r="AU113" i="1"/>
  <c r="AV113" i="1"/>
  <c r="BV113" i="1"/>
  <c r="CD113" i="1"/>
  <c r="G114" i="1"/>
  <c r="I114" i="1"/>
  <c r="M114" i="1"/>
  <c r="Q114" i="1" s="1"/>
  <c r="P114" i="1"/>
  <c r="T114" i="1"/>
  <c r="X114" i="1"/>
  <c r="AH114" i="1"/>
  <c r="AL114" i="1"/>
  <c r="AV114" i="1" s="1"/>
  <c r="AU114" i="1"/>
  <c r="BV114" i="1"/>
  <c r="CD114" i="1"/>
  <c r="CM114" i="1"/>
  <c r="T117" i="1"/>
  <c r="X117" i="1"/>
  <c r="AH117" i="1"/>
  <c r="AL117" i="1"/>
  <c r="AU117" i="1"/>
  <c r="AV117" i="1"/>
  <c r="BV117" i="1"/>
  <c r="CD117" i="1"/>
  <c r="G118" i="1"/>
  <c r="I118" i="1"/>
  <c r="Q118" i="1" s="1"/>
  <c r="M118" i="1"/>
  <c r="P118" i="1"/>
  <c r="T118" i="1"/>
  <c r="X118" i="1"/>
  <c r="AH118" i="1"/>
  <c r="AL118" i="1"/>
  <c r="AV118" i="1" s="1"/>
  <c r="AU118" i="1"/>
  <c r="BV118" i="1"/>
  <c r="CD118" i="1"/>
  <c r="CM118" i="1"/>
  <c r="T121" i="1"/>
  <c r="X121" i="1"/>
  <c r="AH121" i="1"/>
  <c r="AL121" i="1"/>
  <c r="AU121" i="1"/>
  <c r="AV121" i="1"/>
  <c r="BV121" i="1"/>
  <c r="CD121" i="1"/>
  <c r="G122" i="1"/>
  <c r="I122" i="1"/>
  <c r="M122" i="1"/>
  <c r="P122" i="1"/>
  <c r="Q122" i="1"/>
  <c r="T122" i="1"/>
  <c r="X122" i="1"/>
  <c r="AH122" i="1"/>
  <c r="AL122" i="1"/>
  <c r="AV122" i="1" s="1"/>
  <c r="AU122" i="1"/>
  <c r="BV122" i="1"/>
  <c r="CD122" i="1"/>
  <c r="CM122" i="1"/>
  <c r="T125" i="1"/>
  <c r="X125" i="1"/>
  <c r="AH125" i="1"/>
  <c r="AL125" i="1"/>
  <c r="AU125" i="1"/>
  <c r="AV125" i="1"/>
  <c r="BV125" i="1"/>
  <c r="CD125" i="1"/>
  <c r="G126" i="1"/>
  <c r="I126" i="1"/>
  <c r="Q126" i="1" s="1"/>
  <c r="M126" i="1"/>
  <c r="P126" i="1"/>
  <c r="T126" i="1"/>
  <c r="X126" i="1"/>
  <c r="AH126" i="1"/>
  <c r="AL126" i="1"/>
  <c r="AU126" i="1"/>
  <c r="AV126" i="1"/>
  <c r="BV126" i="1"/>
  <c r="CD126" i="1"/>
  <c r="CM126" i="1"/>
  <c r="T129" i="1"/>
  <c r="X129" i="1"/>
  <c r="AH129" i="1"/>
  <c r="AL129" i="1"/>
  <c r="AU129" i="1"/>
  <c r="AV129" i="1"/>
  <c r="BV129" i="1"/>
  <c r="CD129" i="1"/>
  <c r="G130" i="1"/>
  <c r="I130" i="1"/>
  <c r="M130" i="1"/>
  <c r="Q130" i="1" s="1"/>
  <c r="P130" i="1"/>
  <c r="T130" i="1"/>
  <c r="X130" i="1"/>
  <c r="AH130" i="1"/>
  <c r="AL130" i="1"/>
  <c r="AV130" i="1" s="1"/>
  <c r="AU130" i="1"/>
  <c r="BV130" i="1"/>
  <c r="CD130" i="1"/>
  <c r="CM130" i="1"/>
  <c r="T133" i="1"/>
  <c r="X133" i="1"/>
  <c r="AH133" i="1"/>
  <c r="AL133" i="1"/>
  <c r="AU133" i="1"/>
  <c r="AV133" i="1"/>
  <c r="BV133" i="1"/>
  <c r="CD133" i="1"/>
  <c r="G134" i="1"/>
  <c r="I134" i="1"/>
  <c r="Q134" i="1" s="1"/>
  <c r="M134" i="1"/>
  <c r="P134" i="1"/>
  <c r="T134" i="1"/>
  <c r="X134" i="1"/>
  <c r="AH134" i="1"/>
  <c r="AL134" i="1"/>
  <c r="AV134" i="1" s="1"/>
  <c r="AU134" i="1"/>
  <c r="BV134" i="1"/>
  <c r="CD134" i="1"/>
  <c r="CM134" i="1"/>
  <c r="R138" i="1"/>
  <c r="AX138" i="1"/>
  <c r="AY138" i="1"/>
  <c r="AZ138" i="1"/>
  <c r="CF138" i="1"/>
  <c r="CG138" i="1"/>
  <c r="CI138" i="1"/>
  <c r="CJ138" i="1"/>
  <c r="CK138" i="1"/>
  <c r="CL138" i="1"/>
  <c r="CM138" i="1"/>
  <c r="CH18" i="1" l="1"/>
  <c r="CN16" i="1" s="1"/>
  <c r="CO18" i="1"/>
  <c r="AW30" i="1"/>
  <c r="AW34" i="1" s="1"/>
  <c r="AW38" i="1" s="1"/>
  <c r="AW42" i="1" s="1"/>
  <c r="AW46" i="1" s="1"/>
  <c r="AW50" i="1" s="1"/>
  <c r="AW54" i="1" s="1"/>
  <c r="AW58" i="1" s="1"/>
  <c r="AW62" i="1" s="1"/>
  <c r="AW66" i="1" s="1"/>
  <c r="AW70" i="1" s="1"/>
  <c r="AW74" i="1" s="1"/>
  <c r="AW78" i="1" s="1"/>
  <c r="AW82" i="1" s="1"/>
  <c r="AW86" i="1" s="1"/>
  <c r="AW90" i="1" s="1"/>
  <c r="AW94" i="1" s="1"/>
  <c r="AW98" i="1" s="1"/>
  <c r="AW102" i="1" s="1"/>
  <c r="AW106" i="1" s="1"/>
  <c r="AW110" i="1" s="1"/>
  <c r="AW114" i="1" s="1"/>
  <c r="AW118" i="1" s="1"/>
  <c r="AW122" i="1" s="1"/>
  <c r="AW126" i="1" s="1"/>
  <c r="AW130" i="1" s="1"/>
  <c r="AW134" i="1" s="1"/>
  <c r="Y30" i="1"/>
  <c r="Y34" i="1" s="1"/>
  <c r="CE22" i="1"/>
  <c r="AI22" i="1"/>
  <c r="CO14" i="1"/>
  <c r="CM6" i="1"/>
  <c r="CH22" i="1"/>
  <c r="CN20" i="1" s="1"/>
  <c r="AW22" i="1"/>
  <c r="AW26" i="1" s="1"/>
  <c r="Y38" i="1"/>
  <c r="Y42" i="1" s="1"/>
  <c r="Y46" i="1" s="1"/>
  <c r="U30" i="1"/>
  <c r="BW22" i="1"/>
  <c r="CH14" i="1"/>
  <c r="Y50" i="1" l="1"/>
  <c r="Y54" i="1" s="1"/>
  <c r="Y58" i="1" s="1"/>
  <c r="Y62" i="1" s="1"/>
  <c r="Y66" i="1" s="1"/>
  <c r="Y70" i="1" s="1"/>
  <c r="Y74" i="1" s="1"/>
  <c r="Y78" i="1" s="1"/>
  <c r="Y82" i="1" s="1"/>
  <c r="Y86" i="1" s="1"/>
  <c r="Y90" i="1" s="1"/>
  <c r="Y94" i="1" s="1"/>
  <c r="Y98" i="1" s="1"/>
  <c r="Y102" i="1" s="1"/>
  <c r="Y106" i="1" s="1"/>
  <c r="Y110" i="1" s="1"/>
  <c r="Y114" i="1" s="1"/>
  <c r="Y118" i="1" s="1"/>
  <c r="Y122" i="1" s="1"/>
  <c r="Y126" i="1" s="1"/>
  <c r="Y130" i="1" s="1"/>
  <c r="Y134" i="1" s="1"/>
  <c r="Y138" i="1"/>
  <c r="X138" i="1" s="1"/>
  <c r="AW138" i="1"/>
  <c r="CE26" i="1"/>
  <c r="CE30" i="1" s="1"/>
  <c r="CE34" i="1" s="1"/>
  <c r="CE38" i="1" s="1"/>
  <c r="CE42" i="1" s="1"/>
  <c r="CE46" i="1" s="1"/>
  <c r="CE50" i="1" s="1"/>
  <c r="CE54" i="1" s="1"/>
  <c r="CE58" i="1" s="1"/>
  <c r="CE62" i="1" s="1"/>
  <c r="CE66" i="1" s="1"/>
  <c r="CE70" i="1" s="1"/>
  <c r="CE74" i="1" s="1"/>
  <c r="CE78" i="1" s="1"/>
  <c r="CE82" i="1" s="1"/>
  <c r="CE86" i="1" s="1"/>
  <c r="CE90" i="1" s="1"/>
  <c r="CE94" i="1" s="1"/>
  <c r="CE98" i="1" s="1"/>
  <c r="CE102" i="1" s="1"/>
  <c r="CE106" i="1" s="1"/>
  <c r="CE110" i="1" s="1"/>
  <c r="CE114" i="1" s="1"/>
  <c r="CE118" i="1" s="1"/>
  <c r="CE122" i="1" s="1"/>
  <c r="CE126" i="1" s="1"/>
  <c r="CE130" i="1" s="1"/>
  <c r="CE134" i="1" s="1"/>
  <c r="CN12" i="1"/>
  <c r="CO22" i="1"/>
  <c r="BW26" i="1"/>
  <c r="AI26" i="1"/>
  <c r="U34" i="1"/>
  <c r="U38" i="1" l="1"/>
  <c r="CH26" i="1"/>
  <c r="AI30" i="1"/>
  <c r="CO26" i="1"/>
  <c r="BW30" i="1"/>
  <c r="CE138" i="1"/>
  <c r="CD138" i="1" s="1"/>
  <c r="AI34" i="1" l="1"/>
  <c r="CH30" i="1"/>
  <c r="CN28" i="1" s="1"/>
  <c r="CN24" i="1"/>
  <c r="BW34" i="1"/>
  <c r="CO30" i="1"/>
  <c r="U42" i="1"/>
  <c r="U46" i="1" l="1"/>
  <c r="CO34" i="1"/>
  <c r="BW38" i="1"/>
  <c r="AI38" i="1"/>
  <c r="CH34" i="1"/>
  <c r="CN32" i="1" s="1"/>
  <c r="U50" i="1" l="1"/>
  <c r="AI42" i="1"/>
  <c r="CH38" i="1"/>
  <c r="CO38" i="1"/>
  <c r="BW42" i="1"/>
  <c r="CO42" i="1" l="1"/>
  <c r="BW46" i="1"/>
  <c r="AI46" i="1"/>
  <c r="CH42" i="1"/>
  <c r="CN40" i="1" s="1"/>
  <c r="U54" i="1"/>
  <c r="CN36" i="1"/>
  <c r="BW50" i="1" l="1"/>
  <c r="CO46" i="1"/>
  <c r="U58" i="1"/>
  <c r="AI50" i="1"/>
  <c r="CH46" i="1"/>
  <c r="CN44" i="1" l="1"/>
  <c r="U62" i="1"/>
  <c r="AI54" i="1"/>
  <c r="CH50" i="1"/>
  <c r="CN48" i="1" s="1"/>
  <c r="CO50" i="1"/>
  <c r="BW54" i="1"/>
  <c r="CO54" i="1" l="1"/>
  <c r="BW58" i="1"/>
  <c r="U66" i="1"/>
  <c r="AI58" i="1"/>
  <c r="CH54" i="1"/>
  <c r="CN52" i="1" s="1"/>
  <c r="AI62" i="1" l="1"/>
  <c r="CH58" i="1"/>
  <c r="CN56" i="1" s="1"/>
  <c r="U70" i="1"/>
  <c r="CO58" i="1"/>
  <c r="BW62" i="1"/>
  <c r="U74" i="1" l="1"/>
  <c r="BW66" i="1"/>
  <c r="CO62" i="1"/>
  <c r="AI66" i="1"/>
  <c r="CH62" i="1"/>
  <c r="CN60" i="1" s="1"/>
  <c r="CO66" i="1" l="1"/>
  <c r="BW70" i="1"/>
  <c r="AI70" i="1"/>
  <c r="CH66" i="1"/>
  <c r="CN64" i="1" s="1"/>
  <c r="U78" i="1"/>
  <c r="AI74" i="1" l="1"/>
  <c r="CH70" i="1"/>
  <c r="CN68" i="1" s="1"/>
  <c r="U82" i="1"/>
  <c r="CO70" i="1"/>
  <c r="BW74" i="1"/>
  <c r="U86" i="1" l="1"/>
  <c r="CO74" i="1"/>
  <c r="BW78" i="1"/>
  <c r="AI78" i="1"/>
  <c r="CH74" i="1"/>
  <c r="CN72" i="1" s="1"/>
  <c r="U90" i="1" l="1"/>
  <c r="BW82" i="1"/>
  <c r="CO78" i="1"/>
  <c r="AI82" i="1"/>
  <c r="CH78" i="1"/>
  <c r="CN76" i="1" s="1"/>
  <c r="CO82" i="1" l="1"/>
  <c r="BW86" i="1"/>
  <c r="AI86" i="1"/>
  <c r="CH82" i="1"/>
  <c r="CN80" i="1" s="1"/>
  <c r="U94" i="1"/>
  <c r="AI90" i="1" l="1"/>
  <c r="CH86" i="1"/>
  <c r="CN84" i="1" s="1"/>
  <c r="U98" i="1"/>
  <c r="CO86" i="1"/>
  <c r="BW90" i="1"/>
  <c r="CO90" i="1" l="1"/>
  <c r="BW94" i="1"/>
  <c r="U102" i="1"/>
  <c r="AI94" i="1"/>
  <c r="CH90" i="1"/>
  <c r="CN88" i="1" s="1"/>
  <c r="AI98" i="1" l="1"/>
  <c r="CH94" i="1"/>
  <c r="CN92" i="1" s="1"/>
  <c r="U106" i="1"/>
  <c r="BW98" i="1"/>
  <c r="CO94" i="1"/>
  <c r="U110" i="1" l="1"/>
  <c r="CO98" i="1"/>
  <c r="BW102" i="1"/>
  <c r="AI102" i="1"/>
  <c r="CH98" i="1"/>
  <c r="CN96" i="1" s="1"/>
  <c r="U114" i="1" l="1"/>
  <c r="CO102" i="1"/>
  <c r="BW106" i="1"/>
  <c r="AI106" i="1"/>
  <c r="CH102" i="1"/>
  <c r="CN100" i="1" s="1"/>
  <c r="U118" i="1" l="1"/>
  <c r="CO106" i="1"/>
  <c r="BW110" i="1"/>
  <c r="AI110" i="1"/>
  <c r="CH106" i="1"/>
  <c r="CN104" i="1" s="1"/>
  <c r="U122" i="1" l="1"/>
  <c r="BW114" i="1"/>
  <c r="CO110" i="1"/>
  <c r="AI114" i="1"/>
  <c r="CH110" i="1"/>
  <c r="CN108" i="1" s="1"/>
  <c r="CO114" i="1" l="1"/>
  <c r="BW118" i="1"/>
  <c r="AI118" i="1"/>
  <c r="CH114" i="1"/>
  <c r="CN112" i="1" s="1"/>
  <c r="U126" i="1"/>
  <c r="AI122" i="1" l="1"/>
  <c r="CH118" i="1"/>
  <c r="CN116" i="1" s="1"/>
  <c r="U130" i="1"/>
  <c r="CO118" i="1"/>
  <c r="BW122" i="1"/>
  <c r="CO122" i="1" l="1"/>
  <c r="BW126" i="1"/>
  <c r="U134" i="1"/>
  <c r="AI126" i="1"/>
  <c r="CH122" i="1"/>
  <c r="CN120" i="1" s="1"/>
  <c r="U138" i="1" l="1"/>
  <c r="T138" i="1" s="1"/>
  <c r="BW130" i="1"/>
  <c r="CO126" i="1"/>
  <c r="AI130" i="1"/>
  <c r="CH126" i="1"/>
  <c r="CN124" i="1" s="1"/>
  <c r="CO130" i="1" l="1"/>
  <c r="BW134" i="1"/>
  <c r="AI134" i="1"/>
  <c r="CH130" i="1"/>
  <c r="CN128" i="1" s="1"/>
  <c r="AI138" i="1" l="1"/>
  <c r="AH138" i="1" s="1"/>
  <c r="CH134" i="1"/>
  <c r="CO134" i="1"/>
  <c r="CO138" i="1" s="1"/>
  <c r="BW138" i="1"/>
  <c r="BV138" i="1" s="1"/>
  <c r="CN132" i="1" l="1"/>
  <c r="CN139" i="1" s="1"/>
  <c r="CH138" i="1"/>
  <c r="CN138" i="1" s="1"/>
</calcChain>
</file>

<file path=xl/sharedStrings.xml><?xml version="1.0" encoding="utf-8"?>
<sst xmlns="http://schemas.openxmlformats.org/spreadsheetml/2006/main" count="2061" uniqueCount="386">
  <si>
    <t>т/сут</t>
  </si>
  <si>
    <t/>
  </si>
  <si>
    <t>Входная на Апрель</t>
  </si>
  <si>
    <t>Изменение потенциала простоя, +,- к 1 числу</t>
  </si>
  <si>
    <t>Накопленная добыча,тн.</t>
  </si>
  <si>
    <t>Итого:</t>
  </si>
  <si>
    <t>Сум.прир. деб.тн/сут.</t>
  </si>
  <si>
    <t>ИТОГО: мер-тий</t>
  </si>
  <si>
    <t>Эффект</t>
  </si>
  <si>
    <t>6456</t>
  </si>
  <si>
    <t>387</t>
  </si>
  <si>
    <t>1126</t>
  </si>
  <si>
    <t>1096</t>
  </si>
  <si>
    <t>1026</t>
  </si>
  <si>
    <t>1002</t>
  </si>
  <si>
    <t>6300</t>
  </si>
  <si>
    <t>4941Б</t>
  </si>
  <si>
    <t>4204</t>
  </si>
  <si>
    <t>4198</t>
  </si>
  <si>
    <t>323</t>
  </si>
  <si>
    <t>308</t>
  </si>
  <si>
    <t>2674</t>
  </si>
  <si>
    <t>19</t>
  </si>
  <si>
    <t>1815</t>
  </si>
  <si>
    <t>1732</t>
  </si>
  <si>
    <t>1729</t>
  </si>
  <si>
    <t>155P</t>
  </si>
  <si>
    <t>1072</t>
  </si>
  <si>
    <t>1068</t>
  </si>
  <si>
    <t>3823</t>
  </si>
  <si>
    <t>9154</t>
  </si>
  <si>
    <t>618</t>
  </si>
  <si>
    <t>497</t>
  </si>
  <si>
    <t>3794</t>
  </si>
  <si>
    <t>365Р</t>
  </si>
  <si>
    <t>3017</t>
  </si>
  <si>
    <t>2127</t>
  </si>
  <si>
    <t>1895</t>
  </si>
  <si>
    <t>665</t>
  </si>
  <si>
    <t>5195</t>
  </si>
  <si>
    <t>6735</t>
  </si>
  <si>
    <t>6495</t>
  </si>
  <si>
    <t>N,N скважин</t>
  </si>
  <si>
    <t>Край</t>
  </si>
  <si>
    <t>Вынгаях</t>
  </si>
  <si>
    <t>Ром</t>
  </si>
  <si>
    <t>В-Пяк</t>
  </si>
  <si>
    <t>Вынгапур</t>
  </si>
  <si>
    <t>Сев-Янг</t>
  </si>
  <si>
    <t>Спор</t>
  </si>
  <si>
    <t>Карам</t>
  </si>
  <si>
    <t>Сут</t>
  </si>
  <si>
    <t>Нов</t>
  </si>
  <si>
    <t>Валын</t>
  </si>
  <si>
    <t>Еты-П</t>
  </si>
  <si>
    <t>Сугм</t>
  </si>
  <si>
    <t>Западно-Чатылькинское</t>
  </si>
  <si>
    <t>Новогоднее</t>
  </si>
  <si>
    <t>Местор.</t>
  </si>
  <si>
    <t>767</t>
  </si>
  <si>
    <t>58</t>
  </si>
  <si>
    <t>806</t>
  </si>
  <si>
    <t>7401</t>
  </si>
  <si>
    <t>Карамовское</t>
  </si>
  <si>
    <t>1011</t>
  </si>
  <si>
    <t>2937</t>
  </si>
  <si>
    <t>103</t>
  </si>
  <si>
    <t>795</t>
  </si>
  <si>
    <t>635</t>
  </si>
  <si>
    <t>634</t>
  </si>
  <si>
    <t>5221</t>
  </si>
  <si>
    <t>Умс</t>
  </si>
  <si>
    <t>1630</t>
  </si>
  <si>
    <t>6490</t>
  </si>
  <si>
    <t>2578</t>
  </si>
  <si>
    <t>8K</t>
  </si>
  <si>
    <t>1901</t>
  </si>
  <si>
    <t>156</t>
  </si>
  <si>
    <t>1396</t>
  </si>
  <si>
    <t>Яр</t>
  </si>
  <si>
    <t>686Z</t>
  </si>
  <si>
    <t>9502</t>
  </si>
  <si>
    <t>467</t>
  </si>
  <si>
    <t>69</t>
  </si>
  <si>
    <t>562</t>
  </si>
  <si>
    <t>6612</t>
  </si>
  <si>
    <t>1Г</t>
  </si>
  <si>
    <t>636</t>
  </si>
  <si>
    <t>548</t>
  </si>
  <si>
    <t>401Г</t>
  </si>
  <si>
    <t>453</t>
  </si>
  <si>
    <t>Чат</t>
  </si>
  <si>
    <t>Сугмутское</t>
  </si>
  <si>
    <t>538</t>
  </si>
  <si>
    <t>2350</t>
  </si>
  <si>
    <t>2058</t>
  </si>
  <si>
    <t>918</t>
  </si>
  <si>
    <t>1131</t>
  </si>
  <si>
    <t>2908</t>
  </si>
  <si>
    <t>2513</t>
  </si>
  <si>
    <t>2563</t>
  </si>
  <si>
    <t>846</t>
  </si>
  <si>
    <t>1124</t>
  </si>
  <si>
    <t>1684</t>
  </si>
  <si>
    <t>4331</t>
  </si>
  <si>
    <t>3099</t>
  </si>
  <si>
    <t>4733</t>
  </si>
  <si>
    <t>8369</t>
  </si>
  <si>
    <t>6363</t>
  </si>
  <si>
    <t>627</t>
  </si>
  <si>
    <t>559</t>
  </si>
  <si>
    <t>Спорышевское</t>
  </si>
  <si>
    <t>6484</t>
  </si>
  <si>
    <t>8357</t>
  </si>
  <si>
    <t>2141</t>
  </si>
  <si>
    <t>6395</t>
  </si>
  <si>
    <t>1721</t>
  </si>
  <si>
    <t>2007</t>
  </si>
  <si>
    <t>1006Г</t>
  </si>
  <si>
    <t>2341Г</t>
  </si>
  <si>
    <t>3081</t>
  </si>
  <si>
    <t>3028</t>
  </si>
  <si>
    <t>1049</t>
  </si>
  <si>
    <t>441</t>
  </si>
  <si>
    <t>1001</t>
  </si>
  <si>
    <t>6594</t>
  </si>
  <si>
    <t>2619</t>
  </si>
  <si>
    <t>6459</t>
  </si>
  <si>
    <t>5407</t>
  </si>
  <si>
    <t>1054</t>
  </si>
  <si>
    <t>5217</t>
  </si>
  <si>
    <t>525</t>
  </si>
  <si>
    <t>537</t>
  </si>
  <si>
    <t>6389</t>
  </si>
  <si>
    <t>502</t>
  </si>
  <si>
    <t>390</t>
  </si>
  <si>
    <t>8361</t>
  </si>
  <si>
    <t>232</t>
  </si>
  <si>
    <t>436</t>
  </si>
  <si>
    <t>6637</t>
  </si>
  <si>
    <t>1119</t>
  </si>
  <si>
    <t>241</t>
  </si>
  <si>
    <t>598</t>
  </si>
  <si>
    <t>Холм</t>
  </si>
  <si>
    <t>Романовское</t>
  </si>
  <si>
    <t>6386</t>
  </si>
  <si>
    <t>2840</t>
  </si>
  <si>
    <t>2045Г</t>
  </si>
  <si>
    <t>1739</t>
  </si>
  <si>
    <t>1864</t>
  </si>
  <si>
    <t>4980</t>
  </si>
  <si>
    <t>509</t>
  </si>
  <si>
    <t>6028</t>
  </si>
  <si>
    <t>1091</t>
  </si>
  <si>
    <t>1416</t>
  </si>
  <si>
    <t>746</t>
  </si>
  <si>
    <t>608</t>
  </si>
  <si>
    <t>2249</t>
  </si>
  <si>
    <t>6734</t>
  </si>
  <si>
    <t>6494</t>
  </si>
  <si>
    <t>Скв.</t>
  </si>
  <si>
    <t>Cкв.</t>
  </si>
  <si>
    <t>№</t>
  </si>
  <si>
    <t>Итого</t>
  </si>
  <si>
    <t>УДНГ, т/сут</t>
  </si>
  <si>
    <t>УЭТ, т/сут</t>
  </si>
  <si>
    <t>Откл. Эл.Эн., т/сут</t>
  </si>
  <si>
    <t>Исследования, т/сут</t>
  </si>
  <si>
    <t>Итого (с ВСП)</t>
  </si>
  <si>
    <t>ВСП</t>
  </si>
  <si>
    <t>Итого (с ВНР)</t>
  </si>
  <si>
    <t>ВНР</t>
  </si>
  <si>
    <t>Текущий простой</t>
  </si>
  <si>
    <t>Базовый дебит ГТМ и Оптимизация скважин</t>
  </si>
  <si>
    <t>Возврат</t>
  </si>
  <si>
    <t>Зарезка бокового ствола</t>
  </si>
  <si>
    <t>ГРП</t>
  </si>
  <si>
    <t>Ввод новых скважин</t>
  </si>
  <si>
    <t>Потенциал по графику</t>
  </si>
  <si>
    <t>Расчетный график добычи, т/сут</t>
  </si>
  <si>
    <t>Потери нефти по ОТМ</t>
  </si>
  <si>
    <t>Нараст. баланс</t>
  </si>
  <si>
    <t>Прочие потери</t>
  </si>
  <si>
    <t>ИТОГО перевод в ППД</t>
  </si>
  <si>
    <t>Перевод скважин в ППД</t>
  </si>
  <si>
    <t>Нараст. по остановкам</t>
  </si>
  <si>
    <t>Рост потенциала простоя (в т.ч.остановки скв. для ГТМ, оптимизацию, нерентабельный фонд, по распоряжению)</t>
  </si>
  <si>
    <t>Геол. снижение,  т/сут</t>
  </si>
  <si>
    <t>Прочая добыча</t>
  </si>
  <si>
    <t>Нараст.  по потенциалу</t>
  </si>
  <si>
    <t>Восстановление потенциала простоя</t>
  </si>
  <si>
    <t>Накопленный эффект, т/сут</t>
  </si>
  <si>
    <t>Ввод из БД ТГ (без инвест.)</t>
  </si>
  <si>
    <t>Работа с переходящим фондом</t>
  </si>
  <si>
    <t>Оптимизация</t>
  </si>
  <si>
    <t>ГЕОЛОГО - ТЕХНИЧЕСКИЕ МЕРОПРИЯТИЯ</t>
  </si>
  <si>
    <t>Наименование</t>
  </si>
  <si>
    <t>День месяца</t>
  </si>
  <si>
    <t>Потери добычи нефти</t>
  </si>
  <si>
    <t>Прирост добычи нефти</t>
  </si>
  <si>
    <t>Входная добыча</t>
  </si>
  <si>
    <t>50 тн/сут</t>
  </si>
  <si>
    <t>АО Газпромнефть - ННГ</t>
  </si>
  <si>
    <t>Март     2024</t>
  </si>
  <si>
    <t>Расчет суточной добычи нефти по датам</t>
  </si>
  <si>
    <t>v.2</t>
  </si>
  <si>
    <t>График суточной добычи нефти АО Газпромнефть - ННГ на МАРТ     2024</t>
  </si>
  <si>
    <t>тн/сут</t>
  </si>
  <si>
    <t>Падение по обвод.</t>
  </si>
  <si>
    <t>тыс.тн</t>
  </si>
  <si>
    <t>+ -</t>
  </si>
  <si>
    <t>Бизнес план</t>
  </si>
  <si>
    <t>ИТОГО по графику:</t>
  </si>
  <si>
    <t>Еты-Пуровское</t>
  </si>
  <si>
    <t>Вынгаяхинское</t>
  </si>
  <si>
    <t>Валынтойское</t>
  </si>
  <si>
    <t>Ямпинское</t>
  </si>
  <si>
    <t>Умсейское + Южно-Пурпейское</t>
  </si>
  <si>
    <t>Северо-Янгтинское</t>
  </si>
  <si>
    <t>Северо-Пямалияхское</t>
  </si>
  <si>
    <t>Северо-Пякутинское</t>
  </si>
  <si>
    <t>Саимлорское</t>
  </si>
  <si>
    <t>Пякутинское</t>
  </si>
  <si>
    <t>Муравленковское</t>
  </si>
  <si>
    <t>Мало-Пякутинское</t>
  </si>
  <si>
    <t>Восточно-Саимлорское</t>
  </si>
  <si>
    <t>Верхне-Надымское</t>
  </si>
  <si>
    <t>Южно-Пякутинское</t>
  </si>
  <si>
    <t>Суторминское</t>
  </si>
  <si>
    <t>Средне-Итурское (Сев-Карам лиц. уч.)</t>
  </si>
  <si>
    <t>Новое</t>
  </si>
  <si>
    <t>Крайнее</t>
  </si>
  <si>
    <t>Восточно-Пякутинское</t>
  </si>
  <si>
    <t>Южно-Удмуртское</t>
  </si>
  <si>
    <t>Чатылькинское</t>
  </si>
  <si>
    <t>Холмистое</t>
  </si>
  <si>
    <t>Равнинное</t>
  </si>
  <si>
    <t>Воргенское</t>
  </si>
  <si>
    <t>Ярайнерское</t>
  </si>
  <si>
    <t>Вынгапуровское</t>
  </si>
  <si>
    <t>Южно-Ноябрьское</t>
  </si>
  <si>
    <t>Холмогорское</t>
  </si>
  <si>
    <t>Средне-Итурское</t>
  </si>
  <si>
    <t>Северо-Карамовское</t>
  </si>
  <si>
    <t>Пограничное</t>
  </si>
  <si>
    <t>Отдельное</t>
  </si>
  <si>
    <t>Источное</t>
  </si>
  <si>
    <t>ЦДНГ-10</t>
  </si>
  <si>
    <t>ЦДНГ-3</t>
  </si>
  <si>
    <t>ЦДНГ-2</t>
  </si>
  <si>
    <t>ЦДНГ-9</t>
  </si>
  <si>
    <t>ЦДНГ-7</t>
  </si>
  <si>
    <t>ЦДНГ-1</t>
  </si>
  <si>
    <t>РИТС-2</t>
  </si>
  <si>
    <t>РИТС-1</t>
  </si>
  <si>
    <t>Ед.изм</t>
  </si>
  <si>
    <t>Показатели</t>
  </si>
  <si>
    <t>Дата:</t>
  </si>
  <si>
    <t>Подразделение:</t>
  </si>
  <si>
    <t>График суточной добычи нефти</t>
  </si>
  <si>
    <t>Итого простаивающий фонд</t>
  </si>
  <si>
    <t>Остановка нерентабельного фонда</t>
  </si>
  <si>
    <t>0.3</t>
  </si>
  <si>
    <t>Остановка по распоряжению</t>
  </si>
  <si>
    <t>0.2</t>
  </si>
  <si>
    <t>Потенциал простоя (возвратные потери)</t>
  </si>
  <si>
    <t>0.1</t>
  </si>
  <si>
    <t>м3/сут</t>
  </si>
  <si>
    <t>скв</t>
  </si>
  <si>
    <t>Прост на 0 дату (факт)</t>
  </si>
  <si>
    <t>Ср. слож простой (3 мес.)</t>
  </si>
  <si>
    <t>Ож. простой на 0 дату (граф)</t>
  </si>
  <si>
    <t>1</t>
  </si>
  <si>
    <t>+/- к бизнес-плану</t>
  </si>
  <si>
    <t>среднесуточная</t>
  </si>
  <si>
    <t>Выходная добыча</t>
  </si>
  <si>
    <t>Потери ОТМ УДНГ</t>
  </si>
  <si>
    <t>3.2.7.4</t>
  </si>
  <si>
    <t>аварийное отключение</t>
  </si>
  <si>
    <t>плановое отключение</t>
  </si>
  <si>
    <t>Отключение электроэнергии, в т.ч:</t>
  </si>
  <si>
    <t>3.2.7.3</t>
  </si>
  <si>
    <t>аварийные потери от порывов</t>
  </si>
  <si>
    <t>плановые потери при ОТМ</t>
  </si>
  <si>
    <t>Потери при работе на трубопроводах</t>
  </si>
  <si>
    <t>3.2.7.2</t>
  </si>
  <si>
    <t>Потери из-за исследования скважин</t>
  </si>
  <si>
    <t>3.2.7.1</t>
  </si>
  <si>
    <t>3.2.7</t>
  </si>
  <si>
    <t>3.2.6</t>
  </si>
  <si>
    <t>Остановка для перевода в ППД</t>
  </si>
  <si>
    <t>3.2.5</t>
  </si>
  <si>
    <t>3.2.4</t>
  </si>
  <si>
    <t>ограничение добычи (ОПЕК)</t>
  </si>
  <si>
    <t>Остановка по распоряжению, в т.ч.:</t>
  </si>
  <si>
    <t>3.2.3</t>
  </si>
  <si>
    <t>Ост. дебит от ЗБС, Углуб., ПВЛГ/ПНЛГ</t>
  </si>
  <si>
    <t>3.2.2</t>
  </si>
  <si>
    <t>Остановка  под КРС для выполнения ГТМ</t>
  </si>
  <si>
    <t>3.2.1.2</t>
  </si>
  <si>
    <t>Потери по отказу скважин</t>
  </si>
  <si>
    <t>3.2.1.1</t>
  </si>
  <si>
    <t>Рост потенциала простоя</t>
  </si>
  <si>
    <t>3.2.1</t>
  </si>
  <si>
    <t>От технологических причин, в т.ч:</t>
  </si>
  <si>
    <t>3.2.</t>
  </si>
  <si>
    <t>по снижению дебита на последнее число</t>
  </si>
  <si>
    <t>3.1.3.1</t>
  </si>
  <si>
    <t>Потери по  ГТМ отчетного месяца</t>
  </si>
  <si>
    <t>3.1.3</t>
  </si>
  <si>
    <t>сверхнормативное снижение по фонду ГТМ</t>
  </si>
  <si>
    <t>3.1.2.2</t>
  </si>
  <si>
    <t>сверхнормативное снижение по базовому фонду</t>
  </si>
  <si>
    <t>3.1.2.1</t>
  </si>
  <si>
    <t>От сверхнормативного снижения, в т.ч:</t>
  </si>
  <si>
    <t>3.1.2</t>
  </si>
  <si>
    <t>11 т/сут</t>
  </si>
  <si>
    <t>среднесложившееся падение по фонду ГТМ</t>
  </si>
  <si>
    <t>3.1.1.2</t>
  </si>
  <si>
    <t>39 т/сут</t>
  </si>
  <si>
    <t>среднесложившееся падение по базовому фонду</t>
  </si>
  <si>
    <t>3.1.1.1</t>
  </si>
  <si>
    <t>От среднесложившегося падения, в т.ч:</t>
  </si>
  <si>
    <t>3.1.1</t>
  </si>
  <si>
    <t>Падение по базовому фонду, ГТМ</t>
  </si>
  <si>
    <t>3.1</t>
  </si>
  <si>
    <t>Потери добычи нефти, в том числе:</t>
  </si>
  <si>
    <t>Прочая добыча (отраб.скв, амбары, стравливание…)</t>
  </si>
  <si>
    <t>2.4.</t>
  </si>
  <si>
    <t>Сокращение потенциала простоя</t>
  </si>
  <si>
    <t>2.3.</t>
  </si>
  <si>
    <t>Ввод из БД ТГ (без инвест.), в т.ч.:</t>
  </si>
  <si>
    <t>2.2.4</t>
  </si>
  <si>
    <t>2.2.3</t>
  </si>
  <si>
    <t>Приросты от мероприятий на базовом фонде</t>
  </si>
  <si>
    <t>2.2.2</t>
  </si>
  <si>
    <t>2.2.1</t>
  </si>
  <si>
    <t>Работа с фондом</t>
  </si>
  <si>
    <t>2.2</t>
  </si>
  <si>
    <t>Ввод из БД</t>
  </si>
  <si>
    <t>2.1.13</t>
  </si>
  <si>
    <t>ЛНЭК</t>
  </si>
  <si>
    <t>2.1.12</t>
  </si>
  <si>
    <t>Ликвидация аварий</t>
  </si>
  <si>
    <t>2.1.11</t>
  </si>
  <si>
    <t>РИР</t>
  </si>
  <si>
    <t>2.1.10</t>
  </si>
  <si>
    <t>2.1.9</t>
  </si>
  <si>
    <t>ОПЗ (целевая)</t>
  </si>
  <si>
    <t>2.1.8</t>
  </si>
  <si>
    <t>Оптимизация (целевая)</t>
  </si>
  <si>
    <t>2.1.7</t>
  </si>
  <si>
    <t>Углубление</t>
  </si>
  <si>
    <t>2.1.6</t>
  </si>
  <si>
    <t>2.1.5</t>
  </si>
  <si>
    <t>2.1.4</t>
  </si>
  <si>
    <t>Расконсервация разведочных скважин</t>
  </si>
  <si>
    <t>2.1.3</t>
  </si>
  <si>
    <t>Ввод из других категорий</t>
  </si>
  <si>
    <t>2.1.2</t>
  </si>
  <si>
    <t>2.1.1</t>
  </si>
  <si>
    <t>Основные ГТМ</t>
  </si>
  <si>
    <t>2.1</t>
  </si>
  <si>
    <t>Прирост добычи нефти, в том числе:</t>
  </si>
  <si>
    <t>тн</t>
  </si>
  <si>
    <t>м3</t>
  </si>
  <si>
    <t>скв.</t>
  </si>
  <si>
    <t>к графику</t>
  </si>
  <si>
    <t>к БП</t>
  </si>
  <si>
    <t>Факт</t>
  </si>
  <si>
    <t>График</t>
  </si>
  <si>
    <t>БП
(тонн)</t>
  </si>
  <si>
    <t>Примечание</t>
  </si>
  <si>
    <t>+/-</t>
  </si>
  <si>
    <t>Абсолютная добыча</t>
  </si>
  <si>
    <t>Суточная добыча</t>
  </si>
  <si>
    <t>БП</t>
  </si>
  <si>
    <t>Показатели отчетного месяца</t>
  </si>
  <si>
    <t>№
п/п</t>
  </si>
  <si>
    <t>0</t>
  </si>
  <si>
    <t>6 т/сут</t>
  </si>
  <si>
    <t>44 т/сут</t>
  </si>
  <si>
    <t>Февраль  2024</t>
  </si>
  <si>
    <t>Расчет суточной добычи нефти и ГТМ (итоги)</t>
  </si>
  <si>
    <t>v.3</t>
  </si>
  <si>
    <t>Ограничения инфраструктуры НГДП ОГМ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</si>
</sst>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.0"/>
    <numFmt numFmtId="165" formatCode="0.0;\-0.0;;@"/>
    <numFmt numFmtId="166" formatCode="0.0"/>
    <numFmt numFmtId="167" formatCode="0;\-0;;@"/>
    <numFmt numFmtId="168" formatCode="#,##0.0;\-#,##0.0;;@"/>
    <numFmt numFmtId="169" formatCode="dd"/>
    <numFmt numFmtId="170" formatCode="#,##0.000"/>
    <numFmt numFmtId="171" formatCode="0.000;\-0.000;;@"/>
    <numFmt numFmtId="172" formatCode="mmmm\ yyyy"/>
    <numFmt numFmtId="173" formatCode="#,##0_ ;[Red]\-#,##0\ "/>
  </numFmts>
  <fonts count="5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color rgb="FFCCFFCC"/>
      <name val="Arial"/>
      <family val="2"/>
      <charset val="204"/>
    </font>
    <font>
      <b/>
      <sz val="9"/>
      <color rgb="FFCCFFFF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16"/>
      <color rgb="FF8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9"/>
      <color rgb="FF000000"/>
      <name val="Calibri"/>
      <family val="2"/>
      <charset val="204"/>
    </font>
    <font>
      <b/>
      <i/>
      <sz val="10"/>
      <color rgb="FF000000"/>
      <name val="Calibri"/>
      <family val="2"/>
      <charset val="204"/>
    </font>
    <font>
      <b/>
      <sz val="10"/>
      <color rgb="FF000000"/>
      <name val="Arial Cyr"/>
    </font>
    <font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9"/>
      <color rgb="FFFFFFFF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12"/>
      <color rgb="FF0000FF"/>
      <name val="Times New Roman"/>
      <family val="1"/>
      <charset val="204"/>
    </font>
    <font>
      <b/>
      <sz val="12"/>
      <color rgb="FFEC111F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0"/>
      <color rgb="FF000000"/>
      <name val="FreeSetCTT"/>
      <charset val="204"/>
    </font>
    <font>
      <b/>
      <sz val="10"/>
      <color rgb="FF000000"/>
      <name val="FreeSetCTT"/>
      <charset val="204"/>
    </font>
    <font>
      <i/>
      <sz val="10"/>
      <color rgb="FF000000"/>
      <name val="FreeSetCTT"/>
      <charset val="204"/>
    </font>
    <font>
      <sz val="10"/>
      <color rgb="FF333399"/>
      <name val="FreeSetCTT"/>
      <charset val="204"/>
    </font>
    <font>
      <sz val="10"/>
      <color rgb="FFFFFFFF"/>
      <name val="FreeSetCTT"/>
      <charset val="204"/>
    </font>
    <font>
      <b/>
      <i/>
      <sz val="10"/>
      <color rgb="FF000000"/>
      <name val="FreeSetCTT"/>
      <charset val="204"/>
    </font>
    <font>
      <b/>
      <sz val="10"/>
      <color rgb="FF800000"/>
      <name val="FreeSetCTT"/>
      <charset val="204"/>
    </font>
    <font>
      <b/>
      <sz val="10"/>
      <color rgb="FF800000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u/>
      <sz val="10"/>
      <color rgb="FF000000"/>
      <name val="FreeSetCTT"/>
      <charset val="204"/>
    </font>
    <font>
      <b/>
      <sz val="10"/>
      <color rgb="FFFFFF99"/>
      <name val="FreeSetCTT"/>
      <charset val="204"/>
    </font>
    <font>
      <b/>
      <sz val="12"/>
      <color rgb="FF000000"/>
      <name val="FreeSetCTT"/>
      <charset val="204"/>
    </font>
    <font>
      <sz val="10"/>
      <color rgb="FF800000"/>
      <name val="Arial"/>
      <family val="2"/>
      <charset val="204"/>
    </font>
    <font>
      <sz val="10"/>
      <color rgb="FF0000FF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u/>
      <sz val="10"/>
      <color rgb="FF000000"/>
      <name val="Arial"/>
      <family val="2"/>
      <charset val="204"/>
    </font>
    <font>
      <b/>
      <u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2"/>
      <color rgb="FF0000FF"/>
      <name val="Arial"/>
      <family val="2"/>
      <charset val="204"/>
    </font>
    <font>
      <i/>
      <sz val="10"/>
      <color rgb="FFFFFFFF"/>
      <name val="Arial"/>
      <family val="2"/>
      <charset val="204"/>
    </font>
    <font>
      <b/>
      <sz val="10"/>
      <color rgb="FFFF0000"/>
      <name val="FreeSetCTT"/>
      <charset val="204"/>
    </font>
    <font>
      <b/>
      <sz val="12"/>
      <color rgb="FFFF0000"/>
      <name val="Arial"/>
      <family val="2"/>
      <charset val="204"/>
    </font>
    <font>
      <sz val="12"/>
      <color rgb="FF000000"/>
      <name val="FreeSetCTT"/>
      <charset val="204"/>
    </font>
    <font>
      <sz val="11"/>
      <color theme="0" tint="-0.14999847407452621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rgb="FFFFFACD"/>
      </patternFill>
    </fill>
    <fill>
      <patternFill patternType="solid">
        <fgColor rgb="FFE6E6FA"/>
      </patternFill>
    </fill>
    <fill>
      <patternFill patternType="solid">
        <fgColor rgb="FFFAEBD7"/>
      </patternFill>
    </fill>
    <fill>
      <patternFill patternType="solid">
        <fgColor rgb="FFAFEEEE"/>
      </patternFill>
    </fill>
    <fill>
      <patternFill patternType="solid">
        <fgColor rgb="FFFFE4E1"/>
      </patternFill>
    </fill>
    <fill>
      <patternFill patternType="solid">
        <fgColor rgb="FFF0FFF0"/>
      </patternFill>
    </fill>
    <fill>
      <patternFill patternType="solid">
        <fgColor rgb="FFE0FFFF"/>
      </patternFill>
    </fill>
    <fill>
      <patternFill patternType="solid">
        <fgColor rgb="FFFFF8DC"/>
      </patternFill>
    </fill>
    <fill>
      <patternFill patternType="solid">
        <fgColor rgb="FFCCFFFF"/>
      </patternFill>
    </fill>
    <fill>
      <patternFill patternType="solid">
        <fgColor rgb="FFFFDEAD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FFFF99"/>
      </patternFill>
    </fill>
    <fill>
      <patternFill patternType="solid">
        <fgColor rgb="FFFFC0CB"/>
      </patternFill>
    </fill>
    <fill>
      <patternFill patternType="solid">
        <fgColor rgb="FF808080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35">
    <xf numFmtId="0" fontId="0" fillId="0" borderId="0" xfId="0"/>
    <xf numFmtId="0" fontId="1" fillId="0" borderId="0" xfId="1"/>
    <xf numFmtId="0" fontId="2" fillId="0" borderId="0" xfId="1" applyNumberFormat="1" applyFont="1" applyFill="1" applyBorder="1" applyAlignment="1">
      <alignment horizontal="left" wrapText="1"/>
    </xf>
    <xf numFmtId="0" fontId="2" fillId="0" borderId="0" xfId="1" applyNumberFormat="1" applyFont="1" applyFill="1" applyBorder="1" applyAlignment="1">
      <alignment horizontal="left" vertical="top" wrapText="1"/>
    </xf>
    <xf numFmtId="0" fontId="3" fillId="0" borderId="0" xfId="1" applyNumberFormat="1" applyFont="1" applyFill="1" applyBorder="1" applyAlignment="1">
      <alignment horizontal="left" wrapText="1"/>
    </xf>
    <xf numFmtId="164" fontId="4" fillId="0" borderId="0" xfId="1" applyNumberFormat="1" applyFont="1" applyFill="1" applyBorder="1" applyAlignment="1">
      <alignment horizontal="center" wrapText="1"/>
    </xf>
    <xf numFmtId="0" fontId="1" fillId="0" borderId="0" xfId="1" applyNumberFormat="1" applyFill="1" applyBorder="1"/>
    <xf numFmtId="0" fontId="3" fillId="0" borderId="0" xfId="1" applyNumberFormat="1" applyFont="1" applyFill="1" applyBorder="1" applyAlignment="1">
      <alignment horizontal="right" wrapText="1"/>
    </xf>
    <xf numFmtId="49" fontId="5" fillId="2" borderId="0" xfId="1" applyNumberFormat="1" applyFont="1" applyFill="1" applyBorder="1" applyAlignment="1">
      <alignment horizontal="left" wrapText="1"/>
    </xf>
    <xf numFmtId="164" fontId="4" fillId="0" borderId="1" xfId="1" applyNumberFormat="1" applyFont="1" applyFill="1" applyBorder="1" applyAlignment="1">
      <alignment horizontal="center" wrapText="1"/>
    </xf>
    <xf numFmtId="165" fontId="4" fillId="3" borderId="1" xfId="1" applyNumberFormat="1" applyFont="1" applyFill="1" applyBorder="1" applyAlignment="1">
      <alignment horizontal="center" wrapText="1"/>
    </xf>
    <xf numFmtId="164" fontId="4" fillId="2" borderId="1" xfId="1" applyNumberFormat="1" applyFont="1" applyFill="1" applyBorder="1" applyAlignment="1">
      <alignment horizontal="center" wrapText="1"/>
    </xf>
    <xf numFmtId="165" fontId="4" fillId="2" borderId="1" xfId="1" applyNumberFormat="1" applyFont="1" applyFill="1" applyBorder="1" applyAlignment="1">
      <alignment horizontal="center" wrapText="1"/>
    </xf>
    <xf numFmtId="164" fontId="4" fillId="4" borderId="1" xfId="1" applyNumberFormat="1" applyFont="1" applyFill="1" applyBorder="1" applyAlignment="1">
      <alignment horizontal="center" wrapText="1"/>
    </xf>
    <xf numFmtId="165" fontId="4" fillId="5" borderId="2" xfId="1" applyNumberFormat="1" applyFont="1" applyFill="1" applyBorder="1" applyAlignment="1">
      <alignment horizontal="center" wrapText="1"/>
    </xf>
    <xf numFmtId="165" fontId="4" fillId="6" borderId="1" xfId="1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left" wrapText="1"/>
    </xf>
    <xf numFmtId="164" fontId="4" fillId="6" borderId="1" xfId="1" applyNumberFormat="1" applyFont="1" applyFill="1" applyBorder="1" applyAlignment="1">
      <alignment horizontal="center" wrapText="1"/>
    </xf>
    <xf numFmtId="164" fontId="4" fillId="3" borderId="1" xfId="1" applyNumberFormat="1" applyFont="1" applyFill="1" applyBorder="1" applyAlignment="1">
      <alignment horizontal="center" wrapText="1"/>
    </xf>
    <xf numFmtId="164" fontId="4" fillId="7" borderId="1" xfId="1" applyNumberFormat="1" applyFont="1" applyFill="1" applyBorder="1" applyAlignment="1">
      <alignment horizontal="center" wrapText="1"/>
    </xf>
    <xf numFmtId="164" fontId="4" fillId="3" borderId="2" xfId="1" applyNumberFormat="1" applyFont="1" applyFill="1" applyBorder="1" applyAlignment="1">
      <alignment horizontal="center" wrapText="1"/>
    </xf>
    <xf numFmtId="0" fontId="3" fillId="0" borderId="2" xfId="1" applyNumberFormat="1" applyFont="1" applyFill="1" applyBorder="1" applyAlignment="1">
      <alignment horizontal="left" wrapText="1"/>
    </xf>
    <xf numFmtId="164" fontId="4" fillId="6" borderId="2" xfId="1" applyNumberFormat="1" applyFont="1" applyFill="1" applyBorder="1" applyAlignment="1">
      <alignment horizontal="center" wrapText="1"/>
    </xf>
    <xf numFmtId="164" fontId="4" fillId="2" borderId="2" xfId="1" applyNumberFormat="1" applyFont="1" applyFill="1" applyBorder="1" applyAlignment="1">
      <alignment horizontal="center" wrapText="1"/>
    </xf>
    <xf numFmtId="0" fontId="1" fillId="0" borderId="2" xfId="1" applyNumberFormat="1" applyFill="1" applyBorder="1"/>
    <xf numFmtId="0" fontId="4" fillId="2" borderId="2" xfId="1" applyNumberFormat="1" applyFont="1" applyFill="1" applyBorder="1" applyAlignment="1">
      <alignment horizontal="left" wrapText="1"/>
    </xf>
    <xf numFmtId="166" fontId="4" fillId="3" borderId="1" xfId="1" applyNumberFormat="1" applyFont="1" applyFill="1" applyBorder="1" applyAlignment="1">
      <alignment horizontal="center" wrapText="1"/>
    </xf>
    <xf numFmtId="166" fontId="4" fillId="2" borderId="1" xfId="1" applyNumberFormat="1" applyFont="1" applyFill="1" applyBorder="1" applyAlignment="1">
      <alignment horizontal="left" wrapText="1"/>
    </xf>
    <xf numFmtId="166" fontId="4" fillId="2" borderId="1" xfId="1" applyNumberFormat="1" applyFont="1" applyFill="1" applyBorder="1" applyAlignment="1">
      <alignment horizontal="center" wrapText="1"/>
    </xf>
    <xf numFmtId="166" fontId="4" fillId="4" borderId="1" xfId="1" applyNumberFormat="1" applyFont="1" applyFill="1" applyBorder="1" applyAlignment="1">
      <alignment horizontal="center" wrapText="1"/>
    </xf>
    <xf numFmtId="166" fontId="4" fillId="5" borderId="2" xfId="1" applyNumberFormat="1" applyFont="1" applyFill="1" applyBorder="1" applyAlignment="1">
      <alignment horizontal="center" wrapText="1"/>
    </xf>
    <xf numFmtId="166" fontId="4" fillId="6" borderId="1" xfId="1" applyNumberFormat="1" applyFont="1" applyFill="1" applyBorder="1" applyAlignment="1">
      <alignment horizontal="right" wrapText="1"/>
    </xf>
    <xf numFmtId="166" fontId="4" fillId="7" borderId="1" xfId="1" applyNumberFormat="1" applyFont="1" applyFill="1" applyBorder="1" applyAlignment="1">
      <alignment horizontal="left" wrapText="1"/>
    </xf>
    <xf numFmtId="165" fontId="4" fillId="3" borderId="2" xfId="1" applyNumberFormat="1" applyFont="1" applyFill="1" applyBorder="1" applyAlignment="1">
      <alignment horizontal="center" wrapText="1"/>
    </xf>
    <xf numFmtId="166" fontId="4" fillId="6" borderId="2" xfId="1" applyNumberFormat="1" applyFont="1" applyFill="1" applyBorder="1" applyAlignment="1">
      <alignment horizontal="center" wrapText="1"/>
    </xf>
    <xf numFmtId="166" fontId="4" fillId="2" borderId="2" xfId="1" applyNumberFormat="1" applyFont="1" applyFill="1" applyBorder="1" applyAlignment="1">
      <alignment horizontal="center" wrapText="1"/>
    </xf>
    <xf numFmtId="165" fontId="4" fillId="2" borderId="2" xfId="1" applyNumberFormat="1" applyFont="1" applyFill="1" applyBorder="1" applyAlignment="1">
      <alignment horizontal="center" wrapText="1"/>
    </xf>
    <xf numFmtId="166" fontId="3" fillId="3" borderId="3" xfId="1" applyNumberFormat="1" applyFont="1" applyFill="1" applyBorder="1" applyAlignment="1">
      <alignment horizontal="center" wrapText="1"/>
    </xf>
    <xf numFmtId="166" fontId="4" fillId="2" borderId="3" xfId="1" applyNumberFormat="1" applyFont="1" applyFill="1" applyBorder="1" applyAlignment="1">
      <alignment horizontal="left" wrapText="1"/>
    </xf>
    <xf numFmtId="166" fontId="4" fillId="4" borderId="3" xfId="1" applyNumberFormat="1" applyFont="1" applyFill="1" applyBorder="1" applyAlignment="1">
      <alignment horizontal="center" wrapText="1"/>
    </xf>
    <xf numFmtId="166" fontId="4" fillId="5" borderId="4" xfId="1" applyNumberFormat="1" applyFont="1" applyFill="1" applyBorder="1" applyAlignment="1">
      <alignment horizontal="center" wrapText="1"/>
    </xf>
    <xf numFmtId="166" fontId="4" fillId="6" borderId="3" xfId="1" applyNumberFormat="1" applyFont="1" applyFill="1" applyBorder="1" applyAlignment="1">
      <alignment horizontal="right" wrapText="1"/>
    </xf>
    <xf numFmtId="165" fontId="4" fillId="3" borderId="3" xfId="1" applyNumberFormat="1" applyFont="1" applyFill="1" applyBorder="1" applyAlignment="1">
      <alignment horizontal="center" wrapText="1"/>
    </xf>
    <xf numFmtId="0" fontId="3" fillId="0" borderId="3" xfId="1" applyNumberFormat="1" applyFont="1" applyFill="1" applyBorder="1" applyAlignment="1">
      <alignment horizontal="left" wrapText="1"/>
    </xf>
    <xf numFmtId="167" fontId="4" fillId="3" borderId="3" xfId="1" applyNumberFormat="1" applyFont="1" applyFill="1" applyBorder="1" applyAlignment="1">
      <alignment horizontal="center" wrapText="1"/>
    </xf>
    <xf numFmtId="166" fontId="4" fillId="7" borderId="3" xfId="1" applyNumberFormat="1" applyFont="1" applyFill="1" applyBorder="1" applyAlignment="1">
      <alignment horizontal="left" wrapText="1"/>
    </xf>
    <xf numFmtId="166" fontId="4" fillId="2" borderId="3" xfId="1" applyNumberFormat="1" applyFont="1" applyFill="1" applyBorder="1" applyAlignment="1">
      <alignment horizontal="center" wrapText="1"/>
    </xf>
    <xf numFmtId="167" fontId="4" fillId="3" borderId="4" xfId="1" applyNumberFormat="1" applyFont="1" applyFill="1" applyBorder="1" applyAlignment="1">
      <alignment horizontal="center" wrapText="1"/>
    </xf>
    <xf numFmtId="0" fontId="3" fillId="0" borderId="4" xfId="1" applyNumberFormat="1" applyFont="1" applyFill="1" applyBorder="1" applyAlignment="1">
      <alignment horizontal="left" wrapText="1"/>
    </xf>
    <xf numFmtId="166" fontId="3" fillId="6" borderId="4" xfId="1" applyNumberFormat="1" applyFont="1" applyFill="1" applyBorder="1" applyAlignment="1">
      <alignment horizontal="left" wrapText="1"/>
    </xf>
    <xf numFmtId="166" fontId="3" fillId="2" borderId="4" xfId="1" applyNumberFormat="1" applyFont="1" applyFill="1" applyBorder="1" applyAlignment="1">
      <alignment horizontal="left" wrapText="1"/>
    </xf>
    <xf numFmtId="167" fontId="4" fillId="2" borderId="4" xfId="1" applyNumberFormat="1" applyFont="1" applyFill="1" applyBorder="1" applyAlignment="1">
      <alignment horizontal="center" wrapText="1"/>
    </xf>
    <xf numFmtId="0" fontId="1" fillId="0" borderId="4" xfId="1" applyNumberFormat="1" applyFill="1" applyBorder="1"/>
    <xf numFmtId="0" fontId="4" fillId="2" borderId="4" xfId="1" applyNumberFormat="1" applyFont="1" applyFill="1" applyBorder="1" applyAlignment="1">
      <alignment horizontal="left" wrapText="1"/>
    </xf>
    <xf numFmtId="168" fontId="4" fillId="3" borderId="2" xfId="1" applyNumberFormat="1" applyFont="1" applyFill="1" applyBorder="1" applyAlignment="1">
      <alignment horizontal="center" wrapText="1"/>
    </xf>
    <xf numFmtId="0" fontId="1" fillId="0" borderId="5" xfId="1" applyNumberFormat="1" applyFill="1" applyBorder="1"/>
    <xf numFmtId="168" fontId="4" fillId="2" borderId="2" xfId="1" applyNumberFormat="1" applyFont="1" applyFill="1" applyBorder="1" applyAlignment="1">
      <alignment horizontal="center" wrapText="1"/>
    </xf>
    <xf numFmtId="1" fontId="5" fillId="2" borderId="2" xfId="1" applyNumberFormat="1" applyFont="1" applyFill="1" applyBorder="1" applyAlignment="1">
      <alignment horizontal="center" wrapText="1"/>
    </xf>
    <xf numFmtId="168" fontId="4" fillId="4" borderId="2" xfId="1" applyNumberFormat="1" applyFont="1" applyFill="1" applyBorder="1" applyAlignment="1">
      <alignment horizontal="center" wrapText="1"/>
    </xf>
    <xf numFmtId="168" fontId="4" fillId="5" borderId="2" xfId="1" applyNumberFormat="1" applyFont="1" applyFill="1" applyBorder="1" applyAlignment="1">
      <alignment horizontal="center" wrapText="1"/>
    </xf>
    <xf numFmtId="168" fontId="3" fillId="6" borderId="2" xfId="1" applyNumberFormat="1" applyFont="1" applyFill="1" applyBorder="1" applyAlignment="1">
      <alignment horizontal="center" wrapText="1"/>
    </xf>
    <xf numFmtId="168" fontId="4" fillId="2" borderId="6" xfId="1" applyNumberFormat="1" applyFont="1" applyFill="1" applyBorder="1" applyAlignment="1">
      <alignment horizontal="center" wrapText="1"/>
    </xf>
    <xf numFmtId="166" fontId="4" fillId="7" borderId="2" xfId="1" applyNumberFormat="1" applyFont="1" applyFill="1" applyBorder="1" applyAlignment="1">
      <alignment horizontal="center" wrapText="1"/>
    </xf>
    <xf numFmtId="0" fontId="5" fillId="5" borderId="2" xfId="1" applyNumberFormat="1" applyFont="1" applyFill="1" applyBorder="1" applyAlignment="1">
      <alignment horizontal="center" wrapText="1"/>
    </xf>
    <xf numFmtId="168" fontId="4" fillId="2" borderId="1" xfId="1" applyNumberFormat="1" applyFont="1" applyFill="1" applyBorder="1" applyAlignment="1">
      <alignment horizontal="center" wrapText="1"/>
    </xf>
    <xf numFmtId="168" fontId="3" fillId="8" borderId="2" xfId="1" applyNumberFormat="1" applyFont="1" applyFill="1" applyBorder="1" applyAlignment="1">
      <alignment horizontal="center" wrapText="1"/>
    </xf>
    <xf numFmtId="0" fontId="2" fillId="0" borderId="2" xfId="1" applyNumberFormat="1" applyFont="1" applyFill="1" applyBorder="1" applyAlignment="1">
      <alignment horizontal="left" wrapText="1"/>
    </xf>
    <xf numFmtId="168" fontId="4" fillId="6" borderId="6" xfId="1" applyNumberFormat="1" applyFont="1" applyFill="1" applyBorder="1" applyAlignment="1">
      <alignment horizontal="center" wrapText="1"/>
    </xf>
    <xf numFmtId="168" fontId="4" fillId="8" borderId="2" xfId="1" applyNumberFormat="1" applyFont="1" applyFill="1" applyBorder="1" applyAlignment="1">
      <alignment horizontal="center" wrapText="1"/>
    </xf>
    <xf numFmtId="0" fontId="6" fillId="2" borderId="1" xfId="1" applyNumberFormat="1" applyFont="1" applyFill="1" applyBorder="1" applyAlignment="1">
      <alignment horizontal="left" vertical="center" wrapText="1"/>
    </xf>
    <xf numFmtId="166" fontId="4" fillId="3" borderId="7" xfId="1" applyNumberFormat="1" applyFont="1" applyFill="1" applyBorder="1" applyAlignment="1">
      <alignment horizontal="center" wrapText="1"/>
    </xf>
    <xf numFmtId="166" fontId="4" fillId="2" borderId="7" xfId="1" applyNumberFormat="1" applyFont="1" applyFill="1" applyBorder="1" applyAlignment="1">
      <alignment horizontal="left" wrapText="1"/>
    </xf>
    <xf numFmtId="0" fontId="5" fillId="2" borderId="7" xfId="1" applyNumberFormat="1" applyFont="1" applyFill="1" applyBorder="1" applyAlignment="1">
      <alignment horizontal="left" wrapText="1"/>
    </xf>
    <xf numFmtId="166" fontId="4" fillId="4" borderId="7" xfId="1" applyNumberFormat="1" applyFont="1" applyFill="1" applyBorder="1" applyAlignment="1">
      <alignment horizontal="center" wrapText="1"/>
    </xf>
    <xf numFmtId="166" fontId="4" fillId="5" borderId="7" xfId="1" applyNumberFormat="1" applyFont="1" applyFill="1" applyBorder="1" applyAlignment="1">
      <alignment horizontal="center" wrapText="1"/>
    </xf>
    <xf numFmtId="166" fontId="4" fillId="2" borderId="7" xfId="1" applyNumberFormat="1" applyFont="1" applyFill="1" applyBorder="1" applyAlignment="1">
      <alignment horizontal="center" wrapText="1"/>
    </xf>
    <xf numFmtId="167" fontId="4" fillId="2" borderId="7" xfId="1" applyNumberFormat="1" applyFont="1" applyFill="1" applyBorder="1" applyAlignment="1">
      <alignment horizontal="center" wrapText="1"/>
    </xf>
    <xf numFmtId="166" fontId="3" fillId="6" borderId="7" xfId="1" applyNumberFormat="1" applyFont="1" applyFill="1" applyBorder="1" applyAlignment="1">
      <alignment horizontal="center" wrapText="1"/>
    </xf>
    <xf numFmtId="166" fontId="7" fillId="2" borderId="0" xfId="1" applyNumberFormat="1" applyFont="1" applyFill="1" applyBorder="1" applyAlignment="1">
      <alignment horizontal="center" wrapText="1"/>
    </xf>
    <xf numFmtId="166" fontId="4" fillId="7" borderId="7" xfId="1" applyNumberFormat="1" applyFont="1" applyFill="1" applyBorder="1" applyAlignment="1">
      <alignment horizontal="left" wrapText="1"/>
    </xf>
    <xf numFmtId="0" fontId="5" fillId="5" borderId="7" xfId="1" applyNumberFormat="1" applyFont="1" applyFill="1" applyBorder="1" applyAlignment="1">
      <alignment horizontal="center" wrapText="1"/>
    </xf>
    <xf numFmtId="166" fontId="4" fillId="2" borderId="8" xfId="1" applyNumberFormat="1" applyFont="1" applyFill="1" applyBorder="1" applyAlignment="1">
      <alignment horizontal="center" wrapText="1"/>
    </xf>
    <xf numFmtId="167" fontId="4" fillId="2" borderId="0" xfId="1" applyNumberFormat="1" applyFont="1" applyFill="1" applyBorder="1" applyAlignment="1">
      <alignment horizontal="center" wrapText="1"/>
    </xf>
    <xf numFmtId="166" fontId="3" fillId="8" borderId="7" xfId="1" applyNumberFormat="1" applyFont="1" applyFill="1" applyBorder="1" applyAlignment="1">
      <alignment horizontal="center" wrapText="1"/>
    </xf>
    <xf numFmtId="0" fontId="2" fillId="0" borderId="9" xfId="1" applyNumberFormat="1" applyFont="1" applyFill="1" applyBorder="1" applyAlignment="1">
      <alignment horizontal="left" wrapText="1"/>
    </xf>
    <xf numFmtId="166" fontId="3" fillId="6" borderId="0" xfId="1" applyNumberFormat="1" applyFont="1" applyFill="1" applyBorder="1" applyAlignment="1">
      <alignment horizontal="left" wrapText="1"/>
    </xf>
    <xf numFmtId="167" fontId="4" fillId="8" borderId="7" xfId="1" applyNumberFormat="1" applyFont="1" applyFill="1" applyBorder="1" applyAlignment="1">
      <alignment horizontal="center" wrapText="1"/>
    </xf>
    <xf numFmtId="0" fontId="6" fillId="2" borderId="8" xfId="1" applyNumberFormat="1" applyFont="1" applyFill="1" applyBorder="1" applyAlignment="1">
      <alignment horizontal="left" vertical="center" wrapText="1"/>
    </xf>
    <xf numFmtId="166" fontId="4" fillId="3" borderId="10" xfId="1" applyNumberFormat="1" applyFont="1" applyFill="1" applyBorder="1" applyAlignment="1">
      <alignment horizontal="center" wrapText="1"/>
    </xf>
    <xf numFmtId="168" fontId="4" fillId="0" borderId="5" xfId="1" applyNumberFormat="1" applyFont="1" applyFill="1" applyBorder="1" applyAlignment="1">
      <alignment horizontal="center" wrapText="1"/>
    </xf>
    <xf numFmtId="166" fontId="8" fillId="2" borderId="10" xfId="1" applyNumberFormat="1" applyFont="1" applyFill="1" applyBorder="1" applyAlignment="1">
      <alignment horizontal="left" wrapText="1"/>
    </xf>
    <xf numFmtId="0" fontId="9" fillId="2" borderId="10" xfId="1" applyNumberFormat="1" applyFont="1" applyFill="1" applyBorder="1" applyAlignment="1">
      <alignment horizontal="left" wrapText="1"/>
    </xf>
    <xf numFmtId="166" fontId="7" fillId="4" borderId="10" xfId="1" applyNumberFormat="1" applyFont="1" applyFill="1" applyBorder="1" applyAlignment="1">
      <alignment horizontal="center" wrapText="1"/>
    </xf>
    <xf numFmtId="166" fontId="7" fillId="5" borderId="10" xfId="1" applyNumberFormat="1" applyFont="1" applyFill="1" applyBorder="1" applyAlignment="1">
      <alignment horizontal="center" wrapText="1"/>
    </xf>
    <xf numFmtId="166" fontId="7" fillId="2" borderId="10" xfId="1" applyNumberFormat="1" applyFont="1" applyFill="1" applyBorder="1" applyAlignment="1">
      <alignment horizontal="center" wrapText="1"/>
    </xf>
    <xf numFmtId="166" fontId="3" fillId="6" borderId="10" xfId="1" applyNumberFormat="1" applyFont="1" applyFill="1" applyBorder="1" applyAlignment="1">
      <alignment horizontal="center" wrapText="1"/>
    </xf>
    <xf numFmtId="166" fontId="7" fillId="2" borderId="11" xfId="1" applyNumberFormat="1" applyFont="1" applyFill="1" applyBorder="1" applyAlignment="1">
      <alignment horizontal="center" wrapText="1"/>
    </xf>
    <xf numFmtId="166" fontId="4" fillId="7" borderId="10" xfId="1" applyNumberFormat="1" applyFont="1" applyFill="1" applyBorder="1" applyAlignment="1">
      <alignment horizontal="left" wrapText="1"/>
    </xf>
    <xf numFmtId="0" fontId="10" fillId="5" borderId="10" xfId="1" applyNumberFormat="1" applyFont="1" applyFill="1" applyBorder="1" applyAlignment="1">
      <alignment horizontal="center" wrapText="1"/>
    </xf>
    <xf numFmtId="166" fontId="4" fillId="2" borderId="12" xfId="1" applyNumberFormat="1" applyFont="1" applyFill="1" applyBorder="1" applyAlignment="1">
      <alignment horizontal="center" wrapText="1"/>
    </xf>
    <xf numFmtId="166" fontId="11" fillId="2" borderId="10" xfId="1" applyNumberFormat="1" applyFont="1" applyFill="1" applyBorder="1" applyAlignment="1">
      <alignment horizontal="center" wrapText="1"/>
    </xf>
    <xf numFmtId="166" fontId="11" fillId="2" borderId="11" xfId="1" applyNumberFormat="1" applyFont="1" applyFill="1" applyBorder="1" applyAlignment="1">
      <alignment horizontal="center" wrapText="1"/>
    </xf>
    <xf numFmtId="166" fontId="3" fillId="8" borderId="10" xfId="1" applyNumberFormat="1" applyFont="1" applyFill="1" applyBorder="1" applyAlignment="1">
      <alignment horizontal="center" wrapText="1"/>
    </xf>
    <xf numFmtId="0" fontId="2" fillId="0" borderId="13" xfId="1" applyNumberFormat="1" applyFont="1" applyFill="1" applyBorder="1" applyAlignment="1">
      <alignment horizontal="left" wrapText="1"/>
    </xf>
    <xf numFmtId="166" fontId="3" fillId="6" borderId="11" xfId="1" applyNumberFormat="1" applyFont="1" applyFill="1" applyBorder="1" applyAlignment="1">
      <alignment horizontal="left" wrapText="1"/>
    </xf>
    <xf numFmtId="166" fontId="12" fillId="8" borderId="10" xfId="1" applyNumberFormat="1" applyFont="1" applyFill="1" applyBorder="1" applyAlignment="1">
      <alignment horizontal="center" wrapText="1"/>
    </xf>
    <xf numFmtId="0" fontId="6" fillId="2" borderId="12" xfId="1" applyNumberFormat="1" applyFont="1" applyFill="1" applyBorder="1" applyAlignment="1">
      <alignment horizontal="left" vertical="center" wrapText="1"/>
    </xf>
    <xf numFmtId="169" fontId="4" fillId="2" borderId="5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ill="1" applyBorder="1"/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1" fillId="0" borderId="14" xfId="1" applyNumberFormat="1" applyFill="1" applyBorder="1"/>
    <xf numFmtId="0" fontId="3" fillId="2" borderId="2" xfId="1" applyNumberFormat="1" applyFont="1" applyFill="1" applyBorder="1" applyAlignment="1">
      <alignment horizontal="center" wrapText="1"/>
    </xf>
    <xf numFmtId="0" fontId="3" fillId="9" borderId="2" xfId="1" applyNumberFormat="1" applyFont="1" applyFill="1" applyBorder="1" applyAlignment="1">
      <alignment horizontal="center" wrapText="1"/>
    </xf>
    <xf numFmtId="0" fontId="3" fillId="2" borderId="10" xfId="1" applyNumberFormat="1" applyFont="1" applyFill="1" applyBorder="1" applyAlignment="1">
      <alignment horizontal="center" wrapText="1"/>
    </xf>
    <xf numFmtId="0" fontId="3" fillId="9" borderId="10" xfId="1" applyNumberFormat="1" applyFont="1" applyFill="1" applyBorder="1" applyAlignment="1">
      <alignment horizont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0" fontId="6" fillId="5" borderId="5" xfId="1" applyNumberFormat="1" applyFont="1" applyFill="1" applyBorder="1" applyAlignment="1">
      <alignment horizontal="center" vertical="center" wrapText="1"/>
    </xf>
    <xf numFmtId="0" fontId="1" fillId="0" borderId="15" xfId="1" applyNumberFormat="1" applyFill="1" applyBorder="1"/>
    <xf numFmtId="166" fontId="13" fillId="10" borderId="1" xfId="1" applyNumberFormat="1" applyFont="1" applyFill="1" applyBorder="1" applyAlignment="1">
      <alignment horizontal="center" wrapText="1"/>
    </xf>
    <xf numFmtId="0" fontId="6" fillId="2" borderId="5" xfId="1" applyNumberFormat="1" applyFont="1" applyFill="1" applyBorder="1" applyAlignment="1">
      <alignment horizontal="center" vertical="center" wrapText="1"/>
    </xf>
    <xf numFmtId="0" fontId="6" fillId="2" borderId="14" xfId="1" applyNumberFormat="1" applyFont="1" applyFill="1" applyBorder="1" applyAlignment="1">
      <alignment horizontal="center" vertical="center" wrapText="1"/>
    </xf>
    <xf numFmtId="0" fontId="6" fillId="4" borderId="14" xfId="1" applyNumberFormat="1" applyFont="1" applyFill="1" applyBorder="1" applyAlignment="1">
      <alignment horizontal="center" vertical="center" wrapText="1"/>
    </xf>
    <xf numFmtId="0" fontId="6" fillId="5" borderId="14" xfId="1" applyNumberFormat="1" applyFont="1" applyFill="1" applyBorder="1" applyAlignment="1">
      <alignment horizontal="center" vertical="center" wrapText="1"/>
    </xf>
    <xf numFmtId="0" fontId="6" fillId="7" borderId="14" xfId="1" applyNumberFormat="1" applyFont="1" applyFill="1" applyBorder="1" applyAlignment="1">
      <alignment horizontal="center" vertical="center" wrapText="1"/>
    </xf>
    <xf numFmtId="0" fontId="6" fillId="2" borderId="14" xfId="1" applyNumberFormat="1" applyFont="1" applyFill="1" applyBorder="1" applyAlignment="1">
      <alignment horizontal="center" wrapText="1"/>
    </xf>
    <xf numFmtId="49" fontId="6" fillId="6" borderId="5" xfId="1" applyNumberFormat="1" applyFont="1" applyFill="1" applyBorder="1" applyAlignment="1">
      <alignment horizontal="center" vertical="center" wrapText="1"/>
    </xf>
    <xf numFmtId="0" fontId="6" fillId="9" borderId="15" xfId="1" applyNumberFormat="1" applyFont="1" applyFill="1" applyBorder="1" applyAlignment="1">
      <alignment horizontal="center" vertical="center" wrapText="1"/>
    </xf>
    <xf numFmtId="49" fontId="6" fillId="2" borderId="5" xfId="1" applyNumberFormat="1" applyFont="1" applyFill="1" applyBorder="1" applyAlignment="1">
      <alignment horizontal="center" vertical="center" wrapText="1"/>
    </xf>
    <xf numFmtId="0" fontId="13" fillId="2" borderId="14" xfId="1" applyNumberFormat="1" applyFont="1" applyFill="1" applyBorder="1" applyAlignment="1">
      <alignment horizontal="center" wrapText="1"/>
    </xf>
    <xf numFmtId="0" fontId="13" fillId="2" borderId="14" xfId="1" applyNumberFormat="1" applyFont="1" applyFill="1" applyBorder="1" applyAlignment="1">
      <alignment horizontal="center" vertical="center" wrapText="1"/>
    </xf>
    <xf numFmtId="0" fontId="13" fillId="2" borderId="5" xfId="1" applyNumberFormat="1" applyFont="1" applyFill="1" applyBorder="1" applyAlignment="1">
      <alignment horizontal="center" vertical="center" textRotation="90" wrapText="1"/>
    </xf>
    <xf numFmtId="166" fontId="6" fillId="10" borderId="14" xfId="1" applyNumberFormat="1" applyFont="1" applyFill="1" applyBorder="1" applyAlignment="1">
      <alignment horizontal="center" vertical="center" wrapText="1"/>
    </xf>
    <xf numFmtId="164" fontId="6" fillId="10" borderId="5" xfId="1" applyNumberFormat="1" applyFont="1" applyFill="1" applyBorder="1" applyAlignment="1">
      <alignment horizontal="center" vertical="center" wrapText="1"/>
    </xf>
    <xf numFmtId="0" fontId="14" fillId="11" borderId="5" xfId="1" applyNumberFormat="1" applyFont="1" applyFill="1" applyBorder="1" applyAlignment="1">
      <alignment horizontal="center" wrapText="1"/>
    </xf>
    <xf numFmtId="0" fontId="6" fillId="12" borderId="5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6" fillId="7" borderId="0" xfId="1" applyNumberFormat="1" applyFont="1" applyFill="1" applyBorder="1" applyAlignment="1">
      <alignment horizontal="center" wrapText="1"/>
    </xf>
    <xf numFmtId="0" fontId="15" fillId="0" borderId="0" xfId="1" applyNumberFormat="1" applyFont="1" applyFill="1" applyBorder="1" applyAlignment="1">
      <alignment horizontal="center" vertical="center" wrapText="1"/>
    </xf>
    <xf numFmtId="0" fontId="16" fillId="0" borderId="0" xfId="1" applyNumberFormat="1" applyFont="1" applyFill="1" applyBorder="1" applyAlignment="1">
      <alignment horizontal="center" wrapText="1"/>
    </xf>
    <xf numFmtId="0" fontId="17" fillId="0" borderId="0" xfId="1" applyNumberFormat="1" applyFont="1" applyFill="1" applyBorder="1" applyAlignment="1">
      <alignment horizontal="center" vertical="center" wrapText="1"/>
    </xf>
    <xf numFmtId="0" fontId="18" fillId="0" borderId="0" xfId="1" applyNumberFormat="1" applyFont="1" applyFill="1" applyBorder="1" applyAlignment="1">
      <alignment horizontal="center" wrapText="1"/>
    </xf>
    <xf numFmtId="0" fontId="19" fillId="0" borderId="0" xfId="1" applyNumberFormat="1" applyFont="1" applyFill="1" applyBorder="1" applyAlignment="1">
      <alignment horizontal="left" wrapText="1"/>
    </xf>
    <xf numFmtId="0" fontId="20" fillId="0" borderId="0" xfId="1" applyNumberFormat="1" applyFont="1" applyFill="1" applyBorder="1" applyAlignment="1">
      <alignment horizontal="center"/>
    </xf>
    <xf numFmtId="165" fontId="21" fillId="13" borderId="14" xfId="1" applyNumberFormat="1" applyFont="1" applyFill="1" applyBorder="1" applyAlignment="1">
      <alignment horizontal="right" vertical="center" wrapText="1"/>
    </xf>
    <xf numFmtId="164" fontId="22" fillId="13" borderId="14" xfId="1" applyNumberFormat="1" applyFont="1" applyFill="1" applyBorder="1" applyAlignment="1">
      <alignment horizontal="right" vertical="center" wrapText="1"/>
    </xf>
    <xf numFmtId="0" fontId="21" fillId="13" borderId="14" xfId="1" applyNumberFormat="1" applyFont="1" applyFill="1" applyBorder="1" applyAlignment="1">
      <alignment horizontal="center" wrapText="1"/>
    </xf>
    <xf numFmtId="0" fontId="21" fillId="13" borderId="5" xfId="1" applyNumberFormat="1" applyFont="1" applyFill="1" applyBorder="1" applyAlignment="1">
      <alignment horizontal="center" wrapText="1"/>
    </xf>
    <xf numFmtId="170" fontId="2" fillId="0" borderId="0" xfId="1" applyNumberFormat="1" applyFont="1" applyFill="1" applyBorder="1" applyAlignment="1">
      <alignment horizontal="left" wrapText="1"/>
    </xf>
    <xf numFmtId="0" fontId="22" fillId="0" borderId="0" xfId="1" applyNumberFormat="1" applyFont="1" applyFill="1" applyBorder="1" applyAlignment="1">
      <alignment horizontal="center" wrapText="1"/>
    </xf>
    <xf numFmtId="171" fontId="21" fillId="14" borderId="14" xfId="1" applyNumberFormat="1" applyFont="1" applyFill="1" applyBorder="1" applyAlignment="1">
      <alignment horizontal="right" vertical="center" wrapText="1"/>
    </xf>
    <xf numFmtId="0" fontId="21" fillId="14" borderId="14" xfId="1" applyNumberFormat="1" applyFont="1" applyFill="1" applyBorder="1" applyAlignment="1">
      <alignment horizontal="center" wrapText="1"/>
    </xf>
    <xf numFmtId="0" fontId="21" fillId="14" borderId="5" xfId="1" applyNumberFormat="1" applyFont="1" applyFill="1" applyBorder="1" applyAlignment="1">
      <alignment horizontal="center" wrapText="1"/>
    </xf>
    <xf numFmtId="171" fontId="21" fillId="15" borderId="14" xfId="1" applyNumberFormat="1" applyFont="1" applyFill="1" applyBorder="1" applyAlignment="1">
      <alignment horizontal="right" vertical="center" wrapText="1"/>
    </xf>
    <xf numFmtId="164" fontId="22" fillId="15" borderId="14" xfId="1" applyNumberFormat="1" applyFont="1" applyFill="1" applyBorder="1" applyAlignment="1">
      <alignment horizontal="right" wrapText="1"/>
    </xf>
    <xf numFmtId="0" fontId="21" fillId="15" borderId="14" xfId="1" applyNumberFormat="1" applyFont="1" applyFill="1" applyBorder="1" applyAlignment="1">
      <alignment horizontal="center" wrapText="1"/>
    </xf>
    <xf numFmtId="0" fontId="21" fillId="15" borderId="5" xfId="1" applyNumberFormat="1" applyFont="1" applyFill="1" applyBorder="1" applyAlignment="1">
      <alignment horizontal="center" wrapText="1"/>
    </xf>
    <xf numFmtId="171" fontId="21" fillId="2" borderId="4" xfId="1" applyNumberFormat="1" applyFont="1" applyFill="1" applyBorder="1" applyAlignment="1">
      <alignment horizontal="right" vertical="center" wrapText="1"/>
    </xf>
    <xf numFmtId="49" fontId="21" fillId="2" borderId="3" xfId="1" applyNumberFormat="1" applyFont="1" applyFill="1" applyBorder="1" applyAlignment="1">
      <alignment horizontal="center" wrapText="1"/>
    </xf>
    <xf numFmtId="49" fontId="21" fillId="2" borderId="4" xfId="1" applyNumberFormat="1" applyFont="1" applyFill="1" applyBorder="1" applyAlignment="1">
      <alignment horizontal="center" wrapText="1"/>
    </xf>
    <xf numFmtId="1" fontId="19" fillId="0" borderId="0" xfId="1" applyNumberFormat="1" applyFont="1" applyFill="1" applyBorder="1" applyAlignment="1">
      <alignment horizontal="left" wrapText="1"/>
    </xf>
    <xf numFmtId="167" fontId="23" fillId="0" borderId="10" xfId="1" applyNumberFormat="1" applyFont="1" applyFill="1" applyBorder="1" applyAlignment="1">
      <alignment horizontal="right" vertical="center" wrapText="1"/>
    </xf>
    <xf numFmtId="0" fontId="20" fillId="0" borderId="10" xfId="1" applyNumberFormat="1" applyFont="1" applyFill="1" applyBorder="1" applyAlignment="1">
      <alignment horizontal="center" vertical="center" wrapText="1"/>
    </xf>
    <xf numFmtId="1" fontId="20" fillId="0" borderId="16" xfId="1" applyNumberFormat="1" applyFont="1" applyFill="1" applyBorder="1" applyAlignment="1">
      <alignment horizontal="center" vertical="center" wrapText="1"/>
    </xf>
    <xf numFmtId="3" fontId="24" fillId="0" borderId="0" xfId="1" applyNumberFormat="1" applyFont="1" applyFill="1" applyBorder="1" applyAlignment="1">
      <alignment horizontal="left" wrapText="1"/>
    </xf>
    <xf numFmtId="1" fontId="25" fillId="0" borderId="0" xfId="1" applyNumberFormat="1" applyFont="1" applyFill="1" applyBorder="1" applyAlignment="1">
      <alignment horizontal="center" vertical="center" wrapText="1"/>
    </xf>
    <xf numFmtId="165" fontId="26" fillId="0" borderId="17" xfId="1" applyNumberFormat="1" applyFont="1" applyFill="1" applyBorder="1" applyAlignment="1">
      <alignment horizontal="right" vertical="center" wrapText="1"/>
    </xf>
    <xf numFmtId="165" fontId="27" fillId="0" borderId="17" xfId="1" applyNumberFormat="1" applyFont="1" applyFill="1" applyBorder="1" applyAlignment="1">
      <alignment horizontal="right" vertical="center" wrapText="1"/>
    </xf>
    <xf numFmtId="0" fontId="28" fillId="0" borderId="18" xfId="1" applyNumberFormat="1" applyFont="1" applyFill="1" applyBorder="1" applyAlignment="1">
      <alignment horizontal="center" vertical="center" wrapText="1"/>
    </xf>
    <xf numFmtId="0" fontId="28" fillId="16" borderId="17" xfId="1" applyNumberFormat="1" applyFont="1" applyFill="1" applyBorder="1" applyAlignment="1">
      <alignment horizontal="center" vertical="center" wrapText="1"/>
    </xf>
    <xf numFmtId="0" fontId="20" fillId="11" borderId="2" xfId="1" applyNumberFormat="1" applyFont="1" applyFill="1" applyBorder="1" applyAlignment="1">
      <alignment horizontal="center" vertical="center" wrapText="1"/>
    </xf>
    <xf numFmtId="0" fontId="20" fillId="11" borderId="5" xfId="1" applyNumberFormat="1" applyFont="1" applyFill="1" applyBorder="1" applyAlignment="1">
      <alignment horizontal="center" vertical="center" wrapText="1"/>
    </xf>
    <xf numFmtId="0" fontId="23" fillId="11" borderId="5" xfId="1" applyNumberFormat="1" applyFont="1" applyFill="1" applyBorder="1" applyAlignment="1">
      <alignment horizontal="center" vertical="center" wrapText="1"/>
    </xf>
    <xf numFmtId="0" fontId="23" fillId="11" borderId="5" xfId="1" applyNumberFormat="1" applyFont="1" applyFill="1" applyBorder="1" applyAlignment="1">
      <alignment horizontal="center" vertical="center"/>
    </xf>
    <xf numFmtId="0" fontId="1" fillId="0" borderId="19" xfId="1" applyNumberFormat="1" applyFill="1" applyBorder="1"/>
    <xf numFmtId="0" fontId="23" fillId="11" borderId="19" xfId="1" applyNumberFormat="1" applyFont="1" applyFill="1" applyBorder="1" applyAlignment="1">
      <alignment horizontal="center" vertical="center"/>
    </xf>
    <xf numFmtId="0" fontId="20" fillId="11" borderId="14" xfId="1" applyNumberFormat="1" applyFont="1" applyFill="1" applyBorder="1" applyAlignment="1">
      <alignment horizontal="center" vertical="center" wrapText="1"/>
    </xf>
    <xf numFmtId="0" fontId="20" fillId="11" borderId="5" xfId="1" applyNumberFormat="1" applyFont="1" applyFill="1" applyBorder="1" applyAlignment="1">
      <alignment horizontal="center" vertical="center" wrapText="1"/>
    </xf>
    <xf numFmtId="0" fontId="29" fillId="0" borderId="0" xfId="1" applyNumberFormat="1" applyFont="1" applyFill="1" applyBorder="1" applyAlignment="1">
      <alignment horizontal="left" vertical="center" wrapText="1"/>
    </xf>
    <xf numFmtId="172" fontId="30" fillId="0" borderId="0" xfId="1" applyNumberFormat="1" applyFont="1" applyFill="1" applyBorder="1" applyAlignment="1">
      <alignment horizontal="left" vertical="center" wrapText="1"/>
    </xf>
    <xf numFmtId="0" fontId="31" fillId="0" borderId="0" xfId="1" applyNumberFormat="1" applyFont="1" applyFill="1" applyBorder="1" applyAlignment="1">
      <alignment horizontal="right" wrapText="1"/>
    </xf>
    <xf numFmtId="0" fontId="32" fillId="0" borderId="0" xfId="1" applyNumberFormat="1" applyFont="1" applyFill="1" applyBorder="1" applyAlignment="1">
      <alignment horizontal="left" wrapText="1"/>
    </xf>
    <xf numFmtId="0" fontId="33" fillId="0" borderId="0" xfId="1" applyNumberFormat="1" applyFont="1" applyFill="1" applyBorder="1" applyAlignment="1">
      <alignment horizontal="left" vertical="center" wrapText="1"/>
    </xf>
    <xf numFmtId="0" fontId="34" fillId="0" borderId="0" xfId="1" applyNumberFormat="1" applyFont="1" applyFill="1" applyBorder="1" applyAlignment="1">
      <alignment horizontal="left" vertical="center" wrapText="1"/>
    </xf>
    <xf numFmtId="173" fontId="35" fillId="0" borderId="0" xfId="1" applyNumberFormat="1" applyFont="1" applyFill="1" applyBorder="1" applyAlignment="1">
      <alignment horizontal="center" vertical="center" wrapText="1"/>
    </xf>
    <xf numFmtId="0" fontId="35" fillId="0" borderId="0" xfId="1" applyNumberFormat="1" applyFont="1" applyFill="1" applyBorder="1" applyAlignment="1">
      <alignment horizontal="left" vertical="center" wrapText="1"/>
    </xf>
    <xf numFmtId="0" fontId="36" fillId="0" borderId="0" xfId="1" applyNumberFormat="1" applyFont="1" applyFill="1" applyBorder="1" applyAlignment="1">
      <alignment horizontal="center" vertical="center" wrapText="1"/>
    </xf>
    <xf numFmtId="167" fontId="5" fillId="0" borderId="1" xfId="1" applyNumberFormat="1" applyFont="1" applyFill="1" applyBorder="1" applyAlignment="1">
      <alignment horizontal="center" vertical="center" wrapText="1"/>
    </xf>
    <xf numFmtId="167" fontId="5" fillId="0" borderId="2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center" vertical="center" wrapText="1"/>
    </xf>
    <xf numFmtId="173" fontId="37" fillId="0" borderId="0" xfId="1" applyNumberFormat="1" applyFont="1" applyFill="1" applyBorder="1" applyAlignment="1">
      <alignment horizontal="center" vertical="center" wrapText="1"/>
    </xf>
    <xf numFmtId="173" fontId="34" fillId="0" borderId="0" xfId="1" applyNumberFormat="1" applyFont="1" applyFill="1" applyBorder="1" applyAlignment="1">
      <alignment horizontal="center" vertical="center" wrapText="1"/>
    </xf>
    <xf numFmtId="0" fontId="36" fillId="0" borderId="0" xfId="1" applyNumberFormat="1" applyFont="1" applyFill="1" applyBorder="1" applyAlignment="1">
      <alignment horizontal="left" vertical="center" wrapText="1"/>
    </xf>
    <xf numFmtId="0" fontId="38" fillId="0" borderId="0" xfId="1" applyNumberFormat="1" applyFont="1" applyFill="1" applyBorder="1" applyAlignment="1">
      <alignment horizontal="right" vertical="center" wrapText="1"/>
    </xf>
    <xf numFmtId="173" fontId="35" fillId="0" borderId="0" xfId="1" applyNumberFormat="1" applyFont="1" applyFill="1" applyBorder="1" applyAlignment="1">
      <alignment horizontal="left" vertical="center" wrapText="1"/>
    </xf>
    <xf numFmtId="167" fontId="2" fillId="0" borderId="1" xfId="1" applyNumberFormat="1" applyFont="1" applyFill="1" applyBorder="1" applyAlignment="1">
      <alignment horizontal="center" vertical="center" wrapText="1"/>
    </xf>
    <xf numFmtId="167" fontId="2" fillId="0" borderId="2" xfId="1" applyNumberFormat="1" applyFont="1" applyFill="1" applyBorder="1" applyAlignment="1">
      <alignment horizontal="center" vertical="center" wrapText="1"/>
    </xf>
    <xf numFmtId="0" fontId="34" fillId="0" borderId="1" xfId="1" applyNumberFormat="1" applyFont="1" applyFill="1" applyBorder="1" applyAlignment="1">
      <alignment horizontal="center" vertical="center" wrapText="1"/>
    </xf>
    <xf numFmtId="0" fontId="34" fillId="0" borderId="2" xfId="1" applyNumberFormat="1" applyFont="1" applyFill="1" applyBorder="1" applyAlignment="1">
      <alignment horizontal="center" vertical="center" wrapText="1"/>
    </xf>
    <xf numFmtId="0" fontId="34" fillId="0" borderId="0" xfId="1" applyNumberFormat="1" applyFont="1" applyFill="1" applyBorder="1" applyAlignment="1">
      <alignment horizontal="right" vertical="center" wrapText="1"/>
    </xf>
    <xf numFmtId="0" fontId="35" fillId="0" borderId="5" xfId="1" applyNumberFormat="1" applyFont="1" applyFill="1" applyBorder="1" applyAlignment="1">
      <alignment horizontal="center" vertical="center" wrapText="1"/>
    </xf>
    <xf numFmtId="0" fontId="35" fillId="0" borderId="14" xfId="1" applyNumberFormat="1" applyFont="1" applyFill="1" applyBorder="1" applyAlignment="1">
      <alignment horizontal="center" vertical="center" wrapText="1"/>
    </xf>
    <xf numFmtId="0" fontId="35" fillId="0" borderId="0" xfId="1" applyNumberFormat="1" applyFont="1" applyFill="1" applyBorder="1" applyAlignment="1">
      <alignment horizontal="right" vertical="center" wrapText="1"/>
    </xf>
    <xf numFmtId="173" fontId="39" fillId="0" borderId="0" xfId="1" applyNumberFormat="1" applyFont="1" applyFill="1" applyBorder="1" applyAlignment="1">
      <alignment horizontal="center" vertical="center" wrapText="1"/>
    </xf>
    <xf numFmtId="1" fontId="35" fillId="11" borderId="20" xfId="1" applyNumberFormat="1" applyFont="1" applyFill="1" applyBorder="1" applyAlignment="1">
      <alignment horizontal="center" vertical="center" wrapText="1"/>
    </xf>
    <xf numFmtId="3" fontId="35" fillId="11" borderId="1" xfId="1" applyNumberFormat="1" applyFont="1" applyFill="1" applyBorder="1" applyAlignment="1">
      <alignment horizontal="center" vertical="center" wrapText="1"/>
    </xf>
    <xf numFmtId="167" fontId="40" fillId="11" borderId="1" xfId="1" applyNumberFormat="1" applyFont="1" applyFill="1" applyBorder="1" applyAlignment="1">
      <alignment horizontal="center" vertical="center" wrapText="1"/>
    </xf>
    <xf numFmtId="167" fontId="35" fillId="11" borderId="1" xfId="1" applyNumberFormat="1" applyFont="1" applyFill="1" applyBorder="1" applyAlignment="1">
      <alignment horizontal="center" vertical="center" wrapText="1"/>
    </xf>
    <xf numFmtId="3" fontId="35" fillId="11" borderId="20" xfId="1" applyNumberFormat="1" applyFont="1" applyFill="1" applyBorder="1" applyAlignment="1">
      <alignment horizontal="center" vertical="center" wrapText="1"/>
    </xf>
    <xf numFmtId="3" fontId="35" fillId="11" borderId="1" xfId="1" applyNumberFormat="1" applyFont="1" applyFill="1" applyBorder="1" applyAlignment="1">
      <alignment horizontal="right" vertical="center" wrapText="1"/>
    </xf>
    <xf numFmtId="0" fontId="34" fillId="11" borderId="1" xfId="1" applyNumberFormat="1" applyFont="1" applyFill="1" applyBorder="1" applyAlignment="1">
      <alignment horizontal="left" wrapText="1"/>
    </xf>
    <xf numFmtId="0" fontId="35" fillId="11" borderId="2" xfId="1" applyNumberFormat="1" applyFont="1" applyFill="1" applyBorder="1" applyAlignment="1">
      <alignment horizontal="left" wrapText="1"/>
    </xf>
    <xf numFmtId="1" fontId="5" fillId="11" borderId="20" xfId="1" applyNumberFormat="1" applyFont="1" applyFill="1" applyBorder="1" applyAlignment="1">
      <alignment horizontal="center" vertical="center" wrapText="1"/>
    </xf>
    <xf numFmtId="3" fontId="5" fillId="11" borderId="1" xfId="1" applyNumberFormat="1" applyFont="1" applyFill="1" applyBorder="1" applyAlignment="1">
      <alignment horizontal="center" vertical="center" wrapText="1"/>
    </xf>
    <xf numFmtId="3" fontId="41" fillId="11" borderId="1" xfId="1" applyNumberFormat="1" applyFont="1" applyFill="1" applyBorder="1" applyAlignment="1">
      <alignment horizontal="center" vertical="center" wrapText="1"/>
    </xf>
    <xf numFmtId="3" fontId="42" fillId="11" borderId="1" xfId="1" applyNumberFormat="1" applyFont="1" applyFill="1" applyBorder="1" applyAlignment="1">
      <alignment horizontal="center" vertical="center" wrapText="1"/>
    </xf>
    <xf numFmtId="3" fontId="5" fillId="11" borderId="20" xfId="1" applyNumberFormat="1" applyFont="1" applyFill="1" applyBorder="1" applyAlignment="1">
      <alignment horizontal="center" vertical="center" wrapText="1"/>
    </xf>
    <xf numFmtId="3" fontId="5" fillId="11" borderId="1" xfId="1" applyNumberFormat="1" applyFont="1" applyFill="1" applyBorder="1" applyAlignment="1">
      <alignment horizontal="right" vertical="center" wrapText="1"/>
    </xf>
    <xf numFmtId="0" fontId="35" fillId="11" borderId="1" xfId="1" applyNumberFormat="1" applyFont="1" applyFill="1" applyBorder="1" applyAlignment="1">
      <alignment horizontal="left" vertical="center" wrapText="1"/>
    </xf>
    <xf numFmtId="0" fontId="35" fillId="11" borderId="2" xfId="1" applyNumberFormat="1" applyFont="1" applyFill="1" applyBorder="1" applyAlignment="1">
      <alignment horizontal="left" vertical="center" wrapText="1"/>
    </xf>
    <xf numFmtId="1" fontId="5" fillId="3" borderId="20" xfId="1" applyNumberFormat="1" applyFont="1" applyFill="1" applyBorder="1" applyAlignment="1">
      <alignment horizontal="center" vertical="center" wrapText="1"/>
    </xf>
    <xf numFmtId="3" fontId="5" fillId="3" borderId="1" xfId="1" applyNumberFormat="1" applyFont="1" applyFill="1" applyBorder="1" applyAlignment="1">
      <alignment horizontal="center" vertical="center" wrapText="1"/>
    </xf>
    <xf numFmtId="3" fontId="41" fillId="3" borderId="1" xfId="1" applyNumberFormat="1" applyFont="1" applyFill="1" applyBorder="1" applyAlignment="1">
      <alignment horizontal="center" vertical="center" wrapText="1"/>
    </xf>
    <xf numFmtId="3" fontId="42" fillId="3" borderId="1" xfId="1" applyNumberFormat="1" applyFont="1" applyFill="1" applyBorder="1" applyAlignment="1">
      <alignment horizontal="center" vertical="center" wrapText="1"/>
    </xf>
    <xf numFmtId="3" fontId="5" fillId="3" borderId="20" xfId="1" applyNumberFormat="1" applyFont="1" applyFill="1" applyBorder="1" applyAlignment="1">
      <alignment horizontal="center" vertical="center" wrapText="1"/>
    </xf>
    <xf numFmtId="167" fontId="5" fillId="3" borderId="1" xfId="1" applyNumberFormat="1" applyFont="1" applyFill="1" applyBorder="1" applyAlignment="1">
      <alignment horizontal="center" vertical="center" wrapText="1"/>
    </xf>
    <xf numFmtId="167" fontId="41" fillId="3" borderId="1" xfId="1" applyNumberFormat="1" applyFont="1" applyFill="1" applyBorder="1" applyAlignment="1">
      <alignment horizontal="center" vertical="center" wrapText="1"/>
    </xf>
    <xf numFmtId="167" fontId="42" fillId="3" borderId="1" xfId="1" applyNumberFormat="1" applyFont="1" applyFill="1" applyBorder="1" applyAlignment="1">
      <alignment horizontal="center" vertical="center" wrapText="1"/>
    </xf>
    <xf numFmtId="0" fontId="43" fillId="3" borderId="1" xfId="1" applyNumberFormat="1" applyFont="1" applyFill="1" applyBorder="1" applyAlignment="1">
      <alignment horizontal="right" vertical="center" wrapText="1"/>
    </xf>
    <xf numFmtId="0" fontId="44" fillId="3" borderId="2" xfId="1" applyNumberFormat="1" applyFont="1" applyFill="1" applyBorder="1" applyAlignment="1">
      <alignment horizontal="left" vertical="center" wrapText="1"/>
    </xf>
    <xf numFmtId="1" fontId="5" fillId="3" borderId="21" xfId="1" applyNumberFormat="1" applyFont="1" applyFill="1" applyBorder="1" applyAlignment="1">
      <alignment horizontal="center" vertical="center" wrapText="1"/>
    </xf>
    <xf numFmtId="167" fontId="5" fillId="3" borderId="3" xfId="1" applyNumberFormat="1" applyFont="1" applyFill="1" applyBorder="1" applyAlignment="1">
      <alignment horizontal="center" vertical="center" wrapText="1"/>
    </xf>
    <xf numFmtId="167" fontId="41" fillId="3" borderId="3" xfId="1" applyNumberFormat="1" applyFont="1" applyFill="1" applyBorder="1" applyAlignment="1">
      <alignment horizontal="center" vertical="center" wrapText="1"/>
    </xf>
    <xf numFmtId="167" fontId="42" fillId="3" borderId="3" xfId="1" applyNumberFormat="1" applyFont="1" applyFill="1" applyBorder="1" applyAlignment="1">
      <alignment horizontal="center" vertical="center" wrapText="1"/>
    </xf>
    <xf numFmtId="167" fontId="5" fillId="3" borderId="21" xfId="1" applyNumberFormat="1" applyFont="1" applyFill="1" applyBorder="1" applyAlignment="1">
      <alignment horizontal="center" vertical="center" wrapText="1"/>
    </xf>
    <xf numFmtId="3" fontId="5" fillId="3" borderId="3" xfId="1" applyNumberFormat="1" applyFont="1" applyFill="1" applyBorder="1" applyAlignment="1">
      <alignment horizontal="center" vertical="center" wrapText="1"/>
    </xf>
    <xf numFmtId="3" fontId="5" fillId="3" borderId="21" xfId="1" applyNumberFormat="1" applyFont="1" applyFill="1" applyBorder="1" applyAlignment="1">
      <alignment horizontal="center" vertical="center" wrapText="1"/>
    </xf>
    <xf numFmtId="0" fontId="45" fillId="3" borderId="3" xfId="1" applyNumberFormat="1" applyFont="1" applyFill="1" applyBorder="1" applyAlignment="1">
      <alignment horizontal="left" vertical="center" wrapText="1"/>
    </xf>
    <xf numFmtId="0" fontId="45" fillId="3" borderId="4" xfId="1" applyNumberFormat="1" applyFont="1" applyFill="1" applyBorder="1" applyAlignment="1">
      <alignment horizontal="center" vertical="center" wrapText="1"/>
    </xf>
    <xf numFmtId="1" fontId="2" fillId="0" borderId="20" xfId="1" applyNumberFormat="1" applyFont="1" applyFill="1" applyBorder="1" applyAlignment="1">
      <alignment horizontal="center" vertical="center" wrapText="1"/>
    </xf>
    <xf numFmtId="167" fontId="46" fillId="0" borderId="1" xfId="1" applyNumberFormat="1" applyFont="1" applyFill="1" applyBorder="1" applyAlignment="1">
      <alignment horizontal="center" vertical="center" wrapText="1"/>
    </xf>
    <xf numFmtId="167" fontId="47" fillId="0" borderId="1" xfId="1" applyNumberFormat="1" applyFont="1" applyFill="1" applyBorder="1" applyAlignment="1">
      <alignment horizontal="center" vertical="center" wrapText="1"/>
    </xf>
    <xf numFmtId="3" fontId="2" fillId="0" borderId="20" xfId="1" applyNumberFormat="1" applyFont="1" applyFill="1" applyBorder="1" applyAlignment="1">
      <alignment horizontal="center" vertical="center" wrapText="1"/>
    </xf>
    <xf numFmtId="3" fontId="46" fillId="0" borderId="1" xfId="1" applyNumberFormat="1" applyFont="1" applyFill="1" applyBorder="1" applyAlignment="1">
      <alignment horizontal="center" vertical="center" wrapText="1"/>
    </xf>
    <xf numFmtId="3" fontId="47" fillId="0" borderId="1" xfId="1" applyNumberFormat="1" applyFont="1" applyFill="1" applyBorder="1" applyAlignment="1">
      <alignment horizontal="center" vertical="center" wrapText="1"/>
    </xf>
    <xf numFmtId="0" fontId="48" fillId="0" borderId="1" xfId="1" applyNumberFormat="1" applyFont="1" applyFill="1" applyBorder="1" applyAlignment="1">
      <alignment horizontal="left" vertical="center" wrapText="1"/>
    </xf>
    <xf numFmtId="0" fontId="48" fillId="0" borderId="2" xfId="1" applyNumberFormat="1" applyFont="1" applyFill="1" applyBorder="1" applyAlignment="1">
      <alignment horizontal="center" vertical="center"/>
    </xf>
    <xf numFmtId="0" fontId="48" fillId="0" borderId="1" xfId="1" applyNumberFormat="1" applyFont="1" applyFill="1" applyBorder="1" applyAlignment="1">
      <alignment horizontal="right" vertical="center" wrapText="1"/>
    </xf>
    <xf numFmtId="167" fontId="41" fillId="0" borderId="1" xfId="1" applyNumberFormat="1" applyFont="1" applyFill="1" applyBorder="1" applyAlignment="1">
      <alignment horizontal="center" vertical="center" wrapText="1"/>
    </xf>
    <xf numFmtId="167" fontId="42" fillId="0" borderId="1" xfId="1" applyNumberFormat="1" applyFont="1" applyFill="1" applyBorder="1" applyAlignment="1">
      <alignment horizontal="center" vertical="center" wrapText="1"/>
    </xf>
    <xf numFmtId="1" fontId="5" fillId="2" borderId="20" xfId="1" applyNumberFormat="1" applyFont="1" applyFill="1" applyBorder="1" applyAlignment="1">
      <alignment horizontal="center" vertical="center" wrapText="1"/>
    </xf>
    <xf numFmtId="167" fontId="5" fillId="2" borderId="1" xfId="1" applyNumberFormat="1" applyFont="1" applyFill="1" applyBorder="1" applyAlignment="1">
      <alignment horizontal="center" vertical="center" wrapText="1"/>
    </xf>
    <xf numFmtId="167" fontId="41" fillId="2" borderId="1" xfId="1" applyNumberFormat="1" applyFont="1" applyFill="1" applyBorder="1" applyAlignment="1">
      <alignment horizontal="center" vertical="center" wrapText="1"/>
    </xf>
    <xf numFmtId="167" fontId="42" fillId="2" borderId="1" xfId="1" applyNumberFormat="1" applyFont="1" applyFill="1" applyBorder="1" applyAlignment="1">
      <alignment horizontal="center" vertical="center" wrapText="1"/>
    </xf>
    <xf numFmtId="3" fontId="5" fillId="2" borderId="20" xfId="1" applyNumberFormat="1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0" fontId="49" fillId="2" borderId="1" xfId="1" applyNumberFormat="1" applyFont="1" applyFill="1" applyBorder="1" applyAlignment="1">
      <alignment horizontal="left" vertical="center" wrapText="1"/>
    </xf>
    <xf numFmtId="0" fontId="48" fillId="2" borderId="2" xfId="1" applyNumberFormat="1" applyFont="1" applyFill="1" applyBorder="1" applyAlignment="1">
      <alignment horizontal="center" vertical="center" wrapText="1"/>
    </xf>
    <xf numFmtId="0" fontId="49" fillId="0" borderId="1" xfId="1" applyNumberFormat="1" applyFont="1" applyFill="1" applyBorder="1" applyAlignment="1">
      <alignment horizontal="left" vertical="center" wrapText="1"/>
    </xf>
    <xf numFmtId="0" fontId="48" fillId="0" borderId="2" xfId="1" applyNumberFormat="1" applyFont="1" applyFill="1" applyBorder="1" applyAlignment="1">
      <alignment horizontal="center" vertical="center" wrapText="1"/>
    </xf>
    <xf numFmtId="167" fontId="2" fillId="0" borderId="20" xfId="1" applyNumberFormat="1" applyFont="1" applyFill="1" applyBorder="1" applyAlignment="1">
      <alignment horizontal="center" vertical="center" wrapText="1"/>
    </xf>
    <xf numFmtId="1" fontId="5" fillId="0" borderId="20" xfId="1" applyNumberFormat="1" applyFont="1" applyFill="1" applyBorder="1" applyAlignment="1">
      <alignment horizontal="center" vertical="center" wrapText="1"/>
    </xf>
    <xf numFmtId="3" fontId="5" fillId="0" borderId="20" xfId="1" applyNumberFormat="1" applyFont="1" applyFill="1" applyBorder="1" applyAlignment="1">
      <alignment horizontal="center" vertical="center" wrapText="1"/>
    </xf>
    <xf numFmtId="3" fontId="5" fillId="0" borderId="1" xfId="1" applyNumberFormat="1" applyFont="1" applyFill="1" applyBorder="1" applyAlignment="1">
      <alignment horizontal="center" vertical="center" wrapText="1"/>
    </xf>
    <xf numFmtId="167" fontId="5" fillId="0" borderId="20" xfId="1" applyNumberFormat="1" applyFont="1" applyFill="1" applyBorder="1" applyAlignment="1">
      <alignment horizontal="center" vertical="center" wrapText="1"/>
    </xf>
    <xf numFmtId="167" fontId="5" fillId="2" borderId="20" xfId="1" applyNumberFormat="1" applyFont="1" applyFill="1" applyBorder="1" applyAlignment="1">
      <alignment horizontal="center" vertical="center" wrapText="1"/>
    </xf>
    <xf numFmtId="0" fontId="43" fillId="2" borderId="1" xfId="1" applyNumberFormat="1" applyFont="1" applyFill="1" applyBorder="1" applyAlignment="1">
      <alignment horizontal="left" vertical="center" wrapText="1"/>
    </xf>
    <xf numFmtId="0" fontId="39" fillId="2" borderId="2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20" xfId="1" applyNumberFormat="1" applyFont="1" applyFill="1" applyBorder="1" applyAlignment="1">
      <alignment horizontal="center" vertical="center" wrapText="1"/>
    </xf>
    <xf numFmtId="0" fontId="50" fillId="2" borderId="1" xfId="1" applyNumberFormat="1" applyFont="1" applyFill="1" applyBorder="1" applyAlignment="1">
      <alignment horizontal="left" vertical="center" wrapText="1"/>
    </xf>
    <xf numFmtId="0" fontId="51" fillId="2" borderId="2" xfId="1" applyNumberFormat="1" applyFont="1" applyFill="1" applyBorder="1" applyAlignment="1">
      <alignment horizontal="center" vertical="center" wrapText="1"/>
    </xf>
    <xf numFmtId="1" fontId="18" fillId="17" borderId="21" xfId="1" applyNumberFormat="1" applyFont="1" applyFill="1" applyBorder="1" applyAlignment="1">
      <alignment horizontal="center" vertical="center" wrapText="1"/>
    </xf>
    <xf numFmtId="167" fontId="18" fillId="17" borderId="3" xfId="1" applyNumberFormat="1" applyFont="1" applyFill="1" applyBorder="1" applyAlignment="1">
      <alignment horizontal="center" vertical="center" wrapText="1"/>
    </xf>
    <xf numFmtId="167" fontId="15" fillId="17" borderId="3" xfId="1" applyNumberFormat="1" applyFont="1" applyFill="1" applyBorder="1" applyAlignment="1">
      <alignment horizontal="center" vertical="center" wrapText="1"/>
    </xf>
    <xf numFmtId="167" fontId="52" fillId="17" borderId="3" xfId="1" applyNumberFormat="1" applyFont="1" applyFill="1" applyBorder="1" applyAlignment="1">
      <alignment horizontal="center" vertical="center" wrapText="1"/>
    </xf>
    <xf numFmtId="3" fontId="18" fillId="17" borderId="21" xfId="1" applyNumberFormat="1" applyFont="1" applyFill="1" applyBorder="1" applyAlignment="1">
      <alignment horizontal="center" vertical="center" wrapText="1"/>
    </xf>
    <xf numFmtId="3" fontId="18" fillId="17" borderId="3" xfId="1" applyNumberFormat="1" applyFont="1" applyFill="1" applyBorder="1" applyAlignment="1">
      <alignment horizontal="center" vertical="center" wrapText="1"/>
    </xf>
    <xf numFmtId="167" fontId="18" fillId="17" borderId="21" xfId="1" applyNumberFormat="1" applyFont="1" applyFill="1" applyBorder="1" applyAlignment="1">
      <alignment horizontal="center" vertical="center" wrapText="1"/>
    </xf>
    <xf numFmtId="0" fontId="18" fillId="17" borderId="3" xfId="1" applyNumberFormat="1" applyFont="1" applyFill="1" applyBorder="1" applyAlignment="1">
      <alignment horizontal="left" vertical="center" wrapText="1"/>
    </xf>
    <xf numFmtId="0" fontId="18" fillId="17" borderId="4" xfId="1" applyNumberFormat="1" applyFont="1" applyFill="1" applyBorder="1" applyAlignment="1">
      <alignment horizontal="center" vertical="center" wrapText="1"/>
    </xf>
    <xf numFmtId="1" fontId="5" fillId="18" borderId="22" xfId="1" applyNumberFormat="1" applyFont="1" applyFill="1" applyBorder="1" applyAlignment="1">
      <alignment horizontal="center" vertical="center" wrapText="1"/>
    </xf>
    <xf numFmtId="1" fontId="5" fillId="18" borderId="8" xfId="1" applyNumberFormat="1" applyFont="1" applyFill="1" applyBorder="1" applyAlignment="1">
      <alignment horizontal="center" vertical="center" wrapText="1"/>
    </xf>
    <xf numFmtId="1" fontId="48" fillId="18" borderId="8" xfId="1" applyNumberFormat="1" applyFont="1" applyFill="1" applyBorder="1" applyAlignment="1">
      <alignment horizontal="center" vertical="center" wrapText="1"/>
    </xf>
    <xf numFmtId="0" fontId="48" fillId="18" borderId="8" xfId="1" applyNumberFormat="1" applyFont="1" applyFill="1" applyBorder="1" applyAlignment="1">
      <alignment horizontal="left" vertical="center" wrapText="1"/>
    </xf>
    <xf numFmtId="0" fontId="53" fillId="18" borderId="7" xfId="1" applyNumberFormat="1" applyFont="1" applyFill="1" applyBorder="1" applyAlignment="1">
      <alignment horizontal="center" vertical="center" wrapText="1"/>
    </xf>
    <xf numFmtId="1" fontId="2" fillId="2" borderId="20" xfId="1" applyNumberFormat="1" applyFont="1" applyFill="1" applyBorder="1" applyAlignment="1">
      <alignment horizontal="center" vertical="center" wrapText="1"/>
    </xf>
    <xf numFmtId="167" fontId="2" fillId="2" borderId="1" xfId="1" applyNumberFormat="1" applyFont="1" applyFill="1" applyBorder="1" applyAlignment="1">
      <alignment horizontal="center" vertical="center" wrapText="1"/>
    </xf>
    <xf numFmtId="167" fontId="46" fillId="2" borderId="1" xfId="1" applyNumberFormat="1" applyFont="1" applyFill="1" applyBorder="1" applyAlignment="1">
      <alignment horizontal="center" vertical="center" wrapText="1"/>
    </xf>
    <xf numFmtId="167" fontId="47" fillId="2" borderId="1" xfId="1" applyNumberFormat="1" applyFont="1" applyFill="1" applyBorder="1" applyAlignment="1">
      <alignment horizontal="center" vertical="center" wrapText="1"/>
    </xf>
    <xf numFmtId="167" fontId="2" fillId="2" borderId="20" xfId="1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18" fillId="12" borderId="20" xfId="1" applyNumberFormat="1" applyFont="1" applyFill="1" applyBorder="1" applyAlignment="1">
      <alignment horizontal="center" vertical="center" wrapText="1"/>
    </xf>
    <xf numFmtId="167" fontId="18" fillId="12" borderId="1" xfId="1" applyNumberFormat="1" applyFont="1" applyFill="1" applyBorder="1" applyAlignment="1">
      <alignment horizontal="center" vertical="center" wrapText="1"/>
    </xf>
    <xf numFmtId="167" fontId="15" fillId="12" borderId="1" xfId="1" applyNumberFormat="1" applyFont="1" applyFill="1" applyBorder="1" applyAlignment="1">
      <alignment horizontal="center" vertical="center" wrapText="1"/>
    </xf>
    <xf numFmtId="167" fontId="52" fillId="12" borderId="1" xfId="1" applyNumberFormat="1" applyFont="1" applyFill="1" applyBorder="1" applyAlignment="1">
      <alignment horizontal="center" vertical="center" wrapText="1"/>
    </xf>
    <xf numFmtId="167" fontId="18" fillId="12" borderId="20" xfId="1" applyNumberFormat="1" applyFont="1" applyFill="1" applyBorder="1" applyAlignment="1">
      <alignment horizontal="center" vertical="center" wrapText="1"/>
    </xf>
    <xf numFmtId="0" fontId="18" fillId="12" borderId="1" xfId="1" applyNumberFormat="1" applyFont="1" applyFill="1" applyBorder="1" applyAlignment="1">
      <alignment horizontal="left" vertical="center" wrapText="1"/>
    </xf>
    <xf numFmtId="0" fontId="18" fillId="12" borderId="2" xfId="1" applyNumberFormat="1" applyFont="1" applyFill="1" applyBorder="1" applyAlignment="1">
      <alignment horizontal="center" vertical="center" wrapText="1"/>
    </xf>
    <xf numFmtId="0" fontId="18" fillId="3" borderId="23" xfId="1" applyNumberFormat="1" applyFont="1" applyFill="1" applyBorder="1" applyAlignment="1">
      <alignment horizontal="center" vertical="center" wrapText="1"/>
    </xf>
    <xf numFmtId="167" fontId="18" fillId="3" borderId="24" xfId="1" applyNumberFormat="1" applyFont="1" applyFill="1" applyBorder="1" applyAlignment="1">
      <alignment horizontal="center" vertical="center" wrapText="1"/>
    </xf>
    <xf numFmtId="167" fontId="15" fillId="3" borderId="24" xfId="1" applyNumberFormat="1" applyFont="1" applyFill="1" applyBorder="1" applyAlignment="1">
      <alignment horizontal="center" vertical="center" wrapText="1"/>
    </xf>
    <xf numFmtId="167" fontId="52" fillId="3" borderId="24" xfId="1" applyNumberFormat="1" applyFont="1" applyFill="1" applyBorder="1" applyAlignment="1">
      <alignment horizontal="center" vertical="center" wrapText="1"/>
    </xf>
    <xf numFmtId="167" fontId="18" fillId="3" borderId="23" xfId="1" applyNumberFormat="1" applyFont="1" applyFill="1" applyBorder="1" applyAlignment="1">
      <alignment horizontal="center" vertical="center" wrapText="1"/>
    </xf>
    <xf numFmtId="3" fontId="18" fillId="3" borderId="24" xfId="1" applyNumberFormat="1" applyFont="1" applyFill="1" applyBorder="1" applyAlignment="1">
      <alignment horizontal="center" vertical="center" wrapText="1"/>
    </xf>
    <xf numFmtId="3" fontId="18" fillId="3" borderId="23" xfId="1" applyNumberFormat="1" applyFont="1" applyFill="1" applyBorder="1" applyAlignment="1">
      <alignment horizontal="center" vertical="center" wrapText="1"/>
    </xf>
    <xf numFmtId="0" fontId="18" fillId="3" borderId="24" xfId="1" applyNumberFormat="1" applyFont="1" applyFill="1" applyBorder="1" applyAlignment="1">
      <alignment horizontal="left" vertical="center" wrapText="1"/>
    </xf>
    <xf numFmtId="0" fontId="18" fillId="3" borderId="25" xfId="1" applyNumberFormat="1" applyFont="1" applyFill="1" applyBorder="1" applyAlignment="1">
      <alignment horizontal="center" vertical="center" wrapText="1"/>
    </xf>
    <xf numFmtId="0" fontId="1" fillId="0" borderId="26" xfId="1" applyNumberFormat="1" applyFill="1" applyBorder="1"/>
    <xf numFmtId="0" fontId="5" fillId="0" borderId="1" xfId="1" applyNumberFormat="1" applyFont="1" applyFill="1" applyBorder="1" applyAlignment="1">
      <alignment horizontal="center" vertical="center" wrapText="1"/>
    </xf>
    <xf numFmtId="0" fontId="1" fillId="0" borderId="20" xfId="1" applyNumberFormat="1" applyFill="1" applyBorder="1"/>
    <xf numFmtId="0" fontId="5" fillId="0" borderId="20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20" xfId="1" applyNumberFormat="1" applyFont="1" applyFill="1" applyBorder="1" applyAlignment="1">
      <alignment horizontal="center" vertical="center" wrapText="1"/>
    </xf>
    <xf numFmtId="0" fontId="5" fillId="0" borderId="26" xfId="1" applyNumberFormat="1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center" vertical="center" wrapText="1"/>
    </xf>
    <xf numFmtId="0" fontId="5" fillId="0" borderId="5" xfId="1" applyNumberFormat="1" applyFont="1" applyFill="1" applyBorder="1" applyAlignment="1">
      <alignment horizontal="center" vertical="center" wrapText="1"/>
    </xf>
    <xf numFmtId="0" fontId="18" fillId="0" borderId="0" xfId="1" applyNumberFormat="1" applyFont="1" applyFill="1" applyBorder="1" applyAlignment="1">
      <alignment horizontal="center" vertical="center" wrapText="1"/>
    </xf>
    <xf numFmtId="167" fontId="54" fillId="11" borderId="1" xfId="1" applyNumberFormat="1" applyFont="1" applyFill="1" applyBorder="1" applyAlignment="1">
      <alignment horizontal="center" vertical="center" wrapText="1"/>
    </xf>
    <xf numFmtId="167" fontId="9" fillId="0" borderId="1" xfId="1" applyNumberFormat="1" applyFont="1" applyFill="1" applyBorder="1" applyAlignment="1">
      <alignment horizontal="center" vertical="center" wrapText="1"/>
    </xf>
    <xf numFmtId="167" fontId="10" fillId="0" borderId="1" xfId="1" applyNumberFormat="1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>
      <alignment horizontal="center" vertical="center" wrapText="1"/>
    </xf>
    <xf numFmtId="167" fontId="55" fillId="17" borderId="3" xfId="1" applyNumberFormat="1" applyFont="1" applyFill="1" applyBorder="1" applyAlignment="1">
      <alignment horizontal="center" vertical="center" wrapText="1"/>
    </xf>
    <xf numFmtId="0" fontId="56" fillId="0" borderId="0" xfId="1" applyNumberFormat="1" applyFont="1" applyFill="1" applyBorder="1" applyAlignment="1">
      <alignment horizontal="center" vertical="center" wrapText="1"/>
    </xf>
    <xf numFmtId="167" fontId="26" fillId="0" borderId="17" xfId="1" applyNumberFormat="1" applyFont="1" applyFill="1" applyBorder="1" applyAlignment="1">
      <alignment horizontal="right" vertical="center" wrapText="1"/>
    </xf>
    <xf numFmtId="167" fontId="41" fillId="19" borderId="1" xfId="1" applyNumberFormat="1" applyFont="1" applyFill="1" applyBorder="1" applyAlignment="1">
      <alignment horizontal="center" vertical="center" wrapText="1"/>
    </xf>
    <xf numFmtId="167" fontId="46" fillId="19" borderId="1" xfId="1" applyNumberFormat="1" applyFont="1" applyFill="1" applyBorder="1" applyAlignment="1">
      <alignment horizontal="center" vertical="center" wrapText="1"/>
    </xf>
    <xf numFmtId="3" fontId="2" fillId="19" borderId="1" xfId="1" applyNumberFormat="1" applyFont="1" applyFill="1" applyBorder="1" applyAlignment="1">
      <alignment horizontal="center" vertical="center" wrapText="1"/>
    </xf>
    <xf numFmtId="167" fontId="47" fillId="19" borderId="1" xfId="1" applyNumberFormat="1" applyFont="1" applyFill="1" applyBorder="1" applyAlignment="1">
      <alignment horizontal="center" vertical="center" wrapText="1"/>
    </xf>
    <xf numFmtId="0" fontId="57" fillId="0" borderId="0" xfId="1" applyFont="1"/>
    <xf numFmtId="167" fontId="57" fillId="0" borderId="0" xfId="1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 b="0" i="0" u="none">
                <a:latin typeface="Calibri" pitchFamily="18" charset="0"/>
              </a:defRPr>
            </a:pP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Итого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 w="12700"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График_Суточной_Добычи_Нефть!$B$9:$B$40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График_Суточной_Добычи_Нефть!$AT$9:$AT$40</c:f>
              <c:numCache>
                <c:formatCode>0;\-0;;@</c:formatCode>
                <c:ptCount val="32"/>
                <c:pt idx="0" formatCode="General">
                  <c:v>-1</c:v>
                </c:pt>
                <c:pt idx="1">
                  <c:v>10251.169000000002</c:v>
                </c:pt>
                <c:pt idx="2">
                  <c:v>10234.830000000002</c:v>
                </c:pt>
                <c:pt idx="3">
                  <c:v>10203.905000000001</c:v>
                </c:pt>
                <c:pt idx="4">
                  <c:v>10158.462</c:v>
                </c:pt>
                <c:pt idx="5">
                  <c:v>10101.177000000001</c:v>
                </c:pt>
                <c:pt idx="6">
                  <c:v>10144.962999999998</c:v>
                </c:pt>
                <c:pt idx="7">
                  <c:v>10055.703000000001</c:v>
                </c:pt>
                <c:pt idx="8">
                  <c:v>10120.968000000001</c:v>
                </c:pt>
                <c:pt idx="9">
                  <c:v>10139.210000000001</c:v>
                </c:pt>
                <c:pt idx="10">
                  <c:v>10189.894999999999</c:v>
                </c:pt>
                <c:pt idx="11">
                  <c:v>10191.831</c:v>
                </c:pt>
                <c:pt idx="12">
                  <c:v>10047.374999999998</c:v>
                </c:pt>
                <c:pt idx="13">
                  <c:v>10168.827000000001</c:v>
                </c:pt>
                <c:pt idx="14">
                  <c:v>10168.722</c:v>
                </c:pt>
                <c:pt idx="15">
                  <c:v>10176.448</c:v>
                </c:pt>
                <c:pt idx="16">
                  <c:v>10167.957</c:v>
                </c:pt>
                <c:pt idx="17">
                  <c:v>10169.559000000001</c:v>
                </c:pt>
                <c:pt idx="18">
                  <c:v>10165.264999999999</c:v>
                </c:pt>
                <c:pt idx="19">
                  <c:v>10168.599000000002</c:v>
                </c:pt>
                <c:pt idx="20">
                  <c:v>10137.974999999999</c:v>
                </c:pt>
                <c:pt idx="21">
                  <c:v>10148.415000000001</c:v>
                </c:pt>
                <c:pt idx="22">
                  <c:v>10158.932999999999</c:v>
                </c:pt>
                <c:pt idx="23">
                  <c:v>10161.291000000001</c:v>
                </c:pt>
                <c:pt idx="24">
                  <c:v>10170.074000000001</c:v>
                </c:pt>
                <c:pt idx="25">
                  <c:v>10167.536</c:v>
                </c:pt>
                <c:pt idx="26">
                  <c:v>10204.475000000002</c:v>
                </c:pt>
                <c:pt idx="27">
                  <c:v>10201.509</c:v>
                </c:pt>
                <c:pt idx="28">
                  <c:v>10212.959999999999</c:v>
                </c:pt>
                <c:pt idx="29">
                  <c:v>10204.708000000002</c:v>
                </c:pt>
                <c:pt idx="30">
                  <c:v>10197.431999999999</c:v>
                </c:pt>
                <c:pt idx="31">
                  <c:v>10188.151000000002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1-4FB4-B869-50E460D8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112"/>
        <c:axId val="48672768"/>
      </c:scatterChart>
      <c:valAx>
        <c:axId val="48650112"/>
        <c:scaling>
          <c:orientation val="minMax"/>
          <c:max val="31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8672768"/>
        <c:crosses val="autoZero"/>
        <c:crossBetween val="midCat"/>
        <c:majorUnit val="1"/>
      </c:valAx>
      <c:valAx>
        <c:axId val="48672768"/>
        <c:scaling>
          <c:orientation val="minMax"/>
          <c:max val="34728"/>
          <c:min val="27652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486501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gap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</xdr:row>
      <xdr:rowOff>0</xdr:rowOff>
    </xdr:from>
    <xdr:to>
      <xdr:col>46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9"/>
  <sheetViews>
    <sheetView zoomScale="75" workbookViewId="0"/>
  </sheetViews>
  <sheetFormatPr defaultRowHeight="15" x14ac:dyDescent="0.25"/>
  <cols>
    <col min="1" max="1" width="3.85546875" style="1" customWidth="1"/>
    <col min="2" max="2" width="21" style="1" customWidth="1"/>
    <col min="3" max="3" width="9.28515625" style="1" customWidth="1"/>
    <col min="4" max="5" width="13.28515625" style="1" customWidth="1"/>
    <col min="6" max="6" width="13.7109375" style="1" customWidth="1"/>
    <col min="7" max="46" width="13.28515625" style="1" customWidth="1"/>
    <col min="47" max="47" width="13.7109375" style="1" customWidth="1"/>
    <col min="48" max="48" width="9.28515625" style="1" customWidth="1"/>
    <col min="49" max="16384" width="9.140625" style="1"/>
  </cols>
  <sheetData>
    <row r="1" spans="1:48" ht="15" customHeight="1" x14ac:dyDescent="0.25">
      <c r="A1" s="145" t="s">
        <v>205</v>
      </c>
      <c r="B1" s="2"/>
      <c r="C1" s="2"/>
      <c r="D1" s="2"/>
      <c r="E1" s="2"/>
      <c r="F1" s="185" t="s">
        <v>259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6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5" customHeight="1" x14ac:dyDescent="0.25">
      <c r="A2" s="2"/>
      <c r="B2" s="183" t="s">
        <v>258</v>
      </c>
      <c r="C2" s="184" t="s">
        <v>202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3"/>
      <c r="M2" s="3"/>
      <c r="N2" s="3"/>
      <c r="O2" s="3"/>
      <c r="P2" s="3"/>
      <c r="Q2" s="3"/>
      <c r="R2" s="3"/>
      <c r="S2" s="3"/>
      <c r="T2" s="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ht="15" customHeight="1" x14ac:dyDescent="0.25">
      <c r="A3" s="2"/>
      <c r="B3" s="183" t="s">
        <v>257</v>
      </c>
      <c r="C3" s="182">
        <v>45352</v>
      </c>
      <c r="D3" s="6" t="s">
        <v>1</v>
      </c>
      <c r="E3" s="181"/>
      <c r="F3" s="181"/>
      <c r="G3" s="3"/>
      <c r="H3" s="3"/>
      <c r="I3" s="181"/>
      <c r="J3" s="181"/>
      <c r="K3" s="181"/>
      <c r="L3" s="181"/>
      <c r="M3" s="3"/>
      <c r="N3" s="3"/>
      <c r="O3" s="3"/>
      <c r="P3" s="3"/>
      <c r="Q3" s="3"/>
      <c r="R3" s="3"/>
      <c r="S3" s="3"/>
      <c r="T3" s="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15" customHeight="1" x14ac:dyDescent="0.25">
      <c r="A5" s="2"/>
      <c r="B5" s="180" t="s">
        <v>256</v>
      </c>
      <c r="C5" s="179" t="s">
        <v>255</v>
      </c>
      <c r="D5" s="178" t="s">
        <v>254</v>
      </c>
      <c r="E5" s="177" t="s">
        <v>1</v>
      </c>
      <c r="F5" s="177" t="s">
        <v>1</v>
      </c>
      <c r="G5" s="177" t="s">
        <v>1</v>
      </c>
      <c r="H5" s="177" t="s">
        <v>1</v>
      </c>
      <c r="I5" s="177" t="s">
        <v>1</v>
      </c>
      <c r="J5" s="177" t="s">
        <v>1</v>
      </c>
      <c r="K5" s="177" t="s">
        <v>1</v>
      </c>
      <c r="L5" s="177" t="s">
        <v>1</v>
      </c>
      <c r="M5" s="176" t="s">
        <v>254</v>
      </c>
      <c r="N5" s="178" t="s">
        <v>253</v>
      </c>
      <c r="O5" s="177" t="s">
        <v>1</v>
      </c>
      <c r="P5" s="177" t="s">
        <v>1</v>
      </c>
      <c r="Q5" s="177" t="s">
        <v>1</v>
      </c>
      <c r="R5" s="177" t="s">
        <v>1</v>
      </c>
      <c r="S5" s="177" t="s">
        <v>1</v>
      </c>
      <c r="T5" s="177" t="s">
        <v>1</v>
      </c>
      <c r="U5" s="177" t="s">
        <v>1</v>
      </c>
      <c r="V5" s="177" t="s">
        <v>1</v>
      </c>
      <c r="W5" s="176" t="s">
        <v>253</v>
      </c>
      <c r="X5" s="178"/>
      <c r="Y5" s="177" t="s">
        <v>1</v>
      </c>
      <c r="Z5" s="177" t="s">
        <v>1</v>
      </c>
      <c r="AA5" s="177" t="s">
        <v>1</v>
      </c>
      <c r="AB5" s="177" t="s">
        <v>1</v>
      </c>
      <c r="AC5" s="177" t="s">
        <v>1</v>
      </c>
      <c r="AD5" s="177" t="s">
        <v>1</v>
      </c>
      <c r="AE5" s="177" t="s">
        <v>1</v>
      </c>
      <c r="AF5" s="177" t="s">
        <v>1</v>
      </c>
      <c r="AG5" s="177" t="s">
        <v>1</v>
      </c>
      <c r="AH5" s="177" t="s">
        <v>1</v>
      </c>
      <c r="AI5" s="177" t="s">
        <v>1</v>
      </c>
      <c r="AJ5" s="177" t="s">
        <v>1</v>
      </c>
      <c r="AK5" s="177" t="s">
        <v>1</v>
      </c>
      <c r="AL5" s="177" t="s">
        <v>1</v>
      </c>
      <c r="AM5" s="177" t="s">
        <v>1</v>
      </c>
      <c r="AN5" s="177" t="s">
        <v>1</v>
      </c>
      <c r="AO5" s="177" t="s">
        <v>1</v>
      </c>
      <c r="AP5" s="177" t="s">
        <v>1</v>
      </c>
      <c r="AQ5" s="177" t="s">
        <v>1</v>
      </c>
      <c r="AR5" s="177" t="s">
        <v>1</v>
      </c>
      <c r="AS5" s="177" t="s">
        <v>1</v>
      </c>
      <c r="AT5" s="176"/>
      <c r="AU5" s="175" t="s">
        <v>163</v>
      </c>
      <c r="AV5" s="3"/>
    </row>
    <row r="6" spans="1:48" ht="14.1" customHeight="1" x14ac:dyDescent="0.25">
      <c r="A6" s="2"/>
      <c r="B6" s="55" t="s">
        <v>1</v>
      </c>
      <c r="C6" s="114" t="s">
        <v>1</v>
      </c>
      <c r="D6" s="174" t="s">
        <v>252</v>
      </c>
      <c r="E6" s="174" t="s">
        <v>252</v>
      </c>
      <c r="F6" s="174" t="s">
        <v>252</v>
      </c>
      <c r="G6" s="174" t="s">
        <v>252</v>
      </c>
      <c r="H6" s="174" t="s">
        <v>252</v>
      </c>
      <c r="I6" s="174" t="s">
        <v>252</v>
      </c>
      <c r="J6" s="174" t="s">
        <v>252</v>
      </c>
      <c r="K6" s="174" t="s">
        <v>252</v>
      </c>
      <c r="L6" s="174" t="s">
        <v>252</v>
      </c>
      <c r="M6" s="55" t="s">
        <v>1</v>
      </c>
      <c r="N6" s="174" t="s">
        <v>251</v>
      </c>
      <c r="O6" s="174" t="s">
        <v>251</v>
      </c>
      <c r="P6" s="174" t="s">
        <v>251</v>
      </c>
      <c r="Q6" s="174" t="s">
        <v>250</v>
      </c>
      <c r="R6" s="174" t="s">
        <v>250</v>
      </c>
      <c r="S6" s="174" t="s">
        <v>250</v>
      </c>
      <c r="T6" s="174" t="s">
        <v>250</v>
      </c>
      <c r="U6" s="174" t="s">
        <v>250</v>
      </c>
      <c r="V6" s="174" t="s">
        <v>250</v>
      </c>
      <c r="W6" s="55" t="s">
        <v>1</v>
      </c>
      <c r="X6" s="174" t="s">
        <v>249</v>
      </c>
      <c r="Y6" s="174" t="s">
        <v>249</v>
      </c>
      <c r="Z6" s="174" t="s">
        <v>249</v>
      </c>
      <c r="AA6" s="174" t="s">
        <v>249</v>
      </c>
      <c r="AB6" s="174" t="s">
        <v>249</v>
      </c>
      <c r="AC6" s="174" t="s">
        <v>249</v>
      </c>
      <c r="AD6" s="174" t="s">
        <v>248</v>
      </c>
      <c r="AE6" s="174" t="s">
        <v>248</v>
      </c>
      <c r="AF6" s="174" t="s">
        <v>248</v>
      </c>
      <c r="AG6" s="174" t="s">
        <v>248</v>
      </c>
      <c r="AH6" s="174" t="s">
        <v>248</v>
      </c>
      <c r="AI6" s="174" t="s">
        <v>248</v>
      </c>
      <c r="AJ6" s="174" t="s">
        <v>248</v>
      </c>
      <c r="AK6" s="174" t="s">
        <v>248</v>
      </c>
      <c r="AL6" s="174" t="s">
        <v>248</v>
      </c>
      <c r="AM6" s="174" t="s">
        <v>248</v>
      </c>
      <c r="AN6" s="174" t="s">
        <v>248</v>
      </c>
      <c r="AO6" s="174" t="s">
        <v>248</v>
      </c>
      <c r="AP6" s="174" t="s">
        <v>248</v>
      </c>
      <c r="AQ6" s="174" t="s">
        <v>247</v>
      </c>
      <c r="AR6" s="174" t="s">
        <v>247</v>
      </c>
      <c r="AS6" s="174" t="s">
        <v>247</v>
      </c>
      <c r="AT6" s="55" t="s">
        <v>1</v>
      </c>
      <c r="AU6" s="55" t="s">
        <v>1</v>
      </c>
      <c r="AV6" s="3"/>
    </row>
    <row r="7" spans="1:48" ht="36.950000000000003" customHeight="1" thickBot="1" x14ac:dyDescent="0.3">
      <c r="A7" s="2"/>
      <c r="B7" s="55" t="s">
        <v>1</v>
      </c>
      <c r="C7" s="114" t="s">
        <v>1</v>
      </c>
      <c r="D7" s="173" t="s">
        <v>246</v>
      </c>
      <c r="E7" s="173" t="s">
        <v>63</v>
      </c>
      <c r="F7" s="173" t="s">
        <v>245</v>
      </c>
      <c r="G7" s="173" t="s">
        <v>244</v>
      </c>
      <c r="H7" s="173" t="s">
        <v>243</v>
      </c>
      <c r="I7" s="173" t="s">
        <v>111</v>
      </c>
      <c r="J7" s="173" t="s">
        <v>242</v>
      </c>
      <c r="K7" s="173" t="s">
        <v>241</v>
      </c>
      <c r="L7" s="173" t="s">
        <v>240</v>
      </c>
      <c r="M7" s="55" t="s">
        <v>1</v>
      </c>
      <c r="N7" s="173" t="s">
        <v>239</v>
      </c>
      <c r="O7" s="173" t="s">
        <v>57</v>
      </c>
      <c r="P7" s="173" t="s">
        <v>238</v>
      </c>
      <c r="Q7" s="173" t="s">
        <v>237</v>
      </c>
      <c r="R7" s="173" t="s">
        <v>56</v>
      </c>
      <c r="S7" s="173" t="s">
        <v>236</v>
      </c>
      <c r="T7" s="173" t="s">
        <v>235</v>
      </c>
      <c r="U7" s="173" t="s">
        <v>234</v>
      </c>
      <c r="V7" s="173" t="s">
        <v>233</v>
      </c>
      <c r="W7" s="55" t="s">
        <v>1</v>
      </c>
      <c r="X7" s="173" t="s">
        <v>232</v>
      </c>
      <c r="Y7" s="173" t="s">
        <v>231</v>
      </c>
      <c r="Z7" s="173" t="s">
        <v>230</v>
      </c>
      <c r="AA7" s="173" t="s">
        <v>229</v>
      </c>
      <c r="AB7" s="173" t="s">
        <v>228</v>
      </c>
      <c r="AC7" s="173" t="s">
        <v>227</v>
      </c>
      <c r="AD7" s="173" t="s">
        <v>226</v>
      </c>
      <c r="AE7" s="173" t="s">
        <v>225</v>
      </c>
      <c r="AF7" s="173" t="s">
        <v>224</v>
      </c>
      <c r="AG7" s="173" t="s">
        <v>223</v>
      </c>
      <c r="AH7" s="173" t="s">
        <v>222</v>
      </c>
      <c r="AI7" s="173" t="s">
        <v>144</v>
      </c>
      <c r="AJ7" s="173" t="s">
        <v>221</v>
      </c>
      <c r="AK7" s="173" t="s">
        <v>220</v>
      </c>
      <c r="AL7" s="173" t="s">
        <v>219</v>
      </c>
      <c r="AM7" s="173" t="s">
        <v>218</v>
      </c>
      <c r="AN7" s="173" t="s">
        <v>92</v>
      </c>
      <c r="AO7" s="173" t="s">
        <v>217</v>
      </c>
      <c r="AP7" s="173" t="s">
        <v>216</v>
      </c>
      <c r="AQ7" s="173" t="s">
        <v>215</v>
      </c>
      <c r="AR7" s="173" t="s">
        <v>214</v>
      </c>
      <c r="AS7" s="173" t="s">
        <v>213</v>
      </c>
      <c r="AT7" s="55" t="s">
        <v>1</v>
      </c>
      <c r="AU7" s="55" t="s">
        <v>1</v>
      </c>
      <c r="AV7" s="3"/>
    </row>
    <row r="8" spans="1:48" ht="14.1" customHeight="1" thickBot="1" x14ac:dyDescent="0.3">
      <c r="A8" s="2"/>
      <c r="B8" s="172" t="s">
        <v>200</v>
      </c>
      <c r="C8" s="171" t="s">
        <v>0</v>
      </c>
      <c r="D8" s="170">
        <v>0</v>
      </c>
      <c r="E8" s="170">
        <v>2275.0340000000001</v>
      </c>
      <c r="F8" s="170">
        <v>676.03099999999995</v>
      </c>
      <c r="G8" s="170">
        <v>205.03800000000001</v>
      </c>
      <c r="H8" s="170">
        <v>0</v>
      </c>
      <c r="I8" s="170">
        <v>1230.04</v>
      </c>
      <c r="J8" s="170">
        <v>404.983</v>
      </c>
      <c r="K8" s="170">
        <v>840.97</v>
      </c>
      <c r="L8" s="170">
        <v>55</v>
      </c>
      <c r="M8" s="169">
        <f>SUMIF(D$9:L$9,"&gt;0",D8:L8)</f>
        <v>5687.0960000000005</v>
      </c>
      <c r="N8" s="170">
        <v>5207.9650000000001</v>
      </c>
      <c r="O8" s="170">
        <v>1199.952</v>
      </c>
      <c r="P8" s="170">
        <v>999.98900000000003</v>
      </c>
      <c r="Q8" s="170">
        <v>0</v>
      </c>
      <c r="R8" s="170">
        <v>6980.0150000000003</v>
      </c>
      <c r="S8" s="170">
        <v>0</v>
      </c>
      <c r="T8" s="170">
        <v>60.021999999999998</v>
      </c>
      <c r="U8" s="170">
        <v>159.964</v>
      </c>
      <c r="V8" s="170">
        <v>0</v>
      </c>
      <c r="W8" s="169">
        <f>SUMIF(N$9:V$9,"&gt;0",N8:V8)</f>
        <v>14607.907000000003</v>
      </c>
      <c r="X8" s="170">
        <v>395.00599999999997</v>
      </c>
      <c r="Y8" s="170">
        <v>1088.9449999999999</v>
      </c>
      <c r="Z8" s="170">
        <v>0</v>
      </c>
      <c r="AA8" s="170">
        <v>5</v>
      </c>
      <c r="AB8" s="170">
        <v>2009.9069999999999</v>
      </c>
      <c r="AC8" s="170">
        <v>0</v>
      </c>
      <c r="AD8" s="170">
        <v>0</v>
      </c>
      <c r="AE8" s="170">
        <v>0</v>
      </c>
      <c r="AF8" s="170">
        <v>15</v>
      </c>
      <c r="AG8" s="170">
        <v>254.04599999999999</v>
      </c>
      <c r="AH8" s="170">
        <v>0</v>
      </c>
      <c r="AI8" s="170">
        <v>1282.0219999999999</v>
      </c>
      <c r="AJ8" s="170">
        <v>0</v>
      </c>
      <c r="AK8" s="170">
        <v>0</v>
      </c>
      <c r="AL8" s="170">
        <v>20.012</v>
      </c>
      <c r="AM8" s="170">
        <v>261.95999999999998</v>
      </c>
      <c r="AN8" s="170">
        <v>738.95299999999997</v>
      </c>
      <c r="AO8" s="170">
        <v>73.043000000000006</v>
      </c>
      <c r="AP8" s="170">
        <v>0</v>
      </c>
      <c r="AQ8" s="170">
        <v>89.986000000000004</v>
      </c>
      <c r="AR8" s="170">
        <v>2469.9520000000002</v>
      </c>
      <c r="AS8" s="170">
        <v>1556.0070000000001</v>
      </c>
      <c r="AT8" s="169">
        <f>SUMIF(X$9:AS$9,"&gt;0",X8:AS8)</f>
        <v>10259.838999999998</v>
      </c>
      <c r="AU8" s="328">
        <f>SUMIF(D$9:AS$9,"&gt;0",D8:AS8)</f>
        <v>30554.842000000004</v>
      </c>
      <c r="AV8" s="3"/>
    </row>
    <row r="9" spans="1:48" ht="14.1" customHeight="1" x14ac:dyDescent="0.25">
      <c r="A9" s="2"/>
      <c r="B9" s="168">
        <v>0</v>
      </c>
      <c r="C9" s="3"/>
      <c r="D9" s="145">
        <v>1</v>
      </c>
      <c r="E9" s="145">
        <v>1</v>
      </c>
      <c r="F9" s="145">
        <v>1</v>
      </c>
      <c r="G9" s="145">
        <v>1</v>
      </c>
      <c r="H9" s="145">
        <v>1</v>
      </c>
      <c r="I9" s="145">
        <v>1</v>
      </c>
      <c r="J9" s="145">
        <v>1</v>
      </c>
      <c r="K9" s="145">
        <v>1</v>
      </c>
      <c r="L9" s="145">
        <v>1</v>
      </c>
      <c r="M9" s="145">
        <f>-1</f>
        <v>-1</v>
      </c>
      <c r="N9" s="145">
        <v>1</v>
      </c>
      <c r="O9" s="145">
        <v>1</v>
      </c>
      <c r="P9" s="145">
        <v>1</v>
      </c>
      <c r="Q9" s="145">
        <v>1</v>
      </c>
      <c r="R9" s="145">
        <v>1</v>
      </c>
      <c r="S9" s="145">
        <v>1</v>
      </c>
      <c r="T9" s="145">
        <v>1</v>
      </c>
      <c r="U9" s="145">
        <v>1</v>
      </c>
      <c r="V9" s="145">
        <v>1</v>
      </c>
      <c r="W9" s="145">
        <f>-1</f>
        <v>-1</v>
      </c>
      <c r="X9" s="145">
        <v>1</v>
      </c>
      <c r="Y9" s="145">
        <v>1</v>
      </c>
      <c r="Z9" s="145">
        <v>1</v>
      </c>
      <c r="AA9" s="145">
        <v>1</v>
      </c>
      <c r="AB9" s="145">
        <v>1</v>
      </c>
      <c r="AC9" s="145">
        <v>1</v>
      </c>
      <c r="AD9" s="145">
        <v>1</v>
      </c>
      <c r="AE9" s="145">
        <v>1</v>
      </c>
      <c r="AF9" s="145">
        <v>1</v>
      </c>
      <c r="AG9" s="145">
        <v>1</v>
      </c>
      <c r="AH9" s="145">
        <v>1</v>
      </c>
      <c r="AI9" s="145">
        <v>1</v>
      </c>
      <c r="AJ9" s="145">
        <v>1</v>
      </c>
      <c r="AK9" s="145">
        <v>1</v>
      </c>
      <c r="AL9" s="145">
        <v>1</v>
      </c>
      <c r="AM9" s="145">
        <v>1</v>
      </c>
      <c r="AN9" s="145">
        <v>1</v>
      </c>
      <c r="AO9" s="145">
        <v>1</v>
      </c>
      <c r="AP9" s="145">
        <v>1</v>
      </c>
      <c r="AQ9" s="145">
        <v>1</v>
      </c>
      <c r="AR9" s="145">
        <v>1</v>
      </c>
      <c r="AS9" s="145">
        <v>1</v>
      </c>
      <c r="AT9" s="145">
        <f>-1</f>
        <v>-1</v>
      </c>
      <c r="AU9" s="167">
        <v>31627.79</v>
      </c>
      <c r="AV9" s="163">
        <v>0</v>
      </c>
    </row>
    <row r="10" spans="1:48" ht="15" customHeight="1" x14ac:dyDescent="0.25">
      <c r="A10" s="2"/>
      <c r="B10" s="166">
        <v>1</v>
      </c>
      <c r="C10" s="165" t="s">
        <v>0</v>
      </c>
      <c r="D10" s="164">
        <v>0</v>
      </c>
      <c r="E10" s="164">
        <v>2267.2339999999999</v>
      </c>
      <c r="F10" s="164">
        <v>675.88099999999997</v>
      </c>
      <c r="G10" s="164">
        <v>205.02799999999999</v>
      </c>
      <c r="H10" s="164">
        <v>0</v>
      </c>
      <c r="I10" s="164">
        <v>1229.1400000000001</v>
      </c>
      <c r="J10" s="164">
        <v>404.88299999999998</v>
      </c>
      <c r="K10" s="164">
        <v>840.47</v>
      </c>
      <c r="L10" s="164">
        <v>54.95</v>
      </c>
      <c r="M10" s="164">
        <f>SUMIF(D$9:L$9,"&gt;0",D10:L10)</f>
        <v>5677.5859999999993</v>
      </c>
      <c r="N10" s="164">
        <v>5197.7650000000003</v>
      </c>
      <c r="O10" s="164">
        <v>1190.8920000000001</v>
      </c>
      <c r="P10" s="164">
        <v>998.48900000000003</v>
      </c>
      <c r="Q10" s="164">
        <v>0</v>
      </c>
      <c r="R10" s="164">
        <v>6969.0150000000003</v>
      </c>
      <c r="S10" s="164">
        <v>0</v>
      </c>
      <c r="T10" s="164">
        <v>60.012</v>
      </c>
      <c r="U10" s="164">
        <v>159.91399999999999</v>
      </c>
      <c r="V10" s="164">
        <v>0</v>
      </c>
      <c r="W10" s="164">
        <f>SUMIF(N$9:V$9,"&gt;0",N10:V10)</f>
        <v>14576.087000000001</v>
      </c>
      <c r="X10" s="164">
        <v>394.80599999999998</v>
      </c>
      <c r="Y10" s="164">
        <v>1088.4949999999999</v>
      </c>
      <c r="Z10" s="164">
        <v>0</v>
      </c>
      <c r="AA10" s="164">
        <v>5</v>
      </c>
      <c r="AB10" s="164">
        <v>2009.7270000000001</v>
      </c>
      <c r="AC10" s="164">
        <v>0</v>
      </c>
      <c r="AD10" s="164">
        <v>0</v>
      </c>
      <c r="AE10" s="164">
        <v>0</v>
      </c>
      <c r="AF10" s="164">
        <v>15</v>
      </c>
      <c r="AG10" s="164">
        <v>254.02600000000001</v>
      </c>
      <c r="AH10" s="164">
        <v>0</v>
      </c>
      <c r="AI10" s="164">
        <v>1279.422</v>
      </c>
      <c r="AJ10" s="164">
        <v>0</v>
      </c>
      <c r="AK10" s="164">
        <v>0</v>
      </c>
      <c r="AL10" s="164">
        <v>19.992000000000001</v>
      </c>
      <c r="AM10" s="164">
        <v>261.86</v>
      </c>
      <c r="AN10" s="164">
        <v>738.553</v>
      </c>
      <c r="AO10" s="164">
        <v>72.942999999999998</v>
      </c>
      <c r="AP10" s="164">
        <v>0</v>
      </c>
      <c r="AQ10" s="164">
        <v>89.885999999999996</v>
      </c>
      <c r="AR10" s="164">
        <v>2466.652</v>
      </c>
      <c r="AS10" s="164">
        <v>1554.807</v>
      </c>
      <c r="AT10" s="164">
        <f>SUMIF(X$9:AS$9,"&gt;0",X10:AS10)</f>
        <v>10251.169000000002</v>
      </c>
      <c r="AU10" s="164">
        <f>SUMIF(D$9:AS$9,"&gt;0",D10:AS10)</f>
        <v>30504.841999999997</v>
      </c>
      <c r="AV10" s="163">
        <v>1</v>
      </c>
    </row>
    <row r="11" spans="1:48" ht="15" customHeight="1" x14ac:dyDescent="0.25">
      <c r="A11" s="2"/>
      <c r="B11" s="166">
        <v>2</v>
      </c>
      <c r="C11" s="165" t="s">
        <v>0</v>
      </c>
      <c r="D11" s="164">
        <v>0</v>
      </c>
      <c r="E11" s="164">
        <v>2230.3339999999998</v>
      </c>
      <c r="F11" s="164">
        <v>697.63099999999997</v>
      </c>
      <c r="G11" s="164">
        <v>205.018</v>
      </c>
      <c r="H11" s="164">
        <v>0</v>
      </c>
      <c r="I11" s="164">
        <v>1222.24</v>
      </c>
      <c r="J11" s="164">
        <v>404.78300000000002</v>
      </c>
      <c r="K11" s="164">
        <v>839.97</v>
      </c>
      <c r="L11" s="164">
        <v>54.9</v>
      </c>
      <c r="M11" s="164">
        <f>SUMIF(D$9:L$9,"&gt;0",D11:L11)</f>
        <v>5654.8760000000002</v>
      </c>
      <c r="N11" s="164">
        <v>5128.6809999999996</v>
      </c>
      <c r="O11" s="164">
        <v>1181.8320000000001</v>
      </c>
      <c r="P11" s="164">
        <v>996.98900000000003</v>
      </c>
      <c r="Q11" s="164">
        <v>0</v>
      </c>
      <c r="R11" s="164">
        <v>6958.0150000000003</v>
      </c>
      <c r="S11" s="164">
        <v>0</v>
      </c>
      <c r="T11" s="164">
        <v>60.002000000000002</v>
      </c>
      <c r="U11" s="164">
        <v>159.864</v>
      </c>
      <c r="V11" s="164">
        <v>0</v>
      </c>
      <c r="W11" s="164">
        <f>SUMIF(N$9:V$9,"&gt;0",N11:V11)</f>
        <v>14485.383</v>
      </c>
      <c r="X11" s="164">
        <v>394.60599999999999</v>
      </c>
      <c r="Y11" s="164">
        <v>1088.0450000000001</v>
      </c>
      <c r="Z11" s="164">
        <v>0</v>
      </c>
      <c r="AA11" s="164">
        <v>5</v>
      </c>
      <c r="AB11" s="164">
        <v>2008.1189999999999</v>
      </c>
      <c r="AC11" s="164">
        <v>0</v>
      </c>
      <c r="AD11" s="164">
        <v>0</v>
      </c>
      <c r="AE11" s="164">
        <v>0</v>
      </c>
      <c r="AF11" s="164">
        <v>15</v>
      </c>
      <c r="AG11" s="164">
        <v>254.006</v>
      </c>
      <c r="AH11" s="164">
        <v>0</v>
      </c>
      <c r="AI11" s="164">
        <v>1276.8219999999999</v>
      </c>
      <c r="AJ11" s="164">
        <v>0</v>
      </c>
      <c r="AK11" s="164">
        <v>0</v>
      </c>
      <c r="AL11" s="164">
        <v>19.972000000000001</v>
      </c>
      <c r="AM11" s="164">
        <v>261.76</v>
      </c>
      <c r="AN11" s="164">
        <v>738.15300000000002</v>
      </c>
      <c r="AO11" s="164">
        <v>68.843000000000004</v>
      </c>
      <c r="AP11" s="164">
        <v>0</v>
      </c>
      <c r="AQ11" s="164">
        <v>89.786000000000001</v>
      </c>
      <c r="AR11" s="164">
        <v>2458.3560000000002</v>
      </c>
      <c r="AS11" s="164">
        <v>1556.3620000000001</v>
      </c>
      <c r="AT11" s="164">
        <f>SUMIF(X$9:AS$9,"&gt;0",X11:AS11)</f>
        <v>10234.830000000002</v>
      </c>
      <c r="AU11" s="164">
        <f>SUMIF(D$9:AS$9,"&gt;0",D11:AS11)</f>
        <v>30375.089000000004</v>
      </c>
      <c r="AV11" s="163">
        <v>2</v>
      </c>
    </row>
    <row r="12" spans="1:48" ht="15" customHeight="1" x14ac:dyDescent="0.25">
      <c r="A12" s="2"/>
      <c r="B12" s="166">
        <v>3</v>
      </c>
      <c r="C12" s="165" t="s">
        <v>0</v>
      </c>
      <c r="D12" s="164">
        <v>0</v>
      </c>
      <c r="E12" s="164">
        <v>2208.5340000000001</v>
      </c>
      <c r="F12" s="164">
        <v>697.48099999999999</v>
      </c>
      <c r="G12" s="164">
        <v>205.00800000000001</v>
      </c>
      <c r="H12" s="164">
        <v>0</v>
      </c>
      <c r="I12" s="164">
        <v>1221.3399999999999</v>
      </c>
      <c r="J12" s="164">
        <v>404.68299999999999</v>
      </c>
      <c r="K12" s="164">
        <v>839.47</v>
      </c>
      <c r="L12" s="164">
        <v>54.85</v>
      </c>
      <c r="M12" s="164">
        <f>SUMIF(D$9:L$9,"&gt;0",D12:L12)</f>
        <v>5631.3660000000009</v>
      </c>
      <c r="N12" s="164">
        <v>5169.07</v>
      </c>
      <c r="O12" s="164">
        <v>1164.5719999999999</v>
      </c>
      <c r="P12" s="164">
        <v>995.48900000000003</v>
      </c>
      <c r="Q12" s="164">
        <v>0</v>
      </c>
      <c r="R12" s="164">
        <v>6947.0150000000003</v>
      </c>
      <c r="S12" s="164">
        <v>0</v>
      </c>
      <c r="T12" s="164">
        <v>59.991999999999997</v>
      </c>
      <c r="U12" s="164">
        <v>159.81399999999999</v>
      </c>
      <c r="V12" s="164">
        <v>0</v>
      </c>
      <c r="W12" s="164">
        <f>SUMIF(N$9:V$9,"&gt;0",N12:V12)</f>
        <v>14495.952000000001</v>
      </c>
      <c r="X12" s="164">
        <v>394.40600000000001</v>
      </c>
      <c r="Y12" s="164">
        <v>1087.595</v>
      </c>
      <c r="Z12" s="164">
        <v>0</v>
      </c>
      <c r="AA12" s="164">
        <v>5</v>
      </c>
      <c r="AB12" s="164">
        <v>2007.9390000000001</v>
      </c>
      <c r="AC12" s="164">
        <v>0</v>
      </c>
      <c r="AD12" s="164">
        <v>0</v>
      </c>
      <c r="AE12" s="164">
        <v>0</v>
      </c>
      <c r="AF12" s="164">
        <v>15</v>
      </c>
      <c r="AG12" s="164">
        <v>253.98599999999999</v>
      </c>
      <c r="AH12" s="164">
        <v>0</v>
      </c>
      <c r="AI12" s="164">
        <v>1267.222</v>
      </c>
      <c r="AJ12" s="164">
        <v>0</v>
      </c>
      <c r="AK12" s="164">
        <v>0</v>
      </c>
      <c r="AL12" s="164">
        <v>19.952000000000002</v>
      </c>
      <c r="AM12" s="164">
        <v>261.66000000000003</v>
      </c>
      <c r="AN12" s="164">
        <v>737.75300000000004</v>
      </c>
      <c r="AO12" s="164">
        <v>68.742999999999995</v>
      </c>
      <c r="AP12" s="164">
        <v>0</v>
      </c>
      <c r="AQ12" s="164">
        <v>88.585999999999999</v>
      </c>
      <c r="AR12" s="164">
        <v>2445.7559999999999</v>
      </c>
      <c r="AS12" s="164">
        <v>1550.307</v>
      </c>
      <c r="AT12" s="164">
        <f>SUMIF(X$9:AS$9,"&gt;0",X12:AS12)</f>
        <v>10203.905000000001</v>
      </c>
      <c r="AU12" s="164">
        <f>SUMIF(D$9:AS$9,"&gt;0",D12:AS12)</f>
        <v>30331.223000000002</v>
      </c>
      <c r="AV12" s="163">
        <v>3</v>
      </c>
    </row>
    <row r="13" spans="1:48" ht="15" customHeight="1" x14ac:dyDescent="0.25">
      <c r="A13" s="2"/>
      <c r="B13" s="166">
        <v>4</v>
      </c>
      <c r="C13" s="165" t="s">
        <v>0</v>
      </c>
      <c r="D13" s="164">
        <v>0</v>
      </c>
      <c r="E13" s="164">
        <v>2183.7150000000001</v>
      </c>
      <c r="F13" s="164">
        <v>697.33100000000002</v>
      </c>
      <c r="G13" s="164">
        <v>204.99799999999999</v>
      </c>
      <c r="H13" s="164">
        <v>0</v>
      </c>
      <c r="I13" s="164">
        <v>1219.499</v>
      </c>
      <c r="J13" s="164">
        <v>403.68200000000002</v>
      </c>
      <c r="K13" s="164">
        <v>838.97</v>
      </c>
      <c r="L13" s="164">
        <v>54.8</v>
      </c>
      <c r="M13" s="164">
        <f>SUMIF(D$9:L$9,"&gt;0",D13:L13)</f>
        <v>5602.9950000000008</v>
      </c>
      <c r="N13" s="164">
        <v>5166.82</v>
      </c>
      <c r="O13" s="164">
        <v>1295.5119999999999</v>
      </c>
      <c r="P13" s="164">
        <v>980.43200000000002</v>
      </c>
      <c r="Q13" s="164">
        <v>0</v>
      </c>
      <c r="R13" s="164">
        <v>6936.0150000000003</v>
      </c>
      <c r="S13" s="164">
        <v>0</v>
      </c>
      <c r="T13" s="164">
        <v>59.981999999999999</v>
      </c>
      <c r="U13" s="164">
        <v>159.76400000000001</v>
      </c>
      <c r="V13" s="164">
        <v>0</v>
      </c>
      <c r="W13" s="164">
        <f>SUMIF(N$9:V$9,"&gt;0",N13:V13)</f>
        <v>14598.524999999998</v>
      </c>
      <c r="X13" s="164">
        <v>394.20600000000002</v>
      </c>
      <c r="Y13" s="164">
        <v>1077.402</v>
      </c>
      <c r="Z13" s="164">
        <v>0</v>
      </c>
      <c r="AA13" s="164">
        <v>5</v>
      </c>
      <c r="AB13" s="164">
        <v>1996.925</v>
      </c>
      <c r="AC13" s="164">
        <v>0</v>
      </c>
      <c r="AD13" s="164">
        <v>0</v>
      </c>
      <c r="AE13" s="164">
        <v>0</v>
      </c>
      <c r="AF13" s="164">
        <v>15</v>
      </c>
      <c r="AG13" s="164">
        <v>252.31700000000001</v>
      </c>
      <c r="AH13" s="164">
        <v>0</v>
      </c>
      <c r="AI13" s="164">
        <v>1264.6220000000001</v>
      </c>
      <c r="AJ13" s="164">
        <v>0</v>
      </c>
      <c r="AK13" s="164">
        <v>0</v>
      </c>
      <c r="AL13" s="164">
        <v>19.931999999999999</v>
      </c>
      <c r="AM13" s="164">
        <v>261.56</v>
      </c>
      <c r="AN13" s="164">
        <v>737.35299999999995</v>
      </c>
      <c r="AO13" s="164">
        <v>68.643000000000001</v>
      </c>
      <c r="AP13" s="164">
        <v>0</v>
      </c>
      <c r="AQ13" s="164">
        <v>88.486000000000004</v>
      </c>
      <c r="AR13" s="164">
        <v>2433.1089999999999</v>
      </c>
      <c r="AS13" s="164">
        <v>1543.9069999999999</v>
      </c>
      <c r="AT13" s="164">
        <f>SUMIF(X$9:AS$9,"&gt;0",X13:AS13)</f>
        <v>10158.462</v>
      </c>
      <c r="AU13" s="164">
        <f>SUMIF(D$9:AS$9,"&gt;0",D13:AS13)</f>
        <v>30359.981999999996</v>
      </c>
      <c r="AV13" s="163">
        <v>4</v>
      </c>
    </row>
    <row r="14" spans="1:48" ht="15" customHeight="1" x14ac:dyDescent="0.25">
      <c r="A14" s="2"/>
      <c r="B14" s="166">
        <v>5</v>
      </c>
      <c r="C14" s="165" t="s">
        <v>0</v>
      </c>
      <c r="D14" s="164">
        <v>0</v>
      </c>
      <c r="E14" s="164">
        <v>2164.9340000000002</v>
      </c>
      <c r="F14" s="164">
        <v>697.18100000000004</v>
      </c>
      <c r="G14" s="164">
        <v>203.95400000000001</v>
      </c>
      <c r="H14" s="164">
        <v>0</v>
      </c>
      <c r="I14" s="164">
        <v>1215.529</v>
      </c>
      <c r="J14" s="164">
        <v>404.483</v>
      </c>
      <c r="K14" s="164">
        <v>834.322</v>
      </c>
      <c r="L14" s="164">
        <v>54.75</v>
      </c>
      <c r="M14" s="164">
        <f>SUMIF(D$9:L$9,"&gt;0",D14:L14)</f>
        <v>5575.1530000000002</v>
      </c>
      <c r="N14" s="164">
        <v>5225.1170000000002</v>
      </c>
      <c r="O14" s="164">
        <v>1284.924</v>
      </c>
      <c r="P14" s="164">
        <v>906.08900000000006</v>
      </c>
      <c r="Q14" s="164">
        <v>0</v>
      </c>
      <c r="R14" s="164">
        <v>6925.0150000000003</v>
      </c>
      <c r="S14" s="164">
        <v>0</v>
      </c>
      <c r="T14" s="164">
        <v>59.972000000000001</v>
      </c>
      <c r="U14" s="164">
        <v>159.714</v>
      </c>
      <c r="V14" s="164">
        <v>0</v>
      </c>
      <c r="W14" s="164">
        <f>SUMIF(N$9:V$9,"&gt;0",N14:V14)</f>
        <v>14560.831</v>
      </c>
      <c r="X14" s="164">
        <v>394.00599999999997</v>
      </c>
      <c r="Y14" s="164">
        <v>1078.655</v>
      </c>
      <c r="Z14" s="164">
        <v>0</v>
      </c>
      <c r="AA14" s="164">
        <v>5</v>
      </c>
      <c r="AB14" s="164">
        <v>1950.2850000000001</v>
      </c>
      <c r="AC14" s="164">
        <v>0</v>
      </c>
      <c r="AD14" s="164">
        <v>0</v>
      </c>
      <c r="AE14" s="164">
        <v>0</v>
      </c>
      <c r="AF14" s="164">
        <v>15</v>
      </c>
      <c r="AG14" s="164">
        <v>253.946</v>
      </c>
      <c r="AH14" s="164">
        <v>0</v>
      </c>
      <c r="AI14" s="164">
        <v>1258.19</v>
      </c>
      <c r="AJ14" s="164">
        <v>0</v>
      </c>
      <c r="AK14" s="164">
        <v>0</v>
      </c>
      <c r="AL14" s="164">
        <v>19.911999999999999</v>
      </c>
      <c r="AM14" s="164">
        <v>261.45999999999998</v>
      </c>
      <c r="AN14" s="164">
        <v>736.95299999999997</v>
      </c>
      <c r="AO14" s="164">
        <v>68.543000000000006</v>
      </c>
      <c r="AP14" s="164">
        <v>0</v>
      </c>
      <c r="AQ14" s="164">
        <v>88.385999999999996</v>
      </c>
      <c r="AR14" s="164">
        <v>2435.681</v>
      </c>
      <c r="AS14" s="164">
        <v>1535.16</v>
      </c>
      <c r="AT14" s="164">
        <f>SUMIF(X$9:AS$9,"&gt;0",X14:AS14)</f>
        <v>10101.177000000001</v>
      </c>
      <c r="AU14" s="164">
        <f>SUMIF(D$9:AS$9,"&gt;0",D14:AS14)</f>
        <v>30237.161</v>
      </c>
      <c r="AV14" s="163">
        <v>5</v>
      </c>
    </row>
    <row r="15" spans="1:48" ht="15" customHeight="1" x14ac:dyDescent="0.25">
      <c r="A15" s="2"/>
      <c r="B15" s="166">
        <v>6</v>
      </c>
      <c r="C15" s="165" t="s">
        <v>0</v>
      </c>
      <c r="D15" s="164">
        <v>0</v>
      </c>
      <c r="E15" s="164">
        <v>2157.134</v>
      </c>
      <c r="F15" s="164">
        <v>697.03099999999995</v>
      </c>
      <c r="G15" s="164">
        <v>202.32900000000001</v>
      </c>
      <c r="H15" s="164">
        <v>0</v>
      </c>
      <c r="I15" s="164">
        <v>1214.8489999999999</v>
      </c>
      <c r="J15" s="164">
        <v>402.53199999999998</v>
      </c>
      <c r="K15" s="164">
        <v>835.31200000000001</v>
      </c>
      <c r="L15" s="164">
        <v>54.7</v>
      </c>
      <c r="M15" s="164">
        <f>SUMIF(D$9:L$9,"&gt;0",D15:L15)</f>
        <v>5563.8869999999997</v>
      </c>
      <c r="N15" s="164">
        <v>5240.7359999999999</v>
      </c>
      <c r="O15" s="164">
        <v>1278.1559999999999</v>
      </c>
      <c r="P15" s="164">
        <v>740.697</v>
      </c>
      <c r="Q15" s="164">
        <v>0</v>
      </c>
      <c r="R15" s="164">
        <v>6914.0150000000003</v>
      </c>
      <c r="S15" s="164">
        <v>0</v>
      </c>
      <c r="T15" s="164">
        <v>59.962000000000003</v>
      </c>
      <c r="U15" s="164">
        <v>159.66399999999999</v>
      </c>
      <c r="V15" s="164">
        <v>0</v>
      </c>
      <c r="W15" s="164">
        <f>SUMIF(N$9:V$9,"&gt;0",N15:V15)</f>
        <v>14393.23</v>
      </c>
      <c r="X15" s="164">
        <v>393.80599999999998</v>
      </c>
      <c r="Y15" s="164">
        <v>1071.145</v>
      </c>
      <c r="Z15" s="164">
        <v>0</v>
      </c>
      <c r="AA15" s="164">
        <v>5</v>
      </c>
      <c r="AB15" s="164">
        <v>1996.31</v>
      </c>
      <c r="AC15" s="164">
        <v>0</v>
      </c>
      <c r="AD15" s="164">
        <v>0</v>
      </c>
      <c r="AE15" s="164">
        <v>0</v>
      </c>
      <c r="AF15" s="164">
        <v>15</v>
      </c>
      <c r="AG15" s="164">
        <v>253.92599999999999</v>
      </c>
      <c r="AH15" s="164">
        <v>0</v>
      </c>
      <c r="AI15" s="164">
        <v>1285.396</v>
      </c>
      <c r="AJ15" s="164">
        <v>0</v>
      </c>
      <c r="AK15" s="164">
        <v>0</v>
      </c>
      <c r="AL15" s="164">
        <v>19.891999999999999</v>
      </c>
      <c r="AM15" s="164">
        <v>261.36</v>
      </c>
      <c r="AN15" s="164">
        <v>733.09299999999996</v>
      </c>
      <c r="AO15" s="164">
        <v>68.442999999999998</v>
      </c>
      <c r="AP15" s="164">
        <v>0</v>
      </c>
      <c r="AQ15" s="164">
        <v>88.286000000000001</v>
      </c>
      <c r="AR15" s="164">
        <v>2428.8989999999999</v>
      </c>
      <c r="AS15" s="164">
        <v>1524.4069999999999</v>
      </c>
      <c r="AT15" s="164">
        <f>SUMIF(X$9:AS$9,"&gt;0",X15:AS15)</f>
        <v>10144.962999999998</v>
      </c>
      <c r="AU15" s="164">
        <f>SUMIF(D$9:AS$9,"&gt;0",D15:AS15)</f>
        <v>30102.080000000002</v>
      </c>
      <c r="AV15" s="163">
        <v>6</v>
      </c>
    </row>
    <row r="16" spans="1:48" ht="15" customHeight="1" x14ac:dyDescent="0.25">
      <c r="A16" s="2"/>
      <c r="B16" s="166">
        <v>7</v>
      </c>
      <c r="C16" s="165" t="s">
        <v>0</v>
      </c>
      <c r="D16" s="164">
        <v>0</v>
      </c>
      <c r="E16" s="164">
        <v>2149.3339999999998</v>
      </c>
      <c r="F16" s="164">
        <v>696.88099999999997</v>
      </c>
      <c r="G16" s="164">
        <v>204.96799999999999</v>
      </c>
      <c r="H16" s="164">
        <v>0</v>
      </c>
      <c r="I16" s="164">
        <v>1212.963</v>
      </c>
      <c r="J16" s="164">
        <v>404.28300000000002</v>
      </c>
      <c r="K16" s="164">
        <v>837.47</v>
      </c>
      <c r="L16" s="164">
        <v>54.65</v>
      </c>
      <c r="M16" s="164">
        <f>SUMIF(D$9:L$9,"&gt;0",D16:L16)</f>
        <v>5560.549</v>
      </c>
      <c r="N16" s="164">
        <v>5253.5879999999997</v>
      </c>
      <c r="O16" s="164">
        <v>1269.096</v>
      </c>
      <c r="P16" s="164">
        <v>903.08900000000006</v>
      </c>
      <c r="Q16" s="164">
        <v>0</v>
      </c>
      <c r="R16" s="164">
        <v>7010.6350000000002</v>
      </c>
      <c r="S16" s="164">
        <v>0</v>
      </c>
      <c r="T16" s="164">
        <v>65.552000000000007</v>
      </c>
      <c r="U16" s="164">
        <v>173.81399999999999</v>
      </c>
      <c r="V16" s="164">
        <v>0</v>
      </c>
      <c r="W16" s="164">
        <f>SUMIF(N$9:V$9,"&gt;0",N16:V16)</f>
        <v>14675.773999999999</v>
      </c>
      <c r="X16" s="164">
        <v>393.60599999999999</v>
      </c>
      <c r="Y16" s="164">
        <v>1077.7159999999999</v>
      </c>
      <c r="Z16" s="164">
        <v>0</v>
      </c>
      <c r="AA16" s="164">
        <v>5</v>
      </c>
      <c r="AB16" s="164">
        <v>2004.473</v>
      </c>
      <c r="AC16" s="164">
        <v>0</v>
      </c>
      <c r="AD16" s="164">
        <v>0</v>
      </c>
      <c r="AE16" s="164">
        <v>0</v>
      </c>
      <c r="AF16" s="164">
        <v>15</v>
      </c>
      <c r="AG16" s="164">
        <v>253.90600000000001</v>
      </c>
      <c r="AH16" s="164">
        <v>0</v>
      </c>
      <c r="AI16" s="164">
        <v>1286.8219999999999</v>
      </c>
      <c r="AJ16" s="164">
        <v>0</v>
      </c>
      <c r="AK16" s="164">
        <v>0</v>
      </c>
      <c r="AL16" s="164">
        <v>19.872</v>
      </c>
      <c r="AM16" s="164">
        <v>261.26</v>
      </c>
      <c r="AN16" s="164">
        <v>736.15300000000002</v>
      </c>
      <c r="AO16" s="164">
        <v>67.88</v>
      </c>
      <c r="AP16" s="164">
        <v>0</v>
      </c>
      <c r="AQ16" s="164">
        <v>88.186000000000007</v>
      </c>
      <c r="AR16" s="164">
        <v>2425.473</v>
      </c>
      <c r="AS16" s="164">
        <v>1420.356</v>
      </c>
      <c r="AT16" s="164">
        <f>SUMIF(X$9:AS$9,"&gt;0",X16:AS16)</f>
        <v>10055.703000000001</v>
      </c>
      <c r="AU16" s="164">
        <f>SUMIF(D$9:AS$9,"&gt;0",D16:AS16)</f>
        <v>30292.025999999991</v>
      </c>
      <c r="AV16" s="163">
        <v>7</v>
      </c>
    </row>
    <row r="17" spans="1:48" ht="15" customHeight="1" x14ac:dyDescent="0.25">
      <c r="A17" s="2"/>
      <c r="B17" s="166">
        <v>8</v>
      </c>
      <c r="C17" s="165" t="s">
        <v>0</v>
      </c>
      <c r="D17" s="164">
        <v>0</v>
      </c>
      <c r="E17" s="164">
        <v>2141.5340000000001</v>
      </c>
      <c r="F17" s="164">
        <v>696.73099999999999</v>
      </c>
      <c r="G17" s="164">
        <v>204.958</v>
      </c>
      <c r="H17" s="164">
        <v>0</v>
      </c>
      <c r="I17" s="164">
        <v>1213.44</v>
      </c>
      <c r="J17" s="164">
        <v>404.18299999999999</v>
      </c>
      <c r="K17" s="164">
        <v>835.423</v>
      </c>
      <c r="L17" s="164">
        <v>54.6</v>
      </c>
      <c r="M17" s="164">
        <f>SUMIF(D$9:L$9,"&gt;0",D17:L17)</f>
        <v>5550.8690000000006</v>
      </c>
      <c r="N17" s="164">
        <v>5268.0780000000004</v>
      </c>
      <c r="O17" s="164">
        <v>1260.0360000000001</v>
      </c>
      <c r="P17" s="164">
        <v>901.58900000000006</v>
      </c>
      <c r="Q17" s="164">
        <v>0</v>
      </c>
      <c r="R17" s="164">
        <v>7010.6980000000003</v>
      </c>
      <c r="S17" s="164">
        <v>0</v>
      </c>
      <c r="T17" s="164">
        <v>65.542000000000002</v>
      </c>
      <c r="U17" s="164">
        <v>173.76400000000001</v>
      </c>
      <c r="V17" s="164">
        <v>0</v>
      </c>
      <c r="W17" s="164">
        <f>SUMIF(N$9:V$9,"&gt;0",N17:V17)</f>
        <v>14679.707</v>
      </c>
      <c r="X17" s="164">
        <v>393.40600000000001</v>
      </c>
      <c r="Y17" s="164">
        <v>1077.5450000000001</v>
      </c>
      <c r="Z17" s="164">
        <v>0</v>
      </c>
      <c r="AA17" s="164">
        <v>5</v>
      </c>
      <c r="AB17" s="164">
        <v>2004.3389999999999</v>
      </c>
      <c r="AC17" s="164">
        <v>0</v>
      </c>
      <c r="AD17" s="164">
        <v>0</v>
      </c>
      <c r="AE17" s="164">
        <v>0</v>
      </c>
      <c r="AF17" s="164">
        <v>15</v>
      </c>
      <c r="AG17" s="164">
        <v>253.886</v>
      </c>
      <c r="AH17" s="164">
        <v>0</v>
      </c>
      <c r="AI17" s="164">
        <v>1277.222</v>
      </c>
      <c r="AJ17" s="164">
        <v>0</v>
      </c>
      <c r="AK17" s="164">
        <v>0</v>
      </c>
      <c r="AL17" s="164">
        <v>24.751999999999999</v>
      </c>
      <c r="AM17" s="164">
        <v>261.16000000000003</v>
      </c>
      <c r="AN17" s="164">
        <v>737.28700000000003</v>
      </c>
      <c r="AO17" s="164">
        <v>68.242999999999995</v>
      </c>
      <c r="AP17" s="164">
        <v>0</v>
      </c>
      <c r="AQ17" s="164">
        <v>86.986000000000004</v>
      </c>
      <c r="AR17" s="164">
        <v>2399.335</v>
      </c>
      <c r="AS17" s="164">
        <v>1516.807</v>
      </c>
      <c r="AT17" s="164">
        <f>SUMIF(X$9:AS$9,"&gt;0",X17:AS17)</f>
        <v>10120.968000000001</v>
      </c>
      <c r="AU17" s="164">
        <f>SUMIF(D$9:AS$9,"&gt;0",D17:AS17)</f>
        <v>30351.544000000002</v>
      </c>
      <c r="AV17" s="163">
        <v>8</v>
      </c>
    </row>
    <row r="18" spans="1:48" ht="15" customHeight="1" x14ac:dyDescent="0.25">
      <c r="A18" s="2"/>
      <c r="B18" s="166">
        <v>9</v>
      </c>
      <c r="C18" s="165" t="s">
        <v>0</v>
      </c>
      <c r="D18" s="164">
        <v>0</v>
      </c>
      <c r="E18" s="164">
        <v>2133.7339999999999</v>
      </c>
      <c r="F18" s="164">
        <v>696.58100000000002</v>
      </c>
      <c r="G18" s="164">
        <v>204.94800000000001</v>
      </c>
      <c r="H18" s="164">
        <v>0</v>
      </c>
      <c r="I18" s="164">
        <v>1212.54</v>
      </c>
      <c r="J18" s="164">
        <v>404.08300000000003</v>
      </c>
      <c r="K18" s="164">
        <v>836.47</v>
      </c>
      <c r="L18" s="164">
        <v>54.55</v>
      </c>
      <c r="M18" s="164">
        <f>SUMIF(D$9:L$9,"&gt;0",D18:L18)</f>
        <v>5542.9059999999999</v>
      </c>
      <c r="N18" s="164">
        <v>5250.6850000000004</v>
      </c>
      <c r="O18" s="164">
        <v>1258.412</v>
      </c>
      <c r="P18" s="164">
        <v>924.78899999999999</v>
      </c>
      <c r="Q18" s="164">
        <v>0</v>
      </c>
      <c r="R18" s="164">
        <v>7012.165</v>
      </c>
      <c r="S18" s="164">
        <v>0</v>
      </c>
      <c r="T18" s="164">
        <v>65.531999999999996</v>
      </c>
      <c r="U18" s="164">
        <v>172.304</v>
      </c>
      <c r="V18" s="164">
        <v>0</v>
      </c>
      <c r="W18" s="164">
        <f>SUMIF(N$9:V$9,"&gt;0",N18:V18)</f>
        <v>14683.886999999999</v>
      </c>
      <c r="X18" s="164">
        <v>393.20600000000002</v>
      </c>
      <c r="Y18" s="164">
        <v>1077.095</v>
      </c>
      <c r="Z18" s="164">
        <v>0</v>
      </c>
      <c r="AA18" s="164">
        <v>5</v>
      </c>
      <c r="AB18" s="164">
        <v>2004.1590000000001</v>
      </c>
      <c r="AC18" s="164">
        <v>0</v>
      </c>
      <c r="AD18" s="164">
        <v>0</v>
      </c>
      <c r="AE18" s="164">
        <v>0</v>
      </c>
      <c r="AF18" s="164">
        <v>15</v>
      </c>
      <c r="AG18" s="164">
        <v>253.86600000000001</v>
      </c>
      <c r="AH18" s="164">
        <v>0</v>
      </c>
      <c r="AI18" s="164">
        <v>1274.6220000000001</v>
      </c>
      <c r="AJ18" s="164">
        <v>0</v>
      </c>
      <c r="AK18" s="164">
        <v>0</v>
      </c>
      <c r="AL18" s="164">
        <v>24.731999999999999</v>
      </c>
      <c r="AM18" s="164">
        <v>261.06</v>
      </c>
      <c r="AN18" s="164">
        <v>741.88699999999994</v>
      </c>
      <c r="AO18" s="164">
        <v>68.143000000000001</v>
      </c>
      <c r="AP18" s="164">
        <v>0</v>
      </c>
      <c r="AQ18" s="164">
        <v>86.885999999999996</v>
      </c>
      <c r="AR18" s="164">
        <v>2418.37</v>
      </c>
      <c r="AS18" s="164">
        <v>1515.184</v>
      </c>
      <c r="AT18" s="164">
        <f>SUMIF(X$9:AS$9,"&gt;0",X18:AS18)</f>
        <v>10139.210000000001</v>
      </c>
      <c r="AU18" s="164">
        <f>SUMIF(D$9:AS$9,"&gt;0",D18:AS18)</f>
        <v>30366.003000000001</v>
      </c>
      <c r="AV18" s="163">
        <v>9</v>
      </c>
    </row>
    <row r="19" spans="1:48" ht="15" customHeight="1" x14ac:dyDescent="0.25">
      <c r="A19" s="2"/>
      <c r="B19" s="166">
        <v>10</v>
      </c>
      <c r="C19" s="165" t="s">
        <v>0</v>
      </c>
      <c r="D19" s="164">
        <v>0</v>
      </c>
      <c r="E19" s="164">
        <v>2125.9340000000002</v>
      </c>
      <c r="F19" s="164">
        <v>696.43100000000004</v>
      </c>
      <c r="G19" s="164">
        <v>204.93799999999999</v>
      </c>
      <c r="H19" s="164">
        <v>0</v>
      </c>
      <c r="I19" s="164">
        <v>1211.6400000000001</v>
      </c>
      <c r="J19" s="164">
        <v>403.983</v>
      </c>
      <c r="K19" s="164">
        <v>842.07</v>
      </c>
      <c r="L19" s="164">
        <v>54.5</v>
      </c>
      <c r="M19" s="164">
        <f>SUMIF(D$9:L$9,"&gt;0",D19:L19)</f>
        <v>5539.4960000000001</v>
      </c>
      <c r="N19" s="164">
        <v>5197.2389999999996</v>
      </c>
      <c r="O19" s="164">
        <v>1246.296</v>
      </c>
      <c r="P19" s="164">
        <v>936.58900000000006</v>
      </c>
      <c r="Q19" s="164">
        <v>0</v>
      </c>
      <c r="R19" s="164">
        <v>7010.8149999999996</v>
      </c>
      <c r="S19" s="164">
        <v>0</v>
      </c>
      <c r="T19" s="164">
        <v>65.522000000000006</v>
      </c>
      <c r="U19" s="164">
        <v>173.66399999999999</v>
      </c>
      <c r="V19" s="164">
        <v>0</v>
      </c>
      <c r="W19" s="164">
        <f>SUMIF(N$9:V$9,"&gt;0",N19:V19)</f>
        <v>14630.125</v>
      </c>
      <c r="X19" s="164">
        <v>393.00599999999997</v>
      </c>
      <c r="Y19" s="164">
        <v>1076.645</v>
      </c>
      <c r="Z19" s="164">
        <v>0</v>
      </c>
      <c r="AA19" s="164">
        <v>5</v>
      </c>
      <c r="AB19" s="164">
        <v>2003.979</v>
      </c>
      <c r="AC19" s="164">
        <v>0</v>
      </c>
      <c r="AD19" s="164">
        <v>0</v>
      </c>
      <c r="AE19" s="164">
        <v>0</v>
      </c>
      <c r="AF19" s="164">
        <v>15</v>
      </c>
      <c r="AG19" s="164">
        <v>253.846</v>
      </c>
      <c r="AH19" s="164">
        <v>0</v>
      </c>
      <c r="AI19" s="164">
        <v>1312.0219999999999</v>
      </c>
      <c r="AJ19" s="164">
        <v>0</v>
      </c>
      <c r="AK19" s="164">
        <v>0</v>
      </c>
      <c r="AL19" s="164">
        <v>24.712</v>
      </c>
      <c r="AM19" s="164">
        <v>260.95999999999998</v>
      </c>
      <c r="AN19" s="164">
        <v>741.20399999999995</v>
      </c>
      <c r="AO19" s="164">
        <v>88.043000000000006</v>
      </c>
      <c r="AP19" s="164">
        <v>0</v>
      </c>
      <c r="AQ19" s="164">
        <v>86.786000000000001</v>
      </c>
      <c r="AR19" s="164">
        <v>2414.3609999999999</v>
      </c>
      <c r="AS19" s="164">
        <v>1514.3309999999999</v>
      </c>
      <c r="AT19" s="164">
        <f>SUMIF(X$9:AS$9,"&gt;0",X19:AS19)</f>
        <v>10189.894999999999</v>
      </c>
      <c r="AU19" s="164">
        <f>SUMIF(D$9:AS$9,"&gt;0",D19:AS19)</f>
        <v>30359.516000000007</v>
      </c>
      <c r="AV19" s="163">
        <v>10</v>
      </c>
    </row>
    <row r="20" spans="1:48" ht="15" customHeight="1" x14ac:dyDescent="0.25">
      <c r="A20" s="2"/>
      <c r="B20" s="166">
        <v>11</v>
      </c>
      <c r="C20" s="165" t="s">
        <v>0</v>
      </c>
      <c r="D20" s="164">
        <v>0</v>
      </c>
      <c r="E20" s="164">
        <v>2115.873</v>
      </c>
      <c r="F20" s="164">
        <v>696.28099999999995</v>
      </c>
      <c r="G20" s="164">
        <v>204.928</v>
      </c>
      <c r="H20" s="164">
        <v>0</v>
      </c>
      <c r="I20" s="164">
        <v>1203.338</v>
      </c>
      <c r="J20" s="164">
        <v>403.26600000000002</v>
      </c>
      <c r="K20" s="164">
        <v>841.57</v>
      </c>
      <c r="L20" s="164">
        <v>54.45</v>
      </c>
      <c r="M20" s="164">
        <f>SUMIF(D$9:L$9,"&gt;0",D20:L20)</f>
        <v>5519.7059999999992</v>
      </c>
      <c r="N20" s="164">
        <v>5217.7299999999996</v>
      </c>
      <c r="O20" s="164">
        <v>1298.4960000000001</v>
      </c>
      <c r="P20" s="164">
        <v>935.08900000000006</v>
      </c>
      <c r="Q20" s="164">
        <v>0</v>
      </c>
      <c r="R20" s="164">
        <v>7010.875</v>
      </c>
      <c r="S20" s="164">
        <v>0</v>
      </c>
      <c r="T20" s="164">
        <v>65.512</v>
      </c>
      <c r="U20" s="164">
        <v>173.614</v>
      </c>
      <c r="V20" s="164">
        <v>0</v>
      </c>
      <c r="W20" s="164">
        <f>SUMIF(N$9:V$9,"&gt;0",N20:V20)</f>
        <v>14701.315999999999</v>
      </c>
      <c r="X20" s="164">
        <v>392.80599999999998</v>
      </c>
      <c r="Y20" s="164">
        <v>1074.3489999999999</v>
      </c>
      <c r="Z20" s="164">
        <v>0</v>
      </c>
      <c r="AA20" s="164">
        <v>5</v>
      </c>
      <c r="AB20" s="164">
        <v>2002.3610000000001</v>
      </c>
      <c r="AC20" s="164">
        <v>0</v>
      </c>
      <c r="AD20" s="164">
        <v>0</v>
      </c>
      <c r="AE20" s="164">
        <v>0</v>
      </c>
      <c r="AF20" s="164">
        <v>15</v>
      </c>
      <c r="AG20" s="164">
        <v>252.17699999999999</v>
      </c>
      <c r="AH20" s="164">
        <v>0</v>
      </c>
      <c r="AI20" s="164">
        <v>1309.422</v>
      </c>
      <c r="AJ20" s="164">
        <v>0</v>
      </c>
      <c r="AK20" s="164">
        <v>0</v>
      </c>
      <c r="AL20" s="164">
        <v>24.692</v>
      </c>
      <c r="AM20" s="164">
        <v>260.86</v>
      </c>
      <c r="AN20" s="164">
        <v>741.00400000000002</v>
      </c>
      <c r="AO20" s="164">
        <v>87.942999999999998</v>
      </c>
      <c r="AP20" s="164">
        <v>0</v>
      </c>
      <c r="AQ20" s="164">
        <v>91.085999999999999</v>
      </c>
      <c r="AR20" s="164">
        <v>2422.0309999999999</v>
      </c>
      <c r="AS20" s="164">
        <v>1513.1</v>
      </c>
      <c r="AT20" s="164">
        <f>SUMIF(X$9:AS$9,"&gt;0",X20:AS20)</f>
        <v>10191.831</v>
      </c>
      <c r="AU20" s="164">
        <f>SUMIF(D$9:AS$9,"&gt;0",D20:AS20)</f>
        <v>30412.852999999992</v>
      </c>
      <c r="AV20" s="163">
        <v>11</v>
      </c>
    </row>
    <row r="21" spans="1:48" ht="15" customHeight="1" x14ac:dyDescent="0.25">
      <c r="A21" s="2"/>
      <c r="B21" s="166">
        <v>12</v>
      </c>
      <c r="C21" s="165" t="s">
        <v>0</v>
      </c>
      <c r="D21" s="164">
        <v>0</v>
      </c>
      <c r="E21" s="164">
        <v>2107.1080000000002</v>
      </c>
      <c r="F21" s="164">
        <v>696.13099999999997</v>
      </c>
      <c r="G21" s="164">
        <v>204.91800000000001</v>
      </c>
      <c r="H21" s="164">
        <v>0</v>
      </c>
      <c r="I21" s="164">
        <v>1214.2460000000001</v>
      </c>
      <c r="J21" s="164">
        <v>402.44099999999997</v>
      </c>
      <c r="K21" s="164">
        <v>823.05899999999997</v>
      </c>
      <c r="L21" s="164">
        <v>54.4</v>
      </c>
      <c r="M21" s="164">
        <f>SUMIF(D$9:L$9,"&gt;0",D21:L21)</f>
        <v>5502.3029999999999</v>
      </c>
      <c r="N21" s="164">
        <v>5197.9750000000004</v>
      </c>
      <c r="O21" s="164">
        <v>1290.4680000000001</v>
      </c>
      <c r="P21" s="164">
        <v>933.58900000000006</v>
      </c>
      <c r="Q21" s="164">
        <v>0</v>
      </c>
      <c r="R21" s="164">
        <v>7018.2950000000001</v>
      </c>
      <c r="S21" s="164">
        <v>0</v>
      </c>
      <c r="T21" s="164">
        <v>65.501999999999995</v>
      </c>
      <c r="U21" s="164">
        <v>166.20699999999999</v>
      </c>
      <c r="V21" s="164">
        <v>0</v>
      </c>
      <c r="W21" s="164">
        <f>SUMIF(N$9:V$9,"&gt;0",N21:V21)</f>
        <v>14672.036000000002</v>
      </c>
      <c r="X21" s="164">
        <v>392.60599999999999</v>
      </c>
      <c r="Y21" s="164">
        <v>1057.46</v>
      </c>
      <c r="Z21" s="164">
        <v>0</v>
      </c>
      <c r="AA21" s="164">
        <v>5</v>
      </c>
      <c r="AB21" s="164">
        <v>1998.144</v>
      </c>
      <c r="AC21" s="164">
        <v>0</v>
      </c>
      <c r="AD21" s="164">
        <v>0</v>
      </c>
      <c r="AE21" s="164">
        <v>0</v>
      </c>
      <c r="AF21" s="164">
        <v>15</v>
      </c>
      <c r="AG21" s="164">
        <v>239.00299999999999</v>
      </c>
      <c r="AH21" s="164">
        <v>0</v>
      </c>
      <c r="AI21" s="164">
        <v>1306.8219999999999</v>
      </c>
      <c r="AJ21" s="164">
        <v>0</v>
      </c>
      <c r="AK21" s="164">
        <v>0</v>
      </c>
      <c r="AL21" s="164">
        <v>24.672000000000001</v>
      </c>
      <c r="AM21" s="164">
        <v>246.34800000000001</v>
      </c>
      <c r="AN21" s="164">
        <v>718.21</v>
      </c>
      <c r="AO21" s="164">
        <v>87.722999999999999</v>
      </c>
      <c r="AP21" s="164">
        <v>0</v>
      </c>
      <c r="AQ21" s="164">
        <v>87.686000000000007</v>
      </c>
      <c r="AR21" s="164">
        <v>2346.2939999999999</v>
      </c>
      <c r="AS21" s="164">
        <v>1522.4069999999999</v>
      </c>
      <c r="AT21" s="164">
        <f>SUMIF(X$9:AS$9,"&gt;0",X21:AS21)</f>
        <v>10047.374999999998</v>
      </c>
      <c r="AU21" s="164">
        <f>SUMIF(D$9:AS$9,"&gt;0",D21:AS21)</f>
        <v>30221.714</v>
      </c>
      <c r="AV21" s="163">
        <v>12</v>
      </c>
    </row>
    <row r="22" spans="1:48" ht="15" customHeight="1" x14ac:dyDescent="0.25">
      <c r="A22" s="2"/>
      <c r="B22" s="166">
        <v>13</v>
      </c>
      <c r="C22" s="165" t="s">
        <v>0</v>
      </c>
      <c r="D22" s="164">
        <v>0</v>
      </c>
      <c r="E22" s="164">
        <v>2117.2370000000001</v>
      </c>
      <c r="F22" s="164">
        <v>695.98099999999999</v>
      </c>
      <c r="G22" s="164">
        <v>204.90799999999999</v>
      </c>
      <c r="H22" s="164">
        <v>0</v>
      </c>
      <c r="I22" s="164">
        <v>1212.433</v>
      </c>
      <c r="J22" s="164">
        <v>399.262</v>
      </c>
      <c r="K22" s="164">
        <v>840.57</v>
      </c>
      <c r="L22" s="164">
        <v>54.35</v>
      </c>
      <c r="M22" s="164">
        <f>SUMIF(D$9:L$9,"&gt;0",D22:L22)</f>
        <v>5524.7409999999991</v>
      </c>
      <c r="N22" s="164">
        <v>5193.7790000000005</v>
      </c>
      <c r="O22" s="164">
        <v>1281.4079999999999</v>
      </c>
      <c r="P22" s="164">
        <v>932.08900000000006</v>
      </c>
      <c r="Q22" s="164">
        <v>0</v>
      </c>
      <c r="R22" s="164">
        <v>7010.9949999999999</v>
      </c>
      <c r="S22" s="164">
        <v>0</v>
      </c>
      <c r="T22" s="164">
        <v>65.492000000000004</v>
      </c>
      <c r="U22" s="164">
        <v>173.51400000000001</v>
      </c>
      <c r="V22" s="164">
        <v>0</v>
      </c>
      <c r="W22" s="164">
        <f>SUMIF(N$9:V$9,"&gt;0",N22:V22)</f>
        <v>14657.277</v>
      </c>
      <c r="X22" s="164">
        <v>392.40600000000001</v>
      </c>
      <c r="Y22" s="164">
        <v>1075.2950000000001</v>
      </c>
      <c r="Z22" s="164">
        <v>0</v>
      </c>
      <c r="AA22" s="164">
        <v>5</v>
      </c>
      <c r="AB22" s="164">
        <v>1991.644</v>
      </c>
      <c r="AC22" s="164">
        <v>0</v>
      </c>
      <c r="AD22" s="164">
        <v>0</v>
      </c>
      <c r="AE22" s="164">
        <v>0</v>
      </c>
      <c r="AF22" s="164">
        <v>15</v>
      </c>
      <c r="AG22" s="164">
        <v>256.786</v>
      </c>
      <c r="AH22" s="164">
        <v>0</v>
      </c>
      <c r="AI22" s="164">
        <v>1304.222</v>
      </c>
      <c r="AJ22" s="164">
        <v>0</v>
      </c>
      <c r="AK22" s="164">
        <v>0</v>
      </c>
      <c r="AL22" s="164">
        <v>24.652000000000001</v>
      </c>
      <c r="AM22" s="164">
        <v>260.66000000000003</v>
      </c>
      <c r="AN22" s="164">
        <v>737.30399999999997</v>
      </c>
      <c r="AO22" s="164">
        <v>87.742999999999995</v>
      </c>
      <c r="AP22" s="164">
        <v>0</v>
      </c>
      <c r="AQ22" s="164">
        <v>90.585999999999999</v>
      </c>
      <c r="AR22" s="164">
        <v>2407.8490000000002</v>
      </c>
      <c r="AS22" s="164">
        <v>1519.68</v>
      </c>
      <c r="AT22" s="164">
        <f>SUMIF(X$9:AS$9,"&gt;0",X22:AS22)</f>
        <v>10168.827000000001</v>
      </c>
      <c r="AU22" s="164">
        <f>SUMIF(D$9:AS$9,"&gt;0",D22:AS22)</f>
        <v>30350.844999999994</v>
      </c>
      <c r="AV22" s="163">
        <v>13</v>
      </c>
    </row>
    <row r="23" spans="1:48" ht="15" customHeight="1" x14ac:dyDescent="0.25">
      <c r="A23" s="2"/>
      <c r="B23" s="166">
        <v>14</v>
      </c>
      <c r="C23" s="165" t="s">
        <v>0</v>
      </c>
      <c r="D23" s="164">
        <v>0</v>
      </c>
      <c r="E23" s="164">
        <v>2111.328</v>
      </c>
      <c r="F23" s="164">
        <v>695.83100000000002</v>
      </c>
      <c r="G23" s="164">
        <v>204.898</v>
      </c>
      <c r="H23" s="164">
        <v>0</v>
      </c>
      <c r="I23" s="164">
        <v>1183.1659999999999</v>
      </c>
      <c r="J23" s="164">
        <v>400.03100000000001</v>
      </c>
      <c r="K23" s="164">
        <v>840.07</v>
      </c>
      <c r="L23" s="164">
        <v>54.3</v>
      </c>
      <c r="M23" s="164">
        <f>SUMIF(D$9:L$9,"&gt;0",D23:L23)</f>
        <v>5489.6239999999998</v>
      </c>
      <c r="N23" s="164">
        <v>5198.6869999999999</v>
      </c>
      <c r="O23" s="164">
        <v>1271.3</v>
      </c>
      <c r="P23" s="164">
        <v>943.88900000000001</v>
      </c>
      <c r="Q23" s="164">
        <v>0</v>
      </c>
      <c r="R23" s="164">
        <v>7011.0550000000003</v>
      </c>
      <c r="S23" s="164">
        <v>0</v>
      </c>
      <c r="T23" s="164">
        <v>65.481999999999999</v>
      </c>
      <c r="U23" s="164">
        <v>173.464</v>
      </c>
      <c r="V23" s="164">
        <v>0</v>
      </c>
      <c r="W23" s="164">
        <f>SUMIF(N$9:V$9,"&gt;0",N23:V23)</f>
        <v>14663.877</v>
      </c>
      <c r="X23" s="164">
        <v>392.20600000000002</v>
      </c>
      <c r="Y23" s="164">
        <v>1074.845</v>
      </c>
      <c r="Z23" s="164">
        <v>0</v>
      </c>
      <c r="AA23" s="164">
        <v>5</v>
      </c>
      <c r="AB23" s="164">
        <v>1990.91</v>
      </c>
      <c r="AC23" s="164">
        <v>0</v>
      </c>
      <c r="AD23" s="164">
        <v>0</v>
      </c>
      <c r="AE23" s="164">
        <v>0</v>
      </c>
      <c r="AF23" s="164">
        <v>15</v>
      </c>
      <c r="AG23" s="164">
        <v>256.76600000000002</v>
      </c>
      <c r="AH23" s="164">
        <v>0</v>
      </c>
      <c r="AI23" s="164">
        <v>1301.6220000000001</v>
      </c>
      <c r="AJ23" s="164">
        <v>0</v>
      </c>
      <c r="AK23" s="164">
        <v>0</v>
      </c>
      <c r="AL23" s="164">
        <v>24.632000000000001</v>
      </c>
      <c r="AM23" s="164">
        <v>260.56</v>
      </c>
      <c r="AN23" s="164">
        <v>736.66700000000003</v>
      </c>
      <c r="AO23" s="164">
        <v>87.47</v>
      </c>
      <c r="AP23" s="164">
        <v>0</v>
      </c>
      <c r="AQ23" s="164">
        <v>84.986000000000004</v>
      </c>
      <c r="AR23" s="164">
        <v>2418.0509999999999</v>
      </c>
      <c r="AS23" s="164">
        <v>1520.0070000000001</v>
      </c>
      <c r="AT23" s="164">
        <f>SUMIF(X$9:AS$9,"&gt;0",X23:AS23)</f>
        <v>10168.722</v>
      </c>
      <c r="AU23" s="164">
        <f>SUMIF(D$9:AS$9,"&gt;0",D23:AS23)</f>
        <v>30322.223000000005</v>
      </c>
      <c r="AV23" s="163">
        <v>14</v>
      </c>
    </row>
    <row r="24" spans="1:48" ht="15" customHeight="1" x14ac:dyDescent="0.25">
      <c r="A24" s="2"/>
      <c r="B24" s="166">
        <v>15</v>
      </c>
      <c r="C24" s="165" t="s">
        <v>0</v>
      </c>
      <c r="D24" s="164">
        <v>0</v>
      </c>
      <c r="E24" s="164">
        <v>2104.9340000000002</v>
      </c>
      <c r="F24" s="164">
        <v>695.68100000000004</v>
      </c>
      <c r="G24" s="164">
        <v>204.88800000000001</v>
      </c>
      <c r="H24" s="164">
        <v>0</v>
      </c>
      <c r="I24" s="164">
        <v>1230.9939999999999</v>
      </c>
      <c r="J24" s="164">
        <v>403.483</v>
      </c>
      <c r="K24" s="164">
        <v>835.18100000000004</v>
      </c>
      <c r="L24" s="164">
        <v>54.25</v>
      </c>
      <c r="M24" s="164">
        <f>SUMIF(D$9:L$9,"&gt;0",D24:L24)</f>
        <v>5529.4110000000001</v>
      </c>
      <c r="N24" s="164">
        <v>5245.3969999999999</v>
      </c>
      <c r="O24" s="164">
        <v>1261.845</v>
      </c>
      <c r="P24" s="164">
        <v>942.38900000000001</v>
      </c>
      <c r="Q24" s="164">
        <v>0</v>
      </c>
      <c r="R24" s="164">
        <v>7013.4970000000003</v>
      </c>
      <c r="S24" s="164">
        <v>0</v>
      </c>
      <c r="T24" s="164">
        <v>65.471999999999994</v>
      </c>
      <c r="U24" s="164">
        <v>171.03399999999999</v>
      </c>
      <c r="V24" s="164">
        <v>0</v>
      </c>
      <c r="W24" s="164">
        <f>SUMIF(N$9:V$9,"&gt;0",N24:V24)</f>
        <v>14699.634</v>
      </c>
      <c r="X24" s="164">
        <v>392.00599999999997</v>
      </c>
      <c r="Y24" s="164">
        <v>1082.395</v>
      </c>
      <c r="Z24" s="164">
        <v>0</v>
      </c>
      <c r="AA24" s="164">
        <v>5</v>
      </c>
      <c r="AB24" s="164">
        <v>1999.1179999999999</v>
      </c>
      <c r="AC24" s="164">
        <v>0</v>
      </c>
      <c r="AD24" s="164">
        <v>0</v>
      </c>
      <c r="AE24" s="164">
        <v>0</v>
      </c>
      <c r="AF24" s="164">
        <v>15</v>
      </c>
      <c r="AG24" s="164">
        <v>256.74599999999998</v>
      </c>
      <c r="AH24" s="164">
        <v>0</v>
      </c>
      <c r="AI24" s="164">
        <v>1299.0219999999999</v>
      </c>
      <c r="AJ24" s="164">
        <v>0</v>
      </c>
      <c r="AK24" s="164">
        <v>0</v>
      </c>
      <c r="AL24" s="164">
        <v>24.611999999999998</v>
      </c>
      <c r="AM24" s="164">
        <v>260.45999999999998</v>
      </c>
      <c r="AN24" s="164">
        <v>737.07</v>
      </c>
      <c r="AO24" s="164">
        <v>87.543000000000006</v>
      </c>
      <c r="AP24" s="164">
        <v>0</v>
      </c>
      <c r="AQ24" s="164">
        <v>84.885999999999996</v>
      </c>
      <c r="AR24" s="164">
        <v>2408.9029999999998</v>
      </c>
      <c r="AS24" s="164">
        <v>1523.6869999999999</v>
      </c>
      <c r="AT24" s="164">
        <f>SUMIF(X$9:AS$9,"&gt;0",X24:AS24)</f>
        <v>10176.448</v>
      </c>
      <c r="AU24" s="164">
        <f>SUMIF(D$9:AS$9,"&gt;0",D24:AS24)</f>
        <v>30405.493000000002</v>
      </c>
      <c r="AV24" s="163">
        <v>15</v>
      </c>
    </row>
    <row r="25" spans="1:48" ht="15" customHeight="1" x14ac:dyDescent="0.25">
      <c r="A25" s="2"/>
      <c r="B25" s="166">
        <v>16</v>
      </c>
      <c r="C25" s="165" t="s">
        <v>0</v>
      </c>
      <c r="D25" s="164">
        <v>0</v>
      </c>
      <c r="E25" s="164">
        <v>2097.134</v>
      </c>
      <c r="F25" s="164">
        <v>695.53099999999995</v>
      </c>
      <c r="G25" s="164">
        <v>204.87799999999999</v>
      </c>
      <c r="H25" s="164">
        <v>0</v>
      </c>
      <c r="I25" s="164">
        <v>1231.088</v>
      </c>
      <c r="J25" s="164">
        <v>403.38299999999998</v>
      </c>
      <c r="K25" s="164">
        <v>835.61500000000001</v>
      </c>
      <c r="L25" s="164">
        <v>54.2</v>
      </c>
      <c r="M25" s="164">
        <f>SUMIF(D$9:L$9,"&gt;0",D25:L25)</f>
        <v>5521.8289999999997</v>
      </c>
      <c r="N25" s="164">
        <v>5235.6629999999996</v>
      </c>
      <c r="O25" s="164">
        <v>1301.827</v>
      </c>
      <c r="P25" s="164">
        <v>940.88900000000001</v>
      </c>
      <c r="Q25" s="164">
        <v>0</v>
      </c>
      <c r="R25" s="164">
        <v>7011.1750000000002</v>
      </c>
      <c r="S25" s="164">
        <v>0</v>
      </c>
      <c r="T25" s="164">
        <v>65.462000000000003</v>
      </c>
      <c r="U25" s="164">
        <v>173.364</v>
      </c>
      <c r="V25" s="164">
        <v>0</v>
      </c>
      <c r="W25" s="164">
        <f>SUMIF(N$9:V$9,"&gt;0",N25:V25)</f>
        <v>14728.38</v>
      </c>
      <c r="X25" s="164">
        <v>391.80599999999998</v>
      </c>
      <c r="Y25" s="164">
        <v>1074.845</v>
      </c>
      <c r="Z25" s="164">
        <v>0</v>
      </c>
      <c r="AA25" s="164">
        <v>5</v>
      </c>
      <c r="AB25" s="164">
        <v>1995.63</v>
      </c>
      <c r="AC25" s="164">
        <v>0</v>
      </c>
      <c r="AD25" s="164">
        <v>0</v>
      </c>
      <c r="AE25" s="164">
        <v>0</v>
      </c>
      <c r="AF25" s="164">
        <v>15</v>
      </c>
      <c r="AG25" s="164">
        <v>256.726</v>
      </c>
      <c r="AH25" s="164">
        <v>0</v>
      </c>
      <c r="AI25" s="164">
        <v>1296.422</v>
      </c>
      <c r="AJ25" s="164">
        <v>0</v>
      </c>
      <c r="AK25" s="164">
        <v>0</v>
      </c>
      <c r="AL25" s="164">
        <v>24.591999999999999</v>
      </c>
      <c r="AM25" s="164">
        <v>260.36</v>
      </c>
      <c r="AN25" s="164">
        <v>736.67</v>
      </c>
      <c r="AO25" s="164">
        <v>92.442999999999998</v>
      </c>
      <c r="AP25" s="164">
        <v>0</v>
      </c>
      <c r="AQ25" s="164">
        <v>84.786000000000001</v>
      </c>
      <c r="AR25" s="164">
        <v>2410.87</v>
      </c>
      <c r="AS25" s="164">
        <v>1522.807</v>
      </c>
      <c r="AT25" s="164">
        <f>SUMIF(X$9:AS$9,"&gt;0",X25:AS25)</f>
        <v>10167.957</v>
      </c>
      <c r="AU25" s="164">
        <f>SUMIF(D$9:AS$9,"&gt;0",D25:AS25)</f>
        <v>30418.165999999997</v>
      </c>
      <c r="AV25" s="163">
        <v>16</v>
      </c>
    </row>
    <row r="26" spans="1:48" ht="15" customHeight="1" x14ac:dyDescent="0.25">
      <c r="A26" s="2"/>
      <c r="B26" s="166">
        <v>17</v>
      </c>
      <c r="C26" s="165" t="s">
        <v>0</v>
      </c>
      <c r="D26" s="164">
        <v>0</v>
      </c>
      <c r="E26" s="164">
        <v>2086.9920000000002</v>
      </c>
      <c r="F26" s="164">
        <v>695.38099999999997</v>
      </c>
      <c r="G26" s="164">
        <v>204.86799999999999</v>
      </c>
      <c r="H26" s="164">
        <v>0</v>
      </c>
      <c r="I26" s="164">
        <v>1248.373</v>
      </c>
      <c r="J26" s="164">
        <v>403.28300000000002</v>
      </c>
      <c r="K26" s="164">
        <v>823.97900000000004</v>
      </c>
      <c r="L26" s="164">
        <v>54.15</v>
      </c>
      <c r="M26" s="164">
        <f>SUMIF(D$9:L$9,"&gt;0",D26:L26)</f>
        <v>5517.0259999999998</v>
      </c>
      <c r="N26" s="164">
        <v>5166.6639999999998</v>
      </c>
      <c r="O26" s="164">
        <v>1293.693</v>
      </c>
      <c r="P26" s="164">
        <v>965.98900000000003</v>
      </c>
      <c r="Q26" s="164">
        <v>0</v>
      </c>
      <c r="R26" s="164">
        <v>7011.2349999999997</v>
      </c>
      <c r="S26" s="164">
        <v>0</v>
      </c>
      <c r="T26" s="164">
        <v>65.451999999999998</v>
      </c>
      <c r="U26" s="164">
        <v>173.31399999999999</v>
      </c>
      <c r="V26" s="164">
        <v>0</v>
      </c>
      <c r="W26" s="164">
        <f>SUMIF(N$9:V$9,"&gt;0",N26:V26)</f>
        <v>14676.346999999998</v>
      </c>
      <c r="X26" s="164">
        <v>391.60599999999999</v>
      </c>
      <c r="Y26" s="164">
        <v>1074.395</v>
      </c>
      <c r="Z26" s="164">
        <v>0</v>
      </c>
      <c r="AA26" s="164">
        <v>5</v>
      </c>
      <c r="AB26" s="164">
        <v>1995.6130000000001</v>
      </c>
      <c r="AC26" s="164">
        <v>0</v>
      </c>
      <c r="AD26" s="164">
        <v>0</v>
      </c>
      <c r="AE26" s="164">
        <v>0</v>
      </c>
      <c r="AF26" s="164">
        <v>15</v>
      </c>
      <c r="AG26" s="164">
        <v>256.70600000000002</v>
      </c>
      <c r="AH26" s="164">
        <v>0</v>
      </c>
      <c r="AI26" s="164">
        <v>1293.8219999999999</v>
      </c>
      <c r="AJ26" s="164">
        <v>0</v>
      </c>
      <c r="AK26" s="164">
        <v>0</v>
      </c>
      <c r="AL26" s="164">
        <v>24.571999999999999</v>
      </c>
      <c r="AM26" s="164">
        <v>260.26</v>
      </c>
      <c r="AN26" s="164">
        <v>736.51099999999997</v>
      </c>
      <c r="AO26" s="164">
        <v>92.343000000000004</v>
      </c>
      <c r="AP26" s="164">
        <v>0</v>
      </c>
      <c r="AQ26" s="164">
        <v>84.686000000000007</v>
      </c>
      <c r="AR26" s="164">
        <v>2407.4380000000001</v>
      </c>
      <c r="AS26" s="164">
        <v>1531.607</v>
      </c>
      <c r="AT26" s="164">
        <f>SUMIF(X$9:AS$9,"&gt;0",X26:AS26)</f>
        <v>10169.559000000001</v>
      </c>
      <c r="AU26" s="164">
        <f>SUMIF(D$9:AS$9,"&gt;0",D26:AS26)</f>
        <v>30362.931999999997</v>
      </c>
      <c r="AV26" s="163">
        <v>17</v>
      </c>
    </row>
    <row r="27" spans="1:48" ht="15" customHeight="1" x14ac:dyDescent="0.25">
      <c r="A27" s="2"/>
      <c r="B27" s="166">
        <v>18</v>
      </c>
      <c r="C27" s="165" t="s">
        <v>0</v>
      </c>
      <c r="D27" s="164">
        <v>0</v>
      </c>
      <c r="E27" s="164">
        <v>2081.5340000000001</v>
      </c>
      <c r="F27" s="164">
        <v>695.23099999999999</v>
      </c>
      <c r="G27" s="164">
        <v>204.858</v>
      </c>
      <c r="H27" s="164">
        <v>0</v>
      </c>
      <c r="I27" s="164">
        <v>1225.3140000000001</v>
      </c>
      <c r="J27" s="164">
        <v>403.18299999999999</v>
      </c>
      <c r="K27" s="164">
        <v>814.34699999999998</v>
      </c>
      <c r="L27" s="164">
        <v>54.1</v>
      </c>
      <c r="M27" s="164">
        <f>SUMIF(D$9:L$9,"&gt;0",D27:L27)</f>
        <v>5478.5670000000009</v>
      </c>
      <c r="N27" s="164">
        <v>5184.2330000000002</v>
      </c>
      <c r="O27" s="164">
        <v>1282.2139999999999</v>
      </c>
      <c r="P27" s="164">
        <v>964.48900000000003</v>
      </c>
      <c r="Q27" s="164">
        <v>0</v>
      </c>
      <c r="R27" s="164">
        <v>7011.2950000000001</v>
      </c>
      <c r="S27" s="164">
        <v>0</v>
      </c>
      <c r="T27" s="164">
        <v>65.441999999999993</v>
      </c>
      <c r="U27" s="164">
        <v>173.26400000000001</v>
      </c>
      <c r="V27" s="164">
        <v>0</v>
      </c>
      <c r="W27" s="164">
        <f>SUMIF(N$9:V$9,"&gt;0",N27:V27)</f>
        <v>14680.936999999998</v>
      </c>
      <c r="X27" s="164">
        <v>391.40600000000001</v>
      </c>
      <c r="Y27" s="164">
        <v>1073.9449999999999</v>
      </c>
      <c r="Z27" s="164">
        <v>0</v>
      </c>
      <c r="AA27" s="164">
        <v>5</v>
      </c>
      <c r="AB27" s="164">
        <v>1982.652</v>
      </c>
      <c r="AC27" s="164">
        <v>0</v>
      </c>
      <c r="AD27" s="164">
        <v>0</v>
      </c>
      <c r="AE27" s="164">
        <v>0</v>
      </c>
      <c r="AF27" s="164">
        <v>15</v>
      </c>
      <c r="AG27" s="164">
        <v>253.68600000000001</v>
      </c>
      <c r="AH27" s="164">
        <v>0</v>
      </c>
      <c r="AI27" s="164">
        <v>1291.222</v>
      </c>
      <c r="AJ27" s="164">
        <v>0</v>
      </c>
      <c r="AK27" s="164">
        <v>0</v>
      </c>
      <c r="AL27" s="164">
        <v>24.552</v>
      </c>
      <c r="AM27" s="164">
        <v>268.16000000000003</v>
      </c>
      <c r="AN27" s="164">
        <v>748.83</v>
      </c>
      <c r="AO27" s="164">
        <v>92.242999999999995</v>
      </c>
      <c r="AP27" s="164">
        <v>0</v>
      </c>
      <c r="AQ27" s="164">
        <v>84.206000000000003</v>
      </c>
      <c r="AR27" s="164">
        <v>2403.9560000000001</v>
      </c>
      <c r="AS27" s="164">
        <v>1530.4069999999999</v>
      </c>
      <c r="AT27" s="164">
        <f>SUMIF(X$9:AS$9,"&gt;0",X27:AS27)</f>
        <v>10165.264999999999</v>
      </c>
      <c r="AU27" s="164">
        <f>SUMIF(D$9:AS$9,"&gt;0",D27:AS27)</f>
        <v>30324.769</v>
      </c>
      <c r="AV27" s="163">
        <v>18</v>
      </c>
    </row>
    <row r="28" spans="1:48" ht="15" customHeight="1" x14ac:dyDescent="0.25">
      <c r="A28" s="2"/>
      <c r="B28" s="166">
        <v>19</v>
      </c>
      <c r="C28" s="165" t="s">
        <v>0</v>
      </c>
      <c r="D28" s="164">
        <v>0</v>
      </c>
      <c r="E28" s="164">
        <v>2066.7539999999999</v>
      </c>
      <c r="F28" s="164">
        <v>695.08100000000002</v>
      </c>
      <c r="G28" s="164">
        <v>204.84800000000001</v>
      </c>
      <c r="H28" s="164">
        <v>0</v>
      </c>
      <c r="I28" s="164">
        <v>1240.6130000000001</v>
      </c>
      <c r="J28" s="164">
        <v>402.59199999999998</v>
      </c>
      <c r="K28" s="164">
        <v>788.87599999999998</v>
      </c>
      <c r="L28" s="164">
        <v>54.05</v>
      </c>
      <c r="M28" s="164">
        <f>SUMIF(D$9:L$9,"&gt;0",D28:L28)</f>
        <v>5452.8140000000003</v>
      </c>
      <c r="N28" s="164">
        <v>5188.1480000000001</v>
      </c>
      <c r="O28" s="164">
        <v>1277.048</v>
      </c>
      <c r="P28" s="164">
        <v>962.98900000000003</v>
      </c>
      <c r="Q28" s="164">
        <v>0</v>
      </c>
      <c r="R28" s="164">
        <v>7011.6049999999996</v>
      </c>
      <c r="S28" s="164">
        <v>0</v>
      </c>
      <c r="T28" s="164">
        <v>65.432000000000002</v>
      </c>
      <c r="U28" s="164">
        <v>172.959</v>
      </c>
      <c r="V28" s="164">
        <v>0</v>
      </c>
      <c r="W28" s="164">
        <f>SUMIF(N$9:V$9,"&gt;0",N28:V28)</f>
        <v>14678.181</v>
      </c>
      <c r="X28" s="164">
        <v>391.20600000000002</v>
      </c>
      <c r="Y28" s="164">
        <v>1071.076</v>
      </c>
      <c r="Z28" s="164">
        <v>0</v>
      </c>
      <c r="AA28" s="164">
        <v>5</v>
      </c>
      <c r="AB28" s="164">
        <v>1994.8430000000001</v>
      </c>
      <c r="AC28" s="164">
        <v>0</v>
      </c>
      <c r="AD28" s="164">
        <v>0</v>
      </c>
      <c r="AE28" s="164">
        <v>0</v>
      </c>
      <c r="AF28" s="164">
        <v>15</v>
      </c>
      <c r="AG28" s="164">
        <v>253.666</v>
      </c>
      <c r="AH28" s="164">
        <v>0</v>
      </c>
      <c r="AI28" s="164">
        <v>1298.6220000000001</v>
      </c>
      <c r="AJ28" s="164">
        <v>0</v>
      </c>
      <c r="AK28" s="164">
        <v>0</v>
      </c>
      <c r="AL28" s="164">
        <v>24.532</v>
      </c>
      <c r="AM28" s="164">
        <v>268.06</v>
      </c>
      <c r="AN28" s="164">
        <v>743.87599999999998</v>
      </c>
      <c r="AO28" s="164">
        <v>92.143000000000001</v>
      </c>
      <c r="AP28" s="164">
        <v>0</v>
      </c>
      <c r="AQ28" s="164">
        <v>83.385999999999996</v>
      </c>
      <c r="AR28" s="164">
        <v>2397.982</v>
      </c>
      <c r="AS28" s="164">
        <v>1529.2070000000001</v>
      </c>
      <c r="AT28" s="164">
        <f>SUMIF(X$9:AS$9,"&gt;0",X28:AS28)</f>
        <v>10168.599000000002</v>
      </c>
      <c r="AU28" s="164">
        <f>SUMIF(D$9:AS$9,"&gt;0",D28:AS28)</f>
        <v>30299.593999999997</v>
      </c>
      <c r="AV28" s="163">
        <v>19</v>
      </c>
    </row>
    <row r="29" spans="1:48" ht="15" customHeight="1" x14ac:dyDescent="0.25">
      <c r="A29" s="2"/>
      <c r="B29" s="166">
        <v>20</v>
      </c>
      <c r="C29" s="165" t="s">
        <v>0</v>
      </c>
      <c r="D29" s="164">
        <v>0</v>
      </c>
      <c r="E29" s="164">
        <v>2065.9340000000002</v>
      </c>
      <c r="F29" s="164">
        <v>694.93100000000004</v>
      </c>
      <c r="G29" s="164">
        <v>197.03200000000001</v>
      </c>
      <c r="H29" s="164">
        <v>0</v>
      </c>
      <c r="I29" s="164">
        <v>1245.1089999999999</v>
      </c>
      <c r="J29" s="164">
        <v>402.983</v>
      </c>
      <c r="K29" s="164">
        <v>820.65899999999999</v>
      </c>
      <c r="L29" s="164">
        <v>54</v>
      </c>
      <c r="M29" s="164">
        <f>SUMIF(D$9:L$9,"&gt;0",D29:L29)</f>
        <v>5480.6480000000001</v>
      </c>
      <c r="N29" s="164">
        <v>5203.72</v>
      </c>
      <c r="O29" s="164">
        <v>1273.9880000000001</v>
      </c>
      <c r="P29" s="164">
        <v>961.48900000000003</v>
      </c>
      <c r="Q29" s="164">
        <v>0</v>
      </c>
      <c r="R29" s="164">
        <v>7011.4129999999996</v>
      </c>
      <c r="S29" s="164">
        <v>0</v>
      </c>
      <c r="T29" s="164">
        <v>65.421999999999997</v>
      </c>
      <c r="U29" s="164">
        <v>173.16399999999999</v>
      </c>
      <c r="V29" s="164">
        <v>0</v>
      </c>
      <c r="W29" s="164">
        <f>SUMIF(N$9:V$9,"&gt;0",N29:V29)</f>
        <v>14689.196000000002</v>
      </c>
      <c r="X29" s="164">
        <v>391.00599999999997</v>
      </c>
      <c r="Y29" s="164">
        <v>1048.1859999999999</v>
      </c>
      <c r="Z29" s="164">
        <v>0</v>
      </c>
      <c r="AA29" s="164">
        <v>5</v>
      </c>
      <c r="AB29" s="164">
        <v>1992.7919999999999</v>
      </c>
      <c r="AC29" s="164">
        <v>0</v>
      </c>
      <c r="AD29" s="164">
        <v>0</v>
      </c>
      <c r="AE29" s="164">
        <v>0</v>
      </c>
      <c r="AF29" s="164">
        <v>15</v>
      </c>
      <c r="AG29" s="164">
        <v>253.64599999999999</v>
      </c>
      <c r="AH29" s="164">
        <v>0</v>
      </c>
      <c r="AI29" s="164">
        <v>1296.0219999999999</v>
      </c>
      <c r="AJ29" s="164">
        <v>0</v>
      </c>
      <c r="AK29" s="164">
        <v>0</v>
      </c>
      <c r="AL29" s="164">
        <v>24.512</v>
      </c>
      <c r="AM29" s="164">
        <v>267.95999999999998</v>
      </c>
      <c r="AN29" s="164">
        <v>748.053</v>
      </c>
      <c r="AO29" s="164">
        <v>92.043000000000006</v>
      </c>
      <c r="AP29" s="164">
        <v>0</v>
      </c>
      <c r="AQ29" s="164">
        <v>83.286000000000001</v>
      </c>
      <c r="AR29" s="164">
        <v>2392.462</v>
      </c>
      <c r="AS29" s="164">
        <v>1528.0070000000001</v>
      </c>
      <c r="AT29" s="164">
        <f>SUMIF(X$9:AS$9,"&gt;0",X29:AS29)</f>
        <v>10137.974999999999</v>
      </c>
      <c r="AU29" s="164">
        <f>SUMIF(D$9:AS$9,"&gt;0",D29:AS29)</f>
        <v>30307.819000000003</v>
      </c>
      <c r="AV29" s="163">
        <v>20</v>
      </c>
    </row>
    <row r="30" spans="1:48" ht="15" customHeight="1" x14ac:dyDescent="0.25">
      <c r="A30" s="2"/>
      <c r="B30" s="166">
        <v>21</v>
      </c>
      <c r="C30" s="165" t="s">
        <v>0</v>
      </c>
      <c r="D30" s="164">
        <v>0</v>
      </c>
      <c r="E30" s="164">
        <v>2057.1999999999998</v>
      </c>
      <c r="F30" s="164">
        <v>694.78099999999995</v>
      </c>
      <c r="G30" s="164">
        <v>204.828</v>
      </c>
      <c r="H30" s="164">
        <v>0</v>
      </c>
      <c r="I30" s="164">
        <v>1274.0730000000001</v>
      </c>
      <c r="J30" s="164">
        <v>402.88299999999998</v>
      </c>
      <c r="K30" s="164">
        <v>803.81399999999996</v>
      </c>
      <c r="L30" s="164">
        <v>53.95</v>
      </c>
      <c r="M30" s="164">
        <f>SUMIF(D$9:L$9,"&gt;0",D30:L30)</f>
        <v>5491.5289999999995</v>
      </c>
      <c r="N30" s="164">
        <v>5208.2020000000002</v>
      </c>
      <c r="O30" s="164">
        <v>1344.9280000000001</v>
      </c>
      <c r="P30" s="164">
        <v>959.98900000000003</v>
      </c>
      <c r="Q30" s="164">
        <v>0</v>
      </c>
      <c r="R30" s="164">
        <v>7011.48</v>
      </c>
      <c r="S30" s="164">
        <v>0</v>
      </c>
      <c r="T30" s="164">
        <v>65.412000000000006</v>
      </c>
      <c r="U30" s="164">
        <v>173.114</v>
      </c>
      <c r="V30" s="164">
        <v>0</v>
      </c>
      <c r="W30" s="164">
        <f>SUMIF(N$9:V$9,"&gt;0",N30:V30)</f>
        <v>14763.125</v>
      </c>
      <c r="X30" s="164">
        <v>390.80599999999998</v>
      </c>
      <c r="Y30" s="164">
        <v>1065.4949999999999</v>
      </c>
      <c r="Z30" s="164">
        <v>0</v>
      </c>
      <c r="AA30" s="164">
        <v>5</v>
      </c>
      <c r="AB30" s="164">
        <v>1995.03</v>
      </c>
      <c r="AC30" s="164">
        <v>0</v>
      </c>
      <c r="AD30" s="164">
        <v>0</v>
      </c>
      <c r="AE30" s="164">
        <v>0</v>
      </c>
      <c r="AF30" s="164">
        <v>15</v>
      </c>
      <c r="AG30" s="164">
        <v>248.494</v>
      </c>
      <c r="AH30" s="164">
        <v>0</v>
      </c>
      <c r="AI30" s="164">
        <v>1293.422</v>
      </c>
      <c r="AJ30" s="164">
        <v>0</v>
      </c>
      <c r="AK30" s="164">
        <v>0</v>
      </c>
      <c r="AL30" s="164">
        <v>24.492000000000001</v>
      </c>
      <c r="AM30" s="164">
        <v>267.86</v>
      </c>
      <c r="AN30" s="164">
        <v>747.65300000000002</v>
      </c>
      <c r="AO30" s="164">
        <v>91.942999999999998</v>
      </c>
      <c r="AP30" s="164">
        <v>0</v>
      </c>
      <c r="AQ30" s="164">
        <v>83.186000000000007</v>
      </c>
      <c r="AR30" s="164">
        <v>2393.2269999999999</v>
      </c>
      <c r="AS30" s="164">
        <v>1526.807</v>
      </c>
      <c r="AT30" s="164">
        <f>SUMIF(X$9:AS$9,"&gt;0",X30:AS30)</f>
        <v>10148.415000000001</v>
      </c>
      <c r="AU30" s="164">
        <f>SUMIF(D$9:AS$9,"&gt;0",D30:AS30)</f>
        <v>30403.068999999992</v>
      </c>
      <c r="AV30" s="163">
        <v>21</v>
      </c>
    </row>
    <row r="31" spans="1:48" ht="15" customHeight="1" x14ac:dyDescent="0.25">
      <c r="A31" s="2"/>
      <c r="B31" s="166">
        <v>22</v>
      </c>
      <c r="C31" s="165" t="s">
        <v>0</v>
      </c>
      <c r="D31" s="164">
        <v>0</v>
      </c>
      <c r="E31" s="164">
        <v>2069.7950000000001</v>
      </c>
      <c r="F31" s="164">
        <v>694.63099999999997</v>
      </c>
      <c r="G31" s="164">
        <v>204.81800000000001</v>
      </c>
      <c r="H31" s="164">
        <v>0</v>
      </c>
      <c r="I31" s="164">
        <v>1274.0229999999999</v>
      </c>
      <c r="J31" s="164">
        <v>402.78300000000002</v>
      </c>
      <c r="K31" s="164">
        <v>836.07</v>
      </c>
      <c r="L31" s="164">
        <v>53.9</v>
      </c>
      <c r="M31" s="164">
        <f>SUMIF(D$9:L$9,"&gt;0",D31:L31)</f>
        <v>5536.0199999999995</v>
      </c>
      <c r="N31" s="164">
        <v>5183.1000000000004</v>
      </c>
      <c r="O31" s="164">
        <v>1335.8679999999999</v>
      </c>
      <c r="P31" s="164">
        <v>928.755</v>
      </c>
      <c r="Q31" s="164">
        <v>0</v>
      </c>
      <c r="R31" s="164">
        <v>7011.5349999999999</v>
      </c>
      <c r="S31" s="164">
        <v>0</v>
      </c>
      <c r="T31" s="164">
        <v>65.402000000000001</v>
      </c>
      <c r="U31" s="164">
        <v>173.06399999999999</v>
      </c>
      <c r="V31" s="164">
        <v>0</v>
      </c>
      <c r="W31" s="164">
        <f>SUMIF(N$9:V$9,"&gt;0",N31:V31)</f>
        <v>14697.724000000002</v>
      </c>
      <c r="X31" s="164">
        <v>390.60599999999999</v>
      </c>
      <c r="Y31" s="164">
        <v>1054.404</v>
      </c>
      <c r="Z31" s="164">
        <v>0</v>
      </c>
      <c r="AA31" s="164">
        <v>5</v>
      </c>
      <c r="AB31" s="164">
        <v>1994.336</v>
      </c>
      <c r="AC31" s="164">
        <v>0</v>
      </c>
      <c r="AD31" s="164">
        <v>0</v>
      </c>
      <c r="AE31" s="164">
        <v>0</v>
      </c>
      <c r="AF31" s="164">
        <v>15</v>
      </c>
      <c r="AG31" s="164">
        <v>253.60599999999999</v>
      </c>
      <c r="AH31" s="164">
        <v>0</v>
      </c>
      <c r="AI31" s="164">
        <v>1290.8219999999999</v>
      </c>
      <c r="AJ31" s="164">
        <v>0</v>
      </c>
      <c r="AK31" s="164">
        <v>0</v>
      </c>
      <c r="AL31" s="164">
        <v>24.472000000000001</v>
      </c>
      <c r="AM31" s="164">
        <v>267.76</v>
      </c>
      <c r="AN31" s="164">
        <v>747.25300000000004</v>
      </c>
      <c r="AO31" s="164">
        <v>91.843000000000004</v>
      </c>
      <c r="AP31" s="164">
        <v>0</v>
      </c>
      <c r="AQ31" s="164">
        <v>83.085999999999999</v>
      </c>
      <c r="AR31" s="164">
        <v>2387.4540000000002</v>
      </c>
      <c r="AS31" s="164">
        <v>1553.2909999999999</v>
      </c>
      <c r="AT31" s="164">
        <f>SUMIF(X$9:AS$9,"&gt;0",X31:AS31)</f>
        <v>10158.932999999999</v>
      </c>
      <c r="AU31" s="164">
        <f>SUMIF(D$9:AS$9,"&gt;0",D31:AS31)</f>
        <v>30392.676999999996</v>
      </c>
      <c r="AV31" s="163">
        <v>22</v>
      </c>
    </row>
    <row r="32" spans="1:48" ht="15" customHeight="1" x14ac:dyDescent="0.25">
      <c r="A32" s="2"/>
      <c r="B32" s="166">
        <v>23</v>
      </c>
      <c r="C32" s="165" t="s">
        <v>0</v>
      </c>
      <c r="D32" s="164">
        <v>0</v>
      </c>
      <c r="E32" s="164">
        <v>2073.9290000000001</v>
      </c>
      <c r="F32" s="164">
        <v>694.48099999999999</v>
      </c>
      <c r="G32" s="164">
        <v>204.80799999999999</v>
      </c>
      <c r="H32" s="164">
        <v>0</v>
      </c>
      <c r="I32" s="164">
        <v>1270.8009999999999</v>
      </c>
      <c r="J32" s="164">
        <v>402.68299999999999</v>
      </c>
      <c r="K32" s="164">
        <v>835.57</v>
      </c>
      <c r="L32" s="164">
        <v>53.85</v>
      </c>
      <c r="M32" s="164">
        <f>SUMIF(D$9:L$9,"&gt;0",D32:L32)</f>
        <v>5536.1220000000003</v>
      </c>
      <c r="N32" s="164">
        <v>5208.2150000000001</v>
      </c>
      <c r="O32" s="164">
        <v>1326.808</v>
      </c>
      <c r="P32" s="164">
        <v>970.28899999999999</v>
      </c>
      <c r="Q32" s="164">
        <v>0</v>
      </c>
      <c r="R32" s="164">
        <v>7011.5950000000003</v>
      </c>
      <c r="S32" s="164">
        <v>0</v>
      </c>
      <c r="T32" s="164">
        <v>65.391999999999996</v>
      </c>
      <c r="U32" s="164">
        <v>173.01400000000001</v>
      </c>
      <c r="V32" s="164">
        <v>0</v>
      </c>
      <c r="W32" s="164">
        <f>SUMIF(N$9:V$9,"&gt;0",N32:V32)</f>
        <v>14755.312999999998</v>
      </c>
      <c r="X32" s="164">
        <v>390.40600000000001</v>
      </c>
      <c r="Y32" s="164">
        <v>1064.595</v>
      </c>
      <c r="Z32" s="164">
        <v>0</v>
      </c>
      <c r="AA32" s="164">
        <v>5</v>
      </c>
      <c r="AB32" s="164">
        <v>1994.8050000000001</v>
      </c>
      <c r="AC32" s="164">
        <v>0</v>
      </c>
      <c r="AD32" s="164">
        <v>0</v>
      </c>
      <c r="AE32" s="164">
        <v>0</v>
      </c>
      <c r="AF32" s="164">
        <v>15</v>
      </c>
      <c r="AG32" s="164">
        <v>253.58600000000001</v>
      </c>
      <c r="AH32" s="164">
        <v>0</v>
      </c>
      <c r="AI32" s="164">
        <v>1288.222</v>
      </c>
      <c r="AJ32" s="164">
        <v>0</v>
      </c>
      <c r="AK32" s="164">
        <v>0</v>
      </c>
      <c r="AL32" s="164">
        <v>24.452000000000002</v>
      </c>
      <c r="AM32" s="164">
        <v>267.66000000000003</v>
      </c>
      <c r="AN32" s="164">
        <v>746.85299999999995</v>
      </c>
      <c r="AO32" s="164">
        <v>91.742999999999995</v>
      </c>
      <c r="AP32" s="164">
        <v>0</v>
      </c>
      <c r="AQ32" s="164">
        <v>82.986000000000004</v>
      </c>
      <c r="AR32" s="164">
        <v>2387.5880000000002</v>
      </c>
      <c r="AS32" s="164">
        <v>1548.395</v>
      </c>
      <c r="AT32" s="164">
        <f>SUMIF(X$9:AS$9,"&gt;0",X32:AS32)</f>
        <v>10161.291000000001</v>
      </c>
      <c r="AU32" s="164">
        <f>SUMIF(D$9:AS$9,"&gt;0",D32:AS32)</f>
        <v>30452.726000000002</v>
      </c>
      <c r="AV32" s="163">
        <v>23</v>
      </c>
    </row>
    <row r="33" spans="1:48" ht="15" customHeight="1" x14ac:dyDescent="0.25">
      <c r="A33" s="2"/>
      <c r="B33" s="166">
        <v>24</v>
      </c>
      <c r="C33" s="165" t="s">
        <v>0</v>
      </c>
      <c r="D33" s="164">
        <v>0</v>
      </c>
      <c r="E33" s="164">
        <v>2095.424</v>
      </c>
      <c r="F33" s="164">
        <v>694.33100000000002</v>
      </c>
      <c r="G33" s="164">
        <v>204.798</v>
      </c>
      <c r="H33" s="164">
        <v>0</v>
      </c>
      <c r="I33" s="164">
        <v>1272.136</v>
      </c>
      <c r="J33" s="164">
        <v>402.58300000000003</v>
      </c>
      <c r="K33" s="164">
        <v>835.07</v>
      </c>
      <c r="L33" s="164">
        <v>53.8</v>
      </c>
      <c r="M33" s="164">
        <f>SUMIF(D$9:L$9,"&gt;0",D33:L33)</f>
        <v>5558.1419999999998</v>
      </c>
      <c r="N33" s="164">
        <v>5229.6689999999999</v>
      </c>
      <c r="O33" s="164">
        <v>1317.748</v>
      </c>
      <c r="P33" s="164">
        <v>968.78899999999999</v>
      </c>
      <c r="Q33" s="164">
        <v>0</v>
      </c>
      <c r="R33" s="164">
        <v>7011.6589999999997</v>
      </c>
      <c r="S33" s="164">
        <v>0</v>
      </c>
      <c r="T33" s="164">
        <v>65.382000000000005</v>
      </c>
      <c r="U33" s="164">
        <v>172.964</v>
      </c>
      <c r="V33" s="164">
        <v>0</v>
      </c>
      <c r="W33" s="164">
        <f>SUMIF(N$9:V$9,"&gt;0",N33:V33)</f>
        <v>14766.210999999998</v>
      </c>
      <c r="X33" s="164">
        <v>390.20600000000002</v>
      </c>
      <c r="Y33" s="164">
        <v>1071.9449999999999</v>
      </c>
      <c r="Z33" s="164">
        <v>0</v>
      </c>
      <c r="AA33" s="164">
        <v>5</v>
      </c>
      <c r="AB33" s="164">
        <v>1995.2529999999999</v>
      </c>
      <c r="AC33" s="164">
        <v>0</v>
      </c>
      <c r="AD33" s="164">
        <v>0</v>
      </c>
      <c r="AE33" s="164">
        <v>0</v>
      </c>
      <c r="AF33" s="164">
        <v>15</v>
      </c>
      <c r="AG33" s="164">
        <v>253.566</v>
      </c>
      <c r="AH33" s="164">
        <v>0</v>
      </c>
      <c r="AI33" s="164">
        <v>1285.6220000000001</v>
      </c>
      <c r="AJ33" s="164">
        <v>0</v>
      </c>
      <c r="AK33" s="164">
        <v>0</v>
      </c>
      <c r="AL33" s="164">
        <v>24.431999999999999</v>
      </c>
      <c r="AM33" s="164">
        <v>267.56</v>
      </c>
      <c r="AN33" s="164">
        <v>750.45299999999997</v>
      </c>
      <c r="AO33" s="164">
        <v>91.643000000000001</v>
      </c>
      <c r="AP33" s="164">
        <v>0</v>
      </c>
      <c r="AQ33" s="164">
        <v>81.786000000000001</v>
      </c>
      <c r="AR33" s="164">
        <v>2384.4009999999998</v>
      </c>
      <c r="AS33" s="164">
        <v>1553.2070000000001</v>
      </c>
      <c r="AT33" s="164">
        <f>SUMIF(X$9:AS$9,"&gt;0",X33:AS33)</f>
        <v>10170.074000000001</v>
      </c>
      <c r="AU33" s="164">
        <f>SUMIF(D$9:AS$9,"&gt;0",D33:AS33)</f>
        <v>30494.427</v>
      </c>
      <c r="AV33" s="163">
        <v>24</v>
      </c>
    </row>
    <row r="34" spans="1:48" ht="15" customHeight="1" x14ac:dyDescent="0.25">
      <c r="A34" s="2"/>
      <c r="B34" s="166">
        <v>25</v>
      </c>
      <c r="C34" s="165" t="s">
        <v>0</v>
      </c>
      <c r="D34" s="164">
        <v>0</v>
      </c>
      <c r="E34" s="164">
        <v>2153.0340000000001</v>
      </c>
      <c r="F34" s="164">
        <v>694.18100000000004</v>
      </c>
      <c r="G34" s="164">
        <v>204.78800000000001</v>
      </c>
      <c r="H34" s="164">
        <v>0</v>
      </c>
      <c r="I34" s="164">
        <v>301.72300000000001</v>
      </c>
      <c r="J34" s="164">
        <v>378.78300000000002</v>
      </c>
      <c r="K34" s="164">
        <v>834.57</v>
      </c>
      <c r="L34" s="164">
        <v>23.753</v>
      </c>
      <c r="M34" s="164">
        <f>SUMIF(D$9:L$9,"&gt;0",D34:L34)</f>
        <v>4590.8319999999994</v>
      </c>
      <c r="N34" s="164">
        <v>5204.0770000000002</v>
      </c>
      <c r="O34" s="164">
        <v>1303.375</v>
      </c>
      <c r="P34" s="164">
        <v>933.42600000000004</v>
      </c>
      <c r="Q34" s="164">
        <v>0</v>
      </c>
      <c r="R34" s="164">
        <v>7006.7150000000001</v>
      </c>
      <c r="S34" s="164">
        <v>0</v>
      </c>
      <c r="T34" s="164">
        <v>65.372</v>
      </c>
      <c r="U34" s="164">
        <v>177.91399999999999</v>
      </c>
      <c r="V34" s="164">
        <v>0</v>
      </c>
      <c r="W34" s="164">
        <f>SUMIF(N$9:V$9,"&gt;0",N34:V34)</f>
        <v>14690.879000000001</v>
      </c>
      <c r="X34" s="164">
        <v>390.00599999999997</v>
      </c>
      <c r="Y34" s="164">
        <v>1048.962</v>
      </c>
      <c r="Z34" s="164">
        <v>0</v>
      </c>
      <c r="AA34" s="164">
        <v>5</v>
      </c>
      <c r="AB34" s="164">
        <v>1995.0730000000001</v>
      </c>
      <c r="AC34" s="164">
        <v>0</v>
      </c>
      <c r="AD34" s="164">
        <v>0</v>
      </c>
      <c r="AE34" s="164">
        <v>0</v>
      </c>
      <c r="AF34" s="164">
        <v>15</v>
      </c>
      <c r="AG34" s="164">
        <v>253.54599999999999</v>
      </c>
      <c r="AH34" s="164">
        <v>0</v>
      </c>
      <c r="AI34" s="164">
        <v>1283.0219999999999</v>
      </c>
      <c r="AJ34" s="164">
        <v>0</v>
      </c>
      <c r="AK34" s="164">
        <v>0</v>
      </c>
      <c r="AL34" s="164">
        <v>24.411999999999999</v>
      </c>
      <c r="AM34" s="164">
        <v>267.45999999999998</v>
      </c>
      <c r="AN34" s="164">
        <v>778.15800000000002</v>
      </c>
      <c r="AO34" s="164">
        <v>110.54300000000001</v>
      </c>
      <c r="AP34" s="164">
        <v>0</v>
      </c>
      <c r="AQ34" s="164">
        <v>81.686000000000007</v>
      </c>
      <c r="AR34" s="164">
        <v>2381.2739999999999</v>
      </c>
      <c r="AS34" s="164">
        <v>1533.394</v>
      </c>
      <c r="AT34" s="164">
        <f>SUMIF(X$9:AS$9,"&gt;0",X34:AS34)</f>
        <v>10167.536</v>
      </c>
      <c r="AU34" s="164">
        <f>SUMIF(D$9:AS$9,"&gt;0",D34:AS34)</f>
        <v>29449.247000000003</v>
      </c>
      <c r="AV34" s="163">
        <v>25</v>
      </c>
    </row>
    <row r="35" spans="1:48" ht="15" customHeight="1" x14ac:dyDescent="0.25">
      <c r="A35" s="2"/>
      <c r="B35" s="166">
        <v>26</v>
      </c>
      <c r="C35" s="165" t="s">
        <v>0</v>
      </c>
      <c r="D35" s="164">
        <v>0</v>
      </c>
      <c r="E35" s="164">
        <v>2150.2339999999999</v>
      </c>
      <c r="F35" s="164">
        <v>694.03099999999995</v>
      </c>
      <c r="G35" s="164">
        <v>204.77799999999999</v>
      </c>
      <c r="H35" s="164">
        <v>0</v>
      </c>
      <c r="I35" s="164">
        <v>1273.922</v>
      </c>
      <c r="J35" s="164">
        <v>401.46699999999998</v>
      </c>
      <c r="K35" s="164">
        <v>834.07</v>
      </c>
      <c r="L35" s="164">
        <v>53.7</v>
      </c>
      <c r="M35" s="164">
        <f>SUMIF(D$9:L$9,"&gt;0",D35:L35)</f>
        <v>5612.2019999999993</v>
      </c>
      <c r="N35" s="164">
        <v>5239.0709999999999</v>
      </c>
      <c r="O35" s="164">
        <v>1299.6279999999999</v>
      </c>
      <c r="P35" s="164">
        <v>988.78899999999999</v>
      </c>
      <c r="Q35" s="164">
        <v>0</v>
      </c>
      <c r="R35" s="164">
        <v>7006.7749999999996</v>
      </c>
      <c r="S35" s="164">
        <v>0</v>
      </c>
      <c r="T35" s="164">
        <v>65.361999999999995</v>
      </c>
      <c r="U35" s="164">
        <v>177.864</v>
      </c>
      <c r="V35" s="164">
        <v>0</v>
      </c>
      <c r="W35" s="164">
        <f>SUMIF(N$9:V$9,"&gt;0",N35:V35)</f>
        <v>14777.488999999998</v>
      </c>
      <c r="X35" s="164">
        <v>389.80599999999998</v>
      </c>
      <c r="Y35" s="164">
        <v>1078.0450000000001</v>
      </c>
      <c r="Z35" s="164">
        <v>0</v>
      </c>
      <c r="AA35" s="164">
        <v>5</v>
      </c>
      <c r="AB35" s="164">
        <v>1991.5609999999999</v>
      </c>
      <c r="AC35" s="164">
        <v>0</v>
      </c>
      <c r="AD35" s="164">
        <v>0</v>
      </c>
      <c r="AE35" s="164">
        <v>0</v>
      </c>
      <c r="AF35" s="164">
        <v>15</v>
      </c>
      <c r="AG35" s="164">
        <v>253.52600000000001</v>
      </c>
      <c r="AH35" s="164">
        <v>0</v>
      </c>
      <c r="AI35" s="164">
        <v>1280.422</v>
      </c>
      <c r="AJ35" s="164">
        <v>0</v>
      </c>
      <c r="AK35" s="164">
        <v>0</v>
      </c>
      <c r="AL35" s="164">
        <v>24.391999999999999</v>
      </c>
      <c r="AM35" s="164">
        <v>267.36</v>
      </c>
      <c r="AN35" s="164">
        <v>779.65300000000002</v>
      </c>
      <c r="AO35" s="164">
        <v>110.443</v>
      </c>
      <c r="AP35" s="164">
        <v>0</v>
      </c>
      <c r="AQ35" s="164">
        <v>80.486000000000004</v>
      </c>
      <c r="AR35" s="164">
        <v>2377.9740000000002</v>
      </c>
      <c r="AS35" s="164">
        <v>1550.807</v>
      </c>
      <c r="AT35" s="164">
        <f>SUMIF(X$9:AS$9,"&gt;0",X35:AS35)</f>
        <v>10204.475000000002</v>
      </c>
      <c r="AU35" s="164">
        <f>SUMIF(D$9:AS$9,"&gt;0",D35:AS35)</f>
        <v>30594.166000000005</v>
      </c>
      <c r="AV35" s="163">
        <v>26</v>
      </c>
    </row>
    <row r="36" spans="1:48" ht="15" customHeight="1" x14ac:dyDescent="0.25">
      <c r="A36" s="2"/>
      <c r="B36" s="166">
        <v>27</v>
      </c>
      <c r="C36" s="165" t="s">
        <v>0</v>
      </c>
      <c r="D36" s="164">
        <v>0</v>
      </c>
      <c r="E36" s="164">
        <v>2142.4340000000002</v>
      </c>
      <c r="F36" s="164">
        <v>693.88099999999997</v>
      </c>
      <c r="G36" s="164">
        <v>204.768</v>
      </c>
      <c r="H36" s="164">
        <v>0</v>
      </c>
      <c r="I36" s="164">
        <v>1275.5319999999999</v>
      </c>
      <c r="J36" s="164">
        <v>398.84199999999998</v>
      </c>
      <c r="K36" s="164">
        <v>833.57</v>
      </c>
      <c r="L36" s="164">
        <v>53.65</v>
      </c>
      <c r="M36" s="164">
        <f>SUMIF(D$9:L$9,"&gt;0",D36:L36)</f>
        <v>5602.6769999999988</v>
      </c>
      <c r="N36" s="164">
        <v>5217.3779999999997</v>
      </c>
      <c r="O36" s="164">
        <v>1290.568</v>
      </c>
      <c r="P36" s="164">
        <v>1005.5890000000001</v>
      </c>
      <c r="Q36" s="164">
        <v>0</v>
      </c>
      <c r="R36" s="164">
        <v>7006.8360000000002</v>
      </c>
      <c r="S36" s="164">
        <v>0</v>
      </c>
      <c r="T36" s="164">
        <v>65.352000000000004</v>
      </c>
      <c r="U36" s="164">
        <v>177.81399999999999</v>
      </c>
      <c r="V36" s="164">
        <v>0</v>
      </c>
      <c r="W36" s="164">
        <f>SUMIF(N$9:V$9,"&gt;0",N36:V36)</f>
        <v>14763.537</v>
      </c>
      <c r="X36" s="164">
        <v>368.00599999999997</v>
      </c>
      <c r="Y36" s="164">
        <v>1091.7950000000001</v>
      </c>
      <c r="Z36" s="164">
        <v>0</v>
      </c>
      <c r="AA36" s="164">
        <v>5</v>
      </c>
      <c r="AB36" s="164">
        <v>2004.4849999999999</v>
      </c>
      <c r="AC36" s="164">
        <v>0</v>
      </c>
      <c r="AD36" s="164">
        <v>0</v>
      </c>
      <c r="AE36" s="164">
        <v>0</v>
      </c>
      <c r="AF36" s="164">
        <v>15</v>
      </c>
      <c r="AG36" s="164">
        <v>253.506</v>
      </c>
      <c r="AH36" s="164">
        <v>0</v>
      </c>
      <c r="AI36" s="164">
        <v>1277.8219999999999</v>
      </c>
      <c r="AJ36" s="164">
        <v>0</v>
      </c>
      <c r="AK36" s="164">
        <v>0</v>
      </c>
      <c r="AL36" s="164">
        <v>24.372</v>
      </c>
      <c r="AM36" s="164">
        <v>267.26</v>
      </c>
      <c r="AN36" s="164">
        <v>779.25300000000004</v>
      </c>
      <c r="AO36" s="164">
        <v>110.343</v>
      </c>
      <c r="AP36" s="164">
        <v>0</v>
      </c>
      <c r="AQ36" s="164">
        <v>80.385999999999996</v>
      </c>
      <c r="AR36" s="164">
        <v>2374.674</v>
      </c>
      <c r="AS36" s="164">
        <v>1549.607</v>
      </c>
      <c r="AT36" s="164">
        <f>SUMIF(X$9:AS$9,"&gt;0",X36:AS36)</f>
        <v>10201.509</v>
      </c>
      <c r="AU36" s="164">
        <f>SUMIF(D$9:AS$9,"&gt;0",D36:AS36)</f>
        <v>30567.722999999998</v>
      </c>
      <c r="AV36" s="163">
        <v>27</v>
      </c>
    </row>
    <row r="37" spans="1:48" ht="15" customHeight="1" x14ac:dyDescent="0.25">
      <c r="A37" s="2"/>
      <c r="B37" s="166">
        <v>28</v>
      </c>
      <c r="C37" s="165" t="s">
        <v>0</v>
      </c>
      <c r="D37" s="164">
        <v>0</v>
      </c>
      <c r="E37" s="164">
        <v>2134.634</v>
      </c>
      <c r="F37" s="164">
        <v>693.73099999999999</v>
      </c>
      <c r="G37" s="164">
        <v>204.75800000000001</v>
      </c>
      <c r="H37" s="164">
        <v>0</v>
      </c>
      <c r="I37" s="164">
        <v>1274.7840000000001</v>
      </c>
      <c r="J37" s="164">
        <v>402.18299999999999</v>
      </c>
      <c r="K37" s="164">
        <v>832.90300000000002</v>
      </c>
      <c r="L37" s="164">
        <v>53.6</v>
      </c>
      <c r="M37" s="164">
        <f>SUMIF(D$9:L$9,"&gt;0",D37:L37)</f>
        <v>5596.5929999999998</v>
      </c>
      <c r="N37" s="164">
        <v>5155.1549999999997</v>
      </c>
      <c r="O37" s="164">
        <v>1287.508</v>
      </c>
      <c r="P37" s="164">
        <v>1004.0890000000001</v>
      </c>
      <c r="Q37" s="164">
        <v>0</v>
      </c>
      <c r="R37" s="164">
        <v>7006.8919999999998</v>
      </c>
      <c r="S37" s="164">
        <v>0</v>
      </c>
      <c r="T37" s="164">
        <v>65.341999999999999</v>
      </c>
      <c r="U37" s="164">
        <v>177.76400000000001</v>
      </c>
      <c r="V37" s="164">
        <v>0</v>
      </c>
      <c r="W37" s="164">
        <f>SUMIF(N$9:V$9,"&gt;0",N37:V37)</f>
        <v>14696.75</v>
      </c>
      <c r="X37" s="164">
        <v>367.80599999999998</v>
      </c>
      <c r="Y37" s="164">
        <v>1091.345</v>
      </c>
      <c r="Z37" s="164">
        <v>0</v>
      </c>
      <c r="AA37" s="164">
        <v>5</v>
      </c>
      <c r="AB37" s="164">
        <v>2004.9110000000001</v>
      </c>
      <c r="AC37" s="164">
        <v>0</v>
      </c>
      <c r="AD37" s="164">
        <v>0</v>
      </c>
      <c r="AE37" s="164">
        <v>0</v>
      </c>
      <c r="AF37" s="164">
        <v>15</v>
      </c>
      <c r="AG37" s="164">
        <v>253.48599999999999</v>
      </c>
      <c r="AH37" s="164">
        <v>0</v>
      </c>
      <c r="AI37" s="164">
        <v>1275.222</v>
      </c>
      <c r="AJ37" s="164">
        <v>0</v>
      </c>
      <c r="AK37" s="164">
        <v>0</v>
      </c>
      <c r="AL37" s="164">
        <v>24.352</v>
      </c>
      <c r="AM37" s="164">
        <v>267.16000000000003</v>
      </c>
      <c r="AN37" s="164">
        <v>799.37</v>
      </c>
      <c r="AO37" s="164">
        <v>110.24299999999999</v>
      </c>
      <c r="AP37" s="164">
        <v>0</v>
      </c>
      <c r="AQ37" s="164">
        <v>80.286000000000001</v>
      </c>
      <c r="AR37" s="164">
        <v>2370.3719999999998</v>
      </c>
      <c r="AS37" s="164">
        <v>1548.4069999999999</v>
      </c>
      <c r="AT37" s="164">
        <f>SUMIF(X$9:AS$9,"&gt;0",X37:AS37)</f>
        <v>10212.959999999999</v>
      </c>
      <c r="AU37" s="164">
        <f>SUMIF(D$9:AS$9,"&gt;0",D37:AS37)</f>
        <v>30506.303</v>
      </c>
      <c r="AV37" s="163">
        <v>28</v>
      </c>
    </row>
    <row r="38" spans="1:48" ht="15" customHeight="1" x14ac:dyDescent="0.25">
      <c r="A38" s="2"/>
      <c r="B38" s="166">
        <v>29</v>
      </c>
      <c r="C38" s="165" t="s">
        <v>0</v>
      </c>
      <c r="D38" s="164">
        <v>0</v>
      </c>
      <c r="E38" s="164">
        <v>2226.8339999999998</v>
      </c>
      <c r="F38" s="164">
        <v>693.58100000000002</v>
      </c>
      <c r="G38" s="164">
        <v>204.74799999999999</v>
      </c>
      <c r="H38" s="164">
        <v>0</v>
      </c>
      <c r="I38" s="164">
        <v>1278.596</v>
      </c>
      <c r="J38" s="164">
        <v>402.08300000000003</v>
      </c>
      <c r="K38" s="164">
        <v>832.57</v>
      </c>
      <c r="L38" s="164">
        <v>53.55</v>
      </c>
      <c r="M38" s="164">
        <f>SUMIF(D$9:L$9,"&gt;0",D38:L38)</f>
        <v>5691.9619999999995</v>
      </c>
      <c r="N38" s="164">
        <v>5226.848</v>
      </c>
      <c r="O38" s="164">
        <v>1284.4480000000001</v>
      </c>
      <c r="P38" s="164">
        <v>1002.5890000000001</v>
      </c>
      <c r="Q38" s="164">
        <v>0</v>
      </c>
      <c r="R38" s="164">
        <v>7006.9549999999999</v>
      </c>
      <c r="S38" s="164">
        <v>0</v>
      </c>
      <c r="T38" s="164">
        <v>65.331999999999994</v>
      </c>
      <c r="U38" s="164">
        <v>177.714</v>
      </c>
      <c r="V38" s="164">
        <v>0</v>
      </c>
      <c r="W38" s="164">
        <f>SUMIF(N$9:V$9,"&gt;0",N38:V38)</f>
        <v>14763.886</v>
      </c>
      <c r="X38" s="164">
        <v>367.60599999999999</v>
      </c>
      <c r="Y38" s="164">
        <v>1090.895</v>
      </c>
      <c r="Z38" s="164">
        <v>0</v>
      </c>
      <c r="AA38" s="164">
        <v>5</v>
      </c>
      <c r="AB38" s="164">
        <v>1999.2470000000001</v>
      </c>
      <c r="AC38" s="164">
        <v>0</v>
      </c>
      <c r="AD38" s="164">
        <v>0</v>
      </c>
      <c r="AE38" s="164">
        <v>0</v>
      </c>
      <c r="AF38" s="164">
        <v>15</v>
      </c>
      <c r="AG38" s="164">
        <v>253.46600000000001</v>
      </c>
      <c r="AH38" s="164">
        <v>0</v>
      </c>
      <c r="AI38" s="164">
        <v>1272.6220000000001</v>
      </c>
      <c r="AJ38" s="164">
        <v>0</v>
      </c>
      <c r="AK38" s="164">
        <v>0</v>
      </c>
      <c r="AL38" s="164">
        <v>24.332000000000001</v>
      </c>
      <c r="AM38" s="164">
        <v>267.06</v>
      </c>
      <c r="AN38" s="164">
        <v>794.97</v>
      </c>
      <c r="AO38" s="164">
        <v>120.143</v>
      </c>
      <c r="AP38" s="164">
        <v>0</v>
      </c>
      <c r="AQ38" s="164">
        <v>79.085999999999999</v>
      </c>
      <c r="AR38" s="164">
        <v>2368.0740000000001</v>
      </c>
      <c r="AS38" s="164">
        <v>1547.2070000000001</v>
      </c>
      <c r="AT38" s="164">
        <f>SUMIF(X$9:AS$9,"&gt;0",X38:AS38)</f>
        <v>10204.708000000002</v>
      </c>
      <c r="AU38" s="164">
        <f>SUMIF(D$9:AS$9,"&gt;0",D38:AS38)</f>
        <v>30660.555999999997</v>
      </c>
      <c r="AV38" s="163">
        <v>29</v>
      </c>
    </row>
    <row r="39" spans="1:48" ht="15" customHeight="1" x14ac:dyDescent="0.25">
      <c r="A39" s="2"/>
      <c r="B39" s="166">
        <v>30</v>
      </c>
      <c r="C39" s="165" t="s">
        <v>0</v>
      </c>
      <c r="D39" s="164">
        <v>0</v>
      </c>
      <c r="E39" s="164">
        <v>2259.0340000000001</v>
      </c>
      <c r="F39" s="164">
        <v>693.43100000000004</v>
      </c>
      <c r="G39" s="164">
        <v>204.738</v>
      </c>
      <c r="H39" s="164">
        <v>0</v>
      </c>
      <c r="I39" s="164">
        <v>1294.8530000000001</v>
      </c>
      <c r="J39" s="164">
        <v>401.983</v>
      </c>
      <c r="K39" s="164">
        <v>832.07</v>
      </c>
      <c r="L39" s="164">
        <v>53.5</v>
      </c>
      <c r="M39" s="164">
        <f>SUMIF(D$9:L$9,"&gt;0",D39:L39)</f>
        <v>5739.6090000000004</v>
      </c>
      <c r="N39" s="164">
        <v>5204.9840000000004</v>
      </c>
      <c r="O39" s="164">
        <v>1345.3879999999999</v>
      </c>
      <c r="P39" s="164">
        <v>1001.0890000000001</v>
      </c>
      <c r="Q39" s="164">
        <v>0</v>
      </c>
      <c r="R39" s="164">
        <v>7007.0150000000003</v>
      </c>
      <c r="S39" s="164">
        <v>0</v>
      </c>
      <c r="T39" s="164">
        <v>65.322000000000003</v>
      </c>
      <c r="U39" s="164">
        <v>177.66399999999999</v>
      </c>
      <c r="V39" s="164">
        <v>0</v>
      </c>
      <c r="W39" s="164">
        <f>SUMIF(N$9:V$9,"&gt;0",N39:V39)</f>
        <v>14801.462000000001</v>
      </c>
      <c r="X39" s="164">
        <v>367.40600000000001</v>
      </c>
      <c r="Y39" s="164">
        <v>1085.155</v>
      </c>
      <c r="Z39" s="164">
        <v>0</v>
      </c>
      <c r="AA39" s="164">
        <v>5</v>
      </c>
      <c r="AB39" s="164">
        <v>2004.5509999999999</v>
      </c>
      <c r="AC39" s="164">
        <v>0</v>
      </c>
      <c r="AD39" s="164">
        <v>0</v>
      </c>
      <c r="AE39" s="164">
        <v>0</v>
      </c>
      <c r="AF39" s="164">
        <v>15</v>
      </c>
      <c r="AG39" s="164">
        <v>253.446</v>
      </c>
      <c r="AH39" s="164">
        <v>0</v>
      </c>
      <c r="AI39" s="164">
        <v>1270.0219999999999</v>
      </c>
      <c r="AJ39" s="164">
        <v>0</v>
      </c>
      <c r="AK39" s="164">
        <v>0</v>
      </c>
      <c r="AL39" s="164">
        <v>19.411999999999999</v>
      </c>
      <c r="AM39" s="164">
        <v>266.95999999999998</v>
      </c>
      <c r="AN39" s="164">
        <v>800.67</v>
      </c>
      <c r="AO39" s="164">
        <v>120.04300000000001</v>
      </c>
      <c r="AP39" s="164">
        <v>0</v>
      </c>
      <c r="AQ39" s="164">
        <v>78.986000000000004</v>
      </c>
      <c r="AR39" s="164">
        <v>2364.7739999999999</v>
      </c>
      <c r="AS39" s="164">
        <v>1546.0070000000001</v>
      </c>
      <c r="AT39" s="164">
        <f>SUMIF(X$9:AS$9,"&gt;0",X39:AS39)</f>
        <v>10197.431999999999</v>
      </c>
      <c r="AU39" s="164">
        <f>SUMIF(D$9:AS$9,"&gt;0",D39:AS39)</f>
        <v>30738.503000000001</v>
      </c>
      <c r="AV39" s="163">
        <v>30</v>
      </c>
    </row>
    <row r="40" spans="1:48" ht="15" customHeight="1" thickBot="1" x14ac:dyDescent="0.3">
      <c r="A40" s="2"/>
      <c r="B40" s="166">
        <v>31</v>
      </c>
      <c r="C40" s="165" t="s">
        <v>0</v>
      </c>
      <c r="D40" s="164">
        <v>0</v>
      </c>
      <c r="E40" s="164">
        <v>2249.7339999999999</v>
      </c>
      <c r="F40" s="164">
        <v>693.28099999999995</v>
      </c>
      <c r="G40" s="164">
        <v>206.72800000000001</v>
      </c>
      <c r="H40" s="164">
        <v>0</v>
      </c>
      <c r="I40" s="164">
        <v>1293.44</v>
      </c>
      <c r="J40" s="164">
        <v>401.88299999999998</v>
      </c>
      <c r="K40" s="164">
        <v>831.57</v>
      </c>
      <c r="L40" s="164">
        <v>53.45</v>
      </c>
      <c r="M40" s="164">
        <f>SUMIF(D$9:L$9,"&gt;0",D40:L40)</f>
        <v>5730.0859999999993</v>
      </c>
      <c r="N40" s="164">
        <v>5226.665</v>
      </c>
      <c r="O40" s="164">
        <v>1445.328</v>
      </c>
      <c r="P40" s="164">
        <v>999.58900000000006</v>
      </c>
      <c r="Q40" s="164">
        <v>0</v>
      </c>
      <c r="R40" s="164">
        <v>7007.1149999999998</v>
      </c>
      <c r="S40" s="164">
        <v>0</v>
      </c>
      <c r="T40" s="164">
        <v>65.311999999999998</v>
      </c>
      <c r="U40" s="164">
        <v>177.614</v>
      </c>
      <c r="V40" s="164">
        <v>0</v>
      </c>
      <c r="W40" s="164">
        <f>SUMIF(N$9:V$9,"&gt;0",N40:V40)</f>
        <v>14921.623</v>
      </c>
      <c r="X40" s="164">
        <v>357.90600000000001</v>
      </c>
      <c r="Y40" s="164">
        <v>1080.595</v>
      </c>
      <c r="Z40" s="164">
        <v>0</v>
      </c>
      <c r="AA40" s="164">
        <v>5</v>
      </c>
      <c r="AB40" s="164">
        <v>2019.5709999999999</v>
      </c>
      <c r="AC40" s="164">
        <v>0</v>
      </c>
      <c r="AD40" s="164">
        <v>0</v>
      </c>
      <c r="AE40" s="164">
        <v>0</v>
      </c>
      <c r="AF40" s="164">
        <v>15</v>
      </c>
      <c r="AG40" s="164">
        <v>253.42599999999999</v>
      </c>
      <c r="AH40" s="164">
        <v>0</v>
      </c>
      <c r="AI40" s="164">
        <v>1244.1210000000001</v>
      </c>
      <c r="AJ40" s="164">
        <v>0</v>
      </c>
      <c r="AK40" s="164">
        <v>0</v>
      </c>
      <c r="AL40" s="164">
        <v>24.292000000000002</v>
      </c>
      <c r="AM40" s="164">
        <v>260.95999999999998</v>
      </c>
      <c r="AN40" s="164">
        <v>806.27</v>
      </c>
      <c r="AO40" s="164">
        <v>119.943</v>
      </c>
      <c r="AP40" s="164">
        <v>0</v>
      </c>
      <c r="AQ40" s="164">
        <v>84.986000000000004</v>
      </c>
      <c r="AR40" s="164">
        <v>2364.2739999999999</v>
      </c>
      <c r="AS40" s="164">
        <v>1551.807</v>
      </c>
      <c r="AT40" s="164">
        <f>SUMIF(X$9:AS$9,"&gt;0",X40:AS40)</f>
        <v>10188.151000000002</v>
      </c>
      <c r="AU40" s="164">
        <f>SUMIF(D$9:AS$9,"&gt;0",D40:AS40)</f>
        <v>30839.860000000004</v>
      </c>
      <c r="AV40" s="163">
        <v>31</v>
      </c>
    </row>
    <row r="41" spans="1:48" ht="15" customHeight="1" x14ac:dyDescent="0.25">
      <c r="A41" s="2"/>
      <c r="B41" s="162" t="s">
        <v>212</v>
      </c>
      <c r="C41" s="161" t="s">
        <v>209</v>
      </c>
      <c r="D41" s="160">
        <f>SUM(D$10:D40)/1000</f>
        <v>0</v>
      </c>
      <c r="E41" s="160">
        <f>SUM(E$10:E40)/1000</f>
        <v>66.329534999999993</v>
      </c>
      <c r="F41" s="160">
        <f>SUM(F$10:F40)/1000</f>
        <v>21.539560999999999</v>
      </c>
      <c r="G41" s="160">
        <f>SUM(G$10:G40)/1000</f>
        <v>6.3417290000000008</v>
      </c>
      <c r="H41" s="160">
        <f>SUM(H$10:H40)/1000</f>
        <v>0</v>
      </c>
      <c r="I41" s="160">
        <f>SUM(I$10:I40)/1000</f>
        <v>37.491737000000001</v>
      </c>
      <c r="J41" s="160">
        <f>SUM(J$10:J40)/1000</f>
        <v>12.463640999999999</v>
      </c>
      <c r="K41" s="160">
        <f>SUM(K$10:K40)/1000</f>
        <v>25.785719999999994</v>
      </c>
      <c r="L41" s="160">
        <f>SUM(L$10:L40)/1000</f>
        <v>1.6502029999999999</v>
      </c>
      <c r="M41" s="160">
        <f>SUM(M$10:M40)/1000</f>
        <v>171.60212599999997</v>
      </c>
      <c r="N41" s="160">
        <f>SUM(N$10:N40)/1000</f>
        <v>161.43313900000001</v>
      </c>
      <c r="O41" s="160">
        <f>SUM(O$10:O40)/1000</f>
        <v>39.843609999999998</v>
      </c>
      <c r="P41" s="160">
        <f>SUM(P$10:P40)/1000</f>
        <v>29.530113000000004</v>
      </c>
      <c r="Q41" s="160">
        <f>SUM(Q$10:Q40)/1000</f>
        <v>0</v>
      </c>
      <c r="R41" s="160">
        <f>SUM(R$10:R40)/1000</f>
        <v>216.909415</v>
      </c>
      <c r="S41" s="160">
        <f>SUM(S$10:S40)/1000</f>
        <v>0</v>
      </c>
      <c r="T41" s="160">
        <f>SUM(T$10:T40)/1000</f>
        <v>1.9957220000000007</v>
      </c>
      <c r="U41" s="160">
        <f>SUM(U$10:U40)/1000</f>
        <v>5.3126819999999988</v>
      </c>
      <c r="V41" s="160">
        <f>SUM(V$10:V40)/1000</f>
        <v>0</v>
      </c>
      <c r="W41" s="160">
        <f>SUM(W$10:W40)/1000</f>
        <v>455.02468100000004</v>
      </c>
      <c r="X41" s="160">
        <f>SUM(X$10:X40)/1000</f>
        <v>12.028686000000002</v>
      </c>
      <c r="Y41" s="160">
        <f>SUM(Y$10:Y40)/1000</f>
        <v>33.330359999999999</v>
      </c>
      <c r="Z41" s="160">
        <f>SUM(Z$10:Z40)/1000</f>
        <v>0</v>
      </c>
      <c r="AA41" s="160">
        <f>SUM(AA$10:AA40)/1000</f>
        <v>0.155</v>
      </c>
      <c r="AB41" s="160">
        <f>SUM(AB$10:AB40)/1000</f>
        <v>61.928785000000005</v>
      </c>
      <c r="AC41" s="160">
        <f>SUM(AC$10:AC40)/1000</f>
        <v>0</v>
      </c>
      <c r="AD41" s="160">
        <f>SUM(AD$10:AD40)/1000</f>
        <v>0</v>
      </c>
      <c r="AE41" s="160">
        <f>SUM(AE$10:AE40)/1000</f>
        <v>0</v>
      </c>
      <c r="AF41" s="160">
        <f>SUM(AF$10:AF40)/1000</f>
        <v>0.46500000000000002</v>
      </c>
      <c r="AG41" s="160">
        <f>SUM(AG$10:AG40)/1000</f>
        <v>7.8572730000000002</v>
      </c>
      <c r="AH41" s="160">
        <f>SUM(AH$10:AH40)/1000</f>
        <v>0</v>
      </c>
      <c r="AI41" s="160">
        <f>SUM(AI$10:AI40)/1000</f>
        <v>39.840923000000004</v>
      </c>
      <c r="AJ41" s="160">
        <f>SUM(AJ$10:AJ40)/1000</f>
        <v>0</v>
      </c>
      <c r="AK41" s="160">
        <f>SUM(AK$10:AK40)/1000</f>
        <v>0</v>
      </c>
      <c r="AL41" s="160">
        <f>SUM(AL$10:AL40)/1000</f>
        <v>0.72315200000000013</v>
      </c>
      <c r="AM41" s="160">
        <f>SUM(AM$10:AM40)/1000</f>
        <v>8.1628480000000003</v>
      </c>
      <c r="AN41" s="160">
        <f>SUM(AN$10:AN40)/1000</f>
        <v>23.293140000000001</v>
      </c>
      <c r="AO41" s="160">
        <f>SUM(AO$10:AO40)/1000</f>
        <v>2.7769770000000009</v>
      </c>
      <c r="AP41" s="160">
        <f>SUM(AP$10:AP40)/1000</f>
        <v>0</v>
      </c>
      <c r="AQ41" s="160">
        <f>SUM(AQ$10:AQ40)/1000</f>
        <v>2.6387859999999996</v>
      </c>
      <c r="AR41" s="160">
        <f>SUM(AR$10:AR40)/1000</f>
        <v>74.495913999999985</v>
      </c>
      <c r="AS41" s="160">
        <f>SUM(AS$10:AS40)/1000</f>
        <v>47.481479999999998</v>
      </c>
      <c r="AT41" s="160">
        <f>SUM(AT$10:AT40)/1000</f>
        <v>315.17832399999998</v>
      </c>
      <c r="AU41" s="160">
        <f>SUM(AU$10:AU40)/1000</f>
        <v>941.80513099999996</v>
      </c>
      <c r="AV41" s="2"/>
    </row>
    <row r="42" spans="1:48" ht="15" customHeight="1" x14ac:dyDescent="0.25">
      <c r="A42" s="2"/>
      <c r="B42" s="3"/>
      <c r="C42" s="3"/>
      <c r="D42" s="145"/>
      <c r="E42" s="145"/>
      <c r="F42" s="145"/>
      <c r="G42" s="145"/>
      <c r="H42" s="145"/>
      <c r="I42" s="145"/>
      <c r="J42" s="145"/>
      <c r="K42" s="145"/>
      <c r="L42" s="145"/>
      <c r="M42" s="151"/>
      <c r="N42" s="145"/>
      <c r="O42" s="145"/>
      <c r="P42" s="145"/>
      <c r="Q42" s="145"/>
      <c r="R42" s="145"/>
      <c r="S42" s="145"/>
      <c r="T42" s="145"/>
      <c r="U42" s="145"/>
      <c r="V42" s="145"/>
      <c r="W42" s="151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51"/>
      <c r="AU42" s="151"/>
      <c r="AV42" s="2"/>
    </row>
    <row r="43" spans="1:48" ht="15" customHeight="1" x14ac:dyDescent="0.25">
      <c r="A43" s="2"/>
      <c r="B43" s="159" t="s">
        <v>211</v>
      </c>
      <c r="C43" s="158" t="s">
        <v>209</v>
      </c>
      <c r="D43" s="156">
        <v>0</v>
      </c>
      <c r="E43" s="156">
        <v>70.099000000000004</v>
      </c>
      <c r="F43" s="156">
        <v>19.998999999999999</v>
      </c>
      <c r="G43" s="156">
        <v>6.4429999999999996</v>
      </c>
      <c r="H43" s="157"/>
      <c r="I43" s="156">
        <v>35.152000000000001</v>
      </c>
      <c r="J43" s="156">
        <v>0.26300000000000001</v>
      </c>
      <c r="K43" s="156">
        <v>26.518999999999998</v>
      </c>
      <c r="L43" s="156">
        <v>1.347</v>
      </c>
      <c r="M43" s="156">
        <f>SUMIF(D$9:L$9,"&gt;-1",D43:L43)</f>
        <v>159.822</v>
      </c>
      <c r="N43" s="156">
        <v>80.777000000000001</v>
      </c>
      <c r="O43" s="156">
        <v>28.01</v>
      </c>
      <c r="P43" s="156">
        <v>32.988</v>
      </c>
      <c r="Q43" s="156">
        <v>0</v>
      </c>
      <c r="R43" s="156">
        <v>175.566</v>
      </c>
      <c r="S43" s="156">
        <v>0</v>
      </c>
      <c r="T43" s="156">
        <v>1.752</v>
      </c>
      <c r="U43" s="156">
        <v>5.4029999999999996</v>
      </c>
      <c r="V43" s="156">
        <v>0</v>
      </c>
      <c r="W43" s="156">
        <f>SUMIF(N$9:V$9,"&gt;-1",N43:V43)</f>
        <v>324.49600000000004</v>
      </c>
      <c r="X43" s="156">
        <v>8.875</v>
      </c>
      <c r="Y43" s="156">
        <v>28.087</v>
      </c>
      <c r="Z43" s="156">
        <v>0.20899999999999999</v>
      </c>
      <c r="AA43" s="156">
        <v>14.31</v>
      </c>
      <c r="AB43" s="156">
        <v>56.475999999999999</v>
      </c>
      <c r="AC43" s="157"/>
      <c r="AD43" s="157"/>
      <c r="AE43" s="157"/>
      <c r="AF43" s="156">
        <v>9.0999999999999998E-2</v>
      </c>
      <c r="AG43" s="156">
        <v>9.0730000000000004</v>
      </c>
      <c r="AH43" s="156">
        <v>0</v>
      </c>
      <c r="AI43" s="156">
        <v>44.744</v>
      </c>
      <c r="AJ43" s="157"/>
      <c r="AK43" s="157"/>
      <c r="AL43" s="156">
        <v>0.35599999999999998</v>
      </c>
      <c r="AM43" s="156">
        <v>7.1989999999999998</v>
      </c>
      <c r="AN43" s="156">
        <v>27.754000000000001</v>
      </c>
      <c r="AO43" s="156">
        <v>2.2530000000000001</v>
      </c>
      <c r="AP43" s="157"/>
      <c r="AQ43" s="156">
        <v>3.2930000000000001</v>
      </c>
      <c r="AR43" s="156">
        <v>80.852000000000004</v>
      </c>
      <c r="AS43" s="156">
        <v>46.978999999999999</v>
      </c>
      <c r="AT43" s="156">
        <f>SUMIF(X$9:AS$9,"&gt;-1",X43:AS43)</f>
        <v>330.55099999999999</v>
      </c>
      <c r="AU43" s="156">
        <f>SUMIF(D$9:AS$9,"&gt;-1",D43:AS43)</f>
        <v>814.86900000000003</v>
      </c>
      <c r="AV43" s="2"/>
    </row>
    <row r="44" spans="1:48" ht="15" customHeight="1" x14ac:dyDescent="0.25">
      <c r="A44" s="2"/>
      <c r="B44" s="152"/>
      <c r="C44" s="152"/>
      <c r="D44" s="3"/>
      <c r="E44" s="3"/>
      <c r="F44" s="3"/>
      <c r="G44" s="3"/>
      <c r="H44" s="3"/>
      <c r="I44" s="3"/>
      <c r="J44" s="3"/>
      <c r="K44" s="3"/>
      <c r="L44" s="3"/>
      <c r="M44" s="151"/>
      <c r="N44" s="3"/>
      <c r="O44" s="3"/>
      <c r="P44" s="3"/>
      <c r="Q44" s="3"/>
      <c r="R44" s="3"/>
      <c r="S44" s="3"/>
      <c r="T44" s="3"/>
      <c r="U44" s="3"/>
      <c r="V44" s="3"/>
      <c r="W44" s="15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151"/>
      <c r="AU44" s="151"/>
      <c r="AV44" s="2"/>
    </row>
    <row r="45" spans="1:48" ht="15" customHeight="1" x14ac:dyDescent="0.25">
      <c r="A45" s="2"/>
      <c r="B45" s="155" t="s">
        <v>210</v>
      </c>
      <c r="C45" s="154" t="s">
        <v>209</v>
      </c>
      <c r="D45" s="153">
        <f>IF(D43="",0,D41-D43)</f>
        <v>0</v>
      </c>
      <c r="E45" s="153">
        <f>IF(E43="",0,E41-E43)</f>
        <v>-3.7694650000000109</v>
      </c>
      <c r="F45" s="153">
        <f>IF(F43="",0,F41-F43)</f>
        <v>1.5405610000000003</v>
      </c>
      <c r="G45" s="153">
        <f>IF(G43="",0,G41-G43)</f>
        <v>-0.10127099999999878</v>
      </c>
      <c r="H45" s="153">
        <f>IF(H43="",0,H41-H43)</f>
        <v>0</v>
      </c>
      <c r="I45" s="153">
        <f>IF(I43="",0,I41-I43)</f>
        <v>2.3397369999999995</v>
      </c>
      <c r="J45" s="153">
        <f>IF(J43="",0,J41-J43)</f>
        <v>12.200640999999999</v>
      </c>
      <c r="K45" s="153">
        <f>IF(K43="",0,K41-K43)</f>
        <v>-0.73328000000000415</v>
      </c>
      <c r="L45" s="153">
        <f>IF(L43="",0,L41-L43)</f>
        <v>0.30320299999999989</v>
      </c>
      <c r="M45" s="153">
        <f>IF(M43="",0,M41-M43)</f>
        <v>11.780125999999967</v>
      </c>
      <c r="N45" s="153">
        <f>IF(N43="",0,N41-N43)</f>
        <v>80.65613900000001</v>
      </c>
      <c r="O45" s="153">
        <f>IF(O43="",0,O41-O43)</f>
        <v>11.833609999999997</v>
      </c>
      <c r="P45" s="153">
        <f>IF(P43="",0,P41-P43)</f>
        <v>-3.4578869999999959</v>
      </c>
      <c r="Q45" s="153">
        <f>IF(Q43="",0,Q41-Q43)</f>
        <v>0</v>
      </c>
      <c r="R45" s="153">
        <f>IF(R43="",0,R41-R43)</f>
        <v>41.343414999999993</v>
      </c>
      <c r="S45" s="153">
        <f>IF(S43="",0,S41-S43)</f>
        <v>0</v>
      </c>
      <c r="T45" s="153">
        <f>IF(T43="",0,T41-T43)</f>
        <v>0.24372200000000066</v>
      </c>
      <c r="U45" s="153">
        <f>IF(U43="",0,U41-U43)</f>
        <v>-9.0318000000000787E-2</v>
      </c>
      <c r="V45" s="153">
        <f>IF(V43="",0,V41-V43)</f>
        <v>0</v>
      </c>
      <c r="W45" s="153">
        <f>IF(W43="",0,W41-W43)</f>
        <v>130.52868100000001</v>
      </c>
      <c r="X45" s="153">
        <f>IF(X43="",0,X41-X43)</f>
        <v>3.1536860000000022</v>
      </c>
      <c r="Y45" s="153">
        <f>IF(Y43="",0,Y41-Y43)</f>
        <v>5.2433599999999991</v>
      </c>
      <c r="Z45" s="153">
        <f>IF(Z43="",0,Z41-Z43)</f>
        <v>-0.20899999999999999</v>
      </c>
      <c r="AA45" s="153">
        <f>IF(AA43="",0,AA41-AA43)</f>
        <v>-14.155000000000001</v>
      </c>
      <c r="AB45" s="153">
        <f>IF(AB43="",0,AB41-AB43)</f>
        <v>5.4527850000000058</v>
      </c>
      <c r="AC45" s="153">
        <f>IF(AC43="",0,AC41-AC43)</f>
        <v>0</v>
      </c>
      <c r="AD45" s="153">
        <f>IF(AD43="",0,AD41-AD43)</f>
        <v>0</v>
      </c>
      <c r="AE45" s="153">
        <f>IF(AE43="",0,AE41-AE43)</f>
        <v>0</v>
      </c>
      <c r="AF45" s="153">
        <f>IF(AF43="",0,AF41-AF43)</f>
        <v>0.374</v>
      </c>
      <c r="AG45" s="153">
        <f>IF(AG43="",0,AG41-AG43)</f>
        <v>-1.2157270000000002</v>
      </c>
      <c r="AH45" s="153">
        <f>IF(AH43="",0,AH41-AH43)</f>
        <v>0</v>
      </c>
      <c r="AI45" s="153">
        <f>IF(AI43="",0,AI41-AI43)</f>
        <v>-4.9030769999999961</v>
      </c>
      <c r="AJ45" s="153">
        <f>IF(AJ43="",0,AJ41-AJ43)</f>
        <v>0</v>
      </c>
      <c r="AK45" s="153">
        <f>IF(AK43="",0,AK41-AK43)</f>
        <v>0</v>
      </c>
      <c r="AL45" s="153">
        <f>IF(AL43="",0,AL41-AL43)</f>
        <v>0.36715200000000014</v>
      </c>
      <c r="AM45" s="153">
        <f>IF(AM43="",0,AM41-AM43)</f>
        <v>0.96384800000000048</v>
      </c>
      <c r="AN45" s="153">
        <f>IF(AN43="",0,AN41-AN43)</f>
        <v>-4.4608600000000003</v>
      </c>
      <c r="AO45" s="153">
        <f>IF(AO43="",0,AO41-AO43)</f>
        <v>0.5239770000000008</v>
      </c>
      <c r="AP45" s="153">
        <f>IF(AP43="",0,AP41-AP43)</f>
        <v>0</v>
      </c>
      <c r="AQ45" s="153">
        <f>IF(AQ43="",0,AQ41-AQ43)</f>
        <v>-0.65421400000000052</v>
      </c>
      <c r="AR45" s="153">
        <f>IF(AR43="",0,AR41-AR43)</f>
        <v>-6.356086000000019</v>
      </c>
      <c r="AS45" s="153">
        <f>IF(AS43="",0,AS41-AS43)</f>
        <v>0.50247999999999848</v>
      </c>
      <c r="AT45" s="153">
        <f>IF(AT43="",0,AT41-AT43)</f>
        <v>-15.372676000000013</v>
      </c>
      <c r="AU45" s="153">
        <f>AU41-AU43</f>
        <v>126.93613099999993</v>
      </c>
      <c r="AV45" s="2"/>
    </row>
    <row r="46" spans="1:48" ht="15" customHeight="1" x14ac:dyDescent="0.25">
      <c r="A46" s="2"/>
      <c r="B46" s="152"/>
      <c r="C46" s="152"/>
      <c r="D46" s="3"/>
      <c r="E46" s="3"/>
      <c r="F46" s="3"/>
      <c r="G46" s="3"/>
      <c r="H46" s="3"/>
      <c r="I46" s="3"/>
      <c r="J46" s="3"/>
      <c r="K46" s="3"/>
      <c r="L46" s="3"/>
      <c r="M46" s="151"/>
      <c r="N46" s="3"/>
      <c r="O46" s="3"/>
      <c r="P46" s="3"/>
      <c r="Q46" s="3"/>
      <c r="R46" s="3"/>
      <c r="S46" s="3"/>
      <c r="T46" s="3"/>
      <c r="U46" s="3"/>
      <c r="V46" s="3"/>
      <c r="W46" s="15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151"/>
      <c r="AU46" s="151"/>
      <c r="AV46" s="2"/>
    </row>
    <row r="47" spans="1:48" ht="15" customHeight="1" x14ac:dyDescent="0.25">
      <c r="A47" s="2"/>
      <c r="B47" s="150" t="s">
        <v>208</v>
      </c>
      <c r="C47" s="149" t="s">
        <v>207</v>
      </c>
      <c r="D47" s="148"/>
      <c r="E47" s="147">
        <v>241.8</v>
      </c>
      <c r="F47" s="147">
        <v>4.6500000000000004</v>
      </c>
      <c r="G47" s="147">
        <v>0.31</v>
      </c>
      <c r="H47" s="148"/>
      <c r="I47" s="147">
        <v>27.9</v>
      </c>
      <c r="J47" s="147">
        <v>3.1</v>
      </c>
      <c r="K47" s="147">
        <v>15.5</v>
      </c>
      <c r="L47" s="147">
        <v>1.55</v>
      </c>
      <c r="M47" s="147">
        <f>SUMIF(D$9:L$9,"&gt;0",D47:L47)</f>
        <v>294.81000000000006</v>
      </c>
      <c r="N47" s="147">
        <v>316.2</v>
      </c>
      <c r="O47" s="147">
        <v>280.86</v>
      </c>
      <c r="P47" s="147">
        <v>46.5</v>
      </c>
      <c r="Q47" s="147">
        <v>0</v>
      </c>
      <c r="R47" s="147">
        <v>341</v>
      </c>
      <c r="S47" s="148"/>
      <c r="T47" s="147">
        <v>0.31</v>
      </c>
      <c r="U47" s="147">
        <v>1.55</v>
      </c>
      <c r="V47" s="148"/>
      <c r="W47" s="147">
        <f>SUMIF(N$9:V$9,"&gt;0",N47:V47)</f>
        <v>986.41999999999985</v>
      </c>
      <c r="X47" s="147">
        <v>6.2</v>
      </c>
      <c r="Y47" s="147">
        <v>13.95</v>
      </c>
      <c r="Z47" s="148"/>
      <c r="AA47" s="148"/>
      <c r="AB47" s="147">
        <v>5.58</v>
      </c>
      <c r="AC47" s="148"/>
      <c r="AD47" s="148"/>
      <c r="AE47" s="148"/>
      <c r="AF47" s="148"/>
      <c r="AG47" s="147">
        <v>0.62</v>
      </c>
      <c r="AH47" s="148"/>
      <c r="AI47" s="147">
        <v>80.599999999999994</v>
      </c>
      <c r="AJ47" s="148"/>
      <c r="AK47" s="148"/>
      <c r="AL47" s="147">
        <v>0.62</v>
      </c>
      <c r="AM47" s="147">
        <v>3.1</v>
      </c>
      <c r="AN47" s="147">
        <v>12.4</v>
      </c>
      <c r="AO47" s="147">
        <v>3.1</v>
      </c>
      <c r="AP47" s="148"/>
      <c r="AQ47" s="147">
        <v>3.1</v>
      </c>
      <c r="AR47" s="147">
        <v>102.3</v>
      </c>
      <c r="AS47" s="147">
        <v>37.200000000000003</v>
      </c>
      <c r="AT47" s="147">
        <f>SUMIF(X$9:AS$9,"&gt;0",X47:AS47)</f>
        <v>268.77</v>
      </c>
      <c r="AU47" s="147">
        <f>SUMIF(D$9:AS$9,"&gt;0",D47:AS47)</f>
        <v>1549.9999999999993</v>
      </c>
      <c r="AV47" s="2"/>
    </row>
    <row r="48" spans="1:48" ht="15" customHeight="1" x14ac:dyDescent="0.25">
      <c r="A48" s="2"/>
      <c r="B48" s="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ht="15" customHeight="1" x14ac:dyDescent="0.25">
      <c r="A49" s="2"/>
      <c r="B49" s="146" t="s">
        <v>206</v>
      </c>
      <c r="C49" s="6" t="s">
        <v>1</v>
      </c>
      <c r="D49" s="6" t="s">
        <v>1</v>
      </c>
      <c r="E49" s="6" t="s">
        <v>1</v>
      </c>
      <c r="F49" s="6" t="s">
        <v>1</v>
      </c>
      <c r="G49" s="6" t="s">
        <v>1</v>
      </c>
      <c r="H49" s="6" t="s">
        <v>1</v>
      </c>
      <c r="I49" s="6" t="s">
        <v>1</v>
      </c>
      <c r="J49" s="6" t="s">
        <v>1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1</v>
      </c>
      <c r="P49" s="6" t="s">
        <v>1</v>
      </c>
      <c r="Q49" s="6" t="s">
        <v>1</v>
      </c>
      <c r="R49" s="6" t="s">
        <v>1</v>
      </c>
      <c r="S49" s="6" t="s">
        <v>1</v>
      </c>
      <c r="T49" s="6" t="s">
        <v>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</sheetData>
  <mergeCells count="13">
    <mergeCell ref="F1:L1"/>
    <mergeCell ref="C2:K2"/>
    <mergeCell ref="C3:D3"/>
    <mergeCell ref="B5:B7"/>
    <mergeCell ref="C5:C7"/>
    <mergeCell ref="D5:L5"/>
    <mergeCell ref="AU5:AU7"/>
    <mergeCell ref="B49:T49"/>
    <mergeCell ref="M5:M7"/>
    <mergeCell ref="N5:V5"/>
    <mergeCell ref="W5:W7"/>
    <mergeCell ref="X5:AS5"/>
    <mergeCell ref="AT5:AT7"/>
  </mergeCells>
  <pageMargins left="0" right="0" top="0" bottom="0" header="0" footer="0"/>
  <pageSetup paperSize="8" scale="50" orientation="landscape" horizontalDpi="200" verticalDpi="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4"/>
  <sheetViews>
    <sheetView tabSelected="1" zoomScale="75" workbookViewId="0">
      <selection sqref="A1:S1"/>
    </sheetView>
  </sheetViews>
  <sheetFormatPr defaultRowHeight="15" x14ac:dyDescent="0.25"/>
  <cols>
    <col min="1" max="1" width="8.5703125" style="1" customWidth="1"/>
    <col min="2" max="2" width="56.140625" style="1" customWidth="1"/>
    <col min="3" max="3" width="5.85546875" style="1" customWidth="1"/>
    <col min="4" max="4" width="9.85546875" style="1" customWidth="1"/>
    <col min="5" max="7" width="10.85546875" style="1" customWidth="1"/>
    <col min="8" max="10" width="10.42578125" style="1" customWidth="1"/>
    <col min="11" max="12" width="9.7109375" style="1" customWidth="1"/>
    <col min="13" max="17" width="11.5703125" style="1" customWidth="1"/>
    <col min="18" max="19" width="12.140625" style="1" customWidth="1"/>
    <col min="20" max="20" width="26.42578125" style="1" customWidth="1"/>
    <col min="21" max="21" width="0.42578125" style="1" customWidth="1"/>
    <col min="22" max="24" width="0.5703125" style="1" customWidth="1"/>
    <col min="25" max="16384" width="9.140625" style="1"/>
  </cols>
  <sheetData>
    <row r="1" spans="1:24" ht="23.1" customHeight="1" x14ac:dyDescent="0.25">
      <c r="A1" s="327" t="s">
        <v>202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6" t="s">
        <v>1</v>
      </c>
      <c r="M1" s="6" t="s">
        <v>1</v>
      </c>
      <c r="N1" s="6" t="s">
        <v>1</v>
      </c>
      <c r="O1" s="6" t="s">
        <v>1</v>
      </c>
      <c r="P1" s="6" t="s">
        <v>1</v>
      </c>
      <c r="Q1" s="6" t="s">
        <v>1</v>
      </c>
      <c r="R1" s="6" t="s">
        <v>1</v>
      </c>
      <c r="S1" s="6" t="s">
        <v>1</v>
      </c>
      <c r="T1" s="145" t="s">
        <v>384</v>
      </c>
      <c r="U1" s="2"/>
      <c r="V1" s="2"/>
      <c r="W1" s="2"/>
      <c r="X1" s="2"/>
    </row>
    <row r="2" spans="1:24" ht="21" customHeight="1" x14ac:dyDescent="0.25">
      <c r="A2" s="321" t="s">
        <v>383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3"/>
      <c r="U2" s="2"/>
      <c r="V2" s="2"/>
      <c r="W2" s="2"/>
      <c r="X2" s="2"/>
    </row>
    <row r="3" spans="1:24" ht="27.95" customHeight="1" x14ac:dyDescent="0.25">
      <c r="A3" s="321" t="s">
        <v>382</v>
      </c>
      <c r="B3" s="6" t="s">
        <v>1</v>
      </c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3"/>
      <c r="U3" s="3"/>
      <c r="V3" s="2"/>
      <c r="W3" s="2"/>
      <c r="X3" s="2"/>
    </row>
    <row r="4" spans="1:24" ht="15" customHeight="1" x14ac:dyDescent="0.25">
      <c r="A4" s="320" t="s">
        <v>378</v>
      </c>
      <c r="B4" s="319" t="s">
        <v>377</v>
      </c>
      <c r="C4" s="319" t="s">
        <v>376</v>
      </c>
      <c r="D4" s="114" t="s">
        <v>1</v>
      </c>
      <c r="E4" s="318" t="s">
        <v>375</v>
      </c>
      <c r="F4" s="312" t="s">
        <v>1</v>
      </c>
      <c r="G4" s="312" t="s">
        <v>1</v>
      </c>
      <c r="H4" s="312" t="s">
        <v>1</v>
      </c>
      <c r="I4" s="312" t="s">
        <v>1</v>
      </c>
      <c r="J4" s="312" t="s">
        <v>1</v>
      </c>
      <c r="K4" s="319" t="s">
        <v>373</v>
      </c>
      <c r="L4" s="114" t="s">
        <v>1</v>
      </c>
      <c r="M4" s="318" t="s">
        <v>374</v>
      </c>
      <c r="N4" s="312" t="s">
        <v>1</v>
      </c>
      <c r="O4" s="312" t="s">
        <v>1</v>
      </c>
      <c r="P4" s="312" t="s">
        <v>1</v>
      </c>
      <c r="Q4" s="312" t="s">
        <v>1</v>
      </c>
      <c r="R4" s="319" t="s">
        <v>373</v>
      </c>
      <c r="S4" s="114" t="s">
        <v>1</v>
      </c>
      <c r="T4" s="318" t="s">
        <v>372</v>
      </c>
      <c r="U4" s="3"/>
      <c r="V4" s="2"/>
      <c r="W4" s="2"/>
      <c r="X4" s="2"/>
    </row>
    <row r="5" spans="1:24" ht="15" customHeight="1" x14ac:dyDescent="0.25">
      <c r="A5" s="55" t="s">
        <v>1</v>
      </c>
      <c r="B5" s="114" t="s">
        <v>1</v>
      </c>
      <c r="C5" s="114" t="s">
        <v>1</v>
      </c>
      <c r="D5" s="114" t="s">
        <v>1</v>
      </c>
      <c r="E5" s="317" t="s">
        <v>370</v>
      </c>
      <c r="F5" s="314" t="s">
        <v>1</v>
      </c>
      <c r="G5" s="314" t="s">
        <v>1</v>
      </c>
      <c r="H5" s="316" t="s">
        <v>369</v>
      </c>
      <c r="I5" s="109" t="s">
        <v>1</v>
      </c>
      <c r="J5" s="109" t="s">
        <v>1</v>
      </c>
      <c r="K5" s="313" t="s">
        <v>368</v>
      </c>
      <c r="L5" s="313" t="s">
        <v>367</v>
      </c>
      <c r="M5" s="317" t="s">
        <v>371</v>
      </c>
      <c r="N5" s="316" t="s">
        <v>370</v>
      </c>
      <c r="O5" s="109" t="s">
        <v>1</v>
      </c>
      <c r="P5" s="316" t="s">
        <v>369</v>
      </c>
      <c r="Q5" s="109" t="s">
        <v>1</v>
      </c>
      <c r="R5" s="313" t="s">
        <v>368</v>
      </c>
      <c r="S5" s="313" t="s">
        <v>367</v>
      </c>
      <c r="T5" s="312" t="s">
        <v>1</v>
      </c>
      <c r="U5" s="3"/>
      <c r="V5" s="2"/>
      <c r="W5" s="2"/>
      <c r="X5" s="2"/>
    </row>
    <row r="6" spans="1:24" ht="15" customHeight="1" x14ac:dyDescent="0.25">
      <c r="A6" s="55" t="s">
        <v>1</v>
      </c>
      <c r="B6" s="114" t="s">
        <v>1</v>
      </c>
      <c r="C6" s="313" t="s">
        <v>366</v>
      </c>
      <c r="D6" s="313" t="s">
        <v>0</v>
      </c>
      <c r="E6" s="315" t="s">
        <v>366</v>
      </c>
      <c r="F6" s="313" t="s">
        <v>267</v>
      </c>
      <c r="G6" s="313" t="s">
        <v>0</v>
      </c>
      <c r="H6" s="313" t="s">
        <v>268</v>
      </c>
      <c r="I6" s="313" t="s">
        <v>267</v>
      </c>
      <c r="J6" s="313" t="s">
        <v>0</v>
      </c>
      <c r="K6" s="313" t="s">
        <v>0</v>
      </c>
      <c r="L6" s="313" t="s">
        <v>0</v>
      </c>
      <c r="M6" s="314" t="s">
        <v>1</v>
      </c>
      <c r="N6" s="313" t="s">
        <v>365</v>
      </c>
      <c r="O6" s="313" t="s">
        <v>364</v>
      </c>
      <c r="P6" s="313" t="s">
        <v>365</v>
      </c>
      <c r="Q6" s="313" t="s">
        <v>364</v>
      </c>
      <c r="R6" s="313" t="s">
        <v>364</v>
      </c>
      <c r="S6" s="313" t="s">
        <v>364</v>
      </c>
      <c r="T6" s="312" t="s">
        <v>1</v>
      </c>
      <c r="U6" s="3"/>
      <c r="V6" s="2"/>
      <c r="W6" s="2"/>
      <c r="X6" s="2"/>
    </row>
    <row r="7" spans="1:24" ht="15" customHeight="1" thickBot="1" x14ac:dyDescent="0.3">
      <c r="A7" s="311">
        <v>1</v>
      </c>
      <c r="B7" s="310" t="s">
        <v>200</v>
      </c>
      <c r="C7" s="308"/>
      <c r="D7" s="304">
        <v>27694.828000000001</v>
      </c>
      <c r="E7" s="309"/>
      <c r="F7" s="306">
        <v>400972.91200000001</v>
      </c>
      <c r="G7" s="305">
        <v>30562.044000000002</v>
      </c>
      <c r="H7" s="308"/>
      <c r="I7" s="306">
        <f>F7</f>
        <v>400972.91200000001</v>
      </c>
      <c r="J7" s="305">
        <f>G7</f>
        <v>30562.044000000002</v>
      </c>
      <c r="K7" s="304">
        <f>IF(U7="0",(IF(D7="",(IF(J7&lt;&gt;"",J7,"")),(IF(J7="",0-D7,J7-D7)))),"")</f>
        <v>2867.2160000000003</v>
      </c>
      <c r="L7" s="304">
        <f>IF(U7="0",(IF(G7="",(IF(J7&lt;&gt;"",J7,"")),(IF(J7="",0-G7,J7-G7)))),"")</f>
        <v>0</v>
      </c>
      <c r="M7" s="307">
        <v>803150.00300000003</v>
      </c>
      <c r="N7" s="306">
        <v>11628214.454</v>
      </c>
      <c r="O7" s="305">
        <v>886299.28200000001</v>
      </c>
      <c r="P7" s="306">
        <f>N7</f>
        <v>11628214.454</v>
      </c>
      <c r="Q7" s="305">
        <f>O7</f>
        <v>886299.28200000001</v>
      </c>
      <c r="R7" s="304">
        <f>IF(U7="0",(IF(M7="",(IF(Q7&lt;&gt;"",Q7,"")),(IF(Q7="",0-M7,Q7-M7)))),"")</f>
        <v>83149.27899999998</v>
      </c>
      <c r="S7" s="304">
        <f>IF(U7="0",(IF(O7="",(IF(Q7&lt;&gt;"",Q7,"")),(IF(Q7="",O7,Q7-O7)))),"")</f>
        <v>0</v>
      </c>
      <c r="T7" s="303"/>
      <c r="U7" s="145" t="s">
        <v>379</v>
      </c>
      <c r="V7" s="2"/>
      <c r="W7" s="2"/>
      <c r="X7" s="2"/>
    </row>
    <row r="8" spans="1:24" ht="15" customHeight="1" x14ac:dyDescent="0.25">
      <c r="A8" s="302">
        <v>2</v>
      </c>
      <c r="B8" s="301" t="s">
        <v>363</v>
      </c>
      <c r="C8" s="297">
        <f>SUMIF(B9:B30,"Основные ГТМ",C9:C30)+SUMIF(B9:B30,"Работа с фондом",C9:C30)+SUMIF(B9:B30,"Сокращение потенциала простоя",C9:C30)+SUMIF(B9:B30,"Прочая добыча (отраб.скв, амбары, стравливание…)",C9:C30)</f>
        <v>27</v>
      </c>
      <c r="D8" s="297">
        <f>SUMIF(B9:B30,"Основные ГТМ",D9:D30)+SUMIF(B9:B30,"Работа с фондом",D9:D30)+SUMIF(B9:B30,"Сокращение потенциала простоя",D9:D30)+SUMIF(B9:B30,"Прочая добыча (отраб.скв, амбары, стравливание…)",D9:D30)</f>
        <v>1199.08</v>
      </c>
      <c r="E8" s="300">
        <f>SUMIF(B9:B30,"Основные ГТМ",E9:E30)+SUMIF(B9:B30,"Работа с фондом",E9:E30)+SUMIF(B9:B30,"Сокращение потенциала простоя",E9:E30)+SUMIF(B9:B30,"Прочая добыча (отраб.скв, амбары, стравливание…)",E9:E30)</f>
        <v>86</v>
      </c>
      <c r="F8" s="299">
        <f>SUMIF(B9:B30,"Основные ГТМ",F9:F30)+SUMIF(B9:B30,"Работа с фондом",F9:F30)+SUMIF(B9:B30,"Сокращение потенциала простоя",F9:F30)+SUMIF(B9:B30,"Прочая добыча (отраб.скв, амбары, стравливание…)",F9:F30)</f>
        <v>9827</v>
      </c>
      <c r="G8" s="298">
        <f>SUMIF(B9:B30,"Основные ГТМ",G9:G30)+SUMIF(B9:B30,"Работа с фондом",G9:G30)+SUMIF(B9:B30,"Сокращение потенциала простоя",G9:G30)+SUMIF(B9:B30,"Прочая добыча (отраб.скв, амбары, стравливание…)",G9:G30)</f>
        <v>2056.6</v>
      </c>
      <c r="H8" s="297">
        <f>IF(U8="0",(SUMIF(B9:B30,"Основные ГТМ",H9:H30)+SUMIF(B9:B30,"Работа с фондом",H9:H30)+SUMIF(B9:B30,"Сокращение потенциала простоя",H9:H30)+SUMIF(B9:B30,"Прочая добыча (отраб.скв, амбары, стравливание…)",H9:H30)),"")</f>
        <v>117</v>
      </c>
      <c r="I8" s="299">
        <f>IF(U8="0",(SUMIF(B9:B30,"Основные ГТМ",I9:I30)+SUMIF(B9:B30,"Работа с фондом",I9:I30)+SUMIF(B9:B30,"Сокращение потенциала простоя",I9:I30)+SUMIF(B9:B30,"Прочая добыча (отраб.скв, амбары, стравливание…)",I9:I30)),"")</f>
        <v>5962.8469999999998</v>
      </c>
      <c r="J8" s="298">
        <f>IF(U8="0",(SUMIF(B9:B30,"Основные ГТМ",J9:J30)+SUMIF(B9:B30,"Работа с фондом",J9:J30)+SUMIF(B9:B30,"Сокращение потенциала простоя",J9:J30)+SUMIF(B9:B30,"Прочая добыча (отраб.скв, амбары, стравливание…)",J9:J30)),"")</f>
        <v>1662.7370000000001</v>
      </c>
      <c r="K8" s="297">
        <f>IF(U8="0",(SUMIF(B9:B30,"Основные ГТМ",K9:K30)+SUMIF(B9:B30,"Работа с фондом",K9:K30)+SUMIF(B9:B30,"Сокращение потенциала простоя",K9:K30)+SUMIF(B9:B30,"Прочая добыча (отраб.скв, амбары, стравливание…)",K9:K30)),"")</f>
        <v>463.65699999999998</v>
      </c>
      <c r="L8" s="297">
        <f ca="1">IF(U8="0",(SUMIF(B9:B30,"Основные ГТМ",L9:L12)+SUMIF(B9:B30,"Работа с фондом",L9:L30)+SUMIF(B9:B30,"Сокращение потенциала простоя",L9:L30)+SUMIF(B9:B30,"Прочая добыча (отраб.скв, амбары, стравливание…)",L9:L30)),"")</f>
        <v>-393.863</v>
      </c>
      <c r="M8" s="300">
        <f>SUMIF(B9:B30,"Основные ГТМ",M9:M30)+SUMIF(B9:B30,"Работа с фондом",M9:M30)+SUMIF(B9:B30,"Сокращение потенциала простоя",M9:M30)+SUMIF(B9:B30,"Прочая добыча (отраб.скв, амбары, стравливание…)",M9:M30)</f>
        <v>11682.959000000001</v>
      </c>
      <c r="N8" s="299">
        <f>SUMIF(B9:B30,"Основные ГТМ",N9:N30)+SUMIF(B9:B30,"Работа с фондом",N9:N30)+SUMIF(B9:B30,"Сокращение потенциала простоя",N9:N30)+SUMIF(B9:B30,"Прочая добыча (отраб.скв, амбары, стравливание…)",N9:N30)</f>
        <v>99547</v>
      </c>
      <c r="O8" s="298">
        <f>SUMIF(B9:B30,"Основные ГТМ",O9:O30)+SUMIF(B9:B30,"Работа с фондом",O9:O30)+SUMIF(B9:B30,"Сокращение потенциала простоя",O9:O30)+SUMIF(B9:B30,B30,O9:O30)</f>
        <v>22701.4</v>
      </c>
      <c r="P8" s="299">
        <f>IF(U8="0",(SUMIF(B9:B30,"Основные ГТМ",P9:P30)+SUMIF(B9:B30,"Работа с фондом",P9:P30)+SUMIF(B9:B30,"Сокращение потенциала простоя",P9:P30)+SUMIF(B9:B30,"Прочая добыча (отраб.скв, амбары, стравливание…)",P9:P30)),"")</f>
        <v>69689.41</v>
      </c>
      <c r="Q8" s="298">
        <f>IF(U8="0",(SUMIF(B9:B30,"Основные ГТМ",Q9:Q30)+SUMIF(B9:B30,"Работа с фондом",Q9:Q30)+SUMIF(B9:B30,"Сокращение потенциала простоя",Q9:Q30)+SUMIF(B9:B30,"Прочая добыча (отраб.скв, амбары, стравливание…)",Q9:Q30)),"")</f>
        <v>24448.73600000019</v>
      </c>
      <c r="R8" s="297">
        <f>IF(U8="0",(SUMIF(B9:B30,"Основные ГТМ",R9:R30)+SUMIF(B9:B30,"Работа с фондом",R9:R30)+SUMIF(B9:B30,"Сокращение потенциала простоя",R9:R30)+SUMIF(B9:B30,"Прочая добыча (отраб.скв, амбары, стравливание…)",R9:R30)),"")</f>
        <v>877.4739999999988</v>
      </c>
      <c r="S8" s="297">
        <f>IF(U8="0",(SUMIF(B9:B30,"Основные ГТМ",S9:S30)+SUMIF(B9:B30,"Работа с фондом",S9:S30)+SUMIF(B9:B30,"Сокращение потенциала простоя",S9:S30)+SUMIF(B9:B30,"Прочая добыча (отраб.скв, амбары, стравливание…)",S9:S30)),"")</f>
        <v>1747.336000000189</v>
      </c>
      <c r="T8" s="296"/>
      <c r="U8" s="145" t="s">
        <v>379</v>
      </c>
      <c r="V8" s="2"/>
      <c r="W8" s="2"/>
      <c r="X8" s="2"/>
    </row>
    <row r="9" spans="1:24" ht="15" customHeight="1" x14ac:dyDescent="0.25">
      <c r="A9" s="275" t="s">
        <v>362</v>
      </c>
      <c r="B9" s="274" t="s">
        <v>361</v>
      </c>
      <c r="C9" s="255">
        <f>SUBTOTAL(9,C10:C22)-IF(B9="Работа с фондом",SUMIF(B10:B22,"      ограничение добычи (ОПЕК)",C10:C22),0)</f>
        <v>27</v>
      </c>
      <c r="D9" s="255">
        <f>SUBTOTAL(9,D10:D22)-IF(B9="Работа с фондом",SUMIF(B10:B22,"      ограничение добычи (ОПЕК)",D10:D22),0)</f>
        <v>1199.08</v>
      </c>
      <c r="E9" s="269">
        <f>SUBTOTAL(9,E10:E22)-IF(B9="Работа с фондом",SUMIF(B10:B22,"      ограничение добычи (ОПЕК)",E10:E22),0)</f>
        <v>45</v>
      </c>
      <c r="F9" s="257">
        <f>SUBTOTAL(9,F10:F22)-IF(B9="Работа с фондом",SUMIF(B10:B22,"      ограничение добычи (ОПЕК)",F10:F22),0)</f>
        <v>5962</v>
      </c>
      <c r="G9" s="256">
        <f>SUBTOTAL(9,G10:G22)-IF(B9="Работа с фондом",SUMIF(B10:B22,"      ограничение добычи (ОПЕК)",G10:G22),0)</f>
        <v>1352</v>
      </c>
      <c r="H9" s="255">
        <f>IF(U9="0",(SUBTOTAL(9,H10:H22)-IF(B9="Работа с фондом",SUMIF(B10:B22,"      ограничение добычи (ОПЕК)",H10:H22),0)),"")</f>
        <v>37</v>
      </c>
      <c r="I9" s="257">
        <f>IF(U9="0",(SUBTOTAL(9,I10:I22)-IF(B9="Работа с фондом",SUMIF(B10:B22,"      ограничение добычи (ОПЕК)",I10:I22),0)),"")</f>
        <v>4665</v>
      </c>
      <c r="J9" s="256">
        <f>IF(U9="0",(SUBTOTAL(9,J10:J22)-IF(B9="Работа с фондом",SUMIF(B10:B22,"      ограничение добычи (ОПЕК)",J10:J22),0)),"")</f>
        <v>971.89800000000002</v>
      </c>
      <c r="K9" s="325">
        <f>IF(U9="0",(SUBTOTAL(9,K10:K22)-IF(B9="Работа с фондом",SUMIF(B10:B22,"      ограничение добычи (ОПЕК)",K10:K22),0)),"")</f>
        <v>-227.18199999999996</v>
      </c>
      <c r="L9" s="255">
        <f>IF(U9="0",(SUBTOTAL(9,L10:L22)-IF(B9="Работа с фондом",SUMIF(B10:B22,"      ограничение добычи (ОПЕК)",L10:L22),0)),"")</f>
        <v>-380.10199999999998</v>
      </c>
      <c r="M9" s="269">
        <f>SUBTOTAL(9,M10:M22)-IF(B9="Работа с фондом",SUMIF(B10:B22,"      ограничение добычи (ОПЕК)",M10:M22),0)</f>
        <v>11682.959000000001</v>
      </c>
      <c r="N9" s="257">
        <f>SUBTOTAL(9,N10:N22)-IF(B9="Работа с фондом",SUMIF(B10:B22,"      ограничение добычи (ОПЕК)",N10:N22),0)</f>
        <v>52684</v>
      </c>
      <c r="O9" s="256">
        <f>SUBTOTAL(9,O10:O22)-IF(B9="Работа с фондом",SUMIF(B10:B22,"      ограничение добычи (ОПЕК)",O10:O22),0)</f>
        <v>12834</v>
      </c>
      <c r="P9" s="257">
        <f>IF(U9="0",(SUBTOTAL(9,P10:P22)-IF(B9="Работа с фондом",SUMIF(B10:B22,"      ограничение добычи (ОПЕК)",P10:P22),0)),"")</f>
        <v>51469</v>
      </c>
      <c r="Q9" s="256">
        <f>IF(U9="0",(SUBTOTAL(9,Q10:Q22)-IF(B9="Работа с фондом",SUMIF(B10:B22,"      ограничение добычи (ОПЕК)",Q10:Q22),0)),"")</f>
        <v>10363.019</v>
      </c>
      <c r="R9" s="325">
        <f>IF(U9="0",(SUBTOTAL(9,R10:R22)-IF(B9="Работа с фондом",SUMIF(B10:B22,"      ограничение добычи (ОПЕК)",R10:R22),0)),"")</f>
        <v>-1319.940000000001</v>
      </c>
      <c r="S9" s="255">
        <f>IF(U9="0",(SUBTOTAL(9,S10:S22)-IF(B9="Работа с фондом",SUMIF(B10:B22,"      ограничение добычи (ОПЕК)",S10:S22),0)),"")</f>
        <v>-2470.9810000000002</v>
      </c>
      <c r="T9" s="254"/>
      <c r="U9" s="145" t="s">
        <v>379</v>
      </c>
      <c r="V9" s="2"/>
      <c r="W9" s="2"/>
      <c r="X9" s="2"/>
    </row>
    <row r="10" spans="1:24" ht="14.1" customHeight="1" x14ac:dyDescent="0.25">
      <c r="A10" s="263" t="s">
        <v>360</v>
      </c>
      <c r="B10" s="249" t="s">
        <v>177</v>
      </c>
      <c r="C10" s="199">
        <v>14</v>
      </c>
      <c r="D10" s="199">
        <v>910</v>
      </c>
      <c r="E10" s="264">
        <v>21</v>
      </c>
      <c r="F10" s="245">
        <v>3550</v>
      </c>
      <c r="G10" s="244">
        <v>930</v>
      </c>
      <c r="H10" s="199">
        <v>16</v>
      </c>
      <c r="I10" s="245">
        <v>2670</v>
      </c>
      <c r="J10" s="330">
        <f>606.364+3.6</f>
        <v>609.96400000000006</v>
      </c>
      <c r="K10" s="323">
        <f>IF(U10="0",(IF(D10="",(IF(J10&lt;&gt;"",J10,"")),(IF(J10="",0-D10,J10-D10)))),"")</f>
        <v>-300.03599999999994</v>
      </c>
      <c r="L10" s="323">
        <f>IF(U10="0",(IF(G10="",(IF(J10&lt;&gt;"",J10,"")),(IF(J10="",0-G10,J10-G10)))),"")</f>
        <v>-320.03599999999994</v>
      </c>
      <c r="M10" s="264">
        <v>9148.0390000000007</v>
      </c>
      <c r="N10" s="245">
        <v>31910</v>
      </c>
      <c r="O10" s="244">
        <v>9040</v>
      </c>
      <c r="P10" s="245">
        <v>28890</v>
      </c>
      <c r="Q10" s="244">
        <v>6100.0079999999998</v>
      </c>
      <c r="R10" s="323">
        <f>IF(U10="0",(IF(M10="",(IF(Q10&lt;&gt;"",Q10,"")),(IF(Q10="",0-M10,Q10-M10)))),"")</f>
        <v>-3048.0310000000009</v>
      </c>
      <c r="S10" s="199">
        <f>IF(U10="0",(IF(O10="",(IF(Q10&lt;&gt;"",Q10,"")),(IF(Q10="",0-O10,Q10-O10)))),"")</f>
        <v>-2939.9920000000002</v>
      </c>
      <c r="T10" s="243"/>
      <c r="U10" s="145" t="s">
        <v>379</v>
      </c>
      <c r="V10" s="2"/>
      <c r="W10" s="2"/>
      <c r="X10" s="2"/>
    </row>
    <row r="11" spans="1:24" ht="14.1" customHeight="1" x14ac:dyDescent="0.25">
      <c r="A11" s="263" t="s">
        <v>359</v>
      </c>
      <c r="B11" s="249" t="s">
        <v>358</v>
      </c>
      <c r="C11" s="199"/>
      <c r="D11" s="199"/>
      <c r="E11" s="264"/>
      <c r="F11" s="245"/>
      <c r="G11" s="244"/>
      <c r="H11" s="199"/>
      <c r="I11" s="245"/>
      <c r="J11" s="244"/>
      <c r="K11" s="199" t="str">
        <f>IF(U11="0",(IF(D11="",(IF(J11&lt;&gt;"",J11,"")),(IF(J11="",0-D11,J11-D11)))),"")</f>
        <v/>
      </c>
      <c r="L11" s="199" t="str">
        <f>IF(U11="0",(IF(G11="",(IF(J11&lt;&gt;"",J11,"")),(IF(J11="",0-G11,J11-G11)))),"")</f>
        <v/>
      </c>
      <c r="M11" s="264"/>
      <c r="N11" s="245"/>
      <c r="O11" s="244"/>
      <c r="P11" s="245"/>
      <c r="Q11" s="244"/>
      <c r="R11" s="199" t="str">
        <f>IF(U11="0",(IF(M11="",(IF(Q11&lt;&gt;"",Q11,"")),(IF(Q11="",0-M11,Q11-M11)))),"")</f>
        <v/>
      </c>
      <c r="S11" s="199" t="str">
        <f>IF(U11="0",(IF(O11="",(IF(Q11&lt;&gt;"",Q11,"")),(IF(Q11="",0-O11,Q11-O11)))),"")</f>
        <v/>
      </c>
      <c r="T11" s="243"/>
      <c r="U11" s="145" t="s">
        <v>379</v>
      </c>
      <c r="V11" s="2"/>
      <c r="W11" s="2"/>
      <c r="X11" s="2"/>
    </row>
    <row r="12" spans="1:24" ht="14.1" customHeight="1" x14ac:dyDescent="0.25">
      <c r="A12" s="263" t="s">
        <v>357</v>
      </c>
      <c r="B12" s="249" t="s">
        <v>356</v>
      </c>
      <c r="C12" s="199"/>
      <c r="D12" s="199"/>
      <c r="E12" s="264"/>
      <c r="F12" s="245"/>
      <c r="G12" s="244"/>
      <c r="H12" s="199"/>
      <c r="I12" s="245"/>
      <c r="J12" s="244"/>
      <c r="K12" s="199" t="str">
        <f>IF(U12="0",(IF(D12="",(IF(J12&lt;&gt;"",J12,"")),(IF(J12="",0-D12,J12-D12)))),"")</f>
        <v/>
      </c>
      <c r="L12" s="199" t="str">
        <f>IF(U12="0",(IF(G12="",(IF(J12&lt;&gt;"",J12,"")),(IF(J12="",0-G12,J12-G12)))),"")</f>
        <v/>
      </c>
      <c r="M12" s="264"/>
      <c r="N12" s="245"/>
      <c r="O12" s="244"/>
      <c r="P12" s="245"/>
      <c r="Q12" s="244"/>
      <c r="R12" s="199" t="str">
        <f>IF(U12="0",(IF(M12="",(IF(Q12&lt;&gt;"",Q12,"")),(IF(Q12="",0-M12,Q12-M12)))),"")</f>
        <v/>
      </c>
      <c r="S12" s="199" t="str">
        <f>IF(U12="0",(IF(O12="",(IF(Q12&lt;&gt;"",Q12,"")),(IF(Q12="",0-O12,Q12-O12)))),"")</f>
        <v/>
      </c>
      <c r="T12" s="243"/>
      <c r="U12" s="145" t="s">
        <v>379</v>
      </c>
      <c r="V12" s="2"/>
      <c r="W12" s="2"/>
      <c r="X12" s="2"/>
    </row>
    <row r="13" spans="1:24" ht="14.1" customHeight="1" x14ac:dyDescent="0.25">
      <c r="A13" s="263" t="s">
        <v>355</v>
      </c>
      <c r="B13" s="249" t="s">
        <v>176</v>
      </c>
      <c r="C13" s="199">
        <v>1</v>
      </c>
      <c r="D13" s="199">
        <v>6</v>
      </c>
      <c r="E13" s="264">
        <v>3</v>
      </c>
      <c r="F13" s="245">
        <v>120</v>
      </c>
      <c r="G13" s="244">
        <v>18</v>
      </c>
      <c r="H13" s="199"/>
      <c r="I13" s="245"/>
      <c r="J13" s="244"/>
      <c r="K13" s="323">
        <f>IF(U13="0",(IF(D13="",(IF(J13&lt;&gt;"",J13,"")),(IF(J13="",0-D13,J13-D13)))),"")</f>
        <v>-6</v>
      </c>
      <c r="L13" s="199">
        <f>IF(U13="0",(IF(G13="",(IF(J13&lt;&gt;"",J13,"")),(IF(J13="",0-G13,J13-G13)))),"")</f>
        <v>-18</v>
      </c>
      <c r="M13" s="264">
        <v>53.42</v>
      </c>
      <c r="N13" s="245">
        <v>160</v>
      </c>
      <c r="O13" s="244">
        <v>24</v>
      </c>
      <c r="P13" s="245"/>
      <c r="Q13" s="244"/>
      <c r="R13" s="323">
        <f>IF(U13="0",(IF(M13="",(IF(Q13&lt;&gt;"",Q13,"")),(IF(Q13="",0-M13,Q13-M13)))),"")</f>
        <v>-53.42</v>
      </c>
      <c r="S13" s="199">
        <f>IF(U13="0",(IF(O13="",(IF(Q13&lt;&gt;"",Q13,"")),(IF(Q13="",0-O13,Q13-O13)))),"")</f>
        <v>-24</v>
      </c>
      <c r="T13" s="243"/>
      <c r="U13" s="145" t="s">
        <v>379</v>
      </c>
      <c r="V13" s="2"/>
      <c r="W13" s="2"/>
      <c r="X13" s="2"/>
    </row>
    <row r="14" spans="1:24" ht="14.1" customHeight="1" x14ac:dyDescent="0.25">
      <c r="A14" s="263" t="s">
        <v>354</v>
      </c>
      <c r="B14" s="249" t="s">
        <v>175</v>
      </c>
      <c r="C14" s="199">
        <v>12</v>
      </c>
      <c r="D14" s="199">
        <v>283.08</v>
      </c>
      <c r="E14" s="264">
        <v>21</v>
      </c>
      <c r="F14" s="245">
        <v>2292</v>
      </c>
      <c r="G14" s="244">
        <v>404</v>
      </c>
      <c r="H14" s="199">
        <v>18</v>
      </c>
      <c r="I14" s="245">
        <v>1683</v>
      </c>
      <c r="J14" s="330">
        <f>339.534+1.3-1.3+0.4</f>
        <v>339.93399999999997</v>
      </c>
      <c r="K14" s="199">
        <f>IF(U14="0",(IF(D14="",(IF(J14&lt;&gt;"",J14,"")),(IF(J14="",0-D14,J14-D14)))),"")</f>
        <v>56.853999999999985</v>
      </c>
      <c r="L14" s="199">
        <f>IF(U14="0",(IF(G14="",(IF(J14&lt;&gt;"",J14,"")),(IF(J14="",0-G14,J14-G14)))),"")</f>
        <v>-64.066000000000031</v>
      </c>
      <c r="M14" s="264">
        <v>2481.5</v>
      </c>
      <c r="N14" s="245">
        <v>20614</v>
      </c>
      <c r="O14" s="244">
        <v>3770</v>
      </c>
      <c r="P14" s="245">
        <v>19213</v>
      </c>
      <c r="Q14" s="244">
        <v>4062.011</v>
      </c>
      <c r="R14" s="199">
        <f>IF(U14="0",(IF(M14="",(IF(Q14&lt;&gt;"",Q14,"")),(IF(Q14="",0-M14,Q14-M14)))),"")</f>
        <v>1580.511</v>
      </c>
      <c r="S14" s="199">
        <f>IF(U14="0",(IF(O14="",(IF(Q14&lt;&gt;"",Q14,"")),(IF(Q14="",0-O14,Q14-O14)))),"")</f>
        <v>292.01099999999997</v>
      </c>
      <c r="T14" s="243"/>
      <c r="U14" s="145" t="s">
        <v>379</v>
      </c>
      <c r="V14" s="2"/>
      <c r="W14" s="2"/>
      <c r="X14" s="2"/>
    </row>
    <row r="15" spans="1:24" ht="14.1" customHeight="1" x14ac:dyDescent="0.25">
      <c r="A15" s="263" t="s">
        <v>353</v>
      </c>
      <c r="B15" s="249" t="s">
        <v>352</v>
      </c>
      <c r="C15" s="199"/>
      <c r="D15" s="199"/>
      <c r="E15" s="264"/>
      <c r="F15" s="245"/>
      <c r="G15" s="244"/>
      <c r="H15" s="199"/>
      <c r="I15" s="245"/>
      <c r="J15" s="244"/>
      <c r="K15" s="199" t="str">
        <f>IF(U15="0",(IF(D15="",(IF(J15&lt;&gt;"",J15,"")),(IF(J15="",0-D15,J15-D15)))),"")</f>
        <v/>
      </c>
      <c r="L15" s="199" t="str">
        <f>IF(U15="0",(IF(G15="",(IF(J15&lt;&gt;"",J15,"")),(IF(J15="",0-G15,J15-G15)))),"")</f>
        <v/>
      </c>
      <c r="M15" s="264"/>
      <c r="N15" s="245"/>
      <c r="O15" s="244"/>
      <c r="P15" s="245"/>
      <c r="Q15" s="244"/>
      <c r="R15" s="199" t="str">
        <f>IF(U15="0",(IF(M15="",(IF(Q15&lt;&gt;"",Q15,"")),(IF(Q15="",0-M15,Q15-M15)))),"")</f>
        <v/>
      </c>
      <c r="S15" s="199" t="str">
        <f>IF(U15="0",(IF(O15="",(IF(Q15&lt;&gt;"",Q15,"")),(IF(Q15="",0-O15,Q15-O15)))),"")</f>
        <v/>
      </c>
      <c r="T15" s="243"/>
      <c r="U15" s="145" t="s">
        <v>379</v>
      </c>
      <c r="V15" s="2"/>
      <c r="W15" s="2"/>
      <c r="X15" s="2"/>
    </row>
    <row r="16" spans="1:24" ht="14.1" customHeight="1" x14ac:dyDescent="0.25">
      <c r="A16" s="263" t="s">
        <v>351</v>
      </c>
      <c r="B16" s="249" t="s">
        <v>350</v>
      </c>
      <c r="C16" s="199"/>
      <c r="D16" s="199"/>
      <c r="E16" s="264"/>
      <c r="F16" s="245"/>
      <c r="G16" s="244"/>
      <c r="H16" s="199"/>
      <c r="I16" s="245"/>
      <c r="J16" s="244"/>
      <c r="K16" s="199" t="str">
        <f>IF(U16="0",(IF(D16="",(IF(J16&lt;&gt;"",J16,"")),(IF(J16="",0-D16,J16-D16)))),"")</f>
        <v/>
      </c>
      <c r="L16" s="199" t="str">
        <f>IF(U16="0",(IF(G16="",(IF(J16&lt;&gt;"",J16,"")),(IF(J16="",0-G16,J16-G16)))),"")</f>
        <v/>
      </c>
      <c r="M16" s="264"/>
      <c r="N16" s="245"/>
      <c r="O16" s="244"/>
      <c r="P16" s="245"/>
      <c r="Q16" s="244"/>
      <c r="R16" s="199" t="str">
        <f>IF(U16="0",(IF(M16="",(IF(Q16&lt;&gt;"",Q16,"")),(IF(Q16="",0-M16,Q16-M16)))),"")</f>
        <v/>
      </c>
      <c r="S16" s="199" t="str">
        <f>IF(U16="0",(IF(O16="",(IF(Q16&lt;&gt;"",Q16,"")),(IF(Q16="",0-O16,Q16-O16)))),"")</f>
        <v/>
      </c>
      <c r="T16" s="243"/>
      <c r="U16" s="145" t="s">
        <v>379</v>
      </c>
      <c r="V16" s="2"/>
      <c r="W16" s="2"/>
      <c r="X16" s="2"/>
    </row>
    <row r="17" spans="1:24" ht="14.1" customHeight="1" x14ac:dyDescent="0.25">
      <c r="A17" s="263" t="s">
        <v>349</v>
      </c>
      <c r="B17" s="249" t="s">
        <v>348</v>
      </c>
      <c r="C17" s="199"/>
      <c r="D17" s="199"/>
      <c r="E17" s="264"/>
      <c r="F17" s="245"/>
      <c r="G17" s="244"/>
      <c r="H17" s="199"/>
      <c r="I17" s="245"/>
      <c r="J17" s="244"/>
      <c r="K17" s="199" t="str">
        <f>IF(U17="0",(IF(D17="",(IF(J17&lt;&gt;"",J17,"")),(IF(J17="",0-D17,J17-D17)))),"")</f>
        <v/>
      </c>
      <c r="L17" s="199" t="str">
        <f>IF(U17="0",(IF(G17="",(IF(J17&lt;&gt;"",J17,"")),(IF(J17="",0-G17,J17-G17)))),"")</f>
        <v/>
      </c>
      <c r="M17" s="264"/>
      <c r="N17" s="245"/>
      <c r="O17" s="244"/>
      <c r="P17" s="245"/>
      <c r="Q17" s="244"/>
      <c r="R17" s="199" t="str">
        <f>IF(U17="0",(IF(M17="",(IF(Q17&lt;&gt;"",Q17,"")),(IF(Q17="",0-M17,Q17-M17)))),"")</f>
        <v/>
      </c>
      <c r="S17" s="199" t="str">
        <f>IF(U17="0",(IF(O17="",(IF(Q17&lt;&gt;"",Q17,"")),(IF(Q17="",0-O17,Q17-O17)))),"")</f>
        <v/>
      </c>
      <c r="T17" s="243"/>
      <c r="U17" s="145" t="s">
        <v>379</v>
      </c>
      <c r="V17" s="2"/>
      <c r="W17" s="2"/>
      <c r="X17" s="2"/>
    </row>
    <row r="18" spans="1:24" ht="14.1" customHeight="1" x14ac:dyDescent="0.25">
      <c r="A18" s="263" t="s">
        <v>347</v>
      </c>
      <c r="B18" s="249" t="s">
        <v>174</v>
      </c>
      <c r="C18" s="199"/>
      <c r="D18" s="199">
        <v>0</v>
      </c>
      <c r="E18" s="264"/>
      <c r="F18" s="245"/>
      <c r="G18" s="244"/>
      <c r="H18" s="199">
        <v>3</v>
      </c>
      <c r="I18" s="245">
        <v>312</v>
      </c>
      <c r="J18" s="244">
        <v>22</v>
      </c>
      <c r="K18" s="199">
        <f>IF(U18="0",(IF(D18="",(IF(J18&lt;&gt;"",J18,"")),(IF(J18="",0-D18,J18-D18)))),"")</f>
        <v>22</v>
      </c>
      <c r="L18" s="199">
        <f>IF(U18="0",(IF(G18="",(IF(J18&lt;&gt;"",J18,"")),(IF(J18="",0-G18,J18-G18)))),"")</f>
        <v>22</v>
      </c>
      <c r="M18" s="264"/>
      <c r="N18" s="245"/>
      <c r="O18" s="244"/>
      <c r="P18" s="245">
        <v>3366</v>
      </c>
      <c r="Q18" s="244">
        <v>201</v>
      </c>
      <c r="R18" s="199">
        <f>IF(U18="0",(IF(M18="",(IF(Q18&lt;&gt;"",Q18,"")),(IF(Q18="",0-M18,Q18-M18)))),"")</f>
        <v>201</v>
      </c>
      <c r="S18" s="199">
        <f>IF(U18="0",(IF(O18="",(IF(Q18&lt;&gt;"",Q18,"")),(IF(Q18="",0-O18,Q18-O18)))),"")</f>
        <v>201</v>
      </c>
      <c r="T18" s="243"/>
      <c r="U18" s="145" t="s">
        <v>379</v>
      </c>
      <c r="V18" s="2"/>
      <c r="W18" s="2"/>
      <c r="X18" s="2"/>
    </row>
    <row r="19" spans="1:24" ht="14.1" customHeight="1" x14ac:dyDescent="0.25">
      <c r="A19" s="263" t="s">
        <v>346</v>
      </c>
      <c r="B19" s="249" t="s">
        <v>345</v>
      </c>
      <c r="C19" s="199"/>
      <c r="D19" s="199"/>
      <c r="E19" s="264"/>
      <c r="F19" s="245"/>
      <c r="G19" s="244"/>
      <c r="H19" s="199"/>
      <c r="I19" s="245"/>
      <c r="J19" s="244"/>
      <c r="K19" s="199" t="str">
        <f>IF(U19="0",(IF(D19="",(IF(J19&lt;&gt;"",J19,"")),(IF(J19="",0-D19,J19-D19)))),"")</f>
        <v/>
      </c>
      <c r="L19" s="199" t="str">
        <f>IF(U19="0",(IF(G19="",(IF(J19&lt;&gt;"",J19,"")),(IF(J19="",0-G19,J19-G19)))),"")</f>
        <v/>
      </c>
      <c r="M19" s="264"/>
      <c r="N19" s="245"/>
      <c r="O19" s="244"/>
      <c r="P19" s="245"/>
      <c r="Q19" s="244"/>
      <c r="R19" s="199" t="str">
        <f>IF(U19="0",(IF(M19="",(IF(Q19&lt;&gt;"",Q19,"")),(IF(Q19="",0-M19,Q19-M19)))),"")</f>
        <v/>
      </c>
      <c r="S19" s="199" t="str">
        <f>IF(U19="0",(IF(O19="",(IF(Q19&lt;&gt;"",Q19,"")),(IF(Q19="",0-O19,Q19-O19)))),"")</f>
        <v/>
      </c>
      <c r="T19" s="243"/>
      <c r="U19" s="145" t="s">
        <v>379</v>
      </c>
      <c r="V19" s="2"/>
      <c r="W19" s="2"/>
      <c r="X19" s="2"/>
    </row>
    <row r="20" spans="1:24" ht="14.1" customHeight="1" x14ac:dyDescent="0.25">
      <c r="A20" s="263" t="s">
        <v>344</v>
      </c>
      <c r="B20" s="249" t="s">
        <v>343</v>
      </c>
      <c r="C20" s="199"/>
      <c r="D20" s="199"/>
      <c r="E20" s="264"/>
      <c r="F20" s="245"/>
      <c r="G20" s="244"/>
      <c r="H20" s="199"/>
      <c r="I20" s="245"/>
      <c r="J20" s="244"/>
      <c r="K20" s="199" t="str">
        <f>IF(U20="0",(IF(D20="",(IF(J20&lt;&gt;"",J20,"")),(IF(J20="",0-D20,J20-D20)))),"")</f>
        <v/>
      </c>
      <c r="L20" s="199" t="str">
        <f>IF(U20="0",(IF(G20="",(IF(J20&lt;&gt;"",J20,"")),(IF(J20="",0-G20,J20-G20)))),"")</f>
        <v/>
      </c>
      <c r="M20" s="264"/>
      <c r="N20" s="245"/>
      <c r="O20" s="244"/>
      <c r="P20" s="245"/>
      <c r="Q20" s="244"/>
      <c r="R20" s="199" t="str">
        <f>IF(U20="0",(IF(M20="",(IF(Q20&lt;&gt;"",Q20,"")),(IF(Q20="",0-M20,Q20-M20)))),"")</f>
        <v/>
      </c>
      <c r="S20" s="199" t="str">
        <f>IF(U20="0",(IF(O20="",(IF(Q20&lt;&gt;"",Q20,"")),(IF(Q20="",0-O20,Q20-O20)))),"")</f>
        <v/>
      </c>
      <c r="T20" s="243"/>
      <c r="U20" s="145" t="s">
        <v>379</v>
      </c>
      <c r="V20" s="2"/>
      <c r="W20" s="2"/>
      <c r="X20" s="2"/>
    </row>
    <row r="21" spans="1:24" ht="14.1" customHeight="1" x14ac:dyDescent="0.25">
      <c r="A21" s="263" t="s">
        <v>342</v>
      </c>
      <c r="B21" s="249" t="s">
        <v>341</v>
      </c>
      <c r="C21" s="199"/>
      <c r="D21" s="199"/>
      <c r="E21" s="264"/>
      <c r="F21" s="245"/>
      <c r="G21" s="244"/>
      <c r="H21" s="199"/>
      <c r="I21" s="245"/>
      <c r="J21" s="244"/>
      <c r="K21" s="199" t="str">
        <f>IF(U21="0",(IF(D21="",(IF(J21&lt;&gt;"",J21,"")),(IF(J21="",0-D21,J21-D21)))),"")</f>
        <v/>
      </c>
      <c r="L21" s="199" t="str">
        <f>IF(U21="0",(IF(G21="",(IF(J21&lt;&gt;"",J21,"")),(IF(J21="",0-G21,J21-G21)))),"")</f>
        <v/>
      </c>
      <c r="M21" s="264"/>
      <c r="N21" s="245"/>
      <c r="O21" s="244"/>
      <c r="P21" s="245"/>
      <c r="Q21" s="244"/>
      <c r="R21" s="199" t="str">
        <f>IF(U21="0",(IF(M21="",(IF(Q21&lt;&gt;"",Q21,"")),(IF(Q21="",0-M21,Q21-M21)))),"")</f>
        <v/>
      </c>
      <c r="S21" s="199" t="str">
        <f>IF(U21="0",(IF(O21="",(IF(Q21&lt;&gt;"",Q21,"")),(IF(Q21="",0-O21,Q21-O21)))),"")</f>
        <v/>
      </c>
      <c r="T21" s="243"/>
      <c r="U21" s="145" t="s">
        <v>379</v>
      </c>
      <c r="V21" s="2"/>
      <c r="W21" s="2"/>
      <c r="X21" s="2"/>
    </row>
    <row r="22" spans="1:24" ht="14.1" customHeight="1" x14ac:dyDescent="0.25">
      <c r="A22" s="263" t="s">
        <v>340</v>
      </c>
      <c r="B22" s="249" t="s">
        <v>339</v>
      </c>
      <c r="C22" s="199"/>
      <c r="D22" s="199"/>
      <c r="E22" s="264"/>
      <c r="F22" s="245"/>
      <c r="G22" s="244"/>
      <c r="H22" s="199"/>
      <c r="I22" s="245"/>
      <c r="J22" s="244"/>
      <c r="K22" s="199" t="str">
        <f>IF(U22="0",(IF(D22="",(IF(J22&lt;&gt;"",J22,"")),(IF(J22="",0-D22,J22-D22)))),"")</f>
        <v/>
      </c>
      <c r="L22" s="199" t="str">
        <f>IF(U22="0",(IF(G22="",(IF(J22&lt;&gt;"",J22,"")),(IF(J22="",0-G22,J22-G22)))),"")</f>
        <v/>
      </c>
      <c r="M22" s="264"/>
      <c r="N22" s="245"/>
      <c r="O22" s="244"/>
      <c r="P22" s="245"/>
      <c r="Q22" s="244"/>
      <c r="R22" s="199" t="str">
        <f>IF(U22="0",(IF(M22="",(IF(Q22&lt;&gt;"",Q22,"")),(IF(Q22="",0-M22,Q22-M22)))),"")</f>
        <v/>
      </c>
      <c r="S22" s="199" t="str">
        <f>IF(U22="0",(IF(O22="",(IF(Q22&lt;&gt;"",Q22,"")),(IF(Q22="",0-O22,Q22-O22)))),"")</f>
        <v/>
      </c>
      <c r="T22" s="243"/>
      <c r="U22" s="145" t="s">
        <v>379</v>
      </c>
      <c r="V22" s="2"/>
      <c r="W22" s="2"/>
      <c r="X22" s="2"/>
    </row>
    <row r="23" spans="1:24" ht="15" customHeight="1" x14ac:dyDescent="0.25">
      <c r="A23" s="275" t="s">
        <v>338</v>
      </c>
      <c r="B23" s="274" t="s">
        <v>337</v>
      </c>
      <c r="C23" s="255">
        <f>SUBTOTAL(9,C24:C28)-IF(B23="Работа с фондом",SUMIF(B24:B28,"      ограничение добычи (ОПЕК)",C24:C28),0)</f>
        <v>0</v>
      </c>
      <c r="D23" s="255">
        <f>SUBTOTAL(9,D24:D28)-IF(B23="Работа с фондом",SUMIF(B24:B28,"      ограничение добычи (ОПЕК)",D24:D28),0)</f>
        <v>0</v>
      </c>
      <c r="E23" s="269">
        <f>SUBTOTAL(9,E24:E28)-IF(B23="Работа с фондом",SUMIF(B24:B28,"      ограничение добычи (ОПЕК)",E24:E28),0)</f>
        <v>41</v>
      </c>
      <c r="F23" s="257">
        <f>SUBTOTAL(9,F24:F28)-IF(B23="Работа с фондом",SUMIF(B24:B28,"      ограничение добычи (ОПЕК)",F24:F28),0)</f>
        <v>3865</v>
      </c>
      <c r="G23" s="256">
        <f>SUBTOTAL(9,G24:G28)-IF(B23="Работа с фондом",SUMIF(B24:B28,"      ограничение добычи (ОПЕК)",G24:G28),0)</f>
        <v>704.6</v>
      </c>
      <c r="H23" s="255">
        <f>IF(U23="0",(SUBTOTAL(9,H24:H28)-IF(B23="Работа с фондом",SUMIF(B24:B28,"      ограничение добычи (ОПЕК)",H24:H28),0)),"")</f>
        <v>80</v>
      </c>
      <c r="I23" s="257">
        <f>IF(U23="0",(SUBTOTAL(9,I24:I28)-IF(B23="Работа с фондом",SUMIF(B24:B28,"      ограничение добычи (ОПЕК)",I24:I28),0)),"")</f>
        <v>1297.847</v>
      </c>
      <c r="J23" s="256">
        <f>IF(U23="0",(SUBTOTAL(9,J24:J28)-IF(B23="Работа с фондом",SUMIF(B24:B28,"      ограничение добычи (ОПЕК)",J24:J28),0)),"")</f>
        <v>690.83899999999994</v>
      </c>
      <c r="K23" s="255">
        <f>IF(U23="0",(SUBTOTAL(9,K24:K28)-IF(B23="Работа с фондом",SUMIF(B24:B28,"      ограничение добычи (ОПЕК)",K24:K28),0)),"")</f>
        <v>690.83899999999994</v>
      </c>
      <c r="L23" s="255">
        <f>IF(U23="0",(SUBTOTAL(9,L24:L28)-IF(B23="Работа с фондом",SUMIF(B24:B28,"      ограничение добычи (ОПЕК)",L24:L28),0)),"")</f>
        <v>-13.761000000000024</v>
      </c>
      <c r="M23" s="269">
        <f>SUBTOTAL(9,M24:M28)-IF(B23="Работа с фондом",SUMIF(B24:B28,"      ограничение добычи (ОПЕК)",M24:M28),0)</f>
        <v>0</v>
      </c>
      <c r="N23" s="257">
        <f>SUBTOTAL(9,N24:N28)-IF(B23="Работа с фондом",SUMIF(B24:B28,"      ограничение добычи (ОПЕК)",N24:N28),0)</f>
        <v>46863</v>
      </c>
      <c r="O23" s="256">
        <f>SUBTOTAL(9,O24:O28)-IF(B23="Работа с фондом",SUMIF(B24:B28,"      ограничение добычи (ОПЕК)",O24:O28),0)</f>
        <v>3186.7</v>
      </c>
      <c r="P23" s="257">
        <f>IF(U23="0",(SUBTOTAL(9,P24:P28)-IF(B23="Работа с фондом",SUMIF(B24:B28,"      ограничение добычи (ОПЕК)",P24:P28),0)),"")</f>
        <v>18220.41</v>
      </c>
      <c r="Q23" s="256">
        <f>IF(U23="0",(SUBTOTAL(9,Q24:Q28)-IF(B23="Работа с фондом",SUMIF(B24:B28,"      ограничение добычи (ОПЕК)",Q24:Q28),0)),"")</f>
        <v>2197.4139999999998</v>
      </c>
      <c r="R23" s="255">
        <f>IF(U23="0",(SUBTOTAL(9,R24:R28)-IF(B23="Работа с фондом",SUMIF(B24:B28,"      ограничение добычи (ОПЕК)",R24:R28),0)),"")</f>
        <v>2197.4139999999998</v>
      </c>
      <c r="S23" s="325">
        <f>IF(U23="0",(SUBTOTAL(9,S24:S28)-IF(B23="Работа с фондом",SUMIF(B24:B28,"      ограничение добычи (ОПЕК)",S24:S28),0)),"")</f>
        <v>-989.28600000000006</v>
      </c>
      <c r="T23" s="254"/>
      <c r="U23" s="145" t="s">
        <v>379</v>
      </c>
      <c r="V23" s="2"/>
      <c r="W23" s="2"/>
      <c r="X23" s="2"/>
    </row>
    <row r="24" spans="1:24" ht="14.1" customHeight="1" x14ac:dyDescent="0.25">
      <c r="A24" s="263" t="s">
        <v>336</v>
      </c>
      <c r="B24" s="249" t="s">
        <v>194</v>
      </c>
      <c r="C24" s="199"/>
      <c r="D24" s="199"/>
      <c r="E24" s="264">
        <v>4</v>
      </c>
      <c r="F24" s="245">
        <v>905</v>
      </c>
      <c r="G24" s="244">
        <v>31</v>
      </c>
      <c r="H24" s="199">
        <v>4</v>
      </c>
      <c r="I24" s="245">
        <v>467.26</v>
      </c>
      <c r="J24" s="244">
        <v>38</v>
      </c>
      <c r="K24" s="199">
        <f>IF(U24="0",(IF(D24="",(IF(J24&lt;&gt;"",J24,"")),(IF(J24="",0-D24,J24-D24)))),"")</f>
        <v>38</v>
      </c>
      <c r="L24" s="199">
        <f>IF(U24="0",(IF(G24="",(IF(J24&lt;&gt;"",J24,"")),(IF(J24="",0-G24,J24-G24)))),"")</f>
        <v>7</v>
      </c>
      <c r="M24" s="264"/>
      <c r="N24" s="245">
        <v>19740</v>
      </c>
      <c r="O24" s="244">
        <v>601</v>
      </c>
      <c r="P24" s="245">
        <v>8419.42</v>
      </c>
      <c r="Q24" s="244">
        <v>707</v>
      </c>
      <c r="R24" s="199">
        <f>IF(U24="0",(IF(M24="",(IF(Q24&lt;&gt;"",Q24,"")),(IF(Q24="",0-M24,Q24-M24)))),"")</f>
        <v>707</v>
      </c>
      <c r="S24" s="199">
        <f>IF(U24="0",(IF(O24="",(IF(Q24&lt;&gt;"",Q24,"")),(IF(Q24="",0-O24,Q24-O24)))),"")</f>
        <v>106</v>
      </c>
      <c r="T24" s="243"/>
      <c r="U24" s="145" t="s">
        <v>379</v>
      </c>
      <c r="V24" s="2"/>
      <c r="W24" s="2"/>
      <c r="X24" s="2"/>
    </row>
    <row r="25" spans="1:24" ht="14.1" customHeight="1" x14ac:dyDescent="0.25">
      <c r="A25" s="263" t="s">
        <v>335</v>
      </c>
      <c r="B25" s="249" t="s">
        <v>334</v>
      </c>
      <c r="C25" s="199"/>
      <c r="D25" s="199"/>
      <c r="E25" s="264"/>
      <c r="F25" s="245"/>
      <c r="G25" s="244"/>
      <c r="H25" s="199"/>
      <c r="I25" s="245"/>
      <c r="J25" s="244"/>
      <c r="K25" s="199" t="str">
        <f>IF(U25="0",(IF(D25="",(IF(J25&lt;&gt;"",J25,"")),(IF(J25="",0-D25,J25-D25)))),"")</f>
        <v/>
      </c>
      <c r="L25" s="199" t="str">
        <f>IF(U25="0",(IF(G25="",(IF(J25&lt;&gt;"",J25,"")),(IF(J25="",0-G25,J25-G25)))),"")</f>
        <v/>
      </c>
      <c r="M25" s="264"/>
      <c r="N25" s="245"/>
      <c r="O25" s="244"/>
      <c r="P25" s="245"/>
      <c r="Q25" s="244"/>
      <c r="R25" s="199" t="str">
        <f>IF(U25="0",(IF(M25="",(IF(Q25&lt;&gt;"",Q25,"")),(IF(Q25="",0-M25,Q25-M25)))),"")</f>
        <v/>
      </c>
      <c r="S25" s="199" t="str">
        <f>IF(U25="0",(IF(O25="",(IF(Q25&lt;&gt;"",Q25,"")),(IF(Q25="",0-O25,Q25-O25)))),"")</f>
        <v/>
      </c>
      <c r="T25" s="243"/>
      <c r="U25" s="145" t="s">
        <v>379</v>
      </c>
      <c r="V25" s="2"/>
      <c r="W25" s="2"/>
      <c r="X25" s="2"/>
    </row>
    <row r="26" spans="1:24" ht="14.1" customHeight="1" x14ac:dyDescent="0.25">
      <c r="A26" s="263" t="s">
        <v>333</v>
      </c>
      <c r="B26" s="249" t="s">
        <v>193</v>
      </c>
      <c r="C26" s="199"/>
      <c r="D26" s="199"/>
      <c r="E26" s="264">
        <v>2</v>
      </c>
      <c r="F26" s="245">
        <v>0</v>
      </c>
      <c r="G26" s="244">
        <v>468.5</v>
      </c>
      <c r="H26" s="199">
        <v>58</v>
      </c>
      <c r="I26" s="245">
        <v>0</v>
      </c>
      <c r="J26" s="244">
        <f>898.53-360</f>
        <v>538.53</v>
      </c>
      <c r="K26" s="199">
        <f>IF(U26="0",(IF(D26="",(IF(J26&lt;&gt;"",J26,"")),(IF(J26="",0-D26,J26-D26)))),"")</f>
        <v>538.53</v>
      </c>
      <c r="L26" s="199">
        <f>IF(U26="0",(IF(G26="",(IF(J26&lt;&gt;"",J26,"")),(IF(J26="",0-G26,J26-G26)))),"")</f>
        <v>70.029999999999973</v>
      </c>
      <c r="M26" s="264"/>
      <c r="N26" s="245">
        <v>0</v>
      </c>
      <c r="O26" s="244">
        <v>628.5</v>
      </c>
      <c r="P26" s="245">
        <v>0</v>
      </c>
      <c r="Q26" s="244">
        <v>16</v>
      </c>
      <c r="R26" s="199">
        <f>IF(U26="0",(IF(M26="",(IF(Q26&lt;&gt;"",Q26,"")),(IF(Q26="",0-M26,Q26-M26)))),"")</f>
        <v>16</v>
      </c>
      <c r="S26" s="323">
        <f>IF(U26="0",(IF(O26="",(IF(Q26&lt;&gt;"",Q26,"")),(IF(Q26="",0-O26,Q26-O26)))),"")</f>
        <v>-612.5</v>
      </c>
      <c r="T26" s="243"/>
      <c r="U26" s="145" t="s">
        <v>379</v>
      </c>
      <c r="V26" s="2"/>
      <c r="W26" s="2"/>
      <c r="X26" s="2"/>
    </row>
    <row r="27" spans="1:24" ht="14.1" customHeight="1" x14ac:dyDescent="0.25">
      <c r="A27" s="263" t="s">
        <v>332</v>
      </c>
      <c r="B27" s="249" t="s">
        <v>331</v>
      </c>
      <c r="C27" s="199"/>
      <c r="D27" s="199"/>
      <c r="E27" s="264">
        <v>35</v>
      </c>
      <c r="F27" s="245">
        <v>2960</v>
      </c>
      <c r="G27" s="244">
        <v>205.1</v>
      </c>
      <c r="H27" s="199">
        <v>18</v>
      </c>
      <c r="I27" s="245">
        <v>830.58699999999999</v>
      </c>
      <c r="J27" s="330">
        <f>112.009+1.8+0.5</f>
        <v>114.309</v>
      </c>
      <c r="K27" s="199">
        <f>IF(U27="0",(IF(D27="",(IF(J27&lt;&gt;"",J27,"")),(IF(J27="",0-D27,J27-D27)))),"")</f>
        <v>114.309</v>
      </c>
      <c r="L27" s="323">
        <f>IF(U27="0",(IF(G27="",(IF(J27&lt;&gt;"",J27,"")),(IF(J27="",0-G27,J27-G27)))),"")</f>
        <v>-90.790999999999997</v>
      </c>
      <c r="M27" s="264"/>
      <c r="N27" s="245">
        <v>27123</v>
      </c>
      <c r="O27" s="244">
        <v>1957.2</v>
      </c>
      <c r="P27" s="245">
        <v>9800.99</v>
      </c>
      <c r="Q27" s="244">
        <v>1474.414</v>
      </c>
      <c r="R27" s="199">
        <f>IF(U27="0",(IF(M27="",(IF(Q27&lt;&gt;"",Q27,"")),(IF(Q27="",0-M27,Q27-M27)))),"")</f>
        <v>1474.414</v>
      </c>
      <c r="S27" s="323">
        <f>IF(U27="0",(IF(O27="",(IF(Q27&lt;&gt;"",Q27,"")),(IF(Q27="",0-O27,Q27-O27)))),"")</f>
        <v>-482.78600000000006</v>
      </c>
      <c r="T27" s="243"/>
      <c r="U27" s="145" t="s">
        <v>379</v>
      </c>
      <c r="V27" s="2"/>
      <c r="W27" s="2"/>
      <c r="X27" s="2"/>
    </row>
    <row r="28" spans="1:24" ht="14.1" customHeight="1" x14ac:dyDescent="0.25">
      <c r="A28" s="263" t="s">
        <v>1</v>
      </c>
      <c r="B28" s="249" t="s">
        <v>293</v>
      </c>
      <c r="C28" s="199"/>
      <c r="D28" s="199"/>
      <c r="E28" s="264"/>
      <c r="F28" s="245"/>
      <c r="G28" s="244"/>
      <c r="H28" s="199"/>
      <c r="I28" s="245"/>
      <c r="J28" s="244"/>
      <c r="K28" s="199" t="str">
        <f>IF(U28="0",(IF(D28="",(IF(J28&lt;&gt;"",J28,"")),(IF(J28="",0-D28,J28-D28)))),"")</f>
        <v/>
      </c>
      <c r="L28" s="199" t="str">
        <f>IF(U28="0",(IF(G28="",(IF(J28&lt;&gt;"",J28,"")),(IF(J28="",0-G28,J28-G28)))),"")</f>
        <v/>
      </c>
      <c r="M28" s="264"/>
      <c r="N28" s="245"/>
      <c r="O28" s="244"/>
      <c r="P28" s="245"/>
      <c r="Q28" s="244"/>
      <c r="R28" s="199" t="str">
        <f>IF(U28="0",(IF(M28="",(IF(Q28&lt;&gt;"",Q28,"")),(IF(Q28="",0-M28,Q28-M28)))),"")</f>
        <v/>
      </c>
      <c r="S28" s="199" t="str">
        <f>IF(U28="0",(IF(O28="",(IF(Q28&lt;&gt;"",Q28,"")),(IF(Q28="",0-O28,Q28-O28)))),"")</f>
        <v/>
      </c>
      <c r="T28" s="243"/>
      <c r="U28" s="145" t="s">
        <v>379</v>
      </c>
      <c r="V28" s="2"/>
      <c r="W28" s="2"/>
      <c r="X28" s="2"/>
    </row>
    <row r="29" spans="1:24" ht="15" customHeight="1" x14ac:dyDescent="0.25">
      <c r="A29" s="261" t="s">
        <v>330</v>
      </c>
      <c r="B29" s="260" t="s">
        <v>329</v>
      </c>
      <c r="C29" s="291"/>
      <c r="D29" s="291"/>
      <c r="E29" s="294">
        <v>0</v>
      </c>
      <c r="F29" s="293">
        <v>0</v>
      </c>
      <c r="G29" s="292">
        <v>0</v>
      </c>
      <c r="H29" s="291">
        <v>0</v>
      </c>
      <c r="I29" s="293">
        <v>0</v>
      </c>
      <c r="J29" s="292">
        <v>0</v>
      </c>
      <c r="K29" s="295"/>
      <c r="L29" s="291">
        <f>IF(U29="0",(IF(G29="",(IF(J29&lt;&gt;"",J29,"")),(IF(J29="",0-G29,J29-G29)))),"")</f>
        <v>0</v>
      </c>
      <c r="M29" s="294"/>
      <c r="N29" s="293">
        <v>0</v>
      </c>
      <c r="O29" s="292">
        <v>0</v>
      </c>
      <c r="P29" s="293">
        <v>0</v>
      </c>
      <c r="Q29" s="292">
        <v>0</v>
      </c>
      <c r="R29" s="291" t="s">
        <v>1</v>
      </c>
      <c r="S29" s="291">
        <f>IF(U29="0",(IF(O29="",(IF(Q29&lt;&gt;"",Q29,"")),(IF(Q29="",0-O29,Q29-O29)))),"")</f>
        <v>0</v>
      </c>
      <c r="T29" s="290"/>
      <c r="U29" s="145" t="s">
        <v>379</v>
      </c>
      <c r="V29" s="2"/>
      <c r="W29" s="2"/>
      <c r="X29" s="2"/>
    </row>
    <row r="30" spans="1:24" ht="14.1" customHeight="1" x14ac:dyDescent="0.25">
      <c r="A30" s="261" t="s">
        <v>328</v>
      </c>
      <c r="B30" s="260" t="s">
        <v>327</v>
      </c>
      <c r="C30" s="259"/>
      <c r="D30" s="259"/>
      <c r="E30" s="258"/>
      <c r="F30" s="259"/>
      <c r="G30" s="259"/>
      <c r="H30" s="259"/>
      <c r="I30" s="259"/>
      <c r="J30" s="259"/>
      <c r="K30" s="259"/>
      <c r="L30" s="259"/>
      <c r="M30" s="258"/>
      <c r="N30" s="257">
        <v>0</v>
      </c>
      <c r="O30" s="256">
        <v>6680.7</v>
      </c>
      <c r="P30" s="257">
        <v>0</v>
      </c>
      <c r="Q30" s="256">
        <v>11888.303000000189</v>
      </c>
      <c r="R30" s="255"/>
      <c r="S30" s="255">
        <f>IF(U30="0",(IF(O30="",(IF(Q30&lt;&gt;"",Q30,"")),(IF(Q30="",0-O30,Q30-O30)))),"")</f>
        <v>5207.6030000001892</v>
      </c>
      <c r="T30" s="254"/>
      <c r="U30" s="145" t="s">
        <v>379</v>
      </c>
      <c r="V30" s="2"/>
      <c r="W30" s="2"/>
      <c r="X30" s="2"/>
    </row>
    <row r="31" spans="1:24" ht="14.1" customHeight="1" x14ac:dyDescent="0.25">
      <c r="A31" s="289"/>
      <c r="B31" s="288"/>
      <c r="C31" s="287"/>
      <c r="D31" s="287"/>
      <c r="E31" s="285"/>
      <c r="F31" s="286"/>
      <c r="G31" s="286"/>
      <c r="H31" s="286"/>
      <c r="I31" s="286"/>
      <c r="J31" s="286"/>
      <c r="K31" s="286"/>
      <c r="L31" s="286"/>
      <c r="M31" s="285"/>
      <c r="N31" s="286"/>
      <c r="O31" s="286"/>
      <c r="P31" s="286"/>
      <c r="Q31" s="286"/>
      <c r="R31" s="286"/>
      <c r="S31" s="286"/>
      <c r="T31" s="285"/>
      <c r="U31" s="3"/>
      <c r="V31" s="2"/>
      <c r="W31" s="2"/>
      <c r="X31" s="2"/>
    </row>
    <row r="32" spans="1:24" ht="14.1" customHeight="1" thickBo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"/>
      <c r="W32" s="2"/>
      <c r="X32" s="2"/>
    </row>
    <row r="33" spans="1:24" ht="15" customHeight="1" x14ac:dyDescent="0.25">
      <c r="A33" s="284">
        <v>3</v>
      </c>
      <c r="B33" s="283" t="s">
        <v>326</v>
      </c>
      <c r="C33" s="281"/>
      <c r="D33" s="281"/>
      <c r="E33" s="282">
        <f>SUMIF(B34:B59,"Падение по базовому фонду, ГТМ",E34:E59)+SUMIF(B34:B59,"От технологических причин, в т.ч:",E34:E59)</f>
        <v>33</v>
      </c>
      <c r="F33" s="279">
        <f>SUMIF(B34:B59,"Падение по базовому фонду, ГТМ",F34:F59)+SUMIF(B34:B59,"От технологических причин, в т.ч:",F34:F59)</f>
        <v>2180.154</v>
      </c>
      <c r="G33" s="278">
        <f>SUMIF(B34:B59,"Падение по базовому фонду, ГТМ",G34:G59)+SUMIF(B34:B59,"От технологических причин, в т.ч:",G34:G59)</f>
        <v>1688.2629999999999</v>
      </c>
      <c r="H33" s="277">
        <f>IF(U33="0",(SUMIF(B34:B59,"Падение по базовому фонду, ГТМ",H34:H59)+SUMIF(B34:B59,"От технологических причин, в т.ч:",H34:H59)),"")</f>
        <v>26</v>
      </c>
      <c r="I33" s="279">
        <f>IF(U33="0",(SUMIF(B34:B59,"Падение по базовому фонду, ГТМ",I34:I59)+SUMIF(B34:B59,"От технологических причин, в т.ч:",I34:I59)),"")</f>
        <v>4946.2529999999997</v>
      </c>
      <c r="J33" s="278">
        <f>IF(U33="0",(SUMIF(B34:B59,"Падение по базовому фонду, ГТМ",J34:J59)+SUMIF(B34:B59,"От технологических причин, в т.ч:",J34:J59)),"")</f>
        <v>1670.09</v>
      </c>
      <c r="K33" s="281"/>
      <c r="L33" s="326">
        <f>IF(U33="0",(SUMIF(B34:B59,"Падение по базовому фонду, ГТМ",L34:L59)+SUMIF(B34:B59,"От технологических причин, в т.ч:",L34:L59)),"")</f>
        <v>-18.173000000000009</v>
      </c>
      <c r="M33" s="280">
        <v>2061.5700000000002</v>
      </c>
      <c r="N33" s="279">
        <f>SUMIF(B34:B61,"Падение по базовому фонду, ГТМ",N34:N61)+SUMIF(B34:B61,"От технологических причин, в т.ч:",N34:N61)</f>
        <v>116318.11199999999</v>
      </c>
      <c r="O33" s="278">
        <f>SUMIF(B34:B61,"Падение по базовому фонду, ГТМ",O34:O61)+SUMIF(B34:B61,"От технологических причин, в т.ч:",O34:O61)</f>
        <v>30820.085999999999</v>
      </c>
      <c r="P33" s="279">
        <f>IF(U33="0",(SUMIF(B34:B61,"Падение по базовому фонду, ГТМ",P34:P61)+SUMIF(B34:B61,"От технологических причин, в т.ч:",P34:P61)),"")</f>
        <v>209656.96100000001</v>
      </c>
      <c r="Q33" s="278">
        <f>IF(U33="0",(SUMIF(B34:B61,"Падение по базовому фонду, ГТМ",Q34:Q61)+SUMIF(B34:B61,"От технологических причин, в т.ч:",Q34:Q61)),"")</f>
        <v>30077.969000000001</v>
      </c>
      <c r="R33" s="277"/>
      <c r="S33" s="326">
        <f>IF(U33="0",(SUMIF(B34:B61,"Падение по базовому фонду, ГТМ",S34:S61)+SUMIF(B34:B61,"От технологических причин, в т.ч:",S34:S61)),"")</f>
        <v>-742.11699999999996</v>
      </c>
      <c r="T33" s="276"/>
      <c r="U33" s="145" t="s">
        <v>379</v>
      </c>
      <c r="V33" s="2"/>
      <c r="W33" s="2"/>
      <c r="X33" s="2"/>
    </row>
    <row r="34" spans="1:24" ht="15" customHeight="1" x14ac:dyDescent="0.25">
      <c r="A34" s="275" t="s">
        <v>325</v>
      </c>
      <c r="B34" s="274" t="s">
        <v>324</v>
      </c>
      <c r="C34" s="259"/>
      <c r="D34" s="259"/>
      <c r="E34" s="258"/>
      <c r="F34" s="257">
        <f>SUBTOTAL(9,F35:F42)</f>
        <v>0</v>
      </c>
      <c r="G34" s="256">
        <f>SUBTOTAL(9,G35:G42)</f>
        <v>1450</v>
      </c>
      <c r="H34" s="259"/>
      <c r="I34" s="257">
        <f>IF(U34="0",(SUBTOTAL(9,I35:I42)),"")</f>
        <v>0</v>
      </c>
      <c r="J34" s="256">
        <f>IF(U34="0",(SUBTOTAL(9,J35:J42)),"")</f>
        <v>1450</v>
      </c>
      <c r="K34" s="259"/>
      <c r="L34" s="325">
        <f>IF(U34="0",(SUBTOTAL(9,L35:L42)),"")</f>
        <v>0</v>
      </c>
      <c r="M34" s="258">
        <v>0</v>
      </c>
      <c r="N34" s="257">
        <f>SUBTOTAL(9,N35:N42)</f>
        <v>0</v>
      </c>
      <c r="O34" s="256">
        <f>SUBTOTAL(9,O35:O42)</f>
        <v>21750</v>
      </c>
      <c r="P34" s="257">
        <f>IF(U34="0",(SUBTOTAL(9,P35:P42)),"")</f>
        <v>0</v>
      </c>
      <c r="Q34" s="256">
        <f>IF(U34="0",(SUBTOTAL(9,Q35:Q42)),"")</f>
        <v>21750</v>
      </c>
      <c r="R34" s="255"/>
      <c r="S34" s="255">
        <f>IF(U34="0",(SUBTOTAL(9,S35:S42)),"")</f>
        <v>0</v>
      </c>
      <c r="T34" s="254"/>
      <c r="U34" s="145" t="s">
        <v>379</v>
      </c>
      <c r="V34" s="2"/>
      <c r="W34" s="2"/>
      <c r="X34" s="2"/>
    </row>
    <row r="35" spans="1:24" ht="15" customHeight="1" x14ac:dyDescent="0.25">
      <c r="A35" s="263" t="s">
        <v>323</v>
      </c>
      <c r="B35" s="249" t="s">
        <v>322</v>
      </c>
      <c r="C35" s="192"/>
      <c r="D35" s="192"/>
      <c r="E35" s="266"/>
      <c r="F35" s="253">
        <f>SUBTOTAL(9,F36:F37)</f>
        <v>0</v>
      </c>
      <c r="G35" s="252">
        <f>SUBTOTAL(9,G36:G37)</f>
        <v>1450</v>
      </c>
      <c r="H35" s="267"/>
      <c r="I35" s="253">
        <f>IF(U35="0",(SUBTOTAL(9,I36:I37)),"")</f>
        <v>0</v>
      </c>
      <c r="J35" s="252">
        <f>IF(U35="0",(SUBTOTAL(9,J36:J37)),"")</f>
        <v>1450</v>
      </c>
      <c r="K35" s="267"/>
      <c r="L35" s="190">
        <f>IF(U35="0",(SUBTOTAL(9,L36:L37)),"")</f>
        <v>0</v>
      </c>
      <c r="M35" s="266">
        <v>0</v>
      </c>
      <c r="N35" s="253">
        <f>SUBTOTAL(9,N36:N37)</f>
        <v>0</v>
      </c>
      <c r="O35" s="252">
        <f>SUBTOTAL(9,O36:O37)</f>
        <v>21750</v>
      </c>
      <c r="P35" s="253">
        <f>IF(U35="0",(SUBTOTAL(9,P36:P37)),"")</f>
        <v>0</v>
      </c>
      <c r="Q35" s="252">
        <f>IF(U35="0",(SUBTOTAL(9,Q36:Q37)),"")</f>
        <v>21750</v>
      </c>
      <c r="R35" s="190"/>
      <c r="S35" s="190">
        <f>IF(U35="0",(SUBTOTAL(9,S36:S37)),"")</f>
        <v>0</v>
      </c>
      <c r="T35" s="265"/>
      <c r="U35" s="145" t="s">
        <v>379</v>
      </c>
      <c r="V35" s="2"/>
      <c r="W35" s="2"/>
      <c r="X35" s="2"/>
    </row>
    <row r="36" spans="1:24" ht="15" customHeight="1" x14ac:dyDescent="0.25">
      <c r="A36" s="263" t="s">
        <v>321</v>
      </c>
      <c r="B36" s="251" t="s">
        <v>320</v>
      </c>
      <c r="C36" s="192"/>
      <c r="D36" s="192"/>
      <c r="E36" s="273" t="s">
        <v>381</v>
      </c>
      <c r="F36" s="245">
        <v>0</v>
      </c>
      <c r="G36" s="244">
        <v>1269.33</v>
      </c>
      <c r="H36" s="272" t="s">
        <v>381</v>
      </c>
      <c r="I36" s="245">
        <v>0</v>
      </c>
      <c r="J36" s="244">
        <v>1269.33</v>
      </c>
      <c r="K36" s="192"/>
      <c r="L36" s="199">
        <f>IF(U36="0",(IF(G36="",(IF(J36&lt;&gt;"",J36,"")),(IF(J36="",0-G36,J36-G36)))),"")</f>
        <v>0</v>
      </c>
      <c r="M36" s="246"/>
      <c r="N36" s="245">
        <v>0</v>
      </c>
      <c r="O36" s="244">
        <v>19039.95</v>
      </c>
      <c r="P36" s="245">
        <v>0</v>
      </c>
      <c r="Q36" s="244">
        <v>19039.95</v>
      </c>
      <c r="R36" s="199"/>
      <c r="S36" s="199">
        <f>IF(U36="0",(IF(O36="",(IF(Q36&lt;&gt;"",Q36,"")),(IF(Q36="",0-O36,Q36-O36)))),"")</f>
        <v>0</v>
      </c>
      <c r="T36" s="243"/>
      <c r="U36" s="145" t="s">
        <v>379</v>
      </c>
      <c r="V36" s="2"/>
      <c r="W36" s="2"/>
      <c r="X36" s="2"/>
    </row>
    <row r="37" spans="1:24" ht="15" customHeight="1" x14ac:dyDescent="0.25">
      <c r="A37" s="263" t="s">
        <v>318</v>
      </c>
      <c r="B37" s="251" t="s">
        <v>317</v>
      </c>
      <c r="C37" s="192"/>
      <c r="D37" s="192"/>
      <c r="E37" s="273" t="s">
        <v>380</v>
      </c>
      <c r="F37" s="245">
        <v>0</v>
      </c>
      <c r="G37" s="244">
        <v>180.67</v>
      </c>
      <c r="H37" s="272" t="s">
        <v>380</v>
      </c>
      <c r="I37" s="245">
        <v>0</v>
      </c>
      <c r="J37" s="244">
        <v>180.67</v>
      </c>
      <c r="K37" s="192"/>
      <c r="L37" s="199">
        <f>IF(U37="0",(IF(G37="",(IF(J37&lt;&gt;"",J37,"")),(IF(J37="",0-G37,J37-G37)))),"")</f>
        <v>0</v>
      </c>
      <c r="M37" s="246"/>
      <c r="N37" s="245">
        <v>0</v>
      </c>
      <c r="O37" s="244">
        <v>2710.05</v>
      </c>
      <c r="P37" s="245">
        <v>0</v>
      </c>
      <c r="Q37" s="244">
        <v>2710.05</v>
      </c>
      <c r="R37" s="199"/>
      <c r="S37" s="199">
        <f>IF(U37="0",(IF(O37="",(IF(Q37&lt;&gt;"",Q37,"")),(IF(Q37="",0-O37,Q37-O37)))),"")</f>
        <v>0</v>
      </c>
      <c r="T37" s="243"/>
      <c r="U37" s="145" t="s">
        <v>379</v>
      </c>
      <c r="V37" s="2"/>
      <c r="W37" s="2"/>
      <c r="X37" s="2"/>
    </row>
    <row r="38" spans="1:24" ht="15" customHeight="1" x14ac:dyDescent="0.25">
      <c r="A38" s="263" t="s">
        <v>315</v>
      </c>
      <c r="B38" s="249" t="s">
        <v>314</v>
      </c>
      <c r="C38" s="192"/>
      <c r="D38" s="192"/>
      <c r="E38" s="266"/>
      <c r="F38" s="253">
        <f>SUBTOTAL(9,F39:F40)</f>
        <v>0</v>
      </c>
      <c r="G38" s="252">
        <f>SUBTOTAL(9,G39:G40)</f>
        <v>0</v>
      </c>
      <c r="H38" s="267"/>
      <c r="I38" s="253">
        <f>IF(U38="0",(SUBTOTAL(9,I39:I40)),"")</f>
        <v>0</v>
      </c>
      <c r="J38" s="252">
        <f>IF(U38="0",(SUBTOTAL(9,J39:J40)),"")</f>
        <v>0</v>
      </c>
      <c r="K38" s="267"/>
      <c r="L38" s="190">
        <f>IF(U38="0",(SUBTOTAL(9,L39:L40)),"")</f>
        <v>0</v>
      </c>
      <c r="M38" s="266">
        <v>0</v>
      </c>
      <c r="N38" s="253">
        <f>SUBTOTAL(9,N39:N40)</f>
        <v>0</v>
      </c>
      <c r="O38" s="252">
        <f>SUBTOTAL(9,O39:O40)</f>
        <v>0</v>
      </c>
      <c r="P38" s="253">
        <f>IF(U38="0",(SUBTOTAL(9,P39:P40)),"")</f>
        <v>0</v>
      </c>
      <c r="Q38" s="252">
        <f>IF(U38="0",(SUBTOTAL(9,Q39:Q40)),"")</f>
        <v>0</v>
      </c>
      <c r="R38" s="190"/>
      <c r="S38" s="190">
        <f>IF(U38="0",(SUBTOTAL(9,S39:S40)),"")</f>
        <v>0</v>
      </c>
      <c r="T38" s="265"/>
      <c r="U38" s="145" t="s">
        <v>379</v>
      </c>
      <c r="V38" s="2"/>
      <c r="W38" s="2"/>
      <c r="X38" s="2"/>
    </row>
    <row r="39" spans="1:24" ht="15" customHeight="1" x14ac:dyDescent="0.25">
      <c r="A39" s="263" t="s">
        <v>313</v>
      </c>
      <c r="B39" s="251" t="s">
        <v>312</v>
      </c>
      <c r="C39" s="192"/>
      <c r="D39" s="192"/>
      <c r="E39" s="246"/>
      <c r="F39" s="245"/>
      <c r="G39" s="244"/>
      <c r="H39" s="192"/>
      <c r="I39" s="245"/>
      <c r="J39" s="244"/>
      <c r="K39" s="192"/>
      <c r="L39" s="199" t="str">
        <f>IF(U39="0",(IF(G39="",(IF(J39&lt;&gt;"",J39,"")),(IF(J39="",0-G39,J39-G39)))),"")</f>
        <v/>
      </c>
      <c r="M39" s="246"/>
      <c r="N39" s="245"/>
      <c r="O39" s="244"/>
      <c r="P39" s="245"/>
      <c r="Q39" s="244"/>
      <c r="R39" s="199"/>
      <c r="S39" s="199" t="str">
        <f>IF(U39="0",(IF(O39="",(IF(Q39&lt;&gt;"",Q39,"")),(IF(Q39="",0-O39,Q39-O39)))),"")</f>
        <v/>
      </c>
      <c r="T39" s="243"/>
      <c r="U39" s="145" t="s">
        <v>379</v>
      </c>
      <c r="V39" s="2"/>
      <c r="W39" s="2"/>
      <c r="X39" s="2"/>
    </row>
    <row r="40" spans="1:24" ht="15" customHeight="1" x14ac:dyDescent="0.25">
      <c r="A40" s="263" t="s">
        <v>311</v>
      </c>
      <c r="B40" s="251" t="s">
        <v>310</v>
      </c>
      <c r="C40" s="192"/>
      <c r="D40" s="192"/>
      <c r="E40" s="246"/>
      <c r="F40" s="245"/>
      <c r="G40" s="244"/>
      <c r="H40" s="192"/>
      <c r="I40" s="245"/>
      <c r="J40" s="244"/>
      <c r="K40" s="192"/>
      <c r="L40" s="199" t="str">
        <f>IF(U40="0",(IF(G40="",(IF(J40&lt;&gt;"",J40,"")),(IF(J40="",0-G40,J40-G40)))),"")</f>
        <v/>
      </c>
      <c r="M40" s="246"/>
      <c r="N40" s="245"/>
      <c r="O40" s="244"/>
      <c r="P40" s="245"/>
      <c r="Q40" s="244"/>
      <c r="R40" s="199"/>
      <c r="S40" s="199" t="str">
        <f>IF(U40="0",(IF(O40="",(IF(Q40&lt;&gt;"",Q40,"")),(IF(Q40="",0-O40,Q40-O40)))),"")</f>
        <v/>
      </c>
      <c r="T40" s="243"/>
      <c r="U40" s="145" t="s">
        <v>379</v>
      </c>
      <c r="V40" s="2"/>
      <c r="W40" s="2"/>
      <c r="X40" s="2"/>
    </row>
    <row r="41" spans="1:24" ht="15" customHeight="1" x14ac:dyDescent="0.25">
      <c r="A41" s="263" t="s">
        <v>309</v>
      </c>
      <c r="B41" s="249" t="s">
        <v>308</v>
      </c>
      <c r="C41" s="192"/>
      <c r="D41" s="192"/>
      <c r="E41" s="266"/>
      <c r="F41" s="253">
        <f>SUBTOTAL(9,F42:F42)</f>
        <v>0</v>
      </c>
      <c r="G41" s="252">
        <f>SUBTOTAL(9,G42:G42)</f>
        <v>0</v>
      </c>
      <c r="H41" s="267"/>
      <c r="I41" s="253">
        <f>IF(U41="0",(SUBTOTAL(9,I42:I42)),"")</f>
        <v>0</v>
      </c>
      <c r="J41" s="252">
        <f>IF(U41="0",(SUBTOTAL(9,J42:J42)),"")</f>
        <v>0</v>
      </c>
      <c r="K41" s="267"/>
      <c r="L41" s="324">
        <f>IF(U41="0",(SUBTOTAL(9,L42:L42)),"")</f>
        <v>0</v>
      </c>
      <c r="M41" s="266">
        <v>0</v>
      </c>
      <c r="N41" s="253">
        <f>SUBTOTAL(9,N42:N42)</f>
        <v>0</v>
      </c>
      <c r="O41" s="252">
        <f>SUBTOTAL(9,O42:O42)</f>
        <v>0</v>
      </c>
      <c r="P41" s="253">
        <f>IF(U41="0",(SUBTOTAL(9,P42:P42)),"")</f>
        <v>0</v>
      </c>
      <c r="Q41" s="252">
        <f>IF(U41="0",(SUBTOTAL(9,Q42:Q42)),"")</f>
        <v>0</v>
      </c>
      <c r="R41" s="190"/>
      <c r="S41" s="190">
        <f>IF(U41="0",(SUBTOTAL(9,S42:S42)),"")</f>
        <v>0</v>
      </c>
      <c r="T41" s="265"/>
      <c r="U41" s="145" t="s">
        <v>379</v>
      </c>
      <c r="V41" s="2"/>
      <c r="W41" s="2"/>
      <c r="X41" s="2"/>
    </row>
    <row r="42" spans="1:24" ht="15" customHeight="1" x14ac:dyDescent="0.25">
      <c r="A42" s="263" t="s">
        <v>307</v>
      </c>
      <c r="B42" s="251" t="s">
        <v>306</v>
      </c>
      <c r="C42" s="192"/>
      <c r="D42" s="192"/>
      <c r="E42" s="246"/>
      <c r="F42" s="245"/>
      <c r="G42" s="244"/>
      <c r="H42" s="331"/>
      <c r="I42" s="332"/>
      <c r="J42" s="330"/>
      <c r="K42" s="192"/>
      <c r="L42" s="323" t="str">
        <f>IF(U42="0",(IF(G42="",(IF(J42&lt;&gt;"",J42,"")),(IF(J42="",0-G42,J42-G42)))),"")</f>
        <v/>
      </c>
      <c r="M42" s="246"/>
      <c r="N42" s="245"/>
      <c r="O42" s="244"/>
      <c r="P42" s="245"/>
      <c r="Q42" s="244"/>
      <c r="R42" s="199"/>
      <c r="S42" s="199" t="str">
        <f>IF(U42="0",(IF(O42="",(IF(Q42&lt;&gt;"",Q42,"")),(IF(Q42="",0-O42,Q42-O42)))),"")</f>
        <v/>
      </c>
      <c r="T42" s="243"/>
      <c r="U42" s="145" t="s">
        <v>379</v>
      </c>
      <c r="V42" s="2"/>
      <c r="W42" s="2"/>
      <c r="X42" s="2"/>
    </row>
    <row r="43" spans="1:24" ht="15" customHeight="1" x14ac:dyDescent="0.25">
      <c r="A43" s="271" t="s">
        <v>305</v>
      </c>
      <c r="B43" s="270" t="s">
        <v>304</v>
      </c>
      <c r="C43" s="259"/>
      <c r="D43" s="259"/>
      <c r="E43" s="269">
        <f>SUMIF(B44:B59,"Рост потенциала простоя",E44:E59)+SUMIF(B44:B59,"Остановка по распоряжению, в т.ч.:",E44:E59)+SUMIF(B44:B59,"Остановка нерентабельного фонда",E44:E59)+SUMIF(B44:B59,"Остановка для перевода в ППД",E44:E59)+SUMIF(B44:B59,"Прочие потери",E44:E59)+SUMIF(B44:B59,"Потери нефти по ОТМ",E44:E59)+SUMIF(B44:B59,"Ост. дебит от ЗБС, Углуб., ПВЛГ/ПНЛГ",E44:E59)</f>
        <v>33</v>
      </c>
      <c r="F43" s="257">
        <f>SUMIF(B44:B59,"Рост потенциала простоя",F44:F59)+SUMIF(B44:B59,"Остановка по распоряжению, в т.ч.:",F44:F59)+SUMIF(B44:B59,"Остановка нерентабельного фонда",F44:F59)+SUMIF(B44:B59,"Остановка для перевода в ППД",F44:F59)+SUMIF(B44:B59,"Прочие потери",F44:F59)+SUMIF(B44:B59,"Потери нефти по ОТМ",F44:F59)+SUMIF(B44:B59,"Ост. дебит от ЗБС, Углуб., ПВЛГ/ПНЛГ",F44:F59)</f>
        <v>2180.154</v>
      </c>
      <c r="G43" s="256">
        <f>SUMIF(B44:B59,"Рост потенциала простоя",G44:G59)+SUMIF(B44:B59,"Остановка по распоряжению, в т.ч.:",G44:G59)+SUMIF(B44:B59,"Остановка нерентабельного фонда",G44:G59)+SUMIF(B44:B59,"Остановка для перевода в ППД",G44:G59)+SUMIF(B44:B59,"Прочие потери",G44:G59)+SUMIF(B44:B59,"Потери нефти по ОТМ",G44:G59)+SUMIF(B44:B59,"Ост. дебит от ЗБС, Углуб., ПВЛГ/ПНЛГ",G44:G59)</f>
        <v>238.26300000000001</v>
      </c>
      <c r="H43" s="255">
        <f>IF(U43="0",(SUMIF(B44:B59,"Рост потенциала простоя",H44:H59)+SUMIF(B44:B59,"Остановка по распоряжению, в т.ч.:",H44:H59)+SUMIF(B44:B59,"Остановка нерентабельного фонда",H44:H59)+SUMIF(B44:B59,"Остановка для перевода в ППД",H44:H59)+SUMIF(B44:B59,"Прочие потери",H44:H59)+SUMIF(B44:B59,"Потери нефти по ОТМ",H44:H59)+SUMIF(B44:B59,"Ост. дебит от ЗБС, Углуб., ПВЛГ/ПНЛГ",H44:H59)),"")</f>
        <v>26</v>
      </c>
      <c r="I43" s="257">
        <f>IF(U43="0",(SUMIF(B44:B59,"Рост потенциала простоя",I44:I59)+SUMIF(B44:B59,"Остановка по распоряжению, в т.ч.:",I44:I59)+SUMIF(B44:B59,"Остановка нерентабельного фонда",I44:I59)+SUMIF(B44:B59,"Остановка для перевода в ППД",I44:I59)+SUMIF(B44:B59,"Прочие потери",I44:I59)+SUMIF(B44:B59,"Потери нефти по ОТМ",I44:I59)+SUMIF(B44:B59,"Ост. дебит от ЗБС, Углуб., ПВЛГ/ПНЛГ",I44:I59)),"")</f>
        <v>4946.2529999999997</v>
      </c>
      <c r="J43" s="256">
        <f>IF(U43="0",(SUMIF(B44:B59,"Рост потенциала простоя",J44:J59)+SUMIF(B44:B59,"Остановка по распоряжению, в т.ч.:",J44:J59)+SUMIF(B44:B59,"Остановка нерентабельного фонда",J44:J59)+SUMIF(B44:B59,"Остановка для перевода в ППД",J44:J59)+SUMIF(B44:B59,"Прочие потери",J44:J59)+SUMIF(B44:B59,"Потери нефти по ОТМ",J44:J59)+SUMIF(B44:B59,"Ост. дебит от ЗБС, Углуб., ПВЛГ/ПНЛГ",J44:J59)),"")</f>
        <v>220.09</v>
      </c>
      <c r="K43" s="259"/>
      <c r="L43" s="325">
        <f>IF(U43="0",(SUMIF(B44:B59,"Рост потенциала простоя",L44:L59)+SUMIF(B44:B59,"Остановка по распоряжению, в т.ч.:",L44:L59)+SUMIF(B44:B59,"Остановка нерентабельного фонда",L44:L59)+SUMIF(B44:B59,"Остановка для перевода в ППД",L44:L59)+SUMIF(B44:B59,"Прочие потери",L44:L59)+SUMIF(B44:B59,"Потери нефти по ОТМ",L44:L59)+SUMIF(B44:B59,"Ост. дебит от ЗБС, Углуб., ПВЛГ/ПНЛГ",L44:L59)),"")</f>
        <v>-18.173000000000009</v>
      </c>
      <c r="M43" s="258">
        <v>2061.5700000000002</v>
      </c>
      <c r="N43" s="257">
        <f>SUMIF(B44:B61,"Рост потенциала простоя",N44:N61)+SUMIF(B44:B61,"Остановка по распоряжению, в т.ч.:",N44:N61)+SUMIF(B44:B61,"Остановка нерентабельного фонда",N44:N61)+SUMIF(B44:B61,"Остановка для перевода в ППД",N44:N61)+SUMIF(B44:B61,"Прочие потери",N44:N61)+SUMIF(B44:B61,"Потери нефти по ОТМ",N44:N61)+SUMIF(B44:B61,"Ост. дебит от ЗБС, Углуб., ПВЛГ/ПНЛГ",N44:N61)</f>
        <v>116318.11199999999</v>
      </c>
      <c r="O43" s="256">
        <f>SUMIF(B44:B61,"Рост потенциала простоя",O44:O61)+SUMIF(B44:B61,"Остановка по распоряжению, в т.ч.:",O44:O61)+SUMIF(B44:B61,"Остановка нерентабельного фонда",O44:O61)+SUMIF(B44:B61,"Остановка для перевода в ППД",O44:O61)+SUMIF(B44:B61,"Прочие потери",O44:O61)+SUMIF(B44:B61,"Потери нефти по ОТМ",O44:O61)+SUMIF(B44:B61,"Ост. дебит от ЗБС, Углуб., ПВЛГ/ПНЛГ",O44:O61)</f>
        <v>9070.0859999999993</v>
      </c>
      <c r="P43" s="257">
        <f>IF(U43="0",(SUMIF(B44:B61,"Рост потенциала простоя",P44:P61)+SUMIF(B44:B61,"Остановка по распоряжению, в т.ч.:",P44:P61)+SUMIF(B44:B61,"Остановка нерентабельного фонда",P44:P61)+SUMIF(B44:B61,"Остановка для перевода в ППД",P44:P61)+SUMIF(B44:B61,"Прочие потери",P44:P61)+SUMIF(B44:B61,"Потери нефти по ОТМ",P44:P61)+SUMIF(B44:B61,"Ост. дебит от ЗБС, Углуб., ПВЛГ/ПНЛГ",P44:P61)),"")</f>
        <v>209656.96100000001</v>
      </c>
      <c r="Q43" s="256">
        <f>IF(U43="0",(SUMIF(B44:B61,"Рост потенциала простоя",Q44:Q61)+SUMIF(B44:B61,"Остановка по распоряжению, в т.ч.:",Q44:Q61)+SUMIF(B44:B61,"Остановка нерентабельного фонда",Q44:Q61)+SUMIF(B44:B61,"Остановка для перевода в ППД",Q44:Q61)+SUMIF(B44:B61,"Прочие потери",Q44:Q61)+SUMIF(B44:B61,"Потери нефти по ОТМ",Q44:Q61)+SUMIF(B44:B61,"Ост. дебит от ЗБС, Углуб., ПВЛГ/ПНЛГ",Q44:Q61)),"")</f>
        <v>8327.969000000001</v>
      </c>
      <c r="R43" s="255"/>
      <c r="S43" s="325">
        <f>IF(U43="0",(SUMIF(B44:B61,"Рост потенциала простоя",S44:S61)+SUMIF(B44:B61,"Остановка по распоряжению, в т.ч.:",S44:S61)+SUMIF(B44:B61,"Остановка нерентабельного фонда",S44:S61)+SUMIF(B44:B61,"Остановка для перевода в ППД",S44:S61)+SUMIF(B44:B61,"Прочие потери",S44:S61)+SUMIF(B44:B61,"Потери нефти по ОТМ",S44:S61)+SUMIF(B44:B61,"Ост. дебит от ЗБС, Углуб., ПВЛГ/ПНЛГ",S44:S61)),"")</f>
        <v>-742.11699999999996</v>
      </c>
      <c r="T43" s="254"/>
      <c r="U43" s="145" t="s">
        <v>379</v>
      </c>
      <c r="V43" s="2"/>
      <c r="W43" s="2"/>
      <c r="X43" s="2"/>
    </row>
    <row r="44" spans="1:24" ht="15" customHeight="1" x14ac:dyDescent="0.25">
      <c r="A44" s="263" t="s">
        <v>303</v>
      </c>
      <c r="B44" s="262" t="s">
        <v>302</v>
      </c>
      <c r="C44" s="192"/>
      <c r="D44" s="192"/>
      <c r="E44" s="268">
        <v>28</v>
      </c>
      <c r="F44" s="253">
        <v>2080.154</v>
      </c>
      <c r="G44" s="252">
        <v>215.26300000000001</v>
      </c>
      <c r="H44" s="190">
        <v>25</v>
      </c>
      <c r="I44" s="253">
        <v>4882.9179999999997</v>
      </c>
      <c r="J44" s="252">
        <v>212.434</v>
      </c>
      <c r="K44" s="267"/>
      <c r="L44" s="324">
        <f>IF(U44="0",(IF(G44="",(IF(J44&lt;&gt;"",J44,"")),(IF(J44="",0-G44,J44-G44)))),"")</f>
        <v>-2.8290000000000077</v>
      </c>
      <c r="M44" s="266"/>
      <c r="N44" s="253">
        <v>38462.373</v>
      </c>
      <c r="O44" s="252">
        <v>5033.857</v>
      </c>
      <c r="P44" s="253">
        <v>129138.621</v>
      </c>
      <c r="Q44" s="329">
        <v>4619</v>
      </c>
      <c r="R44" s="190"/>
      <c r="S44" s="190">
        <f>IF(U44="0",(IF(O44="",(IF(Q44&lt;&gt;"",Q44,"")),(IF(Q44="",0-O44,Q44-O44)))),"")</f>
        <v>-414.85699999999997</v>
      </c>
      <c r="T44" s="265"/>
      <c r="U44" s="145" t="s">
        <v>379</v>
      </c>
      <c r="V44" s="2"/>
      <c r="W44" s="2"/>
      <c r="X44" s="2"/>
    </row>
    <row r="45" spans="1:24" ht="15" customHeight="1" x14ac:dyDescent="0.25">
      <c r="A45" s="263" t="s">
        <v>301</v>
      </c>
      <c r="B45" s="249" t="s">
        <v>300</v>
      </c>
      <c r="C45" s="192"/>
      <c r="D45" s="192"/>
      <c r="E45" s="264"/>
      <c r="F45" s="245"/>
      <c r="G45" s="244"/>
      <c r="H45" s="199"/>
      <c r="I45" s="245"/>
      <c r="J45" s="244"/>
      <c r="K45" s="192"/>
      <c r="L45" s="199" t="str">
        <f>IF(U45="0",(IF(G45="",(IF(J45&lt;&gt;"",J45,"")),(IF(J45="",0-G45,J45-G45)))),"")</f>
        <v/>
      </c>
      <c r="M45" s="246"/>
      <c r="N45" s="245"/>
      <c r="O45" s="244"/>
      <c r="P45" s="245"/>
      <c r="Q45" s="244"/>
      <c r="R45" s="199"/>
      <c r="S45" s="199" t="str">
        <f>IF(U45="0",(IF(O45="",(IF(Q45&lt;&gt;"",Q45,"")),(IF(Q45="",0-O45,Q45-O45)))),"")</f>
        <v/>
      </c>
      <c r="T45" s="243"/>
      <c r="U45" s="145" t="s">
        <v>379</v>
      </c>
      <c r="V45" s="2"/>
      <c r="W45" s="2"/>
      <c r="X45" s="2"/>
    </row>
    <row r="46" spans="1:24" ht="15" customHeight="1" x14ac:dyDescent="0.25">
      <c r="A46" s="263" t="s">
        <v>299</v>
      </c>
      <c r="B46" s="249" t="s">
        <v>298</v>
      </c>
      <c r="C46" s="192"/>
      <c r="D46" s="192"/>
      <c r="E46" s="264">
        <v>15</v>
      </c>
      <c r="F46" s="245">
        <v>1306</v>
      </c>
      <c r="G46" s="244">
        <v>54.8</v>
      </c>
      <c r="H46" s="199">
        <v>3</v>
      </c>
      <c r="I46" s="245">
        <v>122.14100000000001</v>
      </c>
      <c r="J46" s="244">
        <v>12.907999999999999</v>
      </c>
      <c r="K46" s="192"/>
      <c r="L46" s="323">
        <f>IF(U46="0",(IF(G46="",(IF(J46&lt;&gt;"",J46,"")),(IF(J46="",0-G46,J46-G46)))),"")</f>
        <v>-41.891999999999996</v>
      </c>
      <c r="M46" s="246"/>
      <c r="N46" s="245">
        <v>5799</v>
      </c>
      <c r="O46" s="244">
        <v>354.5</v>
      </c>
      <c r="P46" s="245">
        <v>7781.0929999999998</v>
      </c>
      <c r="Q46" s="244">
        <v>538.69000000000005</v>
      </c>
      <c r="R46" s="199"/>
      <c r="S46" s="199">
        <f>IF(U46="0",(IF(O46="",(IF(Q46&lt;&gt;"",Q46,"")),(IF(Q46="",0-O46,Q46-O46)))),"")</f>
        <v>184.19000000000005</v>
      </c>
      <c r="T46" s="243"/>
      <c r="U46" s="145" t="s">
        <v>379</v>
      </c>
      <c r="V46" s="2"/>
      <c r="W46" s="2"/>
      <c r="X46" s="2"/>
    </row>
    <row r="47" spans="1:24" ht="15" customHeight="1" x14ac:dyDescent="0.25">
      <c r="A47" s="263" t="s">
        <v>297</v>
      </c>
      <c r="B47" s="249" t="s">
        <v>296</v>
      </c>
      <c r="C47" s="192"/>
      <c r="D47" s="192"/>
      <c r="E47" s="264"/>
      <c r="F47" s="245"/>
      <c r="G47" s="244"/>
      <c r="H47" s="199"/>
      <c r="I47" s="245"/>
      <c r="J47" s="244"/>
      <c r="K47" s="192"/>
      <c r="L47" s="199" t="str">
        <f>IF(U47="0",(IF(G47="",(IF(J47&lt;&gt;"",J47,"")),(IF(J47="",0-G47,J47-G47)))),"")</f>
        <v/>
      </c>
      <c r="M47" s="246"/>
      <c r="N47" s="245"/>
      <c r="O47" s="244"/>
      <c r="P47" s="245"/>
      <c r="Q47" s="244"/>
      <c r="R47" s="199"/>
      <c r="S47" s="199" t="str">
        <f>IF(U47="0",(IF(O47="",(IF(Q47&lt;&gt;"",Q47,"")),(IF(Q47="",0-O47,Q47-O47)))),"")</f>
        <v/>
      </c>
      <c r="T47" s="243"/>
      <c r="U47" s="145" t="s">
        <v>379</v>
      </c>
      <c r="V47" s="2"/>
      <c r="W47" s="2"/>
      <c r="X47" s="2"/>
    </row>
    <row r="48" spans="1:24" ht="15" customHeight="1" x14ac:dyDescent="0.25">
      <c r="A48" s="263" t="s">
        <v>295</v>
      </c>
      <c r="B48" s="249" t="s">
        <v>294</v>
      </c>
      <c r="C48" s="192"/>
      <c r="D48" s="192"/>
      <c r="E48" s="264"/>
      <c r="F48" s="245"/>
      <c r="G48" s="244"/>
      <c r="H48" s="199"/>
      <c r="I48" s="245"/>
      <c r="J48" s="244"/>
      <c r="K48" s="192"/>
      <c r="L48" s="199" t="str">
        <f>IF(U48="0",(IF(G48="",(IF(J48&lt;&gt;"",J48,"")),(IF(J48="",0-G48,J48-G48)))),"")</f>
        <v/>
      </c>
      <c r="M48" s="246"/>
      <c r="N48" s="245"/>
      <c r="O48" s="244"/>
      <c r="P48" s="245"/>
      <c r="Q48" s="244"/>
      <c r="R48" s="199"/>
      <c r="S48" s="199" t="str">
        <f>IF(U48="0",(IF(O48="",(IF(Q48&lt;&gt;"",Q48,"")),(IF(Q48="",0-O48,Q48-O48)))),"")</f>
        <v/>
      </c>
      <c r="T48" s="243"/>
      <c r="U48" s="145" t="s">
        <v>379</v>
      </c>
      <c r="V48" s="2"/>
      <c r="W48" s="2"/>
      <c r="X48" s="2"/>
    </row>
    <row r="49" spans="1:26" ht="15" customHeight="1" x14ac:dyDescent="0.25">
      <c r="A49" s="263" t="s">
        <v>1</v>
      </c>
      <c r="B49" s="249" t="s">
        <v>293</v>
      </c>
      <c r="C49" s="192"/>
      <c r="D49" s="192"/>
      <c r="E49" s="264"/>
      <c r="F49" s="245"/>
      <c r="G49" s="244"/>
      <c r="H49" s="199"/>
      <c r="I49" s="245"/>
      <c r="J49" s="244"/>
      <c r="K49" s="192"/>
      <c r="L49" s="199" t="str">
        <f>IF(U49="0",(IF(G49="",(IF(J49&lt;&gt;"",J49,"")),(IF(J49="",0-G49,J49-G49)))),"")</f>
        <v/>
      </c>
      <c r="M49" s="246"/>
      <c r="N49" s="245"/>
      <c r="O49" s="244"/>
      <c r="P49" s="245"/>
      <c r="Q49" s="244"/>
      <c r="R49" s="199"/>
      <c r="S49" s="199" t="str">
        <f>IF(U49="0",(IF(O49="",(IF(Q49&lt;&gt;"",Q49,"")),(IF(Q49="",0-O49,Q49-O49)))),"")</f>
        <v/>
      </c>
      <c r="T49" s="243"/>
      <c r="U49" s="145" t="s">
        <v>379</v>
      </c>
      <c r="V49" s="2"/>
      <c r="W49" s="2"/>
      <c r="X49" s="2"/>
    </row>
    <row r="50" spans="1:26" ht="15" customHeight="1" x14ac:dyDescent="0.25">
      <c r="A50" s="263" t="s">
        <v>292</v>
      </c>
      <c r="B50" s="249" t="s">
        <v>261</v>
      </c>
      <c r="C50" s="192"/>
      <c r="D50" s="192"/>
      <c r="E50" s="264"/>
      <c r="F50" s="245"/>
      <c r="G50" s="244"/>
      <c r="H50" s="199"/>
      <c r="I50" s="245"/>
      <c r="J50" s="244"/>
      <c r="K50" s="192"/>
      <c r="L50" s="199" t="str">
        <f>IF(U50="0",(IF(G50="",(IF(J50&lt;&gt;"",J50,"")),(IF(J50="",0-G50,J50-G50)))),"")</f>
        <v/>
      </c>
      <c r="M50" s="246"/>
      <c r="N50" s="245"/>
      <c r="O50" s="244"/>
      <c r="P50" s="245"/>
      <c r="Q50" s="244"/>
      <c r="R50" s="199"/>
      <c r="S50" s="199" t="str">
        <f>IF(U50="0",(IF(O50="",(IF(Q50&lt;&gt;"",Q50,"")),(IF(Q50="",0-O50,Q50-O50)))),"")</f>
        <v/>
      </c>
      <c r="T50" s="243"/>
      <c r="U50" s="145" t="s">
        <v>379</v>
      </c>
      <c r="V50" s="2"/>
      <c r="W50" s="2"/>
      <c r="X50" s="2"/>
    </row>
    <row r="51" spans="1:26" ht="15" customHeight="1" x14ac:dyDescent="0.25">
      <c r="A51" s="263" t="s">
        <v>291</v>
      </c>
      <c r="B51" s="262" t="s">
        <v>290</v>
      </c>
      <c r="C51" s="192"/>
      <c r="D51" s="192"/>
      <c r="E51" s="264">
        <v>5</v>
      </c>
      <c r="F51" s="245">
        <v>100</v>
      </c>
      <c r="G51" s="244">
        <v>23</v>
      </c>
      <c r="H51" s="199">
        <v>1</v>
      </c>
      <c r="I51" s="245">
        <v>63.335000000000001</v>
      </c>
      <c r="J51" s="244">
        <v>7.6559999999999997</v>
      </c>
      <c r="K51" s="192"/>
      <c r="L51" s="323">
        <f>IF(U51="0",(IF(G51="",(IF(J51&lt;&gt;"",J51,"")),(IF(J51="",0-G51,J51-G51)))),"")</f>
        <v>-15.344000000000001</v>
      </c>
      <c r="M51" s="246"/>
      <c r="N51" s="245">
        <v>2089</v>
      </c>
      <c r="O51" s="244">
        <v>442.1</v>
      </c>
      <c r="P51" s="245">
        <v>950.02499999999998</v>
      </c>
      <c r="Q51" s="244">
        <v>114.84</v>
      </c>
      <c r="R51" s="199"/>
      <c r="S51" s="323">
        <f>IF(U51="0",(IF(O51="",(IF(Q51&lt;&gt;"",Q51,"")),(IF(Q51="",0-O51,Q51-O51)))),"")</f>
        <v>-327.26</v>
      </c>
      <c r="T51" s="243"/>
      <c r="U51" s="145" t="s">
        <v>379</v>
      </c>
      <c r="V51" s="2"/>
      <c r="W51" s="2"/>
      <c r="X51" s="2"/>
    </row>
    <row r="52" spans="1:26" ht="15" customHeight="1" x14ac:dyDescent="0.25">
      <c r="A52" s="263" t="s">
        <v>289</v>
      </c>
      <c r="B52" s="262" t="s">
        <v>182</v>
      </c>
      <c r="C52" s="192"/>
      <c r="D52" s="192"/>
      <c r="E52" s="246"/>
      <c r="F52" s="245"/>
      <c r="G52" s="244"/>
      <c r="H52" s="192"/>
      <c r="I52" s="245"/>
      <c r="J52" s="244"/>
      <c r="K52" s="192"/>
      <c r="L52" s="199" t="str">
        <f>IF(U52="0",(IF(G52="",(IF(J52&lt;&gt;"",J52,"")),(IF(J52="",0-G52,J52-G52)))),"")</f>
        <v/>
      </c>
      <c r="M52" s="246"/>
      <c r="N52" s="245"/>
      <c r="O52" s="244"/>
      <c r="P52" s="245"/>
      <c r="Q52" s="244"/>
      <c r="R52" s="199"/>
      <c r="S52" s="323" t="str">
        <f>IF(U52="0",(IF(O52="",(IF(Q52&lt;&gt;"",Q52,"")),(IF(Q52="",0-O52,Q52-O52)))),"")</f>
        <v/>
      </c>
      <c r="T52" s="243"/>
      <c r="U52" s="145" t="s">
        <v>379</v>
      </c>
      <c r="V52" s="2"/>
      <c r="W52" s="2"/>
      <c r="X52" s="2"/>
    </row>
    <row r="53" spans="1:26" ht="15" customHeight="1" x14ac:dyDescent="0.25">
      <c r="A53" s="261" t="s">
        <v>288</v>
      </c>
      <c r="B53" s="260" t="s">
        <v>180</v>
      </c>
      <c r="C53" s="259"/>
      <c r="D53" s="259"/>
      <c r="E53" s="258"/>
      <c r="F53" s="259"/>
      <c r="G53" s="259"/>
      <c r="H53" s="259"/>
      <c r="I53" s="259"/>
      <c r="J53" s="259"/>
      <c r="K53" s="259"/>
      <c r="L53" s="259"/>
      <c r="M53" s="258">
        <v>2061.5700000000002</v>
      </c>
      <c r="N53" s="257">
        <f>SUBTOTAL(9,N54:N60)</f>
        <v>75766.739000000001</v>
      </c>
      <c r="O53" s="256">
        <f>SUBTOTAL(9,O54:O61)</f>
        <v>3594.1289999999999</v>
      </c>
      <c r="P53" s="257">
        <f>IF(U53="0",(SUBTOTAL(9,P54:P61)),"")</f>
        <v>79568.315000000002</v>
      </c>
      <c r="Q53" s="256">
        <f>IF(U53="0",(SUBTOTAL(9,Q54:Q61)),"")</f>
        <v>3594.1289999999999</v>
      </c>
      <c r="R53" s="255"/>
      <c r="S53" s="325">
        <f>IF(U53="0",(SUBTOTAL(9,S54:S61)),"")</f>
        <v>0</v>
      </c>
      <c r="T53" s="254"/>
      <c r="U53" s="145" t="s">
        <v>379</v>
      </c>
      <c r="V53" s="2"/>
      <c r="W53" s="2"/>
      <c r="X53" s="2"/>
    </row>
    <row r="54" spans="1:26" ht="15" customHeight="1" x14ac:dyDescent="0.25">
      <c r="A54" s="250" t="s">
        <v>287</v>
      </c>
      <c r="B54" s="249" t="s">
        <v>286</v>
      </c>
      <c r="C54" s="192"/>
      <c r="D54" s="192"/>
      <c r="E54" s="246"/>
      <c r="F54" s="248"/>
      <c r="G54" s="247"/>
      <c r="H54" s="192"/>
      <c r="I54" s="248"/>
      <c r="J54" s="247"/>
      <c r="K54" s="192"/>
      <c r="L54" s="192"/>
      <c r="M54" s="246">
        <v>232.82900000000001</v>
      </c>
      <c r="N54" s="245">
        <v>11841</v>
      </c>
      <c r="O54" s="244">
        <v>615.20000000000005</v>
      </c>
      <c r="P54" s="245">
        <v>11841</v>
      </c>
      <c r="Q54" s="244">
        <v>615.20000000000005</v>
      </c>
      <c r="R54" s="199"/>
      <c r="S54" s="323">
        <f>IF(U54="0",(IF(O54="",(IF(Q54&lt;&gt;"",Q54,"")),(IF(Q54="",0-O54,Q54-O54)))),"")</f>
        <v>0</v>
      </c>
      <c r="T54" s="243"/>
      <c r="U54" s="145" t="s">
        <v>379</v>
      </c>
      <c r="V54" s="2"/>
      <c r="W54" s="2"/>
      <c r="X54" s="2"/>
    </row>
    <row r="55" spans="1:26" ht="15" customHeight="1" x14ac:dyDescent="0.25">
      <c r="A55" s="250" t="s">
        <v>285</v>
      </c>
      <c r="B55" s="249" t="s">
        <v>284</v>
      </c>
      <c r="C55" s="192"/>
      <c r="D55" s="192"/>
      <c r="E55" s="246"/>
      <c r="F55" s="192"/>
      <c r="G55" s="192"/>
      <c r="H55" s="192"/>
      <c r="I55" s="192"/>
      <c r="J55" s="192"/>
      <c r="K55" s="192"/>
      <c r="L55" s="192"/>
      <c r="M55" s="246">
        <v>117.163</v>
      </c>
      <c r="N55" s="253">
        <f>SUBTOTAL(9,N56:N57)</f>
        <v>51948.021000000001</v>
      </c>
      <c r="O55" s="252">
        <f>SUBTOTAL(9,O56:O57)</f>
        <v>1533.748</v>
      </c>
      <c r="P55" s="253">
        <f>SUBTOTAL(9,P56:P57)</f>
        <v>51948.021000000001</v>
      </c>
      <c r="Q55" s="252">
        <f>SUBTOTAL(9,Q56:Q57)</f>
        <v>1533.748</v>
      </c>
      <c r="R55" s="190"/>
      <c r="S55" s="324">
        <f>IF(U55="0",(SUBTOTAL(9,S56:S57)),"")</f>
        <v>0</v>
      </c>
      <c r="T55" s="243"/>
      <c r="U55" s="145" t="s">
        <v>379</v>
      </c>
      <c r="V55" s="2"/>
      <c r="W55" s="2"/>
      <c r="X55" s="2"/>
    </row>
    <row r="56" spans="1:26" ht="15" customHeight="1" x14ac:dyDescent="0.25">
      <c r="A56" s="250"/>
      <c r="B56" s="251" t="s">
        <v>283</v>
      </c>
      <c r="C56" s="192"/>
      <c r="D56" s="192"/>
      <c r="E56" s="246"/>
      <c r="F56" s="248"/>
      <c r="G56" s="247"/>
      <c r="H56" s="192"/>
      <c r="I56" s="248"/>
      <c r="J56" s="247"/>
      <c r="K56" s="192"/>
      <c r="L56" s="192"/>
      <c r="M56" s="246">
        <v>117.163</v>
      </c>
      <c r="N56" s="245">
        <v>51948.021000000001</v>
      </c>
      <c r="O56" s="244">
        <v>1533.748</v>
      </c>
      <c r="P56" s="245">
        <v>51948.021000000001</v>
      </c>
      <c r="Q56" s="244">
        <v>1533.748</v>
      </c>
      <c r="R56" s="199"/>
      <c r="S56" s="323">
        <f>IF(U56="0",(IF(O56="",(IF(Q56&lt;&gt;"",Q56,"")),(IF(Q56="",0-O56,Q56-O56)))),"")</f>
        <v>0</v>
      </c>
      <c r="T56" s="243"/>
      <c r="U56" s="145" t="s">
        <v>379</v>
      </c>
      <c r="V56" s="2"/>
      <c r="W56" s="2"/>
      <c r="X56" s="2"/>
    </row>
    <row r="57" spans="1:26" ht="15" customHeight="1" x14ac:dyDescent="0.25">
      <c r="A57" s="250"/>
      <c r="B57" s="251" t="s">
        <v>282</v>
      </c>
      <c r="C57" s="192"/>
      <c r="D57" s="192"/>
      <c r="E57" s="246"/>
      <c r="F57" s="248"/>
      <c r="G57" s="247"/>
      <c r="H57" s="192"/>
      <c r="I57" s="248"/>
      <c r="J57" s="247"/>
      <c r="K57" s="192"/>
      <c r="L57" s="192"/>
      <c r="M57" s="246"/>
      <c r="N57" s="245"/>
      <c r="O57" s="244"/>
      <c r="P57" s="245"/>
      <c r="Q57" s="244"/>
      <c r="R57" s="199"/>
      <c r="S57" s="199" t="str">
        <f>IF(U57="0",(IF(O57="",(IF(Q57&lt;&gt;"",Q57,"")),(IF(Q57="",0-O57,Q57-O57)))),"")</f>
        <v/>
      </c>
      <c r="T57" s="243"/>
      <c r="U57" s="145" t="s">
        <v>379</v>
      </c>
      <c r="V57" s="2"/>
      <c r="W57" s="2"/>
      <c r="X57" s="2"/>
    </row>
    <row r="58" spans="1:26" ht="15" customHeight="1" x14ac:dyDescent="0.25">
      <c r="A58" s="250" t="s">
        <v>281</v>
      </c>
      <c r="B58" s="249" t="s">
        <v>280</v>
      </c>
      <c r="C58" s="192"/>
      <c r="D58" s="192"/>
      <c r="E58" s="246"/>
      <c r="F58" s="192"/>
      <c r="G58" s="192"/>
      <c r="H58" s="192"/>
      <c r="I58" s="192"/>
      <c r="J58" s="192"/>
      <c r="K58" s="192"/>
      <c r="L58" s="192"/>
      <c r="M58" s="246">
        <v>382.06799999999998</v>
      </c>
      <c r="N58" s="253">
        <f>SUBTOTAL(9,N59:N60)</f>
        <v>11977.718000000001</v>
      </c>
      <c r="O58" s="252">
        <f>SUBTOTAL(9,O59:O60)</f>
        <v>1149.374</v>
      </c>
      <c r="P58" s="253">
        <f>SUBTOTAL(9,P59:P60)</f>
        <v>11977.718000000001</v>
      </c>
      <c r="Q58" s="252">
        <f>SUBTOTAL(9,Q59:Q60)</f>
        <v>1149.374</v>
      </c>
      <c r="R58" s="190"/>
      <c r="S58" s="324">
        <f>IF(U58="0",(SUBTOTAL(9,S59:S60)),"")</f>
        <v>0</v>
      </c>
      <c r="T58" s="243"/>
      <c r="U58" s="145" t="s">
        <v>379</v>
      </c>
      <c r="V58" s="2"/>
      <c r="W58" s="2"/>
      <c r="X58" s="2"/>
    </row>
    <row r="59" spans="1:26" ht="15" customHeight="1" x14ac:dyDescent="0.25">
      <c r="A59" s="250"/>
      <c r="B59" s="251" t="s">
        <v>279</v>
      </c>
      <c r="C59" s="192"/>
      <c r="D59" s="192"/>
      <c r="E59" s="246"/>
      <c r="F59" s="248"/>
      <c r="G59" s="247"/>
      <c r="H59" s="192"/>
      <c r="I59" s="248"/>
      <c r="J59" s="247"/>
      <c r="K59" s="192"/>
      <c r="L59" s="192"/>
      <c r="M59" s="246">
        <v>382.06799999999998</v>
      </c>
      <c r="N59" s="245">
        <v>11977.718000000001</v>
      </c>
      <c r="O59" s="244">
        <v>1149.374</v>
      </c>
      <c r="P59" s="245">
        <v>11977.718000000001</v>
      </c>
      <c r="Q59" s="244">
        <v>1149.374</v>
      </c>
      <c r="R59" s="199"/>
      <c r="S59" s="323">
        <f>IF(U59="0",(IF(O59="",(IF(Q59&lt;&gt;"",Q59,"")),(IF(Q59="",0-O59,Q59-O59)))),"")</f>
        <v>0</v>
      </c>
      <c r="T59" s="243"/>
      <c r="U59" s="145" t="s">
        <v>379</v>
      </c>
      <c r="V59" s="2"/>
      <c r="W59" s="2"/>
      <c r="X59" s="2"/>
    </row>
    <row r="60" spans="1:26" ht="15" customHeight="1" x14ac:dyDescent="0.25">
      <c r="A60" s="250"/>
      <c r="B60" s="251" t="s">
        <v>278</v>
      </c>
      <c r="C60" s="192"/>
      <c r="D60" s="192"/>
      <c r="E60" s="246"/>
      <c r="F60" s="248"/>
      <c r="G60" s="247"/>
      <c r="H60" s="192"/>
      <c r="I60" s="248"/>
      <c r="J60" s="247"/>
      <c r="K60" s="192"/>
      <c r="L60" s="192"/>
      <c r="M60" s="246"/>
      <c r="N60" s="245"/>
      <c r="O60" s="244"/>
      <c r="P60" s="245"/>
      <c r="Q60" s="244"/>
      <c r="R60" s="199"/>
      <c r="S60" s="199" t="str">
        <f>IF(U60="0",(IF(O60="",(IF(Q60&lt;&gt;"",Q60,"")),(IF(Q60="",0-O60,Q60-O60)))),"")</f>
        <v/>
      </c>
      <c r="T60" s="243"/>
      <c r="U60" s="145" t="s">
        <v>379</v>
      </c>
      <c r="V60" s="2"/>
      <c r="W60" s="2"/>
      <c r="X60" s="2"/>
    </row>
    <row r="61" spans="1:26" ht="15" customHeight="1" thickBot="1" x14ac:dyDescent="0.3">
      <c r="A61" s="250" t="s">
        <v>277</v>
      </c>
      <c r="B61" s="249" t="s">
        <v>276</v>
      </c>
      <c r="C61" s="192"/>
      <c r="D61" s="192"/>
      <c r="E61" s="246"/>
      <c r="F61" s="248"/>
      <c r="G61" s="247"/>
      <c r="H61" s="192"/>
      <c r="I61" s="248"/>
      <c r="J61" s="247"/>
      <c r="K61" s="192"/>
      <c r="L61" s="192"/>
      <c r="M61" s="246">
        <v>1329.51</v>
      </c>
      <c r="N61" s="245">
        <v>3801.576</v>
      </c>
      <c r="O61" s="244">
        <v>295.80700000000002</v>
      </c>
      <c r="P61" s="245">
        <v>3801.576</v>
      </c>
      <c r="Q61" s="244">
        <v>295.80700000000002</v>
      </c>
      <c r="R61" s="199"/>
      <c r="S61" s="199">
        <f>IF(U61="0",(IF(O61="",(IF(Q61&lt;&gt;"",Q61,"")),(IF(Q61="",0-O61,Q61-O61)))),"")</f>
        <v>0</v>
      </c>
      <c r="T61" s="243"/>
      <c r="U61" s="145" t="s">
        <v>379</v>
      </c>
      <c r="V61" s="2"/>
      <c r="W61" s="2"/>
      <c r="X61" s="2"/>
    </row>
    <row r="62" spans="1:26" ht="15" customHeight="1" x14ac:dyDescent="0.25">
      <c r="A62" s="242">
        <v>4</v>
      </c>
      <c r="B62" s="241" t="s">
        <v>275</v>
      </c>
      <c r="C62" s="239"/>
      <c r="D62" s="235">
        <v>26386.702000000001</v>
      </c>
      <c r="E62" s="240"/>
      <c r="F62" s="237">
        <f>F7+SUMIF(B7:B61,"Прирост добычи нефти, в том числе:",F7:F61)-SUMIF(B7:B61,"Потери добычи нефти, в том числе:",F7:F61)</f>
        <v>408619.75800000003</v>
      </c>
      <c r="G62" s="236">
        <f>G7+SUMIF(B7:B61,"Прирост добычи нефти, в том числе:",G7:G61)-SUMIF(B7:B61,"Потери добычи нефти, в том числе:",G7:G61)</f>
        <v>30930.381000000001</v>
      </c>
      <c r="H62" s="239"/>
      <c r="I62" s="237">
        <f>IF(U61="0",(I7+SUMIF(B7:B61,"Прирост добычи нефти, в том числе:",I7:I61)-SUMIF(B7:B61,"Потери добычи нефти, в том числе:",I7:I61)),"")</f>
        <v>401989.50599999999</v>
      </c>
      <c r="J62" s="236">
        <f>IF(U61="0",(J7+SUMIF(B7:B61,"Прирост добычи нефти, в том числе:",J7:J61)-SUMIF(B7:B61,"Потери добычи нефти, в том числе:",J7:J61)),"")</f>
        <v>30554.691000000003</v>
      </c>
      <c r="K62" s="239"/>
      <c r="L62" s="235">
        <f>IF(U62="0",(J62-G62),"")</f>
        <v>-375.68999999999869</v>
      </c>
      <c r="M62" s="238">
        <v>768325.321</v>
      </c>
      <c r="N62" s="237">
        <f>N7+SUMIF(B7:B61,"Прирост добычи нефти, в том числе:",N7:N61)-SUMIF(B7:B61,"Потери добычи нефти, в том числе:",N7:N61)</f>
        <v>11611443.342</v>
      </c>
      <c r="O62" s="236">
        <f>O7+SUMIF(B7:B61,"Прирост добычи нефти, в том числе:",O7:O61)-SUMIF(B7:B61,"Потери добычи нефти, в том числе:",O7:O61)</f>
        <v>878180.59600000002</v>
      </c>
      <c r="P62" s="237">
        <f>IF(U62="0",(P7+SUMIF(B7:B61,"Прирост добычи нефти, в том числе:",P7:P61)-SUMIF(B7:B61,"Потери добычи нефти, в том числе:",P7:P61)),"")</f>
        <v>11488246.903000001</v>
      </c>
      <c r="Q62" s="236">
        <f>IF(U62="0",(Q7+SUMIF(B7:B61,"Прирост добычи нефти, в том числе:",Q7:Q61)-SUMIF(B7:B61,"Потери добычи нефти, в том числе:",Q7:Q61)),"")</f>
        <v>880670.04900000012</v>
      </c>
      <c r="R62" s="235"/>
      <c r="S62" s="235">
        <f>IF(U62="0",(Q62-O62),"")</f>
        <v>2489.4530000000959</v>
      </c>
      <c r="T62" s="234"/>
      <c r="U62" s="145" t="s">
        <v>379</v>
      </c>
      <c r="V62" s="2"/>
      <c r="W62" s="2"/>
      <c r="X62" s="2"/>
      <c r="Z62" s="333">
        <v>880670.04900000012</v>
      </c>
    </row>
    <row r="63" spans="1:26" ht="15" customHeight="1" x14ac:dyDescent="0.25">
      <c r="A63" s="233">
        <v>29</v>
      </c>
      <c r="B63" s="232" t="s">
        <v>274</v>
      </c>
      <c r="C63" s="225"/>
      <c r="D63" s="229">
        <v>26493.976999999999</v>
      </c>
      <c r="E63" s="228"/>
      <c r="F63" s="231">
        <f>N62/A63</f>
        <v>400394.598</v>
      </c>
      <c r="G63" s="230">
        <f>O62/A63</f>
        <v>30282.08951724138</v>
      </c>
      <c r="H63" s="225"/>
      <c r="I63" s="231">
        <f>IF(U63="0",(P62/A63),"")</f>
        <v>396146.44493103452</v>
      </c>
      <c r="J63" s="230">
        <f>IF(U63="0",(Q62/A63),"")</f>
        <v>30367.932724137936</v>
      </c>
      <c r="K63" s="225"/>
      <c r="L63" s="229">
        <f>IF(U63="0",(J63-G63),"")</f>
        <v>85.843206896555785</v>
      </c>
      <c r="M63" s="228"/>
      <c r="N63" s="227"/>
      <c r="O63" s="226"/>
      <c r="P63" s="227"/>
      <c r="Q63" s="226"/>
      <c r="R63" s="225"/>
      <c r="S63" s="225"/>
      <c r="T63" s="224"/>
      <c r="U63" s="145" t="s">
        <v>379</v>
      </c>
      <c r="V63" s="2"/>
      <c r="W63" s="2"/>
      <c r="X63" s="2"/>
      <c r="Z63" s="334">
        <f>Z62-Q62</f>
        <v>0</v>
      </c>
    </row>
    <row r="64" spans="1:26" ht="15" customHeight="1" x14ac:dyDescent="0.25">
      <c r="A64" s="223"/>
      <c r="B64" s="222"/>
      <c r="C64" s="221"/>
      <c r="D64" s="221"/>
      <c r="E64" s="220"/>
      <c r="F64" s="219"/>
      <c r="G64" s="218"/>
      <c r="H64" s="217"/>
      <c r="I64" s="219"/>
      <c r="J64" s="218"/>
      <c r="K64" s="217"/>
      <c r="L64" s="217"/>
      <c r="M64" s="220"/>
      <c r="N64" s="219"/>
      <c r="O64" s="218"/>
      <c r="P64" s="219"/>
      <c r="Q64" s="218"/>
      <c r="R64" s="217"/>
      <c r="S64" s="217"/>
      <c r="T64" s="216"/>
      <c r="U64" s="145" t="s">
        <v>379</v>
      </c>
      <c r="V64" s="2"/>
      <c r="W64" s="2"/>
      <c r="X64" s="2"/>
    </row>
    <row r="65" spans="1:24" ht="15" customHeight="1" x14ac:dyDescent="0.25">
      <c r="A65" s="215"/>
      <c r="B65" s="214" t="s">
        <v>273</v>
      </c>
      <c r="C65" s="213"/>
      <c r="D65" s="213"/>
      <c r="E65" s="212"/>
      <c r="F65" s="209"/>
      <c r="G65" s="322">
        <f>G63-D63</f>
        <v>3788.1125172413813</v>
      </c>
      <c r="H65" s="209"/>
      <c r="I65" s="209"/>
      <c r="J65" s="210">
        <f>IF(U65="0",(J63-D63),"")</f>
        <v>3873.9557241379371</v>
      </c>
      <c r="K65" s="209"/>
      <c r="L65" s="209"/>
      <c r="M65" s="212"/>
      <c r="N65" s="209"/>
      <c r="O65" s="322">
        <f>O62-M62</f>
        <v>109855.27500000002</v>
      </c>
      <c r="P65" s="211"/>
      <c r="Q65" s="210">
        <f>IF(U65="0",(Q62-M62),"")</f>
        <v>112344.72800000012</v>
      </c>
      <c r="R65" s="209"/>
      <c r="S65" s="209"/>
      <c r="T65" s="208"/>
      <c r="U65" s="145" t="s">
        <v>379</v>
      </c>
      <c r="V65" s="2"/>
      <c r="W65" s="2"/>
      <c r="X65" s="2"/>
    </row>
    <row r="66" spans="1:24" ht="15" customHeight="1" x14ac:dyDescent="0.25">
      <c r="A66" s="188"/>
      <c r="B66" s="206"/>
      <c r="C66" s="186"/>
      <c r="D66" s="186"/>
      <c r="E66" s="195"/>
      <c r="F66" s="3"/>
      <c r="G66" s="3"/>
      <c r="H66" s="3"/>
      <c r="I66" s="3"/>
      <c r="J66" s="187"/>
      <c r="K66" s="3"/>
      <c r="L66" s="187"/>
      <c r="M66" s="198"/>
      <c r="N66" s="3"/>
      <c r="O66" s="207"/>
      <c r="P66" s="3"/>
      <c r="Q66" s="207"/>
      <c r="R66" s="3"/>
      <c r="S66" s="207"/>
      <c r="T66" s="3"/>
      <c r="U66" s="3"/>
      <c r="V66" s="2"/>
      <c r="W66" s="2"/>
      <c r="X66" s="2"/>
    </row>
    <row r="67" spans="1:24" ht="15" customHeight="1" x14ac:dyDescent="0.25">
      <c r="A67" s="188"/>
      <c r="B67" s="206"/>
      <c r="C67" s="186"/>
      <c r="D67" s="186"/>
      <c r="E67" s="204" t="s">
        <v>271</v>
      </c>
      <c r="F67" s="55" t="s">
        <v>1</v>
      </c>
      <c r="G67" s="55" t="s">
        <v>1</v>
      </c>
      <c r="H67" s="205" t="s">
        <v>270</v>
      </c>
      <c r="I67" s="114" t="s">
        <v>1</v>
      </c>
      <c r="J67" s="114" t="s">
        <v>1</v>
      </c>
      <c r="K67" s="3"/>
      <c r="L67" s="186"/>
      <c r="M67" s="198"/>
      <c r="N67" s="3"/>
      <c r="O67" s="204" t="s">
        <v>269</v>
      </c>
      <c r="P67" s="55" t="s">
        <v>1</v>
      </c>
      <c r="Q67" s="55" t="s">
        <v>1</v>
      </c>
      <c r="R67" s="3"/>
      <c r="S67" s="186"/>
      <c r="T67" s="3"/>
      <c r="U67" s="3"/>
      <c r="V67" s="2"/>
      <c r="W67" s="2"/>
      <c r="X67" s="2"/>
    </row>
    <row r="68" spans="1:24" ht="15" customHeight="1" x14ac:dyDescent="0.25">
      <c r="A68" s="186"/>
      <c r="B68" s="203"/>
      <c r="C68" s="186"/>
      <c r="D68" s="186"/>
      <c r="E68" s="202" t="s">
        <v>268</v>
      </c>
      <c r="F68" s="201" t="s">
        <v>267</v>
      </c>
      <c r="G68" s="201" t="s">
        <v>0</v>
      </c>
      <c r="H68" s="201" t="s">
        <v>268</v>
      </c>
      <c r="I68" s="201" t="s">
        <v>267</v>
      </c>
      <c r="J68" s="201" t="s">
        <v>0</v>
      </c>
      <c r="K68" s="3"/>
      <c r="L68" s="186"/>
      <c r="M68" s="198"/>
      <c r="N68" s="3"/>
      <c r="O68" s="202" t="s">
        <v>268</v>
      </c>
      <c r="P68" s="201" t="s">
        <v>267</v>
      </c>
      <c r="Q68" s="201" t="s">
        <v>0</v>
      </c>
      <c r="R68" s="3"/>
      <c r="S68" s="186"/>
      <c r="T68" s="3"/>
      <c r="U68" s="3"/>
      <c r="V68" s="2"/>
      <c r="W68" s="2"/>
      <c r="X68" s="2"/>
    </row>
    <row r="69" spans="1:24" ht="15" customHeight="1" x14ac:dyDescent="0.25">
      <c r="A69" s="197" t="s">
        <v>266</v>
      </c>
      <c r="B69" s="196" t="s">
        <v>265</v>
      </c>
      <c r="C69" s="186"/>
      <c r="D69" s="186"/>
      <c r="E69" s="200">
        <v>75</v>
      </c>
      <c r="F69" s="199">
        <v>8722.8137495644096</v>
      </c>
      <c r="G69" s="199">
        <v>647.60441035106203</v>
      </c>
      <c r="H69" s="199"/>
      <c r="I69" s="199">
        <v>11575.512097942301</v>
      </c>
      <c r="J69" s="199">
        <v>870.44066862709496</v>
      </c>
      <c r="K69" s="3"/>
      <c r="L69" s="186"/>
      <c r="M69" s="198"/>
      <c r="N69" s="3"/>
      <c r="O69" s="200">
        <v>182</v>
      </c>
      <c r="P69" s="199">
        <v>8051.7612659106398</v>
      </c>
      <c r="Q69" s="199">
        <v>651.65136440347999</v>
      </c>
      <c r="R69" s="3"/>
      <c r="S69" s="186"/>
      <c r="T69" s="3"/>
      <c r="U69" s="3"/>
      <c r="V69" s="2"/>
      <c r="W69" s="2"/>
      <c r="X69" s="2"/>
    </row>
    <row r="70" spans="1:24" ht="15" customHeight="1" x14ac:dyDescent="0.25">
      <c r="A70" s="197" t="s">
        <v>264</v>
      </c>
      <c r="B70" s="196" t="s">
        <v>263</v>
      </c>
      <c r="C70" s="188"/>
      <c r="D70" s="188"/>
      <c r="E70" s="193"/>
      <c r="F70" s="192"/>
      <c r="G70" s="192"/>
      <c r="H70" s="192"/>
      <c r="I70" s="192"/>
      <c r="J70" s="192"/>
      <c r="K70" s="3"/>
      <c r="L70" s="186"/>
      <c r="M70" s="198"/>
      <c r="N70" s="3"/>
      <c r="O70" s="193"/>
      <c r="P70" s="192"/>
      <c r="Q70" s="192"/>
      <c r="R70" s="3"/>
      <c r="S70" s="186"/>
      <c r="T70" s="3"/>
      <c r="U70" s="3"/>
      <c r="V70" s="2"/>
      <c r="W70" s="2"/>
      <c r="X70" s="2"/>
    </row>
    <row r="71" spans="1:24" ht="15" customHeight="1" x14ac:dyDescent="0.25">
      <c r="A71" s="197" t="s">
        <v>262</v>
      </c>
      <c r="B71" s="196" t="s">
        <v>261</v>
      </c>
      <c r="C71" s="195"/>
      <c r="D71" s="194"/>
      <c r="E71" s="193"/>
      <c r="F71" s="192"/>
      <c r="G71" s="192"/>
      <c r="H71" s="192"/>
      <c r="I71" s="192"/>
      <c r="J71" s="192"/>
      <c r="K71" s="3"/>
      <c r="L71" s="186"/>
      <c r="M71" s="187"/>
      <c r="N71" s="3"/>
      <c r="O71" s="193"/>
      <c r="P71" s="192"/>
      <c r="Q71" s="192"/>
      <c r="R71" s="3"/>
      <c r="S71" s="186"/>
      <c r="T71" s="3"/>
      <c r="U71" s="3"/>
      <c r="V71" s="2"/>
      <c r="W71" s="2"/>
      <c r="X71" s="2"/>
    </row>
    <row r="72" spans="1:24" ht="15" customHeight="1" x14ac:dyDescent="0.25">
      <c r="A72" s="189"/>
      <c r="B72" s="188" t="s">
        <v>260</v>
      </c>
      <c r="C72" s="186"/>
      <c r="D72" s="186"/>
      <c r="E72" s="191">
        <f>SUM(E69:E71)</f>
        <v>75</v>
      </c>
      <c r="F72" s="190">
        <v>8722.8137495644096</v>
      </c>
      <c r="G72" s="190">
        <f>SUM(G69:G71)</f>
        <v>647.60441035106203</v>
      </c>
      <c r="H72" s="190">
        <f>SUM(H69:H71)</f>
        <v>0</v>
      </c>
      <c r="I72" s="190">
        <v>11575.512097942301</v>
      </c>
      <c r="J72" s="190">
        <f>SUM(J69:J71)</f>
        <v>870.44066862709496</v>
      </c>
      <c r="K72" s="3"/>
      <c r="L72" s="186"/>
      <c r="M72" s="186"/>
      <c r="N72" s="3"/>
      <c r="O72" s="191">
        <f>SUM(O69:O71)</f>
        <v>182</v>
      </c>
      <c r="P72" s="190">
        <v>8051.7612659106398</v>
      </c>
      <c r="Q72" s="190">
        <f>SUM(Q69:Q71)</f>
        <v>651.65136440347999</v>
      </c>
      <c r="R72" s="3"/>
      <c r="S72" s="186"/>
      <c r="T72" s="3"/>
      <c r="U72" s="3"/>
      <c r="V72" s="2"/>
      <c r="W72" s="2"/>
      <c r="X72" s="2"/>
    </row>
    <row r="73" spans="1:24" ht="15" customHeight="1" x14ac:dyDescent="0.25">
      <c r="A73" s="189"/>
      <c r="B73" s="188"/>
      <c r="C73" s="186"/>
      <c r="D73" s="186"/>
      <c r="E73" s="187"/>
      <c r="F73" s="3"/>
      <c r="G73" s="187"/>
      <c r="H73" s="187"/>
      <c r="I73" s="3"/>
      <c r="J73" s="187"/>
      <c r="K73" s="3"/>
      <c r="L73" s="186"/>
      <c r="M73" s="186"/>
      <c r="N73" s="3"/>
      <c r="O73" s="187"/>
      <c r="P73" s="3"/>
      <c r="Q73" s="187"/>
      <c r="R73" s="3"/>
      <c r="S73" s="186"/>
      <c r="T73" s="3"/>
      <c r="U73" s="3"/>
      <c r="V73" s="2"/>
      <c r="W73" s="2"/>
      <c r="X73" s="2"/>
    </row>
    <row r="74" spans="1:24" ht="27.95" customHeight="1" x14ac:dyDescent="0.25">
      <c r="A74" s="321" t="s">
        <v>203</v>
      </c>
      <c r="B74" s="6" t="s">
        <v>1</v>
      </c>
      <c r="C74" s="6" t="s">
        <v>1</v>
      </c>
      <c r="D74" s="6" t="s">
        <v>1</v>
      </c>
      <c r="E74" s="6" t="s">
        <v>1</v>
      </c>
      <c r="F74" s="6" t="s">
        <v>1</v>
      </c>
      <c r="G74" s="6" t="s">
        <v>1</v>
      </c>
      <c r="H74" s="6" t="s">
        <v>1</v>
      </c>
      <c r="I74" s="6" t="s">
        <v>1</v>
      </c>
      <c r="J74" s="6" t="s">
        <v>1</v>
      </c>
      <c r="K74" s="6" t="s">
        <v>1</v>
      </c>
      <c r="L74" s="6" t="s">
        <v>1</v>
      </c>
      <c r="M74" s="6" t="s">
        <v>1</v>
      </c>
      <c r="N74" s="6" t="s">
        <v>1</v>
      </c>
      <c r="O74" s="6" t="s">
        <v>1</v>
      </c>
      <c r="P74" s="6" t="s">
        <v>1</v>
      </c>
      <c r="Q74" s="6" t="s">
        <v>1</v>
      </c>
      <c r="R74" s="6" t="s">
        <v>1</v>
      </c>
      <c r="S74" s="6" t="s">
        <v>1</v>
      </c>
      <c r="T74" s="3"/>
      <c r="U74" s="3"/>
      <c r="V74" s="2"/>
      <c r="W74" s="2"/>
      <c r="X74" s="2"/>
    </row>
    <row r="75" spans="1:24" ht="15" customHeight="1" x14ac:dyDescent="0.25">
      <c r="A75" s="320" t="s">
        <v>378</v>
      </c>
      <c r="B75" s="319" t="s">
        <v>377</v>
      </c>
      <c r="C75" s="319" t="s">
        <v>376</v>
      </c>
      <c r="D75" s="114" t="s">
        <v>1</v>
      </c>
      <c r="E75" s="318" t="s">
        <v>375</v>
      </c>
      <c r="F75" s="312" t="s">
        <v>1</v>
      </c>
      <c r="G75" s="312" t="s">
        <v>1</v>
      </c>
      <c r="H75" s="312" t="s">
        <v>1</v>
      </c>
      <c r="I75" s="312" t="s">
        <v>1</v>
      </c>
      <c r="J75" s="312" t="s">
        <v>1</v>
      </c>
      <c r="K75" s="319" t="s">
        <v>373</v>
      </c>
      <c r="L75" s="114" t="s">
        <v>1</v>
      </c>
      <c r="M75" s="318" t="s">
        <v>374</v>
      </c>
      <c r="N75" s="312" t="s">
        <v>1</v>
      </c>
      <c r="O75" s="312" t="s">
        <v>1</v>
      </c>
      <c r="P75" s="312" t="s">
        <v>1</v>
      </c>
      <c r="Q75" s="312" t="s">
        <v>1</v>
      </c>
      <c r="R75" s="319" t="s">
        <v>373</v>
      </c>
      <c r="S75" s="114" t="s">
        <v>1</v>
      </c>
      <c r="T75" s="318" t="s">
        <v>372</v>
      </c>
      <c r="U75" s="3"/>
      <c r="V75" s="2"/>
      <c r="W75" s="2"/>
      <c r="X75" s="2"/>
    </row>
    <row r="76" spans="1:24" ht="15" customHeight="1" x14ac:dyDescent="0.25">
      <c r="A76" s="55" t="s">
        <v>1</v>
      </c>
      <c r="B76" s="114" t="s">
        <v>1</v>
      </c>
      <c r="C76" s="114" t="s">
        <v>1</v>
      </c>
      <c r="D76" s="114" t="s">
        <v>1</v>
      </c>
      <c r="E76" s="317" t="s">
        <v>370</v>
      </c>
      <c r="F76" s="314" t="s">
        <v>1</v>
      </c>
      <c r="G76" s="314" t="s">
        <v>1</v>
      </c>
      <c r="H76" s="316" t="s">
        <v>369</v>
      </c>
      <c r="I76" s="109" t="s">
        <v>1</v>
      </c>
      <c r="J76" s="109" t="s">
        <v>1</v>
      </c>
      <c r="K76" s="313" t="s">
        <v>368</v>
      </c>
      <c r="L76" s="313" t="s">
        <v>367</v>
      </c>
      <c r="M76" s="317" t="s">
        <v>371</v>
      </c>
      <c r="N76" s="316" t="s">
        <v>370</v>
      </c>
      <c r="O76" s="109" t="s">
        <v>1</v>
      </c>
      <c r="P76" s="316" t="s">
        <v>369</v>
      </c>
      <c r="Q76" s="109" t="s">
        <v>1</v>
      </c>
      <c r="R76" s="313" t="s">
        <v>368</v>
      </c>
      <c r="S76" s="313" t="s">
        <v>367</v>
      </c>
      <c r="T76" s="312" t="s">
        <v>1</v>
      </c>
      <c r="U76" s="3"/>
      <c r="V76" s="2"/>
      <c r="W76" s="2"/>
      <c r="X76" s="2"/>
    </row>
    <row r="77" spans="1:24" ht="15" customHeight="1" x14ac:dyDescent="0.25">
      <c r="A77" s="55" t="s">
        <v>1</v>
      </c>
      <c r="B77" s="114" t="s">
        <v>1</v>
      </c>
      <c r="C77" s="313" t="s">
        <v>366</v>
      </c>
      <c r="D77" s="313" t="s">
        <v>0</v>
      </c>
      <c r="E77" s="315" t="s">
        <v>366</v>
      </c>
      <c r="F77" s="313" t="s">
        <v>267</v>
      </c>
      <c r="G77" s="313" t="s">
        <v>0</v>
      </c>
      <c r="H77" s="313" t="s">
        <v>268</v>
      </c>
      <c r="I77" s="313" t="s">
        <v>267</v>
      </c>
      <c r="J77" s="313" t="s">
        <v>0</v>
      </c>
      <c r="K77" s="313" t="s">
        <v>0</v>
      </c>
      <c r="L77" s="313" t="s">
        <v>0</v>
      </c>
      <c r="M77" s="314" t="s">
        <v>1</v>
      </c>
      <c r="N77" s="313" t="s">
        <v>365</v>
      </c>
      <c r="O77" s="313" t="s">
        <v>364</v>
      </c>
      <c r="P77" s="313" t="s">
        <v>365</v>
      </c>
      <c r="Q77" s="313" t="s">
        <v>364</v>
      </c>
      <c r="R77" s="313" t="s">
        <v>364</v>
      </c>
      <c r="S77" s="313" t="s">
        <v>364</v>
      </c>
      <c r="T77" s="312" t="s">
        <v>1</v>
      </c>
      <c r="U77" s="3"/>
      <c r="V77" s="2"/>
      <c r="W77" s="2"/>
      <c r="X77" s="2"/>
    </row>
    <row r="78" spans="1:24" ht="15" customHeight="1" thickBot="1" x14ac:dyDescent="0.3">
      <c r="A78" s="311">
        <v>1</v>
      </c>
      <c r="B78" s="310" t="s">
        <v>200</v>
      </c>
      <c r="C78" s="308"/>
      <c r="D78" s="304">
        <v>26386.702000000001</v>
      </c>
      <c r="E78" s="309"/>
      <c r="F78" s="306">
        <v>397073.81900000002</v>
      </c>
      <c r="G78" s="305">
        <v>30554.841</v>
      </c>
      <c r="H78" s="308"/>
      <c r="I78" s="306"/>
      <c r="J78" s="305"/>
      <c r="K78" s="304"/>
      <c r="L78" s="304"/>
      <c r="M78" s="307">
        <v>817987.75</v>
      </c>
      <c r="N78" s="306">
        <v>12309288.402000001</v>
      </c>
      <c r="O78" s="305">
        <v>947200.05900000001</v>
      </c>
      <c r="P78" s="306"/>
      <c r="Q78" s="305"/>
      <c r="R78" s="304"/>
      <c r="S78" s="304"/>
      <c r="T78" s="303"/>
      <c r="U78" s="145" t="s">
        <v>272</v>
      </c>
      <c r="V78" s="2"/>
      <c r="W78" s="2"/>
      <c r="X78" s="2"/>
    </row>
    <row r="79" spans="1:24" ht="15" customHeight="1" x14ac:dyDescent="0.25">
      <c r="A79" s="302">
        <v>2</v>
      </c>
      <c r="B79" s="301" t="s">
        <v>363</v>
      </c>
      <c r="C79" s="297">
        <f>SUMIF(B80:B101,"Основные ГТМ",C80:C101)+SUMIF(B80:B101,"Работа с фондом",C80:C101)+SUMIF(B80:B101,"Сокращение потенциала простоя",C80:C101)+SUMIF(B80:B101,"Прочая добыча (отраб.скв, амбары, стравливание…)",C80:C101)</f>
        <v>37</v>
      </c>
      <c r="D79" s="297">
        <f>SUMIF(B80:B101,"Основные ГТМ",D80:D101)+SUMIF(B80:B101,"Работа с фондом",D80:D101)+SUMIF(B80:B101,"Сокращение потенциала простоя",D80:D101)+SUMIF(B80:B101,"Прочая добыча (отраб.скв, амбары, стравливание…)",D80:D101)</f>
        <v>1183.8</v>
      </c>
      <c r="E79" s="300">
        <f>SUMIF(B80:B101,"Основные ГТМ",E80:E101)+SUMIF(B80:B101,"Работа с фондом",E80:E101)+SUMIF(B80:B101,"Сокращение потенциала простоя",E80:E101)+SUMIF(B80:B101,"Прочая добыча (отраб.скв, амбары, стравливание…)",E80:E101)</f>
        <v>93</v>
      </c>
      <c r="F79" s="299">
        <f>SUMIF(B80:B101,"Основные ГТМ",F80:F101)+SUMIF(B80:B101,"Работа с фондом",F80:F101)+SUMIF(B80:B101,"Сокращение потенциала простоя",F80:F101)+SUMIF(B80:B101,"Прочая добыча (отраб.скв, амбары, стравливание…)",F80:F101)</f>
        <v>13546</v>
      </c>
      <c r="G79" s="298">
        <f>SUMIF(B80:B101,"Основные ГТМ",G80:G101)+SUMIF(B80:B101,"Работа с фондом",G80:G101)+SUMIF(B80:B101,"Сокращение потенциала простоя",G80:G101)+SUMIF(B80:B101,"Прочая добыча (отраб.скв, амбары, стравливание…)",G80:G101)</f>
        <v>2064.9</v>
      </c>
      <c r="H79" s="297" t="str">
        <f>IF(U79="0",(SUMIF(B80:B101,"Основные ГТМ",H80:H101)+SUMIF(B80:B101,"Работа с фондом",H80:H101)+SUMIF(B80:B101,"Сокращение потенциала простоя",H80:H101)+SUMIF(B80:B101,"Прочая добыча (отраб.скв, амбары, стравливание…)",H80:H101)),"")</f>
        <v/>
      </c>
      <c r="I79" s="299" t="str">
        <f>IF(U79="0",(SUMIF(B80:B101,"Основные ГТМ",I80:I101)+SUMIF(B80:B101,"Работа с фондом",I80:I101)+SUMIF(B80:B101,"Сокращение потенциала простоя",I80:I101)+SUMIF(B80:B101,"Прочая добыча (отраб.скв, амбары, стравливание…)",I80:I101)),"")</f>
        <v/>
      </c>
      <c r="J79" s="298" t="str">
        <f>IF(U79="0",(SUMIF(B80:B101,"Основные ГТМ",J80:J101)+SUMIF(B80:B101,"Работа с фондом",J80:J101)+SUMIF(B80:B101,"Сокращение потенциала простоя",J80:J101)+SUMIF(B80:B101,"Прочая добыча (отраб.скв, амбары, стравливание…)",J80:J101)),"")</f>
        <v/>
      </c>
      <c r="K79" s="297" t="str">
        <f>IF(U79="0",(SUMIF(B80:B101,"Основные ГТМ",K80:K101)+SUMIF(B80:B101,"Работа с фондом",K80:K101)+SUMIF(B80:B101,"Сокращение потенциала простоя",K80:K101)+SUMIF(B80:B101,"Прочая добыча (отраб.скв, амбары, стравливание…)",K80:K101)),"")</f>
        <v/>
      </c>
      <c r="L79" s="297" t="str">
        <f>IF(U79="0",(SUMIF(B80:B101,"Основные ГТМ",L80:L83)+SUMIF(B80:B101,"Работа с фондом",L80:L101)+SUMIF(B80:B101,"Сокращение потенциала простоя",L80:L101)+SUMIF(B80:B101,"Прочая добыча (отраб.скв, амбары, стравливание…)",L80:L101)),"")</f>
        <v/>
      </c>
      <c r="M79" s="300">
        <f>SUMIF(B80:B101,"Основные ГТМ",M80:M101)+SUMIF(B80:B101,"Работа с фондом",M80:M101)+SUMIF(B80:B101,"Сокращение потенциала простоя",M80:M101)+SUMIF(B80:B101,"Прочая добыча (отраб.скв, амбары, стравливание…)",M80:M101)</f>
        <v>11092.672</v>
      </c>
      <c r="N79" s="299">
        <f>SUMIF(B80:B101,"Основные ГТМ",N80:N101)+SUMIF(B80:B101,"Работа с фондом",N80:N101)+SUMIF(B80:B101,"Сокращение потенциала простоя",N80:N101)+SUMIF(B80:B101,"Прочая добыча (отраб.скв, амбары, стравливание…)",N80:N101)</f>
        <v>137489</v>
      </c>
      <c r="O79" s="298">
        <f>SUMIF(B80:B101,"Основные ГТМ",O80:O101)+SUMIF(B80:B101,"Работа с фондом",O80:O101)+SUMIF(B80:B101,"Сокращение потенциала простоя",O80:O101)+SUMIF(B80:B101,"Прочая добыча (отраб.скв, амбары, стравливание…)",O80:O101)</f>
        <v>32739.9</v>
      </c>
      <c r="P79" s="299" t="str">
        <f>IF(U79="0",(SUMIF(B80:B101,"Основные ГТМ",P80:P101)+SUMIF(B80:B101,"Работа с фондом",P80:P101)+SUMIF(B80:B101,"Сокращение потенциала простоя",P80:P101)+SUMIF(B80:B101,"Прочая добыча (отраб.скв, амбары, стравливание…)",P80:P101)),"")</f>
        <v/>
      </c>
      <c r="Q79" s="298" t="str">
        <f>IF(U79="0",(SUMIF(B80:B101,"Основные ГТМ",Q80:Q101)+SUMIF(B80:B101,"Работа с фондом",Q80:Q101)+SUMIF(B80:B101,"Сокращение потенциала простоя",Q80:Q101)+SUMIF(B80:B101,"Прочая добыча (отраб.скв, амбары, стравливание…)",Q80:Q101)),"")</f>
        <v/>
      </c>
      <c r="R79" s="297" t="str">
        <f>IF(U79="0",(SUMIF(B80:B101,"Основные ГТМ",R80:R101)+SUMIF(B80:B101,"Работа с фондом",R80:R101)+SUMIF(B80:B101,"Сокращение потенциала простоя",R80:R101)+SUMIF(B80:B101,"Прочая добыча (отраб.скв, амбары, стравливание…)",R80:R101)),"")</f>
        <v/>
      </c>
      <c r="S79" s="297" t="str">
        <f>IF(U79="0",(SUMIF(B80:B101,"Основные ГТМ",S80:S101)+SUMIF(B80:B101,"Работа с фондом",S80:S101)+SUMIF(B80:B101,"Сокращение потенциала простоя",S80:S101)+SUMIF(B80:B101,"Прочая добыча (отраб.скв, амбары, стравливание…)",S80:S101)),"")</f>
        <v/>
      </c>
      <c r="T79" s="296"/>
      <c r="U79" s="145" t="s">
        <v>272</v>
      </c>
      <c r="V79" s="2"/>
      <c r="W79" s="2"/>
      <c r="X79" s="2"/>
    </row>
    <row r="80" spans="1:24" ht="15" customHeight="1" x14ac:dyDescent="0.25">
      <c r="A80" s="275" t="s">
        <v>362</v>
      </c>
      <c r="B80" s="274" t="s">
        <v>361</v>
      </c>
      <c r="C80" s="255">
        <f>SUBTOTAL(9,C81:C93)-IF(B80="Работа с фондом",SUMIF(B81:B93,"      ограничение добычи (ОПЕК)",C81:C93),0)</f>
        <v>37</v>
      </c>
      <c r="D80" s="255">
        <f>SUBTOTAL(9,D81:D93)-IF(B80="Работа с фондом",SUMIF(B81:B93,"      ограничение добычи (ОПЕК)",D81:D93),0)</f>
        <v>1183.8</v>
      </c>
      <c r="E80" s="269">
        <f>SUBTOTAL(9,E81:E93)-IF(B80="Работа с фондом",SUMIF(B81:B93,"      ограничение добычи (ОПЕК)",E81:E93),0)</f>
        <v>47</v>
      </c>
      <c r="F80" s="257">
        <f>SUBTOTAL(9,F81:F93)-IF(B80="Работа с фондом",SUMIF(B81:B93,"      ограничение добычи (ОПЕК)",F81:F93),0)</f>
        <v>8005</v>
      </c>
      <c r="G80" s="256">
        <f>SUBTOTAL(9,G81:G93)-IF(B80="Работа с фондом",SUMIF(B81:B93,"      ограничение добычи (ОПЕК)",G81:G93),0)</f>
        <v>1956</v>
      </c>
      <c r="H80" s="255"/>
      <c r="I80" s="257"/>
      <c r="J80" s="256"/>
      <c r="K80" s="255"/>
      <c r="L80" s="255"/>
      <c r="M80" s="269">
        <f>SUBTOTAL(9,M81:M93)-IF(B80="Работа с фондом",SUMIF(B81:B93,"      ограничение добычи (ОПЕК)",M81:M93),0)</f>
        <v>11092.672</v>
      </c>
      <c r="N80" s="257">
        <f>SUBTOTAL(9,N81:N93)-IF(B80="Работа с фондом",SUMIF(B81:B93,"      ограничение добычи (ОПЕК)",N81:N93),0)</f>
        <v>81515</v>
      </c>
      <c r="O80" s="256">
        <f>SUBTOTAL(9,O81:O93)-IF(B80="Работа с фондом",SUMIF(B81:B93,"      ограничение добычи (ОПЕК)",O81:O93),0)</f>
        <v>25276</v>
      </c>
      <c r="P80" s="257"/>
      <c r="Q80" s="256"/>
      <c r="R80" s="255"/>
      <c r="S80" s="255"/>
      <c r="T80" s="254"/>
      <c r="U80" s="145" t="s">
        <v>272</v>
      </c>
      <c r="V80" s="2"/>
      <c r="W80" s="2"/>
      <c r="X80" s="2"/>
    </row>
    <row r="81" spans="1:24" ht="14.1" customHeight="1" x14ac:dyDescent="0.25">
      <c r="A81" s="263" t="s">
        <v>360</v>
      </c>
      <c r="B81" s="249" t="s">
        <v>177</v>
      </c>
      <c r="C81" s="199">
        <v>16</v>
      </c>
      <c r="D81" s="199">
        <v>865</v>
      </c>
      <c r="E81" s="264">
        <v>22</v>
      </c>
      <c r="F81" s="245">
        <v>5230</v>
      </c>
      <c r="G81" s="244">
        <v>1580</v>
      </c>
      <c r="H81" s="199"/>
      <c r="I81" s="245"/>
      <c r="J81" s="244"/>
      <c r="K81" s="199"/>
      <c r="L81" s="199"/>
      <c r="M81" s="264">
        <v>8386.1080000000002</v>
      </c>
      <c r="N81" s="245">
        <v>53340</v>
      </c>
      <c r="O81" s="244">
        <v>20600</v>
      </c>
      <c r="P81" s="245"/>
      <c r="Q81" s="244"/>
      <c r="R81" s="199"/>
      <c r="S81" s="199"/>
      <c r="T81" s="243"/>
      <c r="U81" s="145" t="s">
        <v>272</v>
      </c>
      <c r="V81" s="2"/>
      <c r="W81" s="2"/>
      <c r="X81" s="2"/>
    </row>
    <row r="82" spans="1:24" ht="14.1" customHeight="1" x14ac:dyDescent="0.25">
      <c r="A82" s="263" t="s">
        <v>359</v>
      </c>
      <c r="B82" s="249" t="s">
        <v>358</v>
      </c>
      <c r="C82" s="199"/>
      <c r="D82" s="199"/>
      <c r="E82" s="264"/>
      <c r="F82" s="245"/>
      <c r="G82" s="244"/>
      <c r="H82" s="199"/>
      <c r="I82" s="245"/>
      <c r="J82" s="244"/>
      <c r="K82" s="199"/>
      <c r="L82" s="199"/>
      <c r="M82" s="264"/>
      <c r="N82" s="245"/>
      <c r="O82" s="244"/>
      <c r="P82" s="245"/>
      <c r="Q82" s="244"/>
      <c r="R82" s="199"/>
      <c r="S82" s="199"/>
      <c r="T82" s="243"/>
      <c r="U82" s="145" t="s">
        <v>272</v>
      </c>
      <c r="V82" s="2"/>
      <c r="W82" s="2"/>
      <c r="X82" s="2"/>
    </row>
    <row r="83" spans="1:24" ht="14.1" customHeight="1" x14ac:dyDescent="0.25">
      <c r="A83" s="263" t="s">
        <v>357</v>
      </c>
      <c r="B83" s="249" t="s">
        <v>356</v>
      </c>
      <c r="C83" s="199"/>
      <c r="D83" s="199"/>
      <c r="E83" s="264"/>
      <c r="F83" s="245"/>
      <c r="G83" s="244"/>
      <c r="H83" s="199"/>
      <c r="I83" s="245"/>
      <c r="J83" s="244"/>
      <c r="K83" s="199"/>
      <c r="L83" s="199"/>
      <c r="M83" s="264"/>
      <c r="N83" s="245"/>
      <c r="O83" s="244"/>
      <c r="P83" s="245"/>
      <c r="Q83" s="244"/>
      <c r="R83" s="199"/>
      <c r="S83" s="199"/>
      <c r="T83" s="243"/>
      <c r="U83" s="145" t="s">
        <v>272</v>
      </c>
      <c r="V83" s="2"/>
      <c r="W83" s="2"/>
      <c r="X83" s="2"/>
    </row>
    <row r="84" spans="1:24" ht="14.1" customHeight="1" x14ac:dyDescent="0.25">
      <c r="A84" s="263" t="s">
        <v>355</v>
      </c>
      <c r="B84" s="249" t="s">
        <v>176</v>
      </c>
      <c r="C84" s="199">
        <v>2</v>
      </c>
      <c r="D84" s="199">
        <v>11.9</v>
      </c>
      <c r="E84" s="264">
        <v>3</v>
      </c>
      <c r="F84" s="245">
        <v>139</v>
      </c>
      <c r="G84" s="244">
        <v>18</v>
      </c>
      <c r="H84" s="199"/>
      <c r="I84" s="245"/>
      <c r="J84" s="244"/>
      <c r="K84" s="199"/>
      <c r="L84" s="199"/>
      <c r="M84" s="264">
        <v>105.95</v>
      </c>
      <c r="N84" s="245">
        <v>1757</v>
      </c>
      <c r="O84" s="244">
        <v>252</v>
      </c>
      <c r="P84" s="245"/>
      <c r="Q84" s="244"/>
      <c r="R84" s="199"/>
      <c r="S84" s="199"/>
      <c r="T84" s="243"/>
      <c r="U84" s="145" t="s">
        <v>272</v>
      </c>
      <c r="V84" s="2"/>
      <c r="W84" s="2"/>
      <c r="X84" s="2"/>
    </row>
    <row r="85" spans="1:24" ht="14.1" customHeight="1" x14ac:dyDescent="0.25">
      <c r="A85" s="263" t="s">
        <v>354</v>
      </c>
      <c r="B85" s="249" t="s">
        <v>175</v>
      </c>
      <c r="C85" s="199">
        <v>13</v>
      </c>
      <c r="D85" s="199">
        <v>280.8</v>
      </c>
      <c r="E85" s="264">
        <v>18</v>
      </c>
      <c r="F85" s="245">
        <v>1815</v>
      </c>
      <c r="G85" s="244">
        <v>338</v>
      </c>
      <c r="H85" s="199"/>
      <c r="I85" s="245"/>
      <c r="J85" s="244"/>
      <c r="K85" s="199"/>
      <c r="L85" s="199"/>
      <c r="M85" s="264">
        <v>2447.1509999999998</v>
      </c>
      <c r="N85" s="245">
        <v>22441</v>
      </c>
      <c r="O85" s="244">
        <v>4324</v>
      </c>
      <c r="P85" s="245"/>
      <c r="Q85" s="244"/>
      <c r="R85" s="199"/>
      <c r="S85" s="199"/>
      <c r="T85" s="243"/>
      <c r="U85" s="145" t="s">
        <v>272</v>
      </c>
      <c r="V85" s="2"/>
      <c r="W85" s="2"/>
      <c r="X85" s="2"/>
    </row>
    <row r="86" spans="1:24" ht="14.1" customHeight="1" x14ac:dyDescent="0.25">
      <c r="A86" s="263" t="s">
        <v>353</v>
      </c>
      <c r="B86" s="249" t="s">
        <v>352</v>
      </c>
      <c r="C86" s="199"/>
      <c r="D86" s="199"/>
      <c r="E86" s="264"/>
      <c r="F86" s="245"/>
      <c r="G86" s="244"/>
      <c r="H86" s="199"/>
      <c r="I86" s="245"/>
      <c r="J86" s="244"/>
      <c r="K86" s="199"/>
      <c r="L86" s="199"/>
      <c r="M86" s="264"/>
      <c r="N86" s="245"/>
      <c r="O86" s="244"/>
      <c r="P86" s="245"/>
      <c r="Q86" s="244"/>
      <c r="R86" s="199"/>
      <c r="S86" s="199"/>
      <c r="T86" s="243"/>
      <c r="U86" s="145" t="s">
        <v>272</v>
      </c>
      <c r="V86" s="2"/>
      <c r="W86" s="2"/>
      <c r="X86" s="2"/>
    </row>
    <row r="87" spans="1:24" ht="14.1" customHeight="1" x14ac:dyDescent="0.25">
      <c r="A87" s="263" t="s">
        <v>351</v>
      </c>
      <c r="B87" s="249" t="s">
        <v>350</v>
      </c>
      <c r="C87" s="199"/>
      <c r="D87" s="199"/>
      <c r="E87" s="264"/>
      <c r="F87" s="245"/>
      <c r="G87" s="244"/>
      <c r="H87" s="199"/>
      <c r="I87" s="245"/>
      <c r="J87" s="244"/>
      <c r="K87" s="199"/>
      <c r="L87" s="199"/>
      <c r="M87" s="264"/>
      <c r="N87" s="245"/>
      <c r="O87" s="244"/>
      <c r="P87" s="245"/>
      <c r="Q87" s="244"/>
      <c r="R87" s="199"/>
      <c r="S87" s="199"/>
      <c r="T87" s="243"/>
      <c r="U87" s="145" t="s">
        <v>272</v>
      </c>
      <c r="V87" s="2"/>
      <c r="W87" s="2"/>
      <c r="X87" s="2"/>
    </row>
    <row r="88" spans="1:24" ht="14.1" customHeight="1" x14ac:dyDescent="0.25">
      <c r="A88" s="263" t="s">
        <v>349</v>
      </c>
      <c r="B88" s="249" t="s">
        <v>348</v>
      </c>
      <c r="C88" s="199"/>
      <c r="D88" s="199"/>
      <c r="E88" s="264"/>
      <c r="F88" s="245"/>
      <c r="G88" s="244"/>
      <c r="H88" s="199"/>
      <c r="I88" s="245"/>
      <c r="J88" s="244"/>
      <c r="K88" s="199"/>
      <c r="L88" s="199"/>
      <c r="M88" s="264"/>
      <c r="N88" s="245"/>
      <c r="O88" s="244"/>
      <c r="P88" s="245"/>
      <c r="Q88" s="244"/>
      <c r="R88" s="199"/>
      <c r="S88" s="199"/>
      <c r="T88" s="243"/>
      <c r="U88" s="145" t="s">
        <v>272</v>
      </c>
      <c r="V88" s="2"/>
      <c r="W88" s="2"/>
      <c r="X88" s="2"/>
    </row>
    <row r="89" spans="1:24" ht="14.1" customHeight="1" x14ac:dyDescent="0.25">
      <c r="A89" s="263" t="s">
        <v>347</v>
      </c>
      <c r="B89" s="249" t="s">
        <v>174</v>
      </c>
      <c r="C89" s="199">
        <v>6</v>
      </c>
      <c r="D89" s="199">
        <v>26.1</v>
      </c>
      <c r="E89" s="264">
        <v>4</v>
      </c>
      <c r="F89" s="245">
        <v>821</v>
      </c>
      <c r="G89" s="244">
        <v>20</v>
      </c>
      <c r="H89" s="199"/>
      <c r="I89" s="245"/>
      <c r="J89" s="244"/>
      <c r="K89" s="199"/>
      <c r="L89" s="199"/>
      <c r="M89" s="264">
        <v>153.46299999999999</v>
      </c>
      <c r="N89" s="245">
        <v>3977</v>
      </c>
      <c r="O89" s="244">
        <v>100</v>
      </c>
      <c r="P89" s="245"/>
      <c r="Q89" s="244"/>
      <c r="R89" s="199"/>
      <c r="S89" s="199"/>
      <c r="T89" s="243"/>
      <c r="U89" s="145" t="s">
        <v>272</v>
      </c>
      <c r="V89" s="2"/>
      <c r="W89" s="2"/>
      <c r="X89" s="2"/>
    </row>
    <row r="90" spans="1:24" ht="14.1" customHeight="1" x14ac:dyDescent="0.25">
      <c r="A90" s="263" t="s">
        <v>346</v>
      </c>
      <c r="B90" s="249" t="s">
        <v>345</v>
      </c>
      <c r="C90" s="199"/>
      <c r="D90" s="199"/>
      <c r="E90" s="264"/>
      <c r="F90" s="245"/>
      <c r="G90" s="244"/>
      <c r="H90" s="199"/>
      <c r="I90" s="245"/>
      <c r="J90" s="244"/>
      <c r="K90" s="199"/>
      <c r="L90" s="199"/>
      <c r="M90" s="264"/>
      <c r="N90" s="245"/>
      <c r="O90" s="244"/>
      <c r="P90" s="245"/>
      <c r="Q90" s="244"/>
      <c r="R90" s="199"/>
      <c r="S90" s="199"/>
      <c r="T90" s="243"/>
      <c r="U90" s="145" t="s">
        <v>272</v>
      </c>
      <c r="V90" s="2"/>
      <c r="W90" s="2"/>
      <c r="X90" s="2"/>
    </row>
    <row r="91" spans="1:24" ht="14.1" customHeight="1" x14ac:dyDescent="0.25">
      <c r="A91" s="263" t="s">
        <v>344</v>
      </c>
      <c r="B91" s="249" t="s">
        <v>343</v>
      </c>
      <c r="C91" s="199"/>
      <c r="D91" s="199"/>
      <c r="E91" s="264"/>
      <c r="F91" s="245"/>
      <c r="G91" s="244"/>
      <c r="H91" s="199"/>
      <c r="I91" s="245"/>
      <c r="J91" s="244"/>
      <c r="K91" s="199"/>
      <c r="L91" s="199"/>
      <c r="M91" s="264"/>
      <c r="N91" s="245"/>
      <c r="O91" s="244"/>
      <c r="P91" s="245"/>
      <c r="Q91" s="244"/>
      <c r="R91" s="199"/>
      <c r="S91" s="199"/>
      <c r="T91" s="243"/>
      <c r="U91" s="145" t="s">
        <v>272</v>
      </c>
      <c r="V91" s="2"/>
      <c r="W91" s="2"/>
      <c r="X91" s="2"/>
    </row>
    <row r="92" spans="1:24" ht="14.1" customHeight="1" x14ac:dyDescent="0.25">
      <c r="A92" s="263" t="s">
        <v>342</v>
      </c>
      <c r="B92" s="249" t="s">
        <v>341</v>
      </c>
      <c r="C92" s="199"/>
      <c r="D92" s="199"/>
      <c r="E92" s="264"/>
      <c r="F92" s="245"/>
      <c r="G92" s="244"/>
      <c r="H92" s="199"/>
      <c r="I92" s="245"/>
      <c r="J92" s="244"/>
      <c r="K92" s="199"/>
      <c r="L92" s="199"/>
      <c r="M92" s="264"/>
      <c r="N92" s="245"/>
      <c r="O92" s="244"/>
      <c r="P92" s="245"/>
      <c r="Q92" s="244"/>
      <c r="R92" s="199"/>
      <c r="S92" s="199"/>
      <c r="T92" s="243"/>
      <c r="U92" s="145" t="s">
        <v>272</v>
      </c>
      <c r="V92" s="2"/>
      <c r="W92" s="2"/>
      <c r="X92" s="2"/>
    </row>
    <row r="93" spans="1:24" ht="14.1" customHeight="1" x14ac:dyDescent="0.25">
      <c r="A93" s="263" t="s">
        <v>340</v>
      </c>
      <c r="B93" s="249" t="s">
        <v>339</v>
      </c>
      <c r="C93" s="199"/>
      <c r="D93" s="199"/>
      <c r="E93" s="264"/>
      <c r="F93" s="245"/>
      <c r="G93" s="244"/>
      <c r="H93" s="199"/>
      <c r="I93" s="245"/>
      <c r="J93" s="244"/>
      <c r="K93" s="199"/>
      <c r="L93" s="199"/>
      <c r="M93" s="264"/>
      <c r="N93" s="245"/>
      <c r="O93" s="244"/>
      <c r="P93" s="245"/>
      <c r="Q93" s="244"/>
      <c r="R93" s="199"/>
      <c r="S93" s="199"/>
      <c r="T93" s="243"/>
      <c r="U93" s="145" t="s">
        <v>272</v>
      </c>
      <c r="V93" s="2"/>
      <c r="W93" s="2"/>
      <c r="X93" s="2"/>
    </row>
    <row r="94" spans="1:24" ht="15" customHeight="1" x14ac:dyDescent="0.25">
      <c r="A94" s="275" t="s">
        <v>338</v>
      </c>
      <c r="B94" s="274" t="s">
        <v>337</v>
      </c>
      <c r="C94" s="255">
        <f>SUBTOTAL(9,C95:C99)-IF(B94="Работа с фондом",SUMIF(B95:B99,"      ограничение добычи (ОПЕК)",C95:C99),0)</f>
        <v>0</v>
      </c>
      <c r="D94" s="255">
        <f>SUBTOTAL(9,D95:D99)-IF(B94="Работа с фондом",SUMIF(B95:B99,"      ограничение добычи (ОПЕК)",D95:D99),0)</f>
        <v>0</v>
      </c>
      <c r="E94" s="269">
        <f>SUBTOTAL(9,E95:E99)-IF(B94="Работа с фондом",SUMIF(B95:B99,"      ограничение добычи (ОПЕК)",E95:E99),0)</f>
        <v>46</v>
      </c>
      <c r="F94" s="257">
        <f>SUBTOTAL(9,F95:F99)-IF(B94="Работа с фондом",SUMIF(B95:B99,"      ограничение добычи (ОПЕК)",F95:F99),0)</f>
        <v>5541</v>
      </c>
      <c r="G94" s="256">
        <f>SUBTOTAL(9,G95:G99)-IF(B94="Работа с фондом",SUMIF(B95:B99,"      ограничение добычи (ОПЕК)",G95:G99),0)</f>
        <v>108.89999999999998</v>
      </c>
      <c r="H94" s="255"/>
      <c r="I94" s="257"/>
      <c r="J94" s="256"/>
      <c r="K94" s="255"/>
      <c r="L94" s="255"/>
      <c r="M94" s="269">
        <f>SUBTOTAL(9,M95:M99)-IF(B94="Работа с фондом",SUMIF(B95:B99,"      ограничение добычи (ОПЕК)",M95:M99),0)</f>
        <v>0</v>
      </c>
      <c r="N94" s="257">
        <f>SUBTOTAL(9,N95:N99)-IF(B94="Работа с фондом",SUMIF(B95:B99,"      ограничение добычи (ОПЕК)",N95:N99),0)</f>
        <v>55974</v>
      </c>
      <c r="O94" s="256">
        <f>SUBTOTAL(9,O95:O99)-IF(B94="Работа с фондом",SUMIF(B95:B99,"      ограничение добычи (ОПЕК)",O95:O99),0)</f>
        <v>6660</v>
      </c>
      <c r="P94" s="257"/>
      <c r="Q94" s="256"/>
      <c r="R94" s="255"/>
      <c r="S94" s="255"/>
      <c r="T94" s="254"/>
      <c r="U94" s="145" t="s">
        <v>272</v>
      </c>
      <c r="V94" s="2"/>
      <c r="W94" s="2"/>
      <c r="X94" s="2"/>
    </row>
    <row r="95" spans="1:24" ht="14.1" customHeight="1" x14ac:dyDescent="0.25">
      <c r="A95" s="263" t="s">
        <v>336</v>
      </c>
      <c r="B95" s="249" t="s">
        <v>194</v>
      </c>
      <c r="C95" s="199"/>
      <c r="D95" s="199"/>
      <c r="E95" s="264">
        <v>3</v>
      </c>
      <c r="F95" s="245">
        <v>929</v>
      </c>
      <c r="G95" s="244">
        <v>20</v>
      </c>
      <c r="H95" s="199"/>
      <c r="I95" s="245"/>
      <c r="J95" s="244"/>
      <c r="K95" s="199"/>
      <c r="L95" s="199"/>
      <c r="M95" s="264"/>
      <c r="N95" s="245">
        <v>15869</v>
      </c>
      <c r="O95" s="244">
        <v>308</v>
      </c>
      <c r="P95" s="245"/>
      <c r="Q95" s="244"/>
      <c r="R95" s="199"/>
      <c r="S95" s="199"/>
      <c r="T95" s="243"/>
      <c r="U95" s="145" t="s">
        <v>272</v>
      </c>
      <c r="V95" s="2"/>
      <c r="W95" s="2"/>
      <c r="X95" s="2"/>
    </row>
    <row r="96" spans="1:24" ht="14.1" customHeight="1" x14ac:dyDescent="0.25">
      <c r="A96" s="263" t="s">
        <v>335</v>
      </c>
      <c r="B96" s="249" t="s">
        <v>334</v>
      </c>
      <c r="C96" s="199"/>
      <c r="D96" s="199"/>
      <c r="E96" s="264"/>
      <c r="F96" s="245"/>
      <c r="G96" s="244"/>
      <c r="H96" s="199"/>
      <c r="I96" s="245"/>
      <c r="J96" s="244"/>
      <c r="K96" s="199"/>
      <c r="L96" s="199"/>
      <c r="M96" s="264"/>
      <c r="N96" s="245"/>
      <c r="O96" s="244"/>
      <c r="P96" s="245"/>
      <c r="Q96" s="244"/>
      <c r="R96" s="199"/>
      <c r="S96" s="199"/>
      <c r="T96" s="243"/>
      <c r="U96" s="145" t="s">
        <v>272</v>
      </c>
      <c r="V96" s="2"/>
      <c r="W96" s="2"/>
      <c r="X96" s="2"/>
    </row>
    <row r="97" spans="1:24" ht="14.1" customHeight="1" x14ac:dyDescent="0.25">
      <c r="A97" s="263" t="s">
        <v>333</v>
      </c>
      <c r="B97" s="249" t="s">
        <v>193</v>
      </c>
      <c r="C97" s="199"/>
      <c r="D97" s="199"/>
      <c r="E97" s="264">
        <v>4</v>
      </c>
      <c r="F97" s="245">
        <v>0</v>
      </c>
      <c r="G97" s="244">
        <v>170</v>
      </c>
      <c r="H97" s="199"/>
      <c r="I97" s="245"/>
      <c r="J97" s="244"/>
      <c r="K97" s="199"/>
      <c r="L97" s="199"/>
      <c r="M97" s="264"/>
      <c r="N97" s="245">
        <v>0</v>
      </c>
      <c r="O97" s="244">
        <v>4284</v>
      </c>
      <c r="P97" s="245"/>
      <c r="Q97" s="244"/>
      <c r="R97" s="199"/>
      <c r="S97" s="199"/>
      <c r="T97" s="243"/>
      <c r="U97" s="145" t="s">
        <v>272</v>
      </c>
      <c r="V97" s="2"/>
      <c r="W97" s="2"/>
      <c r="X97" s="2"/>
    </row>
    <row r="98" spans="1:24" ht="14.1" customHeight="1" x14ac:dyDescent="0.25">
      <c r="A98" s="263" t="s">
        <v>332</v>
      </c>
      <c r="B98" s="249" t="s">
        <v>331</v>
      </c>
      <c r="C98" s="199"/>
      <c r="D98" s="199"/>
      <c r="E98" s="264">
        <v>39</v>
      </c>
      <c r="F98" s="245">
        <v>4612</v>
      </c>
      <c r="G98" s="244">
        <v>214.9</v>
      </c>
      <c r="H98" s="199"/>
      <c r="I98" s="245"/>
      <c r="J98" s="244"/>
      <c r="K98" s="199"/>
      <c r="L98" s="199"/>
      <c r="M98" s="264"/>
      <c r="N98" s="245">
        <v>40105</v>
      </c>
      <c r="O98" s="244">
        <v>2068</v>
      </c>
      <c r="P98" s="245"/>
      <c r="Q98" s="244"/>
      <c r="R98" s="199"/>
      <c r="S98" s="199"/>
      <c r="T98" s="243"/>
      <c r="U98" s="145" t="s">
        <v>272</v>
      </c>
      <c r="V98" s="2"/>
      <c r="W98" s="2"/>
      <c r="X98" s="2"/>
    </row>
    <row r="99" spans="1:24" ht="14.1" customHeight="1" x14ac:dyDescent="0.25">
      <c r="A99" s="263" t="s">
        <v>1</v>
      </c>
      <c r="B99" s="249" t="s">
        <v>385</v>
      </c>
      <c r="C99" s="199"/>
      <c r="D99" s="199"/>
      <c r="E99" s="264"/>
      <c r="F99" s="245"/>
      <c r="G99" s="244">
        <v>-296</v>
      </c>
      <c r="H99" s="199"/>
      <c r="I99" s="245"/>
      <c r="J99" s="244"/>
      <c r="K99" s="199"/>
      <c r="L99" s="199"/>
      <c r="M99" s="264"/>
      <c r="N99" s="245"/>
      <c r="O99" s="244"/>
      <c r="P99" s="245"/>
      <c r="Q99" s="244"/>
      <c r="R99" s="199"/>
      <c r="S99" s="199"/>
      <c r="T99" s="243"/>
      <c r="U99" s="145" t="s">
        <v>272</v>
      </c>
      <c r="V99" s="2"/>
      <c r="W99" s="2"/>
      <c r="X99" s="2"/>
    </row>
    <row r="100" spans="1:24" ht="15" customHeight="1" x14ac:dyDescent="0.25">
      <c r="A100" s="261" t="s">
        <v>330</v>
      </c>
      <c r="B100" s="260" t="s">
        <v>329</v>
      </c>
      <c r="C100" s="291"/>
      <c r="D100" s="291"/>
      <c r="E100" s="294">
        <v>0</v>
      </c>
      <c r="F100" s="293">
        <v>0</v>
      </c>
      <c r="G100" s="292">
        <v>0</v>
      </c>
      <c r="H100" s="291"/>
      <c r="I100" s="293"/>
      <c r="J100" s="292"/>
      <c r="K100" s="295"/>
      <c r="L100" s="291"/>
      <c r="M100" s="294"/>
      <c r="N100" s="293">
        <v>0</v>
      </c>
      <c r="O100" s="292">
        <v>0</v>
      </c>
      <c r="P100" s="293"/>
      <c r="Q100" s="292"/>
      <c r="R100" s="291"/>
      <c r="S100" s="291"/>
      <c r="T100" s="290"/>
      <c r="U100" s="145" t="s">
        <v>272</v>
      </c>
      <c r="V100" s="2"/>
      <c r="W100" s="2"/>
      <c r="X100" s="2"/>
    </row>
    <row r="101" spans="1:24" ht="14.1" customHeight="1" x14ac:dyDescent="0.25">
      <c r="A101" s="261" t="s">
        <v>328</v>
      </c>
      <c r="B101" s="260" t="s">
        <v>327</v>
      </c>
      <c r="C101" s="259"/>
      <c r="D101" s="259"/>
      <c r="E101" s="258"/>
      <c r="F101" s="259"/>
      <c r="G101" s="259"/>
      <c r="H101" s="259"/>
      <c r="I101" s="259"/>
      <c r="J101" s="259"/>
      <c r="K101" s="259"/>
      <c r="L101" s="259"/>
      <c r="M101" s="258"/>
      <c r="N101" s="257">
        <v>0</v>
      </c>
      <c r="O101" s="256">
        <v>803.9</v>
      </c>
      <c r="P101" s="257"/>
      <c r="Q101" s="256"/>
      <c r="R101" s="255"/>
      <c r="S101" s="255"/>
      <c r="T101" s="254"/>
      <c r="U101" s="145" t="s">
        <v>272</v>
      </c>
      <c r="V101" s="2"/>
      <c r="W101" s="2"/>
      <c r="X101" s="2"/>
    </row>
    <row r="102" spans="1:24" ht="14.1" customHeight="1" x14ac:dyDescent="0.25">
      <c r="A102" s="289"/>
      <c r="B102" s="288"/>
      <c r="C102" s="287"/>
      <c r="D102" s="287"/>
      <c r="E102" s="285"/>
      <c r="F102" s="286"/>
      <c r="G102" s="286"/>
      <c r="H102" s="286"/>
      <c r="I102" s="286"/>
      <c r="J102" s="286"/>
      <c r="K102" s="286"/>
      <c r="L102" s="286"/>
      <c r="M102" s="285"/>
      <c r="N102" s="286"/>
      <c r="O102" s="286"/>
      <c r="P102" s="286"/>
      <c r="Q102" s="286"/>
      <c r="R102" s="286"/>
      <c r="S102" s="286"/>
      <c r="T102" s="285"/>
      <c r="U102" s="3"/>
      <c r="V102" s="2"/>
      <c r="W102" s="2"/>
      <c r="X102" s="2"/>
    </row>
    <row r="103" spans="1:24" ht="14.1" customHeight="1" thickBo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2"/>
      <c r="W103" s="2"/>
      <c r="X103" s="2"/>
    </row>
    <row r="104" spans="1:24" ht="15" customHeight="1" x14ac:dyDescent="0.25">
      <c r="A104" s="284">
        <v>3</v>
      </c>
      <c r="B104" s="283" t="s">
        <v>326</v>
      </c>
      <c r="C104" s="281"/>
      <c r="D104" s="281"/>
      <c r="E104" s="282">
        <f>SUMIF(B105:B130,"Падение по базовому фонду, ГТМ",E105:E130)+SUMIF(B105:B130,"От технологических причин, в т.ч:",E105:E130)</f>
        <v>43</v>
      </c>
      <c r="F104" s="279">
        <f>SUMIF(B105:B130,"Падение по базовому фонду, ГТМ",F105:F130)+SUMIF(B105:B130,"От технологических причин, в т.ч:",F105:F130)</f>
        <v>2243.1289999999999</v>
      </c>
      <c r="G104" s="278">
        <f>SUMIF(B105:B130,"Падение по базовому фонду, ГТМ",G105:G130)+SUMIF(B105:B130,"От технологических причин, в т.ч:",G105:G130)</f>
        <v>1779.8820000000001</v>
      </c>
      <c r="H104" s="277"/>
      <c r="I104" s="279"/>
      <c r="J104" s="278"/>
      <c r="K104" s="281"/>
      <c r="L104" s="277"/>
      <c r="M104" s="280">
        <v>2089.4780000000001</v>
      </c>
      <c r="N104" s="279">
        <f>SUMIF(B105:B132,"Падение по базовому фонду, ГТМ",N105:N132)+SUMIF(B105:B132,"От технологических причин, в т.ч:",N105:N132)</f>
        <v>108642.90500000001</v>
      </c>
      <c r="O104" s="278">
        <f>SUMIF(B105:B132,"Падение по базовому фонду, ГТМ",O105:O132)+SUMIF(B105:B132,"От технологических причин, в т.ч:",O105:O132)</f>
        <v>38134.866999999998</v>
      </c>
      <c r="P104" s="279"/>
      <c r="Q104" s="278"/>
      <c r="R104" s="277"/>
      <c r="S104" s="277"/>
      <c r="T104" s="276"/>
      <c r="U104" s="145" t="s">
        <v>272</v>
      </c>
      <c r="V104" s="2"/>
      <c r="W104" s="2"/>
      <c r="X104" s="2"/>
    </row>
    <row r="105" spans="1:24" ht="15" customHeight="1" x14ac:dyDescent="0.25">
      <c r="A105" s="275" t="s">
        <v>325</v>
      </c>
      <c r="B105" s="274" t="s">
        <v>324</v>
      </c>
      <c r="C105" s="259"/>
      <c r="D105" s="259"/>
      <c r="E105" s="258"/>
      <c r="F105" s="257">
        <f>SUBTOTAL(9,F106:F113)</f>
        <v>0</v>
      </c>
      <c r="G105" s="256">
        <f>SUBTOTAL(9,G106:G113)</f>
        <v>1550</v>
      </c>
      <c r="H105" s="259"/>
      <c r="I105" s="257"/>
      <c r="J105" s="256"/>
      <c r="K105" s="259"/>
      <c r="L105" s="255"/>
      <c r="M105" s="258">
        <v>0</v>
      </c>
      <c r="N105" s="257">
        <f>SUBTOTAL(9,N106:N113)</f>
        <v>0</v>
      </c>
      <c r="O105" s="256">
        <f>SUBTOTAL(9,O106:O113)</f>
        <v>24800</v>
      </c>
      <c r="P105" s="257"/>
      <c r="Q105" s="256"/>
      <c r="R105" s="255"/>
      <c r="S105" s="255"/>
      <c r="T105" s="254"/>
      <c r="U105" s="145" t="s">
        <v>272</v>
      </c>
      <c r="V105" s="2"/>
      <c r="W105" s="2"/>
      <c r="X105" s="2"/>
    </row>
    <row r="106" spans="1:24" ht="15" customHeight="1" x14ac:dyDescent="0.25">
      <c r="A106" s="263" t="s">
        <v>323</v>
      </c>
      <c r="B106" s="249" t="s">
        <v>322</v>
      </c>
      <c r="C106" s="192"/>
      <c r="D106" s="192"/>
      <c r="E106" s="266"/>
      <c r="F106" s="253">
        <f>SUBTOTAL(9,F107:F108)</f>
        <v>0</v>
      </c>
      <c r="G106" s="252">
        <f>SUBTOTAL(9,G107:G108)</f>
        <v>1550</v>
      </c>
      <c r="H106" s="267"/>
      <c r="I106" s="253"/>
      <c r="J106" s="252"/>
      <c r="K106" s="267"/>
      <c r="L106" s="190"/>
      <c r="M106" s="266">
        <v>0</v>
      </c>
      <c r="N106" s="253">
        <f>SUBTOTAL(9,N107:N108)</f>
        <v>0</v>
      </c>
      <c r="O106" s="252">
        <f>SUBTOTAL(9,O107:O108)</f>
        <v>24800</v>
      </c>
      <c r="P106" s="253"/>
      <c r="Q106" s="252"/>
      <c r="R106" s="190"/>
      <c r="S106" s="190"/>
      <c r="T106" s="265"/>
      <c r="U106" s="145" t="s">
        <v>272</v>
      </c>
      <c r="V106" s="2"/>
      <c r="W106" s="2"/>
      <c r="X106" s="2"/>
    </row>
    <row r="107" spans="1:24" ht="15" customHeight="1" x14ac:dyDescent="0.25">
      <c r="A107" s="263" t="s">
        <v>321</v>
      </c>
      <c r="B107" s="251" t="s">
        <v>320</v>
      </c>
      <c r="C107" s="192"/>
      <c r="D107" s="192"/>
      <c r="E107" s="273" t="s">
        <v>319</v>
      </c>
      <c r="F107" s="245">
        <v>0</v>
      </c>
      <c r="G107" s="244">
        <v>1208.69</v>
      </c>
      <c r="H107" s="272"/>
      <c r="I107" s="245"/>
      <c r="J107" s="244"/>
      <c r="K107" s="192"/>
      <c r="L107" s="199"/>
      <c r="M107" s="246"/>
      <c r="N107" s="245">
        <v>0</v>
      </c>
      <c r="O107" s="244">
        <v>19339.04</v>
      </c>
      <c r="P107" s="245"/>
      <c r="Q107" s="244"/>
      <c r="R107" s="199"/>
      <c r="S107" s="199"/>
      <c r="T107" s="243"/>
      <c r="U107" s="145" t="s">
        <v>272</v>
      </c>
      <c r="V107" s="2"/>
      <c r="W107" s="2"/>
      <c r="X107" s="2"/>
    </row>
    <row r="108" spans="1:24" ht="15" customHeight="1" x14ac:dyDescent="0.25">
      <c r="A108" s="263" t="s">
        <v>318</v>
      </c>
      <c r="B108" s="251" t="s">
        <v>317</v>
      </c>
      <c r="C108" s="192"/>
      <c r="D108" s="192"/>
      <c r="E108" s="273" t="s">
        <v>316</v>
      </c>
      <c r="F108" s="245">
        <v>0</v>
      </c>
      <c r="G108" s="244">
        <v>341.31</v>
      </c>
      <c r="H108" s="272"/>
      <c r="I108" s="245"/>
      <c r="J108" s="244"/>
      <c r="K108" s="192"/>
      <c r="L108" s="199"/>
      <c r="M108" s="246"/>
      <c r="N108" s="245">
        <v>0</v>
      </c>
      <c r="O108" s="244">
        <v>5460.96</v>
      </c>
      <c r="P108" s="245"/>
      <c r="Q108" s="244"/>
      <c r="R108" s="199"/>
      <c r="S108" s="199"/>
      <c r="T108" s="243"/>
      <c r="U108" s="145" t="s">
        <v>272</v>
      </c>
      <c r="V108" s="2"/>
      <c r="W108" s="2"/>
      <c r="X108" s="2"/>
    </row>
    <row r="109" spans="1:24" ht="15" customHeight="1" x14ac:dyDescent="0.25">
      <c r="A109" s="263" t="s">
        <v>315</v>
      </c>
      <c r="B109" s="249" t="s">
        <v>314</v>
      </c>
      <c r="C109" s="192"/>
      <c r="D109" s="192"/>
      <c r="E109" s="266"/>
      <c r="F109" s="253">
        <f>SUBTOTAL(9,F110:F111)</f>
        <v>0</v>
      </c>
      <c r="G109" s="252">
        <f>SUBTOTAL(9,G110:G111)</f>
        <v>0</v>
      </c>
      <c r="H109" s="267"/>
      <c r="I109" s="253"/>
      <c r="J109" s="252"/>
      <c r="K109" s="267"/>
      <c r="L109" s="190"/>
      <c r="M109" s="266">
        <v>0</v>
      </c>
      <c r="N109" s="253">
        <f>SUBTOTAL(9,N110:N111)</f>
        <v>0</v>
      </c>
      <c r="O109" s="252">
        <f>SUBTOTAL(9,O110:O111)</f>
        <v>0</v>
      </c>
      <c r="P109" s="253"/>
      <c r="Q109" s="252"/>
      <c r="R109" s="190"/>
      <c r="S109" s="190"/>
      <c r="T109" s="265"/>
      <c r="U109" s="145" t="s">
        <v>272</v>
      </c>
      <c r="V109" s="2"/>
      <c r="W109" s="2"/>
      <c r="X109" s="2"/>
    </row>
    <row r="110" spans="1:24" ht="15" customHeight="1" x14ac:dyDescent="0.25">
      <c r="A110" s="263" t="s">
        <v>313</v>
      </c>
      <c r="B110" s="251" t="s">
        <v>312</v>
      </c>
      <c r="C110" s="192"/>
      <c r="D110" s="192"/>
      <c r="E110" s="246"/>
      <c r="F110" s="245"/>
      <c r="G110" s="244"/>
      <c r="H110" s="192"/>
      <c r="I110" s="245"/>
      <c r="J110" s="244"/>
      <c r="K110" s="192"/>
      <c r="L110" s="199"/>
      <c r="M110" s="246"/>
      <c r="N110" s="245"/>
      <c r="O110" s="244"/>
      <c r="P110" s="245"/>
      <c r="Q110" s="244"/>
      <c r="R110" s="199"/>
      <c r="S110" s="199"/>
      <c r="T110" s="243"/>
      <c r="U110" s="145" t="s">
        <v>272</v>
      </c>
      <c r="V110" s="2"/>
      <c r="W110" s="2"/>
      <c r="X110" s="2"/>
    </row>
    <row r="111" spans="1:24" ht="15" customHeight="1" x14ac:dyDescent="0.25">
      <c r="A111" s="263" t="s">
        <v>311</v>
      </c>
      <c r="B111" s="251" t="s">
        <v>310</v>
      </c>
      <c r="C111" s="192"/>
      <c r="D111" s="192"/>
      <c r="E111" s="246"/>
      <c r="F111" s="245"/>
      <c r="G111" s="244"/>
      <c r="H111" s="192"/>
      <c r="I111" s="245"/>
      <c r="J111" s="244"/>
      <c r="K111" s="192"/>
      <c r="L111" s="199"/>
      <c r="M111" s="246"/>
      <c r="N111" s="245"/>
      <c r="O111" s="244"/>
      <c r="P111" s="245"/>
      <c r="Q111" s="244"/>
      <c r="R111" s="199"/>
      <c r="S111" s="199"/>
      <c r="T111" s="243"/>
      <c r="U111" s="145" t="s">
        <v>272</v>
      </c>
      <c r="V111" s="2"/>
      <c r="W111" s="2"/>
      <c r="X111" s="2"/>
    </row>
    <row r="112" spans="1:24" ht="15" customHeight="1" x14ac:dyDescent="0.25">
      <c r="A112" s="263" t="s">
        <v>309</v>
      </c>
      <c r="B112" s="249" t="s">
        <v>308</v>
      </c>
      <c r="C112" s="192"/>
      <c r="D112" s="192"/>
      <c r="E112" s="266"/>
      <c r="F112" s="253">
        <f>SUBTOTAL(9,F113:F113)</f>
        <v>0</v>
      </c>
      <c r="G112" s="252">
        <f>SUBTOTAL(9,G113:G113)</f>
        <v>0</v>
      </c>
      <c r="H112" s="267"/>
      <c r="I112" s="253"/>
      <c r="J112" s="252"/>
      <c r="K112" s="267"/>
      <c r="L112" s="190"/>
      <c r="M112" s="266">
        <v>0</v>
      </c>
      <c r="N112" s="253">
        <f>SUBTOTAL(9,N113:N113)</f>
        <v>0</v>
      </c>
      <c r="O112" s="252">
        <f>SUBTOTAL(9,O113:O113)</f>
        <v>0</v>
      </c>
      <c r="P112" s="253"/>
      <c r="Q112" s="252"/>
      <c r="R112" s="190"/>
      <c r="S112" s="190"/>
      <c r="T112" s="265"/>
      <c r="U112" s="145" t="s">
        <v>272</v>
      </c>
      <c r="V112" s="2"/>
      <c r="W112" s="2"/>
      <c r="X112" s="2"/>
    </row>
    <row r="113" spans="1:24" ht="15" customHeight="1" x14ac:dyDescent="0.25">
      <c r="A113" s="263" t="s">
        <v>307</v>
      </c>
      <c r="B113" s="251" t="s">
        <v>306</v>
      </c>
      <c r="C113" s="192"/>
      <c r="D113" s="192"/>
      <c r="E113" s="246"/>
      <c r="F113" s="245"/>
      <c r="G113" s="244"/>
      <c r="H113" s="192"/>
      <c r="I113" s="245"/>
      <c r="J113" s="244"/>
      <c r="K113" s="192"/>
      <c r="L113" s="199"/>
      <c r="M113" s="246"/>
      <c r="N113" s="245"/>
      <c r="O113" s="244"/>
      <c r="P113" s="245"/>
      <c r="Q113" s="244"/>
      <c r="R113" s="199"/>
      <c r="S113" s="199"/>
      <c r="T113" s="243"/>
      <c r="U113" s="145" t="s">
        <v>272</v>
      </c>
      <c r="V113" s="2"/>
      <c r="W113" s="2"/>
      <c r="X113" s="2"/>
    </row>
    <row r="114" spans="1:24" ht="15" customHeight="1" x14ac:dyDescent="0.25">
      <c r="A114" s="271" t="s">
        <v>305</v>
      </c>
      <c r="B114" s="270" t="s">
        <v>304</v>
      </c>
      <c r="C114" s="259"/>
      <c r="D114" s="259"/>
      <c r="E114" s="269">
        <f>SUMIF(B115:B130,"Рост потенциала простоя",E115:E130)+SUMIF(B115:B130,"Остановка по распоряжению, в т.ч.:",E115:E130)+SUMIF(B115:B130,"Остановка нерентабельного фонда",E115:E130)+SUMIF(B115:B130,"Остановка для перевода в ППД",E115:E130)+SUMIF(B115:B130,"Прочие потери",E115:E130)+SUMIF(B115:B130,"Потери нефти по ОТМ",E115:E130)+SUMIF(B115:B130,"Ост. дебит от ЗБС, Углуб., ПВЛГ/ПНЛГ",E115:E130)</f>
        <v>43</v>
      </c>
      <c r="F114" s="257">
        <f>SUMIF(B115:B130,"Рост потенциала простоя",F115:F130)+SUMIF(B115:B130,"Остановка по распоряжению, в т.ч.:",F115:F130)+SUMIF(B115:B130,"Остановка нерентабельного фонда",F115:F130)+SUMIF(B115:B130,"Остановка для перевода в ППД",F115:F130)+SUMIF(B115:B130,"Прочие потери",F115:F130)+SUMIF(B115:B130,"Потери нефти по ОТМ",F115:F130)+SUMIF(B115:B130,"Ост. дебит от ЗБС, Углуб., ПВЛГ/ПНЛГ",F115:F130)</f>
        <v>2243.1289999999999</v>
      </c>
      <c r="G114" s="256">
        <f>SUMIF(B115:B130,"Рост потенциала простоя",G115:G130)+SUMIF(B115:B130,"Остановка по распоряжению, в т.ч.:",G115:G130)+SUMIF(B115:B130,"Остановка нерентабельного фонда",G115:G130)+SUMIF(B115:B130,"Остановка для перевода в ППД",G115:G130)+SUMIF(B115:B130,"Прочие потери",G115:G130)+SUMIF(B115:B130,"Потери нефти по ОТМ",G115:G130)+SUMIF(B115:B130,"Ост. дебит от ЗБС, Углуб., ПВЛГ/ПНЛГ",G115:G130)</f>
        <v>229.88200000000001</v>
      </c>
      <c r="H114" s="255"/>
      <c r="I114" s="257"/>
      <c r="J114" s="256"/>
      <c r="K114" s="259"/>
      <c r="L114" s="255"/>
      <c r="M114" s="258">
        <v>2089.4780000000001</v>
      </c>
      <c r="N114" s="257">
        <f>SUMIF(B115:B132,"Рост потенциала простоя",N115:N132)+SUMIF(B115:B132,"Остановка по распоряжению, в т.ч.:",N115:N132)+SUMIF(B115:B132,"Остановка нерентабельного фонда",N115:N132)+SUMIF(B115:B132,"Остановка для перевода в ППД",N115:N132)+SUMIF(B115:B132,"Прочие потери",N115:N132)+SUMIF(B115:B132,"Потери нефти по ОТМ",N115:N132)+SUMIF(B115:B132,"Ост. дебит от ЗБС, Углуб., ПВЛГ/ПНЛГ",N115:N132)</f>
        <v>108642.90500000001</v>
      </c>
      <c r="O114" s="256">
        <f>SUMIF(B115:B132,"Рост потенциала простоя",O115:O132)+SUMIF(B115:B132,"Остановка по распоряжению, в т.ч.:",O115:O132)+SUMIF(B115:B132,"Остановка нерентабельного фонда",O115:O132)+SUMIF(B115:B132,"Остановка для перевода в ППД",O115:O132)+SUMIF(B115:B132,"Прочие потери",O115:O132)+SUMIF(B115:B132,"Потери нефти по ОТМ",O115:O132)+SUMIF(B115:B132,"Ост. дебит от ЗБС, Углуб., ПВЛГ/ПНЛГ",O115:O132)</f>
        <v>13334.866999999998</v>
      </c>
      <c r="P114" s="257"/>
      <c r="Q114" s="256"/>
      <c r="R114" s="255"/>
      <c r="S114" s="255"/>
      <c r="T114" s="254"/>
      <c r="U114" s="145" t="s">
        <v>272</v>
      </c>
      <c r="V114" s="2"/>
      <c r="W114" s="2"/>
      <c r="X114" s="2"/>
    </row>
    <row r="115" spans="1:24" ht="15" customHeight="1" x14ac:dyDescent="0.25">
      <c r="A115" s="263" t="s">
        <v>303</v>
      </c>
      <c r="B115" s="262" t="s">
        <v>302</v>
      </c>
      <c r="C115" s="192"/>
      <c r="D115" s="192"/>
      <c r="E115" s="268">
        <v>36</v>
      </c>
      <c r="F115" s="253">
        <v>2008.674</v>
      </c>
      <c r="G115" s="252">
        <v>187.98099999999999</v>
      </c>
      <c r="H115" s="190"/>
      <c r="I115" s="253"/>
      <c r="J115" s="252"/>
      <c r="K115" s="267"/>
      <c r="L115" s="190"/>
      <c r="M115" s="266"/>
      <c r="N115" s="253">
        <v>34371.008000000002</v>
      </c>
      <c r="O115" s="252">
        <v>4662.3770000000004</v>
      </c>
      <c r="P115" s="253"/>
      <c r="Q115" s="252"/>
      <c r="R115" s="190"/>
      <c r="S115" s="190"/>
      <c r="T115" s="265"/>
      <c r="U115" s="145" t="s">
        <v>272</v>
      </c>
      <c r="V115" s="2"/>
      <c r="W115" s="2"/>
      <c r="X115" s="2"/>
    </row>
    <row r="116" spans="1:24" ht="15" customHeight="1" x14ac:dyDescent="0.25">
      <c r="A116" s="263" t="s">
        <v>301</v>
      </c>
      <c r="B116" s="249" t="s">
        <v>300</v>
      </c>
      <c r="C116" s="192"/>
      <c r="D116" s="192"/>
      <c r="E116" s="264"/>
      <c r="F116" s="245"/>
      <c r="G116" s="244"/>
      <c r="H116" s="199"/>
      <c r="I116" s="245"/>
      <c r="J116" s="244"/>
      <c r="K116" s="192"/>
      <c r="L116" s="199"/>
      <c r="M116" s="246"/>
      <c r="N116" s="245"/>
      <c r="O116" s="244"/>
      <c r="P116" s="245"/>
      <c r="Q116" s="244"/>
      <c r="R116" s="199"/>
      <c r="S116" s="199"/>
      <c r="T116" s="243"/>
      <c r="U116" s="145" t="s">
        <v>272</v>
      </c>
      <c r="V116" s="2"/>
      <c r="W116" s="2"/>
      <c r="X116" s="2"/>
    </row>
    <row r="117" spans="1:24" ht="15" customHeight="1" x14ac:dyDescent="0.25">
      <c r="A117" s="263" t="s">
        <v>299</v>
      </c>
      <c r="B117" s="249" t="s">
        <v>298</v>
      </c>
      <c r="C117" s="192"/>
      <c r="D117" s="192"/>
      <c r="E117" s="264">
        <v>15</v>
      </c>
      <c r="F117" s="245">
        <v>1693</v>
      </c>
      <c r="G117" s="244">
        <v>57.1</v>
      </c>
      <c r="H117" s="199"/>
      <c r="I117" s="245"/>
      <c r="J117" s="244"/>
      <c r="K117" s="192"/>
      <c r="L117" s="199"/>
      <c r="M117" s="246"/>
      <c r="N117" s="245">
        <v>8000</v>
      </c>
      <c r="O117" s="244">
        <v>337.4</v>
      </c>
      <c r="P117" s="245"/>
      <c r="Q117" s="244"/>
      <c r="R117" s="199"/>
      <c r="S117" s="199"/>
      <c r="T117" s="243"/>
      <c r="U117" s="145" t="s">
        <v>272</v>
      </c>
      <c r="V117" s="2"/>
      <c r="W117" s="2"/>
      <c r="X117" s="2"/>
    </row>
    <row r="118" spans="1:24" ht="15" customHeight="1" x14ac:dyDescent="0.25">
      <c r="A118" s="263" t="s">
        <v>297</v>
      </c>
      <c r="B118" s="249" t="s">
        <v>296</v>
      </c>
      <c r="C118" s="192"/>
      <c r="D118" s="192"/>
      <c r="E118" s="264"/>
      <c r="F118" s="245"/>
      <c r="G118" s="244"/>
      <c r="H118" s="199"/>
      <c r="I118" s="245"/>
      <c r="J118" s="244"/>
      <c r="K118" s="192"/>
      <c r="L118" s="199"/>
      <c r="M118" s="246"/>
      <c r="N118" s="245"/>
      <c r="O118" s="244"/>
      <c r="P118" s="245"/>
      <c r="Q118" s="244"/>
      <c r="R118" s="199"/>
      <c r="S118" s="199"/>
      <c r="T118" s="243"/>
      <c r="U118" s="145" t="s">
        <v>272</v>
      </c>
      <c r="V118" s="2"/>
      <c r="W118" s="2"/>
      <c r="X118" s="2"/>
    </row>
    <row r="119" spans="1:24" ht="15" customHeight="1" x14ac:dyDescent="0.25">
      <c r="A119" s="263" t="s">
        <v>295</v>
      </c>
      <c r="B119" s="249" t="s">
        <v>294</v>
      </c>
      <c r="C119" s="192"/>
      <c r="D119" s="192"/>
      <c r="E119" s="264"/>
      <c r="F119" s="245"/>
      <c r="G119" s="244"/>
      <c r="H119" s="199"/>
      <c r="I119" s="245"/>
      <c r="J119" s="244"/>
      <c r="K119" s="192"/>
      <c r="L119" s="199"/>
      <c r="M119" s="246"/>
      <c r="N119" s="245"/>
      <c r="O119" s="244"/>
      <c r="P119" s="245"/>
      <c r="Q119" s="244"/>
      <c r="R119" s="199"/>
      <c r="S119" s="199"/>
      <c r="T119" s="243"/>
      <c r="U119" s="145" t="s">
        <v>272</v>
      </c>
      <c r="V119" s="2"/>
      <c r="W119" s="2"/>
      <c r="X119" s="2"/>
    </row>
    <row r="120" spans="1:24" ht="15" customHeight="1" x14ac:dyDescent="0.25">
      <c r="A120" s="263" t="s">
        <v>1</v>
      </c>
      <c r="B120" s="249" t="s">
        <v>293</v>
      </c>
      <c r="C120" s="192"/>
      <c r="D120" s="192"/>
      <c r="E120" s="264"/>
      <c r="F120" s="245"/>
      <c r="G120" s="244"/>
      <c r="H120" s="199"/>
      <c r="I120" s="245"/>
      <c r="J120" s="244"/>
      <c r="K120" s="192"/>
      <c r="L120" s="199"/>
      <c r="M120" s="246"/>
      <c r="N120" s="245"/>
      <c r="O120" s="244"/>
      <c r="P120" s="245"/>
      <c r="Q120" s="244"/>
      <c r="R120" s="199"/>
      <c r="S120" s="199"/>
      <c r="T120" s="243"/>
      <c r="U120" s="145" t="s">
        <v>272</v>
      </c>
      <c r="V120" s="2"/>
      <c r="W120" s="2"/>
      <c r="X120" s="2"/>
    </row>
    <row r="121" spans="1:24" ht="15" customHeight="1" x14ac:dyDescent="0.25">
      <c r="A121" s="263" t="s">
        <v>292</v>
      </c>
      <c r="B121" s="249" t="s">
        <v>261</v>
      </c>
      <c r="C121" s="192"/>
      <c r="D121" s="192"/>
      <c r="E121" s="264"/>
      <c r="F121" s="245"/>
      <c r="G121" s="244"/>
      <c r="H121" s="199"/>
      <c r="I121" s="245"/>
      <c r="J121" s="244"/>
      <c r="K121" s="192"/>
      <c r="L121" s="199"/>
      <c r="M121" s="246"/>
      <c r="N121" s="245"/>
      <c r="O121" s="244"/>
      <c r="P121" s="245"/>
      <c r="Q121" s="244"/>
      <c r="R121" s="199"/>
      <c r="S121" s="199"/>
      <c r="T121" s="243"/>
      <c r="U121" s="145" t="s">
        <v>272</v>
      </c>
      <c r="V121" s="2"/>
      <c r="W121" s="2"/>
      <c r="X121" s="2"/>
    </row>
    <row r="122" spans="1:24" ht="15" customHeight="1" x14ac:dyDescent="0.25">
      <c r="A122" s="263" t="s">
        <v>291</v>
      </c>
      <c r="B122" s="262" t="s">
        <v>290</v>
      </c>
      <c r="C122" s="192"/>
      <c r="D122" s="192"/>
      <c r="E122" s="264">
        <v>7</v>
      </c>
      <c r="F122" s="245">
        <v>234.45500000000001</v>
      </c>
      <c r="G122" s="244">
        <v>41.901000000000003</v>
      </c>
      <c r="H122" s="199"/>
      <c r="I122" s="245"/>
      <c r="J122" s="244"/>
      <c r="K122" s="192"/>
      <c r="L122" s="199"/>
      <c r="M122" s="246"/>
      <c r="N122" s="245">
        <v>2397.4549999999999</v>
      </c>
      <c r="O122" s="244">
        <v>163.70099999999999</v>
      </c>
      <c r="P122" s="245"/>
      <c r="Q122" s="244"/>
      <c r="R122" s="199"/>
      <c r="S122" s="199"/>
      <c r="T122" s="243"/>
      <c r="U122" s="145" t="s">
        <v>272</v>
      </c>
      <c r="V122" s="2"/>
      <c r="W122" s="2"/>
      <c r="X122" s="2"/>
    </row>
    <row r="123" spans="1:24" ht="15" customHeight="1" x14ac:dyDescent="0.25">
      <c r="A123" s="263" t="s">
        <v>289</v>
      </c>
      <c r="B123" s="262" t="s">
        <v>182</v>
      </c>
      <c r="C123" s="192"/>
      <c r="D123" s="192"/>
      <c r="E123" s="246"/>
      <c r="F123" s="245"/>
      <c r="G123" s="244"/>
      <c r="H123" s="192"/>
      <c r="I123" s="245"/>
      <c r="J123" s="244"/>
      <c r="K123" s="192"/>
      <c r="L123" s="199"/>
      <c r="M123" s="246"/>
      <c r="N123" s="245">
        <v>0</v>
      </c>
      <c r="O123" s="244">
        <v>3899.33</v>
      </c>
      <c r="P123" s="245"/>
      <c r="Q123" s="244"/>
      <c r="R123" s="199"/>
      <c r="S123" s="199"/>
      <c r="T123" s="243"/>
      <c r="U123" s="145" t="s">
        <v>272</v>
      </c>
      <c r="V123" s="2"/>
      <c r="W123" s="2"/>
      <c r="X123" s="2"/>
    </row>
    <row r="124" spans="1:24" ht="15" customHeight="1" x14ac:dyDescent="0.25">
      <c r="A124" s="261" t="s">
        <v>288</v>
      </c>
      <c r="B124" s="260" t="s">
        <v>180</v>
      </c>
      <c r="C124" s="259"/>
      <c r="D124" s="259"/>
      <c r="E124" s="258"/>
      <c r="F124" s="259"/>
      <c r="G124" s="259"/>
      <c r="H124" s="259"/>
      <c r="I124" s="259"/>
      <c r="J124" s="259"/>
      <c r="K124" s="259"/>
      <c r="L124" s="259"/>
      <c r="M124" s="258">
        <v>2089.4780000000001</v>
      </c>
      <c r="N124" s="257">
        <f>SUBTOTAL(9,N125:N131)</f>
        <v>71874.44200000001</v>
      </c>
      <c r="O124" s="256">
        <f>SUBTOTAL(9,O125:O132)</f>
        <v>4609.4589999999998</v>
      </c>
      <c r="P124" s="257"/>
      <c r="Q124" s="256"/>
      <c r="R124" s="255"/>
      <c r="S124" s="255"/>
      <c r="T124" s="254"/>
      <c r="U124" s="145" t="s">
        <v>272</v>
      </c>
      <c r="V124" s="2"/>
      <c r="W124" s="2"/>
      <c r="X124" s="2"/>
    </row>
    <row r="125" spans="1:24" ht="15" customHeight="1" x14ac:dyDescent="0.25">
      <c r="A125" s="250" t="s">
        <v>287</v>
      </c>
      <c r="B125" s="249" t="s">
        <v>286</v>
      </c>
      <c r="C125" s="192"/>
      <c r="D125" s="192"/>
      <c r="E125" s="246"/>
      <c r="F125" s="248"/>
      <c r="G125" s="247"/>
      <c r="H125" s="192"/>
      <c r="I125" s="248"/>
      <c r="J125" s="247"/>
      <c r="K125" s="192"/>
      <c r="L125" s="192"/>
      <c r="M125" s="246">
        <v>257.12700000000001</v>
      </c>
      <c r="N125" s="245">
        <v>4265</v>
      </c>
      <c r="O125" s="244">
        <v>267.39999999999998</v>
      </c>
      <c r="P125" s="245"/>
      <c r="Q125" s="244"/>
      <c r="R125" s="199"/>
      <c r="S125" s="199"/>
      <c r="T125" s="243"/>
      <c r="U125" s="145" t="s">
        <v>272</v>
      </c>
      <c r="V125" s="2"/>
      <c r="W125" s="2"/>
      <c r="X125" s="2"/>
    </row>
    <row r="126" spans="1:24" ht="15" customHeight="1" x14ac:dyDescent="0.25">
      <c r="A126" s="250" t="s">
        <v>285</v>
      </c>
      <c r="B126" s="249" t="s">
        <v>284</v>
      </c>
      <c r="C126" s="192"/>
      <c r="D126" s="192"/>
      <c r="E126" s="246"/>
      <c r="F126" s="192"/>
      <c r="G126" s="192"/>
      <c r="H126" s="192"/>
      <c r="I126" s="192"/>
      <c r="J126" s="192"/>
      <c r="K126" s="192"/>
      <c r="L126" s="192"/>
      <c r="M126" s="246">
        <v>158.333</v>
      </c>
      <c r="N126" s="253">
        <f>SUBTOTAL(9,N127:N128)</f>
        <v>49759.838000000003</v>
      </c>
      <c r="O126" s="252">
        <f>SUBTOTAL(9,O127:O128)</f>
        <v>1632.11</v>
      </c>
      <c r="P126" s="253"/>
      <c r="Q126" s="252"/>
      <c r="R126" s="190"/>
      <c r="S126" s="190"/>
      <c r="T126" s="243"/>
      <c r="U126" s="145" t="s">
        <v>272</v>
      </c>
      <c r="V126" s="2"/>
      <c r="W126" s="2"/>
      <c r="X126" s="2"/>
    </row>
    <row r="127" spans="1:24" ht="15" customHeight="1" x14ac:dyDescent="0.25">
      <c r="A127" s="250"/>
      <c r="B127" s="251" t="s">
        <v>283</v>
      </c>
      <c r="C127" s="192"/>
      <c r="D127" s="192"/>
      <c r="E127" s="246"/>
      <c r="F127" s="248"/>
      <c r="G127" s="247"/>
      <c r="H127" s="192"/>
      <c r="I127" s="248"/>
      <c r="J127" s="247"/>
      <c r="K127" s="192"/>
      <c r="L127" s="192"/>
      <c r="M127" s="246">
        <v>158.333</v>
      </c>
      <c r="N127" s="245">
        <v>49759.838000000003</v>
      </c>
      <c r="O127" s="244">
        <v>1632.11</v>
      </c>
      <c r="P127" s="245"/>
      <c r="Q127" s="244"/>
      <c r="R127" s="199"/>
      <c r="S127" s="199"/>
      <c r="T127" s="243"/>
      <c r="U127" s="145" t="s">
        <v>272</v>
      </c>
      <c r="V127" s="2"/>
      <c r="W127" s="2"/>
      <c r="X127" s="2"/>
    </row>
    <row r="128" spans="1:24" ht="15" customHeight="1" x14ac:dyDescent="0.25">
      <c r="A128" s="250"/>
      <c r="B128" s="251" t="s">
        <v>282</v>
      </c>
      <c r="C128" s="192"/>
      <c r="D128" s="192"/>
      <c r="E128" s="246"/>
      <c r="F128" s="248"/>
      <c r="G128" s="247"/>
      <c r="H128" s="192"/>
      <c r="I128" s="248"/>
      <c r="J128" s="247"/>
      <c r="K128" s="192"/>
      <c r="L128" s="192"/>
      <c r="M128" s="246"/>
      <c r="N128" s="245"/>
      <c r="O128" s="244"/>
      <c r="P128" s="245"/>
      <c r="Q128" s="244"/>
      <c r="R128" s="199"/>
      <c r="S128" s="199"/>
      <c r="T128" s="243"/>
      <c r="U128" s="145" t="s">
        <v>272</v>
      </c>
      <c r="V128" s="2"/>
      <c r="W128" s="2"/>
      <c r="X128" s="2"/>
    </row>
    <row r="129" spans="1:24" ht="15" customHeight="1" x14ac:dyDescent="0.25">
      <c r="A129" s="250" t="s">
        <v>281</v>
      </c>
      <c r="B129" s="249" t="s">
        <v>280</v>
      </c>
      <c r="C129" s="192"/>
      <c r="D129" s="192"/>
      <c r="E129" s="246"/>
      <c r="F129" s="192"/>
      <c r="G129" s="192"/>
      <c r="H129" s="192"/>
      <c r="I129" s="192"/>
      <c r="J129" s="192"/>
      <c r="K129" s="192"/>
      <c r="L129" s="192"/>
      <c r="M129" s="246">
        <v>429.18299999999999</v>
      </c>
      <c r="N129" s="253">
        <f>SUBTOTAL(9,N130:N131)</f>
        <v>17849.603999999999</v>
      </c>
      <c r="O129" s="252">
        <f>SUBTOTAL(9,O130:O131)</f>
        <v>2485.998</v>
      </c>
      <c r="P129" s="253"/>
      <c r="Q129" s="252"/>
      <c r="R129" s="190"/>
      <c r="S129" s="190"/>
      <c r="T129" s="243"/>
      <c r="U129" s="145" t="s">
        <v>272</v>
      </c>
      <c r="V129" s="2"/>
      <c r="W129" s="2"/>
      <c r="X129" s="2"/>
    </row>
    <row r="130" spans="1:24" ht="15" customHeight="1" x14ac:dyDescent="0.25">
      <c r="A130" s="250"/>
      <c r="B130" s="251" t="s">
        <v>279</v>
      </c>
      <c r="C130" s="192"/>
      <c r="D130" s="192"/>
      <c r="E130" s="246"/>
      <c r="F130" s="248"/>
      <c r="G130" s="247"/>
      <c r="H130" s="192"/>
      <c r="I130" s="248"/>
      <c r="J130" s="247"/>
      <c r="K130" s="192"/>
      <c r="L130" s="192"/>
      <c r="M130" s="246">
        <v>429.18299999999999</v>
      </c>
      <c r="N130" s="245">
        <v>17849.603999999999</v>
      </c>
      <c r="O130" s="244">
        <v>2485.998</v>
      </c>
      <c r="P130" s="245"/>
      <c r="Q130" s="244"/>
      <c r="R130" s="199"/>
      <c r="S130" s="199"/>
      <c r="T130" s="243"/>
      <c r="U130" s="145" t="s">
        <v>272</v>
      </c>
      <c r="V130" s="2"/>
      <c r="W130" s="2"/>
      <c r="X130" s="2"/>
    </row>
    <row r="131" spans="1:24" ht="15" customHeight="1" x14ac:dyDescent="0.25">
      <c r="A131" s="250"/>
      <c r="B131" s="251" t="s">
        <v>278</v>
      </c>
      <c r="C131" s="192"/>
      <c r="D131" s="192"/>
      <c r="E131" s="246"/>
      <c r="F131" s="248"/>
      <c r="G131" s="247"/>
      <c r="H131" s="192"/>
      <c r="I131" s="248"/>
      <c r="J131" s="247"/>
      <c r="K131" s="192"/>
      <c r="L131" s="192"/>
      <c r="M131" s="246"/>
      <c r="N131" s="245"/>
      <c r="O131" s="244"/>
      <c r="P131" s="245"/>
      <c r="Q131" s="244"/>
      <c r="R131" s="199"/>
      <c r="S131" s="199"/>
      <c r="T131" s="243"/>
      <c r="U131" s="145" t="s">
        <v>272</v>
      </c>
      <c r="V131" s="2"/>
      <c r="W131" s="2"/>
      <c r="X131" s="2"/>
    </row>
    <row r="132" spans="1:24" ht="15" customHeight="1" thickBot="1" x14ac:dyDescent="0.3">
      <c r="A132" s="250" t="s">
        <v>277</v>
      </c>
      <c r="B132" s="249" t="s">
        <v>276</v>
      </c>
      <c r="C132" s="192"/>
      <c r="D132" s="192"/>
      <c r="E132" s="246"/>
      <c r="F132" s="248"/>
      <c r="G132" s="247"/>
      <c r="H132" s="192"/>
      <c r="I132" s="248"/>
      <c r="J132" s="247"/>
      <c r="K132" s="192"/>
      <c r="L132" s="192"/>
      <c r="M132" s="246">
        <v>1244.835</v>
      </c>
      <c r="N132" s="245">
        <v>3461.1759999999999</v>
      </c>
      <c r="O132" s="244">
        <v>223.95099999999999</v>
      </c>
      <c r="P132" s="245"/>
      <c r="Q132" s="244"/>
      <c r="R132" s="199"/>
      <c r="S132" s="199" t="str">
        <f>IF(U132="0",(IF(O132="",(IF(Q132&lt;&gt;"",Q132,"")),(IF(Q132="",0-O132,Q132-O132)))),"")</f>
        <v/>
      </c>
      <c r="T132" s="243"/>
      <c r="U132" s="145" t="s">
        <v>272</v>
      </c>
      <c r="V132" s="2"/>
      <c r="W132" s="2"/>
      <c r="X132" s="2"/>
    </row>
    <row r="133" spans="1:24" ht="15" customHeight="1" x14ac:dyDescent="0.25">
      <c r="A133" s="242">
        <v>4</v>
      </c>
      <c r="B133" s="241" t="s">
        <v>275</v>
      </c>
      <c r="C133" s="239"/>
      <c r="D133" s="235">
        <v>27091.394</v>
      </c>
      <c r="E133" s="240"/>
      <c r="F133" s="237">
        <f>F78+SUMIF(B78:B132,"Прирост добычи нефти, в том числе:",F78:F132)-SUMIF(B78:B132,"Потери добычи нефти, в том числе:",F78:F132)</f>
        <v>408376.69</v>
      </c>
      <c r="G133" s="236">
        <f>G78+SUMIF(B78:B132,"Прирост добычи нефти, в том числе:",G78:G132)-SUMIF(B78:B132,"Потери добычи нефти, в том числе:",G78:G132)</f>
        <v>30839.859</v>
      </c>
      <c r="H133" s="239"/>
      <c r="I133" s="237"/>
      <c r="J133" s="236"/>
      <c r="K133" s="239"/>
      <c r="L133" s="235"/>
      <c r="M133" s="238">
        <v>814871.48400000005</v>
      </c>
      <c r="N133" s="237">
        <f>N78+SUMIF(B78:B132,"Прирост добычи нефти, в том числе:",N78:N132)-SUMIF(B78:B132,"Потери добычи нефти, в том числе:",N78:N132)</f>
        <v>12338134.497000001</v>
      </c>
      <c r="O133" s="236">
        <f>O78+SUMIF(B78:B132,"Прирост добычи нефти, в том числе:",O78:O132)-SUMIF(B78:B132,"Потери добычи нефти, в том числе:",O78:O132)</f>
        <v>941805.09200000006</v>
      </c>
      <c r="P133" s="237"/>
      <c r="Q133" s="236"/>
      <c r="R133" s="235"/>
      <c r="S133" s="235"/>
      <c r="T133" s="234"/>
      <c r="U133" s="145" t="s">
        <v>272</v>
      </c>
      <c r="V133" s="2"/>
      <c r="W133" s="2"/>
      <c r="X133" s="2"/>
    </row>
    <row r="134" spans="1:24" ht="15" customHeight="1" x14ac:dyDescent="0.25">
      <c r="A134" s="233">
        <v>31</v>
      </c>
      <c r="B134" s="232" t="s">
        <v>274</v>
      </c>
      <c r="C134" s="225"/>
      <c r="D134" s="229">
        <v>26286.177</v>
      </c>
      <c r="E134" s="228"/>
      <c r="F134" s="231">
        <f>N133/A134</f>
        <v>398004.33861290326</v>
      </c>
      <c r="G134" s="230">
        <f>O133/A134</f>
        <v>30380.809419354842</v>
      </c>
      <c r="H134" s="225"/>
      <c r="I134" s="231"/>
      <c r="J134" s="230"/>
      <c r="K134" s="225"/>
      <c r="L134" s="229"/>
      <c r="M134" s="228"/>
      <c r="N134" s="227"/>
      <c r="O134" s="226"/>
      <c r="P134" s="227"/>
      <c r="Q134" s="226"/>
      <c r="R134" s="225"/>
      <c r="S134" s="225"/>
      <c r="T134" s="224"/>
      <c r="U134" s="145" t="s">
        <v>272</v>
      </c>
      <c r="V134" s="2"/>
      <c r="W134" s="2"/>
      <c r="X134" s="2"/>
    </row>
    <row r="135" spans="1:24" ht="15" customHeight="1" x14ac:dyDescent="0.25">
      <c r="A135" s="223"/>
      <c r="B135" s="222"/>
      <c r="C135" s="221"/>
      <c r="D135" s="221"/>
      <c r="E135" s="220"/>
      <c r="F135" s="219"/>
      <c r="G135" s="218"/>
      <c r="H135" s="217"/>
      <c r="I135" s="219"/>
      <c r="J135" s="218"/>
      <c r="K135" s="217"/>
      <c r="L135" s="217"/>
      <c r="M135" s="220"/>
      <c r="N135" s="219"/>
      <c r="O135" s="218"/>
      <c r="P135" s="219"/>
      <c r="Q135" s="218"/>
      <c r="R135" s="217"/>
      <c r="S135" s="217"/>
      <c r="T135" s="216"/>
      <c r="U135" s="145" t="s">
        <v>272</v>
      </c>
      <c r="V135" s="2"/>
      <c r="W135" s="2"/>
      <c r="X135" s="2"/>
    </row>
    <row r="136" spans="1:24" ht="15" customHeight="1" x14ac:dyDescent="0.25">
      <c r="A136" s="215"/>
      <c r="B136" s="214" t="s">
        <v>273</v>
      </c>
      <c r="C136" s="213"/>
      <c r="D136" s="213"/>
      <c r="E136" s="212"/>
      <c r="F136" s="209"/>
      <c r="G136" s="210">
        <f>G134-D134</f>
        <v>4094.6324193548426</v>
      </c>
      <c r="H136" s="209"/>
      <c r="I136" s="209"/>
      <c r="J136" s="210"/>
      <c r="K136" s="209"/>
      <c r="L136" s="209"/>
      <c r="M136" s="212"/>
      <c r="N136" s="209"/>
      <c r="O136" s="210">
        <f>O133-M133</f>
        <v>126933.60800000001</v>
      </c>
      <c r="P136" s="211"/>
      <c r="Q136" s="210"/>
      <c r="R136" s="209"/>
      <c r="S136" s="209"/>
      <c r="T136" s="208"/>
      <c r="U136" s="145" t="s">
        <v>272</v>
      </c>
      <c r="V136" s="2"/>
      <c r="W136" s="2"/>
      <c r="X136" s="2"/>
    </row>
    <row r="137" spans="1:24" ht="15" customHeight="1" x14ac:dyDescent="0.25">
      <c r="A137" s="188"/>
      <c r="B137" s="206"/>
      <c r="C137" s="186"/>
      <c r="D137" s="186"/>
      <c r="E137" s="195"/>
      <c r="F137" s="3"/>
      <c r="G137" s="3"/>
      <c r="H137" s="3"/>
      <c r="I137" s="3"/>
      <c r="J137" s="187"/>
      <c r="K137" s="3"/>
      <c r="L137" s="187"/>
      <c r="M137" s="198"/>
      <c r="N137" s="3"/>
      <c r="O137" s="207"/>
      <c r="P137" s="3"/>
      <c r="Q137" s="207"/>
      <c r="R137" s="3"/>
      <c r="S137" s="207"/>
      <c r="T137" s="3"/>
      <c r="U137" s="3"/>
      <c r="V137" s="2"/>
      <c r="W137" s="2"/>
      <c r="X137" s="2"/>
    </row>
    <row r="138" spans="1:24" ht="15" customHeight="1" x14ac:dyDescent="0.25">
      <c r="A138" s="188"/>
      <c r="B138" s="206"/>
      <c r="C138" s="186"/>
      <c r="D138" s="186"/>
      <c r="E138" s="204" t="s">
        <v>271</v>
      </c>
      <c r="F138" s="55" t="s">
        <v>1</v>
      </c>
      <c r="G138" s="55" t="s">
        <v>1</v>
      </c>
      <c r="H138" s="205" t="s">
        <v>270</v>
      </c>
      <c r="I138" s="114" t="s">
        <v>1</v>
      </c>
      <c r="J138" s="114" t="s">
        <v>1</v>
      </c>
      <c r="K138" s="3"/>
      <c r="L138" s="186"/>
      <c r="M138" s="198"/>
      <c r="N138" s="3"/>
      <c r="O138" s="204" t="s">
        <v>269</v>
      </c>
      <c r="P138" s="55" t="s">
        <v>1</v>
      </c>
      <c r="Q138" s="55" t="s">
        <v>1</v>
      </c>
      <c r="R138" s="3"/>
      <c r="S138" s="186"/>
      <c r="T138" s="3"/>
      <c r="U138" s="3"/>
      <c r="V138" s="2"/>
      <c r="W138" s="2"/>
      <c r="X138" s="2"/>
    </row>
    <row r="139" spans="1:24" ht="15" customHeight="1" x14ac:dyDescent="0.25">
      <c r="A139" s="186"/>
      <c r="B139" s="203"/>
      <c r="C139" s="186"/>
      <c r="D139" s="186"/>
      <c r="E139" s="202" t="s">
        <v>268</v>
      </c>
      <c r="F139" s="201" t="s">
        <v>267</v>
      </c>
      <c r="G139" s="201" t="s">
        <v>0</v>
      </c>
      <c r="H139" s="201" t="s">
        <v>268</v>
      </c>
      <c r="I139" s="201" t="s">
        <v>267</v>
      </c>
      <c r="J139" s="201" t="s">
        <v>0</v>
      </c>
      <c r="K139" s="3"/>
      <c r="L139" s="186"/>
      <c r="M139" s="198"/>
      <c r="N139" s="3"/>
      <c r="O139" s="202" t="s">
        <v>268</v>
      </c>
      <c r="P139" s="201" t="s">
        <v>267</v>
      </c>
      <c r="Q139" s="201" t="s">
        <v>0</v>
      </c>
      <c r="R139" s="3"/>
      <c r="S139" s="186"/>
      <c r="T139" s="3"/>
      <c r="U139" s="3"/>
      <c r="V139" s="2"/>
      <c r="W139" s="2"/>
      <c r="X139" s="2"/>
    </row>
    <row r="140" spans="1:24" ht="15" customHeight="1" x14ac:dyDescent="0.25">
      <c r="A140" s="197" t="s">
        <v>266</v>
      </c>
      <c r="B140" s="196" t="s">
        <v>265</v>
      </c>
      <c r="C140" s="186"/>
      <c r="D140" s="186"/>
      <c r="E140" s="200">
        <v>74</v>
      </c>
      <c r="F140" s="199">
        <v>8931.0102939097105</v>
      </c>
      <c r="G140" s="199">
        <v>676.10016228612199</v>
      </c>
      <c r="H140" s="199"/>
      <c r="I140" s="199">
        <v>10189.082918190899</v>
      </c>
      <c r="J140" s="199">
        <v>838.865871499788</v>
      </c>
      <c r="K140" s="3"/>
      <c r="L140" s="186"/>
      <c r="M140" s="198"/>
      <c r="N140" s="3"/>
      <c r="O140" s="200"/>
      <c r="P140" s="199"/>
      <c r="Q140" s="199"/>
      <c r="R140" s="3"/>
      <c r="S140" s="186"/>
      <c r="T140" s="3"/>
      <c r="U140" s="3"/>
      <c r="V140" s="2"/>
      <c r="W140" s="2"/>
      <c r="X140" s="2"/>
    </row>
    <row r="141" spans="1:24" ht="15" customHeight="1" x14ac:dyDescent="0.25">
      <c r="A141" s="197" t="s">
        <v>264</v>
      </c>
      <c r="B141" s="196" t="s">
        <v>263</v>
      </c>
      <c r="C141" s="188"/>
      <c r="D141" s="188"/>
      <c r="E141" s="193"/>
      <c r="F141" s="192"/>
      <c r="G141" s="192"/>
      <c r="H141" s="192"/>
      <c r="I141" s="192"/>
      <c r="J141" s="192"/>
      <c r="K141" s="3"/>
      <c r="L141" s="186"/>
      <c r="M141" s="198"/>
      <c r="N141" s="3"/>
      <c r="O141" s="193"/>
      <c r="P141" s="192"/>
      <c r="Q141" s="192"/>
      <c r="R141" s="3"/>
      <c r="S141" s="186"/>
      <c r="T141" s="3"/>
      <c r="U141" s="3"/>
      <c r="V141" s="2"/>
      <c r="W141" s="2"/>
      <c r="X141" s="2"/>
    </row>
    <row r="142" spans="1:24" ht="15" customHeight="1" x14ac:dyDescent="0.25">
      <c r="A142" s="197" t="s">
        <v>262</v>
      </c>
      <c r="B142" s="196" t="s">
        <v>261</v>
      </c>
      <c r="C142" s="195"/>
      <c r="D142" s="194"/>
      <c r="E142" s="193"/>
      <c r="F142" s="192"/>
      <c r="G142" s="192"/>
      <c r="H142" s="192"/>
      <c r="I142" s="192"/>
      <c r="J142" s="192"/>
      <c r="K142" s="3"/>
      <c r="L142" s="186"/>
      <c r="M142" s="187"/>
      <c r="N142" s="3"/>
      <c r="O142" s="193"/>
      <c r="P142" s="192"/>
      <c r="Q142" s="192"/>
      <c r="R142" s="3"/>
      <c r="S142" s="186"/>
      <c r="T142" s="3"/>
      <c r="U142" s="3"/>
      <c r="V142" s="2"/>
      <c r="W142" s="2"/>
      <c r="X142" s="2"/>
    </row>
    <row r="143" spans="1:24" ht="15" customHeight="1" x14ac:dyDescent="0.25">
      <c r="A143" s="189"/>
      <c r="B143" s="188" t="s">
        <v>260</v>
      </c>
      <c r="C143" s="186"/>
      <c r="D143" s="186"/>
      <c r="E143" s="191">
        <f>SUM(E140:E142)</f>
        <v>74</v>
      </c>
      <c r="F143" s="190">
        <v>8931.0102939097105</v>
      </c>
      <c r="G143" s="190">
        <f>SUM(G140:G142)</f>
        <v>676.10016228612199</v>
      </c>
      <c r="H143" s="190">
        <f>SUM(H140:H142)</f>
        <v>0</v>
      </c>
      <c r="I143" s="190">
        <v>10189.082918190899</v>
      </c>
      <c r="J143" s="190">
        <f>SUM(J140:J142)</f>
        <v>838.865871499788</v>
      </c>
      <c r="K143" s="3"/>
      <c r="L143" s="186"/>
      <c r="M143" s="186"/>
      <c r="N143" s="3"/>
      <c r="O143" s="191">
        <f>SUM(O140:O142)</f>
        <v>0</v>
      </c>
      <c r="P143" s="190">
        <v>0</v>
      </c>
      <c r="Q143" s="190">
        <f>SUM(Q140:Q142)</f>
        <v>0</v>
      </c>
      <c r="R143" s="3"/>
      <c r="S143" s="186"/>
      <c r="T143" s="3"/>
      <c r="U143" s="3"/>
      <c r="V143" s="2"/>
      <c r="W143" s="2"/>
      <c r="X143" s="2"/>
    </row>
    <row r="144" spans="1:24" ht="15" customHeight="1" x14ac:dyDescent="0.25">
      <c r="A144" s="189"/>
      <c r="B144" s="188"/>
      <c r="C144" s="186"/>
      <c r="D144" s="186"/>
      <c r="E144" s="187"/>
      <c r="F144" s="3"/>
      <c r="G144" s="187"/>
      <c r="H144" s="187"/>
      <c r="I144" s="3"/>
      <c r="J144" s="187"/>
      <c r="K144" s="3"/>
      <c r="L144" s="186"/>
      <c r="M144" s="186"/>
      <c r="N144" s="3"/>
      <c r="O144" s="187"/>
      <c r="P144" s="3"/>
      <c r="Q144" s="187"/>
      <c r="R144" s="3"/>
      <c r="S144" s="186"/>
      <c r="T144" s="3"/>
      <c r="U144" s="3"/>
      <c r="V144" s="2"/>
      <c r="W144" s="2"/>
      <c r="X144" s="2"/>
    </row>
  </sheetData>
  <mergeCells count="36">
    <mergeCell ref="A1:S1"/>
    <mergeCell ref="A2:S2"/>
    <mergeCell ref="A3:S3"/>
    <mergeCell ref="A4:A6"/>
    <mergeCell ref="B4:B6"/>
    <mergeCell ref="C4:D5"/>
    <mergeCell ref="E4:J4"/>
    <mergeCell ref="K4:L4"/>
    <mergeCell ref="M4:Q4"/>
    <mergeCell ref="R4:S4"/>
    <mergeCell ref="T4:T6"/>
    <mergeCell ref="E5:G5"/>
    <mergeCell ref="H5:J5"/>
    <mergeCell ref="M5:M6"/>
    <mergeCell ref="N5:O5"/>
    <mergeCell ref="P5:Q5"/>
    <mergeCell ref="E67:G67"/>
    <mergeCell ref="H67:J67"/>
    <mergeCell ref="O67:Q67"/>
    <mergeCell ref="A74:S74"/>
    <mergeCell ref="A75:A77"/>
    <mergeCell ref="B75:B77"/>
    <mergeCell ref="C75:D76"/>
    <mergeCell ref="E75:J75"/>
    <mergeCell ref="K75:L75"/>
    <mergeCell ref="M75:Q75"/>
    <mergeCell ref="E138:G138"/>
    <mergeCell ref="H138:J138"/>
    <mergeCell ref="O138:Q138"/>
    <mergeCell ref="T75:T77"/>
    <mergeCell ref="E76:G76"/>
    <mergeCell ref="H76:J76"/>
    <mergeCell ref="M76:M77"/>
    <mergeCell ref="N76:O76"/>
    <mergeCell ref="P76:Q76"/>
    <mergeCell ref="R75:S75"/>
  </mergeCells>
  <pageMargins left="0" right="0" top="0" bottom="0" header="0" footer="0"/>
  <pageSetup paperSize="8" scale="45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142"/>
  <sheetViews>
    <sheetView zoomScale="70" zoomScaleNormal="70" workbookViewId="0">
      <pane xSplit="2" ySplit="11" topLeftCell="C78" activePane="bottomRight" state="frozen"/>
      <selection pane="topRight"/>
      <selection pane="bottomLeft"/>
      <selection pane="bottomRight" activeCell="V38" activeCellId="2" sqref="V26 V34:W34 V38"/>
    </sheetView>
  </sheetViews>
  <sheetFormatPr defaultRowHeight="15" x14ac:dyDescent="0.25"/>
  <cols>
    <col min="1" max="1" width="4.140625" style="1" customWidth="1"/>
    <col min="2" max="2" width="14.28515625" style="1" customWidth="1"/>
    <col min="3" max="18" width="8.5703125" style="1" customWidth="1"/>
    <col min="19" max="19" width="8.7109375" style="1" customWidth="1"/>
    <col min="20" max="20" width="9.140625" style="1" customWidth="1"/>
    <col min="21" max="21" width="9.85546875" style="1" customWidth="1"/>
    <col min="22" max="31" width="8.5703125" style="1" customWidth="1"/>
    <col min="32" max="32" width="11.28515625" style="1" customWidth="1"/>
    <col min="33" max="33" width="9" style="1" customWidth="1"/>
    <col min="34" max="91" width="8.5703125" style="1" customWidth="1"/>
    <col min="92" max="92" width="11.28515625" style="1" customWidth="1"/>
    <col min="93" max="93" width="9" style="1" customWidth="1"/>
    <col min="94" max="94" width="5.7109375" style="1" customWidth="1"/>
    <col min="95" max="16384" width="9.140625" style="1"/>
  </cols>
  <sheetData>
    <row r="1" spans="1:94" ht="18.75" customHeight="1" x14ac:dyDescent="0.25">
      <c r="A1" s="145" t="s">
        <v>205</v>
      </c>
      <c r="B1" s="3"/>
      <c r="C1" s="144" t="s">
        <v>204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6" t="s">
        <v>1</v>
      </c>
      <c r="M1" s="6" t="s">
        <v>1</v>
      </c>
      <c r="N1" s="6" t="s">
        <v>1</v>
      </c>
      <c r="O1" s="6" t="s">
        <v>1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</row>
    <row r="2" spans="1:94" ht="34.5" customHeight="1" x14ac:dyDescent="0.25">
      <c r="A2" s="3"/>
      <c r="B2" s="3"/>
      <c r="C2" s="143" t="s">
        <v>203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  <c r="W2" s="6" t="s">
        <v>1</v>
      </c>
      <c r="X2" s="6" t="s">
        <v>1</v>
      </c>
      <c r="Y2" s="6" t="s">
        <v>1</v>
      </c>
      <c r="Z2" s="6" t="s">
        <v>1</v>
      </c>
      <c r="AA2" s="6" t="s">
        <v>1</v>
      </c>
      <c r="AB2" s="6" t="s">
        <v>1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ht="22.5" customHeight="1" x14ac:dyDescent="0.3">
      <c r="A3" s="3"/>
      <c r="B3" s="142"/>
      <c r="C3" s="141" t="s">
        <v>202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140" t="s">
        <v>201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ht="20.25" customHeight="1" x14ac:dyDescent="0.25">
      <c r="A4" s="139" t="s">
        <v>200</v>
      </c>
      <c r="B4" s="6" t="s">
        <v>1</v>
      </c>
      <c r="C4" s="138" t="s">
        <v>199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1</v>
      </c>
      <c r="J4" s="55" t="s">
        <v>1</v>
      </c>
      <c r="K4" s="55" t="s">
        <v>1</v>
      </c>
      <c r="L4" s="55" t="s">
        <v>1</v>
      </c>
      <c r="M4" s="55" t="s">
        <v>1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1</v>
      </c>
      <c r="U4" s="55" t="s">
        <v>1</v>
      </c>
      <c r="V4" s="55" t="s">
        <v>1</v>
      </c>
      <c r="W4" s="55" t="s">
        <v>1</v>
      </c>
      <c r="X4" s="55" t="s">
        <v>1</v>
      </c>
      <c r="Y4" s="55" t="s">
        <v>1</v>
      </c>
      <c r="Z4" s="55" t="s">
        <v>1</v>
      </c>
      <c r="AA4" s="55" t="s">
        <v>1</v>
      </c>
      <c r="AB4" s="55" t="s">
        <v>1</v>
      </c>
      <c r="AC4" s="55" t="s">
        <v>1</v>
      </c>
      <c r="AD4" s="55" t="s">
        <v>1</v>
      </c>
      <c r="AE4" s="55" t="s">
        <v>1</v>
      </c>
      <c r="AF4" s="55" t="s">
        <v>1</v>
      </c>
      <c r="AG4" s="55" t="s">
        <v>1</v>
      </c>
      <c r="AH4" s="55" t="s">
        <v>1</v>
      </c>
      <c r="AI4" s="55" t="s">
        <v>1</v>
      </c>
      <c r="AJ4" s="55" t="s">
        <v>1</v>
      </c>
      <c r="AK4" s="55" t="s">
        <v>1</v>
      </c>
      <c r="AL4" s="55" t="s">
        <v>1</v>
      </c>
      <c r="AM4" s="55" t="s">
        <v>1</v>
      </c>
      <c r="AN4" s="55" t="s">
        <v>1</v>
      </c>
      <c r="AO4" s="55" t="s">
        <v>1</v>
      </c>
      <c r="AP4" s="55" t="s">
        <v>1</v>
      </c>
      <c r="AQ4" s="55" t="s">
        <v>1</v>
      </c>
      <c r="AR4" s="55" t="s">
        <v>1</v>
      </c>
      <c r="AS4" s="55" t="s">
        <v>1</v>
      </c>
      <c r="AT4" s="55" t="s">
        <v>1</v>
      </c>
      <c r="AU4" s="55" t="s">
        <v>1</v>
      </c>
      <c r="AV4" s="55" t="s">
        <v>1</v>
      </c>
      <c r="AW4" s="55" t="s">
        <v>1</v>
      </c>
      <c r="AX4" s="55" t="s">
        <v>1</v>
      </c>
      <c r="AY4" s="55" t="s">
        <v>1</v>
      </c>
      <c r="AZ4" s="137" t="s">
        <v>198</v>
      </c>
      <c r="BA4" s="55" t="s">
        <v>1</v>
      </c>
      <c r="BB4" s="55" t="s">
        <v>1</v>
      </c>
      <c r="BC4" s="55" t="s">
        <v>1</v>
      </c>
      <c r="BD4" s="55" t="s">
        <v>1</v>
      </c>
      <c r="BE4" s="55" t="s">
        <v>1</v>
      </c>
      <c r="BF4" s="55" t="s">
        <v>1</v>
      </c>
      <c r="BG4" s="55" t="s">
        <v>1</v>
      </c>
      <c r="BH4" s="55" t="s">
        <v>1</v>
      </c>
      <c r="BI4" s="55" t="s">
        <v>1</v>
      </c>
      <c r="BJ4" s="55" t="s">
        <v>1</v>
      </c>
      <c r="BK4" s="55" t="s">
        <v>1</v>
      </c>
      <c r="BL4" s="55" t="s">
        <v>1</v>
      </c>
      <c r="BM4" s="55" t="s">
        <v>1</v>
      </c>
      <c r="BN4" s="55" t="s">
        <v>1</v>
      </c>
      <c r="BO4" s="55" t="s">
        <v>1</v>
      </c>
      <c r="BP4" s="55" t="s">
        <v>1</v>
      </c>
      <c r="BQ4" s="55" t="s">
        <v>1</v>
      </c>
      <c r="BR4" s="55" t="s">
        <v>1</v>
      </c>
      <c r="BS4" s="55" t="s">
        <v>1</v>
      </c>
      <c r="BT4" s="55" t="s">
        <v>1</v>
      </c>
      <c r="BU4" s="55" t="s">
        <v>1</v>
      </c>
      <c r="BV4" s="55" t="s">
        <v>1</v>
      </c>
      <c r="BW4" s="55" t="s">
        <v>1</v>
      </c>
      <c r="BX4" s="55" t="s">
        <v>1</v>
      </c>
      <c r="BY4" s="55" t="s">
        <v>1</v>
      </c>
      <c r="BZ4" s="55" t="s">
        <v>1</v>
      </c>
      <c r="CA4" s="55" t="s">
        <v>1</v>
      </c>
      <c r="CB4" s="55" t="s">
        <v>1</v>
      </c>
      <c r="CC4" s="55" t="s">
        <v>1</v>
      </c>
      <c r="CD4" s="55" t="s">
        <v>1</v>
      </c>
      <c r="CE4" s="55" t="s">
        <v>1</v>
      </c>
      <c r="CF4" s="55" t="s">
        <v>1</v>
      </c>
      <c r="CG4" s="55" t="s">
        <v>1</v>
      </c>
      <c r="CH4" s="55" t="s">
        <v>1</v>
      </c>
      <c r="CI4" s="55" t="s">
        <v>1</v>
      </c>
      <c r="CJ4" s="55" t="s">
        <v>1</v>
      </c>
      <c r="CK4" s="55" t="s">
        <v>1</v>
      </c>
      <c r="CL4" s="55" t="s">
        <v>1</v>
      </c>
      <c r="CM4" s="55" t="s">
        <v>1</v>
      </c>
      <c r="CN4" s="136">
        <v>30554.841</v>
      </c>
      <c r="CO4" s="135">
        <v>676.10016228627501</v>
      </c>
      <c r="CP4" s="3"/>
    </row>
    <row r="5" spans="1:94" ht="18.75" customHeight="1" x14ac:dyDescent="0.25">
      <c r="A5" s="134" t="s">
        <v>197</v>
      </c>
      <c r="B5" s="133" t="s">
        <v>196</v>
      </c>
      <c r="C5" s="132" t="s">
        <v>195</v>
      </c>
      <c r="D5" s="114" t="s">
        <v>1</v>
      </c>
      <c r="E5" s="114" t="s">
        <v>1</v>
      </c>
      <c r="F5" s="114" t="s">
        <v>1</v>
      </c>
      <c r="G5" s="114" t="s">
        <v>1</v>
      </c>
      <c r="H5" s="114" t="s">
        <v>1</v>
      </c>
      <c r="I5" s="114" t="s">
        <v>1</v>
      </c>
      <c r="J5" s="114" t="s">
        <v>1</v>
      </c>
      <c r="K5" s="114" t="s">
        <v>1</v>
      </c>
      <c r="L5" s="114" t="s">
        <v>1</v>
      </c>
      <c r="M5" s="114" t="s">
        <v>1</v>
      </c>
      <c r="N5" s="114" t="s">
        <v>1</v>
      </c>
      <c r="O5" s="114" t="s">
        <v>1</v>
      </c>
      <c r="P5" s="114" t="s">
        <v>1</v>
      </c>
      <c r="Q5" s="114" t="s">
        <v>1</v>
      </c>
      <c r="R5" s="131" t="s">
        <v>191</v>
      </c>
      <c r="S5" s="130" t="s">
        <v>194</v>
      </c>
      <c r="T5" s="121" t="s">
        <v>1</v>
      </c>
      <c r="U5" s="129" t="s">
        <v>191</v>
      </c>
      <c r="V5" s="130" t="s">
        <v>193</v>
      </c>
      <c r="W5" s="121" t="s">
        <v>1</v>
      </c>
      <c r="X5" s="121" t="s">
        <v>1</v>
      </c>
      <c r="Y5" s="129" t="s">
        <v>191</v>
      </c>
      <c r="Z5" s="130" t="s">
        <v>192</v>
      </c>
      <c r="AA5" s="121" t="s">
        <v>1</v>
      </c>
      <c r="AB5" s="121" t="s">
        <v>1</v>
      </c>
      <c r="AC5" s="121" t="s">
        <v>1</v>
      </c>
      <c r="AD5" s="121" t="s">
        <v>1</v>
      </c>
      <c r="AE5" s="121" t="s">
        <v>1</v>
      </c>
      <c r="AF5" s="121" t="s">
        <v>1</v>
      </c>
      <c r="AG5" s="121" t="s">
        <v>1</v>
      </c>
      <c r="AH5" s="121" t="s">
        <v>1</v>
      </c>
      <c r="AI5" s="129" t="s">
        <v>191</v>
      </c>
      <c r="AJ5" s="128" t="s">
        <v>190</v>
      </c>
      <c r="AK5" s="114" t="s">
        <v>1</v>
      </c>
      <c r="AL5" s="114" t="s">
        <v>1</v>
      </c>
      <c r="AM5" s="114" t="s">
        <v>1</v>
      </c>
      <c r="AN5" s="114" t="s">
        <v>1</v>
      </c>
      <c r="AO5" s="114" t="s">
        <v>1</v>
      </c>
      <c r="AP5" s="114" t="s">
        <v>1</v>
      </c>
      <c r="AQ5" s="114" t="s">
        <v>1</v>
      </c>
      <c r="AR5" s="114" t="s">
        <v>1</v>
      </c>
      <c r="AS5" s="114" t="s">
        <v>1</v>
      </c>
      <c r="AT5" s="114" t="s">
        <v>1</v>
      </c>
      <c r="AU5" s="114" t="s">
        <v>1</v>
      </c>
      <c r="AV5" s="114" t="s">
        <v>1</v>
      </c>
      <c r="AW5" s="124" t="s">
        <v>189</v>
      </c>
      <c r="AX5" s="120" t="s">
        <v>188</v>
      </c>
      <c r="AY5" s="55" t="s">
        <v>1</v>
      </c>
      <c r="AZ5" s="127" t="s">
        <v>187</v>
      </c>
      <c r="BA5" s="124" t="s">
        <v>186</v>
      </c>
      <c r="BB5" s="114" t="s">
        <v>1</v>
      </c>
      <c r="BC5" s="114" t="s">
        <v>1</v>
      </c>
      <c r="BD5" s="114" t="s">
        <v>1</v>
      </c>
      <c r="BE5" s="114" t="s">
        <v>1</v>
      </c>
      <c r="BF5" s="114" t="s">
        <v>1</v>
      </c>
      <c r="BG5" s="114" t="s">
        <v>1</v>
      </c>
      <c r="BH5" s="114" t="s">
        <v>1</v>
      </c>
      <c r="BI5" s="114" t="s">
        <v>1</v>
      </c>
      <c r="BJ5" s="114" t="s">
        <v>1</v>
      </c>
      <c r="BK5" s="114" t="s">
        <v>1</v>
      </c>
      <c r="BL5" s="114" t="s">
        <v>1</v>
      </c>
      <c r="BM5" s="114" t="s">
        <v>1</v>
      </c>
      <c r="BN5" s="114" t="s">
        <v>1</v>
      </c>
      <c r="BO5" s="114" t="s">
        <v>1</v>
      </c>
      <c r="BP5" s="114" t="s">
        <v>1</v>
      </c>
      <c r="BQ5" s="114" t="s">
        <v>1</v>
      </c>
      <c r="BR5" s="114" t="s">
        <v>1</v>
      </c>
      <c r="BS5" s="114" t="s">
        <v>1</v>
      </c>
      <c r="BT5" s="114" t="s">
        <v>1</v>
      </c>
      <c r="BU5" s="114" t="s">
        <v>1</v>
      </c>
      <c r="BV5" s="114" t="s">
        <v>1</v>
      </c>
      <c r="BW5" s="124" t="s">
        <v>185</v>
      </c>
      <c r="BX5" s="124" t="s">
        <v>184</v>
      </c>
      <c r="BY5" s="114" t="s">
        <v>1</v>
      </c>
      <c r="BZ5" s="114" t="s">
        <v>1</v>
      </c>
      <c r="CA5" s="114" t="s">
        <v>1</v>
      </c>
      <c r="CB5" s="114" t="s">
        <v>1</v>
      </c>
      <c r="CC5" s="114" t="s">
        <v>1</v>
      </c>
      <c r="CD5" s="114" t="s">
        <v>1</v>
      </c>
      <c r="CE5" s="124" t="s">
        <v>183</v>
      </c>
      <c r="CF5" s="126" t="s">
        <v>182</v>
      </c>
      <c r="CG5" s="114" t="s">
        <v>1</v>
      </c>
      <c r="CH5" s="125" t="s">
        <v>181</v>
      </c>
      <c r="CI5" s="124" t="s">
        <v>180</v>
      </c>
      <c r="CJ5" s="114" t="s">
        <v>1</v>
      </c>
      <c r="CK5" s="114" t="s">
        <v>1</v>
      </c>
      <c r="CL5" s="114" t="s">
        <v>1</v>
      </c>
      <c r="CM5" s="114" t="s">
        <v>1</v>
      </c>
      <c r="CN5" s="124" t="s">
        <v>179</v>
      </c>
      <c r="CO5" s="124" t="s">
        <v>178</v>
      </c>
      <c r="CP5" s="3"/>
    </row>
    <row r="6" spans="1:94" ht="14.25" customHeight="1" x14ac:dyDescent="0.25">
      <c r="A6" s="55" t="s">
        <v>1</v>
      </c>
      <c r="B6" s="114" t="s">
        <v>1</v>
      </c>
      <c r="C6" s="119" t="s">
        <v>177</v>
      </c>
      <c r="D6" s="109" t="s">
        <v>1</v>
      </c>
      <c r="E6" s="109" t="s">
        <v>1</v>
      </c>
      <c r="F6" s="109" t="s">
        <v>1</v>
      </c>
      <c r="G6" s="109" t="s">
        <v>1</v>
      </c>
      <c r="H6" s="119" t="s">
        <v>176</v>
      </c>
      <c r="I6" s="109" t="s">
        <v>1</v>
      </c>
      <c r="J6" s="119" t="s">
        <v>175</v>
      </c>
      <c r="K6" s="109" t="s">
        <v>1</v>
      </c>
      <c r="L6" s="109" t="s">
        <v>1</v>
      </c>
      <c r="M6" s="109" t="s">
        <v>1</v>
      </c>
      <c r="N6" s="119" t="s">
        <v>174</v>
      </c>
      <c r="O6" s="109" t="s">
        <v>1</v>
      </c>
      <c r="P6" s="109" t="s">
        <v>1</v>
      </c>
      <c r="Q6" s="123" t="s">
        <v>163</v>
      </c>
      <c r="R6" s="55" t="s">
        <v>1</v>
      </c>
      <c r="S6" s="121" t="s">
        <v>1</v>
      </c>
      <c r="T6" s="121" t="s">
        <v>1</v>
      </c>
      <c r="U6" s="55" t="s">
        <v>1</v>
      </c>
      <c r="V6" s="121" t="s">
        <v>1</v>
      </c>
      <c r="W6" s="121" t="s">
        <v>1</v>
      </c>
      <c r="X6" s="121" t="s">
        <v>1</v>
      </c>
      <c r="Y6" s="55" t="s">
        <v>1</v>
      </c>
      <c r="Z6" s="121" t="s">
        <v>1</v>
      </c>
      <c r="AA6" s="121" t="s">
        <v>1</v>
      </c>
      <c r="AB6" s="121" t="s">
        <v>1</v>
      </c>
      <c r="AC6" s="121" t="s">
        <v>1</v>
      </c>
      <c r="AD6" s="121" t="s">
        <v>1</v>
      </c>
      <c r="AE6" s="121" t="s">
        <v>1</v>
      </c>
      <c r="AF6" s="121" t="s">
        <v>1</v>
      </c>
      <c r="AG6" s="121" t="s">
        <v>1</v>
      </c>
      <c r="AH6" s="121" t="s">
        <v>1</v>
      </c>
      <c r="AI6" s="55" t="s">
        <v>1</v>
      </c>
      <c r="AJ6" s="119" t="s">
        <v>173</v>
      </c>
      <c r="AK6" s="109" t="s">
        <v>1</v>
      </c>
      <c r="AL6" s="109" t="s">
        <v>1</v>
      </c>
      <c r="AM6" s="119" t="s">
        <v>172</v>
      </c>
      <c r="AN6" s="109" t="s">
        <v>1</v>
      </c>
      <c r="AO6" s="109" t="s">
        <v>1</v>
      </c>
      <c r="AP6" s="109" t="s">
        <v>1</v>
      </c>
      <c r="AQ6" s="109" t="s">
        <v>1</v>
      </c>
      <c r="AR6" s="109" t="s">
        <v>1</v>
      </c>
      <c r="AS6" s="109" t="s">
        <v>1</v>
      </c>
      <c r="AT6" s="109" t="s">
        <v>1</v>
      </c>
      <c r="AU6" s="109" t="s">
        <v>1</v>
      </c>
      <c r="AV6" s="119" t="s">
        <v>163</v>
      </c>
      <c r="AW6" s="114" t="s">
        <v>1</v>
      </c>
      <c r="AX6" s="55" t="s">
        <v>1</v>
      </c>
      <c r="AY6" s="55" t="s">
        <v>1</v>
      </c>
      <c r="AZ6" s="114" t="s">
        <v>1</v>
      </c>
      <c r="BA6" s="114" t="s">
        <v>1</v>
      </c>
      <c r="BB6" s="114" t="s">
        <v>1</v>
      </c>
      <c r="BC6" s="114" t="s">
        <v>1</v>
      </c>
      <c r="BD6" s="114" t="s">
        <v>1</v>
      </c>
      <c r="BE6" s="114" t="s">
        <v>1</v>
      </c>
      <c r="BF6" s="114" t="s">
        <v>1</v>
      </c>
      <c r="BG6" s="114" t="s">
        <v>1</v>
      </c>
      <c r="BH6" s="114" t="s">
        <v>1</v>
      </c>
      <c r="BI6" s="114" t="s">
        <v>1</v>
      </c>
      <c r="BJ6" s="114" t="s">
        <v>1</v>
      </c>
      <c r="BK6" s="114" t="s">
        <v>1</v>
      </c>
      <c r="BL6" s="114" t="s">
        <v>1</v>
      </c>
      <c r="BM6" s="114" t="s">
        <v>1</v>
      </c>
      <c r="BN6" s="114" t="s">
        <v>1</v>
      </c>
      <c r="BO6" s="114" t="s">
        <v>1</v>
      </c>
      <c r="BP6" s="114" t="s">
        <v>1</v>
      </c>
      <c r="BQ6" s="114" t="s">
        <v>1</v>
      </c>
      <c r="BR6" s="114" t="s">
        <v>1</v>
      </c>
      <c r="BS6" s="114" t="s">
        <v>1</v>
      </c>
      <c r="BT6" s="114" t="s">
        <v>1</v>
      </c>
      <c r="BU6" s="114" t="s">
        <v>1</v>
      </c>
      <c r="BV6" s="114" t="s">
        <v>1</v>
      </c>
      <c r="BW6" s="114" t="s">
        <v>1</v>
      </c>
      <c r="BX6" s="114" t="s">
        <v>1</v>
      </c>
      <c r="BY6" s="114" t="s">
        <v>1</v>
      </c>
      <c r="BZ6" s="114" t="s">
        <v>1</v>
      </c>
      <c r="CA6" s="114" t="s">
        <v>1</v>
      </c>
      <c r="CB6" s="114" t="s">
        <v>1</v>
      </c>
      <c r="CC6" s="114" t="s">
        <v>1</v>
      </c>
      <c r="CD6" s="114" t="s">
        <v>1</v>
      </c>
      <c r="CE6" s="114" t="s">
        <v>1</v>
      </c>
      <c r="CF6" s="114" t="s">
        <v>1</v>
      </c>
      <c r="CG6" s="114" t="s">
        <v>1</v>
      </c>
      <c r="CH6" s="114" t="s">
        <v>1</v>
      </c>
      <c r="CI6" s="122">
        <f>SUBTOTAL(9,CI$14:CI$134)</f>
        <v>267.39999999999998</v>
      </c>
      <c r="CJ6" s="122">
        <f>SUBTOTAL(9,CJ$14:CJ$134)</f>
        <v>2485.9978938143822</v>
      </c>
      <c r="CK6" s="122">
        <f>SUBTOTAL(9,CK$14:CK$134)</f>
        <v>1632.1102288499781</v>
      </c>
      <c r="CL6" s="122">
        <f>SUBTOTAL(9,CL$14:CL$134)</f>
        <v>223.95143656689848</v>
      </c>
      <c r="CM6" s="122">
        <f>SUM(CI6:CL6)</f>
        <v>4609.4595592312589</v>
      </c>
      <c r="CN6" s="114" t="s">
        <v>1</v>
      </c>
      <c r="CO6" s="114" t="s">
        <v>1</v>
      </c>
      <c r="CP6" s="3"/>
    </row>
    <row r="7" spans="1:94" ht="11.25" customHeight="1" x14ac:dyDescent="0.25">
      <c r="A7" s="55" t="s">
        <v>1</v>
      </c>
      <c r="B7" s="114" t="s">
        <v>1</v>
      </c>
      <c r="C7" s="109" t="s">
        <v>1</v>
      </c>
      <c r="D7" s="109" t="s">
        <v>1</v>
      </c>
      <c r="E7" s="109" t="s">
        <v>1</v>
      </c>
      <c r="F7" s="109" t="s">
        <v>1</v>
      </c>
      <c r="G7" s="109" t="s">
        <v>1</v>
      </c>
      <c r="H7" s="109" t="s">
        <v>1</v>
      </c>
      <c r="I7" s="109" t="s">
        <v>1</v>
      </c>
      <c r="J7" s="109" t="s">
        <v>1</v>
      </c>
      <c r="K7" s="109" t="s">
        <v>1</v>
      </c>
      <c r="L7" s="109" t="s">
        <v>1</v>
      </c>
      <c r="M7" s="109" t="s">
        <v>1</v>
      </c>
      <c r="N7" s="109" t="s">
        <v>1</v>
      </c>
      <c r="O7" s="109" t="s">
        <v>1</v>
      </c>
      <c r="P7" s="109" t="s">
        <v>1</v>
      </c>
      <c r="Q7" s="55" t="s">
        <v>1</v>
      </c>
      <c r="R7" s="55" t="s">
        <v>1</v>
      </c>
      <c r="S7" s="121" t="s">
        <v>1</v>
      </c>
      <c r="T7" s="121" t="s">
        <v>1</v>
      </c>
      <c r="U7" s="55" t="s">
        <v>1</v>
      </c>
      <c r="V7" s="121" t="s">
        <v>1</v>
      </c>
      <c r="W7" s="121" t="s">
        <v>1</v>
      </c>
      <c r="X7" s="121" t="s">
        <v>1</v>
      </c>
      <c r="Y7" s="55" t="s">
        <v>1</v>
      </c>
      <c r="Z7" s="121" t="s">
        <v>1</v>
      </c>
      <c r="AA7" s="121" t="s">
        <v>1</v>
      </c>
      <c r="AB7" s="121" t="s">
        <v>1</v>
      </c>
      <c r="AC7" s="121" t="s">
        <v>1</v>
      </c>
      <c r="AD7" s="121" t="s">
        <v>1</v>
      </c>
      <c r="AE7" s="121" t="s">
        <v>1</v>
      </c>
      <c r="AF7" s="121" t="s">
        <v>1</v>
      </c>
      <c r="AG7" s="121" t="s">
        <v>1</v>
      </c>
      <c r="AH7" s="121" t="s">
        <v>1</v>
      </c>
      <c r="AI7" s="55" t="s">
        <v>1</v>
      </c>
      <c r="AJ7" s="109" t="s">
        <v>1</v>
      </c>
      <c r="AK7" s="109" t="s">
        <v>1</v>
      </c>
      <c r="AL7" s="109" t="s">
        <v>1</v>
      </c>
      <c r="AM7" s="109" t="s">
        <v>1</v>
      </c>
      <c r="AN7" s="109" t="s">
        <v>1</v>
      </c>
      <c r="AO7" s="109" t="s">
        <v>1</v>
      </c>
      <c r="AP7" s="109" t="s">
        <v>1</v>
      </c>
      <c r="AQ7" s="109" t="s">
        <v>1</v>
      </c>
      <c r="AR7" s="109" t="s">
        <v>1</v>
      </c>
      <c r="AS7" s="109" t="s">
        <v>1</v>
      </c>
      <c r="AT7" s="109" t="s">
        <v>1</v>
      </c>
      <c r="AU7" s="109" t="s">
        <v>1</v>
      </c>
      <c r="AV7" s="109" t="s">
        <v>1</v>
      </c>
      <c r="AW7" s="114" t="s">
        <v>1</v>
      </c>
      <c r="AX7" s="120" t="s">
        <v>171</v>
      </c>
      <c r="AY7" s="120" t="s">
        <v>170</v>
      </c>
      <c r="AZ7" s="114" t="s">
        <v>1</v>
      </c>
      <c r="BA7" s="114" t="s">
        <v>1</v>
      </c>
      <c r="BB7" s="114" t="s">
        <v>1</v>
      </c>
      <c r="BC7" s="114" t="s">
        <v>1</v>
      </c>
      <c r="BD7" s="114" t="s">
        <v>1</v>
      </c>
      <c r="BE7" s="114" t="s">
        <v>1</v>
      </c>
      <c r="BF7" s="114" t="s">
        <v>1</v>
      </c>
      <c r="BG7" s="114" t="s">
        <v>1</v>
      </c>
      <c r="BH7" s="114" t="s">
        <v>1</v>
      </c>
      <c r="BI7" s="114" t="s">
        <v>1</v>
      </c>
      <c r="BJ7" s="114" t="s">
        <v>1</v>
      </c>
      <c r="BK7" s="114" t="s">
        <v>1</v>
      </c>
      <c r="BL7" s="114" t="s">
        <v>1</v>
      </c>
      <c r="BM7" s="114" t="s">
        <v>1</v>
      </c>
      <c r="BN7" s="114" t="s">
        <v>1</v>
      </c>
      <c r="BO7" s="114" t="s">
        <v>1</v>
      </c>
      <c r="BP7" s="114" t="s">
        <v>1</v>
      </c>
      <c r="BQ7" s="114" t="s">
        <v>1</v>
      </c>
      <c r="BR7" s="114" t="s">
        <v>1</v>
      </c>
      <c r="BS7" s="114" t="s">
        <v>1</v>
      </c>
      <c r="BT7" s="114" t="s">
        <v>1</v>
      </c>
      <c r="BU7" s="114" t="s">
        <v>1</v>
      </c>
      <c r="BV7" s="114" t="s">
        <v>1</v>
      </c>
      <c r="BW7" s="114" t="s">
        <v>1</v>
      </c>
      <c r="BX7" s="114" t="s">
        <v>1</v>
      </c>
      <c r="BY7" s="114" t="s">
        <v>1</v>
      </c>
      <c r="BZ7" s="114" t="s">
        <v>1</v>
      </c>
      <c r="CA7" s="114" t="s">
        <v>1</v>
      </c>
      <c r="CB7" s="114" t="s">
        <v>1</v>
      </c>
      <c r="CC7" s="114" t="s">
        <v>1</v>
      </c>
      <c r="CD7" s="114" t="s">
        <v>1</v>
      </c>
      <c r="CE7" s="114" t="s">
        <v>1</v>
      </c>
      <c r="CF7" s="120" t="s">
        <v>169</v>
      </c>
      <c r="CG7" s="120" t="s">
        <v>168</v>
      </c>
      <c r="CH7" s="114" t="s">
        <v>1</v>
      </c>
      <c r="CI7" s="119" t="s">
        <v>167</v>
      </c>
      <c r="CJ7" s="119" t="s">
        <v>166</v>
      </c>
      <c r="CK7" s="119" t="s">
        <v>165</v>
      </c>
      <c r="CL7" s="119" t="s">
        <v>164</v>
      </c>
      <c r="CM7" s="119" t="s">
        <v>163</v>
      </c>
      <c r="CN7" s="114" t="s">
        <v>1</v>
      </c>
      <c r="CO7" s="114" t="s">
        <v>1</v>
      </c>
      <c r="CP7" s="3"/>
    </row>
    <row r="8" spans="1:94" ht="11.25" customHeight="1" x14ac:dyDescent="0.25">
      <c r="A8" s="55" t="s">
        <v>1</v>
      </c>
      <c r="B8" s="114" t="s">
        <v>1</v>
      </c>
      <c r="C8" s="117" t="s">
        <v>162</v>
      </c>
      <c r="D8" s="117" t="s">
        <v>162</v>
      </c>
      <c r="E8" s="117" t="s">
        <v>162</v>
      </c>
      <c r="F8" s="117" t="s">
        <v>162</v>
      </c>
      <c r="G8" s="117" t="s">
        <v>160</v>
      </c>
      <c r="H8" s="117" t="s">
        <v>162</v>
      </c>
      <c r="I8" s="117" t="s">
        <v>160</v>
      </c>
      <c r="J8" s="117" t="s">
        <v>162</v>
      </c>
      <c r="K8" s="117" t="s">
        <v>162</v>
      </c>
      <c r="L8" s="117" t="s">
        <v>162</v>
      </c>
      <c r="M8" s="117" t="s">
        <v>160</v>
      </c>
      <c r="N8" s="117" t="s">
        <v>162</v>
      </c>
      <c r="O8" s="117" t="s">
        <v>162</v>
      </c>
      <c r="P8" s="117" t="s">
        <v>160</v>
      </c>
      <c r="Q8" s="55" t="s">
        <v>1</v>
      </c>
      <c r="R8" s="55" t="s">
        <v>1</v>
      </c>
      <c r="S8" s="118" t="s">
        <v>162</v>
      </c>
      <c r="T8" s="118" t="s">
        <v>160</v>
      </c>
      <c r="U8" s="55" t="s">
        <v>1</v>
      </c>
      <c r="V8" s="118" t="s">
        <v>162</v>
      </c>
      <c r="W8" s="118" t="s">
        <v>162</v>
      </c>
      <c r="X8" s="118" t="s">
        <v>160</v>
      </c>
      <c r="Y8" s="55" t="s">
        <v>1</v>
      </c>
      <c r="Z8" s="118" t="s">
        <v>162</v>
      </c>
      <c r="AA8" s="118" t="s">
        <v>162</v>
      </c>
      <c r="AB8" s="118" t="s">
        <v>162</v>
      </c>
      <c r="AC8" s="118" t="s">
        <v>162</v>
      </c>
      <c r="AD8" s="118" t="s">
        <v>162</v>
      </c>
      <c r="AE8" s="118" t="s">
        <v>162</v>
      </c>
      <c r="AF8" s="118" t="s">
        <v>162</v>
      </c>
      <c r="AG8" s="118" t="s">
        <v>162</v>
      </c>
      <c r="AH8" s="118" t="s">
        <v>160</v>
      </c>
      <c r="AI8" s="55" t="s">
        <v>1</v>
      </c>
      <c r="AJ8" s="117" t="s">
        <v>162</v>
      </c>
      <c r="AK8" s="117" t="s">
        <v>162</v>
      </c>
      <c r="AL8" s="117"/>
      <c r="AM8" s="117" t="s">
        <v>162</v>
      </c>
      <c r="AN8" s="117" t="s">
        <v>162</v>
      </c>
      <c r="AO8" s="117" t="s">
        <v>162</v>
      </c>
      <c r="AP8" s="117" t="s">
        <v>162</v>
      </c>
      <c r="AQ8" s="117" t="s">
        <v>162</v>
      </c>
      <c r="AR8" s="117" t="s">
        <v>162</v>
      </c>
      <c r="AS8" s="117" t="s">
        <v>162</v>
      </c>
      <c r="AT8" s="117" t="s">
        <v>162</v>
      </c>
      <c r="AU8" s="117"/>
      <c r="AV8" s="109" t="s">
        <v>1</v>
      </c>
      <c r="AW8" s="114" t="s">
        <v>1</v>
      </c>
      <c r="AX8" s="55" t="s">
        <v>1</v>
      </c>
      <c r="AY8" s="55" t="s">
        <v>1</v>
      </c>
      <c r="AZ8" s="114" t="s">
        <v>1</v>
      </c>
      <c r="BA8" s="117" t="s">
        <v>162</v>
      </c>
      <c r="BB8" s="117" t="s">
        <v>162</v>
      </c>
      <c r="BC8" s="117" t="s">
        <v>162</v>
      </c>
      <c r="BD8" s="117" t="s">
        <v>162</v>
      </c>
      <c r="BE8" s="117" t="s">
        <v>162</v>
      </c>
      <c r="BF8" s="117" t="s">
        <v>162</v>
      </c>
      <c r="BG8" s="117" t="s">
        <v>162</v>
      </c>
      <c r="BH8" s="117" t="s">
        <v>162</v>
      </c>
      <c r="BI8" s="117" t="s">
        <v>162</v>
      </c>
      <c r="BJ8" s="117" t="s">
        <v>162</v>
      </c>
      <c r="BK8" s="117" t="s">
        <v>162</v>
      </c>
      <c r="BL8" s="117" t="s">
        <v>162</v>
      </c>
      <c r="BM8" s="117" t="s">
        <v>162</v>
      </c>
      <c r="BN8" s="117" t="s">
        <v>162</v>
      </c>
      <c r="BO8" s="117" t="s">
        <v>162</v>
      </c>
      <c r="BP8" s="117" t="s">
        <v>162</v>
      </c>
      <c r="BQ8" s="117" t="s">
        <v>162</v>
      </c>
      <c r="BR8" s="117" t="s">
        <v>162</v>
      </c>
      <c r="BS8" s="117" t="s">
        <v>162</v>
      </c>
      <c r="BT8" s="117" t="s">
        <v>162</v>
      </c>
      <c r="BU8" s="117" t="s">
        <v>162</v>
      </c>
      <c r="BV8" s="117"/>
      <c r="BW8" s="114" t="s">
        <v>1</v>
      </c>
      <c r="BX8" s="117" t="s">
        <v>162</v>
      </c>
      <c r="BY8" s="117" t="s">
        <v>162</v>
      </c>
      <c r="BZ8" s="117" t="s">
        <v>162</v>
      </c>
      <c r="CA8" s="117" t="s">
        <v>162</v>
      </c>
      <c r="CB8" s="117" t="s">
        <v>162</v>
      </c>
      <c r="CC8" s="117" t="s">
        <v>162</v>
      </c>
      <c r="CD8" s="117"/>
      <c r="CE8" s="114" t="s">
        <v>1</v>
      </c>
      <c r="CF8" s="55" t="s">
        <v>1</v>
      </c>
      <c r="CG8" s="55" t="s">
        <v>1</v>
      </c>
      <c r="CH8" s="114" t="s">
        <v>1</v>
      </c>
      <c r="CI8" s="109" t="s">
        <v>1</v>
      </c>
      <c r="CJ8" s="109" t="s">
        <v>1</v>
      </c>
      <c r="CK8" s="109" t="s">
        <v>1</v>
      </c>
      <c r="CL8" s="109" t="s">
        <v>1</v>
      </c>
      <c r="CM8" s="109" t="s">
        <v>1</v>
      </c>
      <c r="CN8" s="114" t="s">
        <v>1</v>
      </c>
      <c r="CO8" s="114" t="s">
        <v>1</v>
      </c>
      <c r="CP8" s="3"/>
    </row>
    <row r="9" spans="1:94" ht="12.75" customHeight="1" x14ac:dyDescent="0.25">
      <c r="A9" s="55" t="s">
        <v>1</v>
      </c>
      <c r="B9" s="114" t="s">
        <v>1</v>
      </c>
      <c r="C9" s="115" t="s">
        <v>161</v>
      </c>
      <c r="D9" s="115" t="s">
        <v>161</v>
      </c>
      <c r="E9" s="115" t="s">
        <v>161</v>
      </c>
      <c r="F9" s="115" t="s">
        <v>161</v>
      </c>
      <c r="G9" s="115" t="s">
        <v>8</v>
      </c>
      <c r="H9" s="115" t="s">
        <v>161</v>
      </c>
      <c r="I9" s="115" t="s">
        <v>8</v>
      </c>
      <c r="J9" s="115" t="s">
        <v>161</v>
      </c>
      <c r="K9" s="115" t="s">
        <v>161</v>
      </c>
      <c r="L9" s="115" t="s">
        <v>161</v>
      </c>
      <c r="M9" s="115" t="s">
        <v>8</v>
      </c>
      <c r="N9" s="115" t="s">
        <v>161</v>
      </c>
      <c r="O9" s="115" t="s">
        <v>161</v>
      </c>
      <c r="P9" s="115" t="s">
        <v>8</v>
      </c>
      <c r="Q9" s="55" t="s">
        <v>1</v>
      </c>
      <c r="R9" s="55" t="s">
        <v>1</v>
      </c>
      <c r="S9" s="116" t="s">
        <v>160</v>
      </c>
      <c r="T9" s="116" t="s">
        <v>8</v>
      </c>
      <c r="U9" s="55" t="s">
        <v>1</v>
      </c>
      <c r="V9" s="116" t="s">
        <v>160</v>
      </c>
      <c r="W9" s="116" t="s">
        <v>160</v>
      </c>
      <c r="X9" s="116" t="s">
        <v>8</v>
      </c>
      <c r="Y9" s="55" t="s">
        <v>1</v>
      </c>
      <c r="Z9" s="116" t="s">
        <v>160</v>
      </c>
      <c r="AA9" s="116" t="s">
        <v>160</v>
      </c>
      <c r="AB9" s="116" t="s">
        <v>160</v>
      </c>
      <c r="AC9" s="116" t="s">
        <v>160</v>
      </c>
      <c r="AD9" s="116" t="s">
        <v>160</v>
      </c>
      <c r="AE9" s="116" t="s">
        <v>160</v>
      </c>
      <c r="AF9" s="116" t="s">
        <v>160</v>
      </c>
      <c r="AG9" s="116" t="s">
        <v>160</v>
      </c>
      <c r="AH9" s="116" t="s">
        <v>8</v>
      </c>
      <c r="AI9" s="55" t="s">
        <v>1</v>
      </c>
      <c r="AJ9" s="115" t="s">
        <v>160</v>
      </c>
      <c r="AK9" s="115" t="s">
        <v>160</v>
      </c>
      <c r="AL9" s="115"/>
      <c r="AM9" s="115" t="s">
        <v>160</v>
      </c>
      <c r="AN9" s="115" t="s">
        <v>160</v>
      </c>
      <c r="AO9" s="115" t="s">
        <v>160</v>
      </c>
      <c r="AP9" s="115" t="s">
        <v>160</v>
      </c>
      <c r="AQ9" s="115" t="s">
        <v>160</v>
      </c>
      <c r="AR9" s="115" t="s">
        <v>160</v>
      </c>
      <c r="AS9" s="115" t="s">
        <v>160</v>
      </c>
      <c r="AT9" s="115" t="s">
        <v>160</v>
      </c>
      <c r="AU9" s="115"/>
      <c r="AV9" s="109" t="s">
        <v>1</v>
      </c>
      <c r="AW9" s="114" t="s">
        <v>1</v>
      </c>
      <c r="AX9" s="55" t="s">
        <v>1</v>
      </c>
      <c r="AY9" s="55" t="s">
        <v>1</v>
      </c>
      <c r="AZ9" s="114" t="s">
        <v>1</v>
      </c>
      <c r="BA9" s="115" t="s">
        <v>160</v>
      </c>
      <c r="BB9" s="115" t="s">
        <v>160</v>
      </c>
      <c r="BC9" s="115" t="s">
        <v>160</v>
      </c>
      <c r="BD9" s="115" t="s">
        <v>160</v>
      </c>
      <c r="BE9" s="115" t="s">
        <v>160</v>
      </c>
      <c r="BF9" s="115" t="s">
        <v>160</v>
      </c>
      <c r="BG9" s="115" t="s">
        <v>160</v>
      </c>
      <c r="BH9" s="115" t="s">
        <v>160</v>
      </c>
      <c r="BI9" s="115" t="s">
        <v>160</v>
      </c>
      <c r="BJ9" s="115" t="s">
        <v>160</v>
      </c>
      <c r="BK9" s="115" t="s">
        <v>160</v>
      </c>
      <c r="BL9" s="115" t="s">
        <v>160</v>
      </c>
      <c r="BM9" s="115" t="s">
        <v>160</v>
      </c>
      <c r="BN9" s="115" t="s">
        <v>160</v>
      </c>
      <c r="BO9" s="115" t="s">
        <v>160</v>
      </c>
      <c r="BP9" s="115" t="s">
        <v>160</v>
      </c>
      <c r="BQ9" s="115" t="s">
        <v>160</v>
      </c>
      <c r="BR9" s="115" t="s">
        <v>160</v>
      </c>
      <c r="BS9" s="115" t="s">
        <v>160</v>
      </c>
      <c r="BT9" s="115" t="s">
        <v>160</v>
      </c>
      <c r="BU9" s="115" t="s">
        <v>160</v>
      </c>
      <c r="BV9" s="115"/>
      <c r="BW9" s="114" t="s">
        <v>1</v>
      </c>
      <c r="BX9" s="115" t="s">
        <v>160</v>
      </c>
      <c r="BY9" s="115" t="s">
        <v>160</v>
      </c>
      <c r="BZ9" s="115" t="s">
        <v>160</v>
      </c>
      <c r="CA9" s="115" t="s">
        <v>160</v>
      </c>
      <c r="CB9" s="115" t="s">
        <v>160</v>
      </c>
      <c r="CC9" s="115" t="s">
        <v>160</v>
      </c>
      <c r="CD9" s="115"/>
      <c r="CE9" s="114" t="s">
        <v>1</v>
      </c>
      <c r="CF9" s="55" t="s">
        <v>1</v>
      </c>
      <c r="CG9" s="55" t="s">
        <v>1</v>
      </c>
      <c r="CH9" s="114" t="s">
        <v>1</v>
      </c>
      <c r="CI9" s="109" t="s">
        <v>1</v>
      </c>
      <c r="CJ9" s="109" t="s">
        <v>1</v>
      </c>
      <c r="CK9" s="109" t="s">
        <v>1</v>
      </c>
      <c r="CL9" s="109" t="s">
        <v>1</v>
      </c>
      <c r="CM9" s="109" t="s">
        <v>1</v>
      </c>
      <c r="CN9" s="114" t="s">
        <v>1</v>
      </c>
      <c r="CO9" s="114" t="s">
        <v>1</v>
      </c>
      <c r="CP9" s="3"/>
    </row>
    <row r="10" spans="1:94" ht="17.25" customHeight="1" x14ac:dyDescent="0.25">
      <c r="A10" s="113">
        <v>1</v>
      </c>
      <c r="B10" s="108">
        <v>2</v>
      </c>
      <c r="C10" s="110">
        <v>3</v>
      </c>
      <c r="D10" s="109" t="s">
        <v>1</v>
      </c>
      <c r="E10" s="109" t="s">
        <v>1</v>
      </c>
      <c r="F10" s="109" t="s">
        <v>1</v>
      </c>
      <c r="G10" s="109" t="s">
        <v>1</v>
      </c>
      <c r="H10" s="110">
        <v>4</v>
      </c>
      <c r="I10" s="109" t="s">
        <v>1</v>
      </c>
      <c r="J10" s="110">
        <v>5</v>
      </c>
      <c r="K10" s="109" t="s">
        <v>1</v>
      </c>
      <c r="L10" s="109" t="s">
        <v>1</v>
      </c>
      <c r="M10" s="109" t="s">
        <v>1</v>
      </c>
      <c r="N10" s="110">
        <v>6</v>
      </c>
      <c r="O10" s="109" t="s">
        <v>1</v>
      </c>
      <c r="P10" s="109" t="s">
        <v>1</v>
      </c>
      <c r="Q10" s="108">
        <v>7</v>
      </c>
      <c r="R10" s="112">
        <v>8</v>
      </c>
      <c r="S10" s="110">
        <v>9</v>
      </c>
      <c r="T10" s="109" t="s">
        <v>1</v>
      </c>
      <c r="U10" s="108">
        <v>10</v>
      </c>
      <c r="V10" s="110">
        <v>11</v>
      </c>
      <c r="W10" s="109" t="s">
        <v>1</v>
      </c>
      <c r="X10" s="109" t="s">
        <v>1</v>
      </c>
      <c r="Y10" s="108">
        <v>12</v>
      </c>
      <c r="Z10" s="110">
        <v>13</v>
      </c>
      <c r="AA10" s="109" t="s">
        <v>1</v>
      </c>
      <c r="AB10" s="109" t="s">
        <v>1</v>
      </c>
      <c r="AC10" s="109" t="s">
        <v>1</v>
      </c>
      <c r="AD10" s="109" t="s">
        <v>1</v>
      </c>
      <c r="AE10" s="109" t="s">
        <v>1</v>
      </c>
      <c r="AF10" s="109" t="s">
        <v>1</v>
      </c>
      <c r="AG10" s="109" t="s">
        <v>1</v>
      </c>
      <c r="AH10" s="109" t="s">
        <v>1</v>
      </c>
      <c r="AI10" s="108">
        <v>14</v>
      </c>
      <c r="AJ10" s="110">
        <v>15</v>
      </c>
      <c r="AK10" s="109" t="s">
        <v>1</v>
      </c>
      <c r="AL10" s="109" t="s">
        <v>1</v>
      </c>
      <c r="AM10" s="110">
        <v>16</v>
      </c>
      <c r="AN10" s="109" t="s">
        <v>1</v>
      </c>
      <c r="AO10" s="109" t="s">
        <v>1</v>
      </c>
      <c r="AP10" s="109" t="s">
        <v>1</v>
      </c>
      <c r="AQ10" s="109" t="s">
        <v>1</v>
      </c>
      <c r="AR10" s="109" t="s">
        <v>1</v>
      </c>
      <c r="AS10" s="109" t="s">
        <v>1</v>
      </c>
      <c r="AT10" s="109" t="s">
        <v>1</v>
      </c>
      <c r="AU10" s="109" t="s">
        <v>1</v>
      </c>
      <c r="AV10" s="111">
        <v>17</v>
      </c>
      <c r="AW10" s="108">
        <v>18</v>
      </c>
      <c r="AX10" s="108">
        <v>19</v>
      </c>
      <c r="AY10" s="108">
        <v>20</v>
      </c>
      <c r="AZ10" s="108">
        <v>21</v>
      </c>
      <c r="BA10" s="110">
        <v>22</v>
      </c>
      <c r="BB10" s="109" t="s">
        <v>1</v>
      </c>
      <c r="BC10" s="109" t="s">
        <v>1</v>
      </c>
      <c r="BD10" s="109" t="s">
        <v>1</v>
      </c>
      <c r="BE10" s="109" t="s">
        <v>1</v>
      </c>
      <c r="BF10" s="109" t="s">
        <v>1</v>
      </c>
      <c r="BG10" s="109" t="s">
        <v>1</v>
      </c>
      <c r="BH10" s="109" t="s">
        <v>1</v>
      </c>
      <c r="BI10" s="109" t="s">
        <v>1</v>
      </c>
      <c r="BJ10" s="109" t="s">
        <v>1</v>
      </c>
      <c r="BK10" s="109" t="s">
        <v>1</v>
      </c>
      <c r="BL10" s="109" t="s">
        <v>1</v>
      </c>
      <c r="BM10" s="109" t="s">
        <v>1</v>
      </c>
      <c r="BN10" s="109" t="s">
        <v>1</v>
      </c>
      <c r="BO10" s="109" t="s">
        <v>1</v>
      </c>
      <c r="BP10" s="109" t="s">
        <v>1</v>
      </c>
      <c r="BQ10" s="109" t="s">
        <v>1</v>
      </c>
      <c r="BR10" s="109" t="s">
        <v>1</v>
      </c>
      <c r="BS10" s="109" t="s">
        <v>1</v>
      </c>
      <c r="BT10" s="109" t="s">
        <v>1</v>
      </c>
      <c r="BU10" s="109" t="s">
        <v>1</v>
      </c>
      <c r="BV10" s="109" t="s">
        <v>1</v>
      </c>
      <c r="BW10" s="108">
        <v>23</v>
      </c>
      <c r="BX10" s="110">
        <v>23</v>
      </c>
      <c r="BY10" s="109" t="s">
        <v>1</v>
      </c>
      <c r="BZ10" s="109" t="s">
        <v>1</v>
      </c>
      <c r="CA10" s="109" t="s">
        <v>1</v>
      </c>
      <c r="CB10" s="109" t="s">
        <v>1</v>
      </c>
      <c r="CC10" s="109" t="s">
        <v>1</v>
      </c>
      <c r="CD10" s="109" t="s">
        <v>1</v>
      </c>
      <c r="CE10" s="108">
        <v>24</v>
      </c>
      <c r="CF10" s="108">
        <v>25</v>
      </c>
      <c r="CG10" s="108">
        <v>26</v>
      </c>
      <c r="CH10" s="108">
        <v>27</v>
      </c>
      <c r="CI10" s="108">
        <v>28</v>
      </c>
      <c r="CJ10" s="108">
        <v>29</v>
      </c>
      <c r="CK10" s="108">
        <v>30</v>
      </c>
      <c r="CL10" s="108">
        <v>31</v>
      </c>
      <c r="CM10" s="108">
        <v>32</v>
      </c>
      <c r="CN10" s="108">
        <v>33</v>
      </c>
      <c r="CO10" s="108">
        <v>34</v>
      </c>
      <c r="CP10" s="3"/>
    </row>
    <row r="11" spans="1:94" ht="0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</row>
    <row r="12" spans="1:94" ht="11.25" customHeight="1" x14ac:dyDescent="0.25">
      <c r="A12" s="107">
        <v>45352</v>
      </c>
      <c r="B12" s="106" t="s">
        <v>58</v>
      </c>
      <c r="C12" s="103"/>
      <c r="D12" s="103"/>
      <c r="E12" s="103"/>
      <c r="F12" s="103"/>
      <c r="G12" s="100">
        <v>0</v>
      </c>
      <c r="H12" s="103"/>
      <c r="I12" s="100">
        <v>0</v>
      </c>
      <c r="J12" s="103"/>
      <c r="K12" s="103"/>
      <c r="L12" s="103"/>
      <c r="M12" s="100">
        <v>0</v>
      </c>
      <c r="N12" s="103"/>
      <c r="O12" s="103"/>
      <c r="P12" s="100">
        <v>0</v>
      </c>
      <c r="Q12" s="100">
        <v>0</v>
      </c>
      <c r="R12" s="99"/>
      <c r="S12" s="103"/>
      <c r="T12" s="105"/>
      <c r="U12" s="104"/>
      <c r="V12" s="103"/>
      <c r="W12" s="103"/>
      <c r="X12" s="105"/>
      <c r="Y12" s="104"/>
      <c r="Z12" s="103"/>
      <c r="AA12" s="103"/>
      <c r="AB12" s="103"/>
      <c r="AC12" s="103"/>
      <c r="AD12" s="103"/>
      <c r="AE12" s="103"/>
      <c r="AF12" s="103"/>
      <c r="AG12" s="103"/>
      <c r="AH12" s="105"/>
      <c r="AI12" s="104"/>
      <c r="AJ12" s="103"/>
      <c r="AK12" s="103"/>
      <c r="AL12" s="101">
        <v>0</v>
      </c>
      <c r="AM12" s="102"/>
      <c r="AN12" s="103"/>
      <c r="AO12" s="103"/>
      <c r="AP12" s="103"/>
      <c r="AQ12" s="103"/>
      <c r="AR12" s="103"/>
      <c r="AS12" s="103"/>
      <c r="AT12" s="103"/>
      <c r="AU12" s="101">
        <v>0</v>
      </c>
      <c r="AV12" s="100">
        <v>0</v>
      </c>
      <c r="AW12" s="99"/>
      <c r="AX12" s="98"/>
      <c r="AY12" s="98"/>
      <c r="AZ12" s="97"/>
      <c r="BA12" s="95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94"/>
      <c r="BW12" s="96"/>
      <c r="BX12" s="103"/>
      <c r="BY12" s="103"/>
      <c r="BZ12" s="103"/>
      <c r="CA12" s="103"/>
      <c r="CB12" s="103"/>
      <c r="CC12" s="103"/>
      <c r="CD12" s="94"/>
      <c r="CE12" s="94"/>
      <c r="CF12" s="93"/>
      <c r="CG12" s="93"/>
      <c r="CH12" s="92"/>
      <c r="CI12" s="91"/>
      <c r="CJ12" s="91"/>
      <c r="CK12" s="91"/>
      <c r="CL12" s="91"/>
      <c r="CM12" s="90"/>
      <c r="CN12" s="89">
        <f>CN$4+SUMIF($C$5:CM$5,"Нараст. баланс",$C14:CM14)+SUMIF($C$7:CK$7,"Итого (с ВНР)",$C14:CK14)-SUMIF($C$5:CM$5,"Геол. снижение,  т/сут",$C14:CM14)-SUMIF(CL$7:CM$7,"Итого",CL14:CM14)-SUMIF($C$7:CM$7,"Итого (с ВСП)",$C14:CM14)</f>
        <v>30504.841</v>
      </c>
      <c r="CO12" s="88"/>
      <c r="CP12" s="2"/>
    </row>
    <row r="13" spans="1:94" ht="11.25" customHeight="1" x14ac:dyDescent="0.25">
      <c r="A13" s="55" t="s">
        <v>1</v>
      </c>
      <c r="B13" s="87" t="s">
        <v>42</v>
      </c>
      <c r="C13" s="84"/>
      <c r="D13" s="84"/>
      <c r="E13" s="84"/>
      <c r="F13" s="84"/>
      <c r="G13" s="76">
        <v>0</v>
      </c>
      <c r="H13" s="84"/>
      <c r="I13" s="76">
        <v>0</v>
      </c>
      <c r="J13" s="84"/>
      <c r="K13" s="84"/>
      <c r="L13" s="84"/>
      <c r="M13" s="76">
        <v>0</v>
      </c>
      <c r="N13" s="84"/>
      <c r="O13" s="84"/>
      <c r="P13" s="76">
        <v>0</v>
      </c>
      <c r="Q13" s="76">
        <v>0</v>
      </c>
      <c r="R13" s="81"/>
      <c r="S13" s="84"/>
      <c r="T13" s="86">
        <f>SUBTOTAL(9,S15:S15)</f>
        <v>0</v>
      </c>
      <c r="U13" s="85"/>
      <c r="V13" s="84"/>
      <c r="W13" s="84"/>
      <c r="X13" s="86">
        <f>SUBTOTAL(9,V15:W15)</f>
        <v>0</v>
      </c>
      <c r="Y13" s="85"/>
      <c r="Z13" s="84"/>
      <c r="AA13" s="84"/>
      <c r="AB13" s="84"/>
      <c r="AC13" s="84"/>
      <c r="AD13" s="84"/>
      <c r="AE13" s="84"/>
      <c r="AF13" s="84"/>
      <c r="AG13" s="84"/>
      <c r="AH13" s="86">
        <f>SUBTOTAL(9,Z15:AG15)</f>
        <v>0</v>
      </c>
      <c r="AI13" s="85"/>
      <c r="AJ13" s="84"/>
      <c r="AK13" s="84"/>
      <c r="AL13" s="82">
        <f>SUBTOTAL(9,AJ15:AK15)</f>
        <v>0</v>
      </c>
      <c r="AM13" s="83"/>
      <c r="AN13" s="84"/>
      <c r="AO13" s="84"/>
      <c r="AP13" s="84"/>
      <c r="AQ13" s="84"/>
      <c r="AR13" s="84"/>
      <c r="AS13" s="84"/>
      <c r="AT13" s="84"/>
      <c r="AU13" s="82">
        <f>SUBTOTAL(9,AM15:AT15)</f>
        <v>0</v>
      </c>
      <c r="AV13" s="76">
        <f>SUBTOTAL(9,AJ15:AT15)</f>
        <v>0</v>
      </c>
      <c r="AW13" s="81"/>
      <c r="AX13" s="80"/>
      <c r="AY13" s="80"/>
      <c r="AZ13" s="79"/>
      <c r="BA13" s="77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76">
        <f>SUBTOTAL(9,BA15:BU15)</f>
        <v>0</v>
      </c>
      <c r="BW13" s="78"/>
      <c r="BX13" s="84"/>
      <c r="BY13" s="84"/>
      <c r="BZ13" s="84"/>
      <c r="CA13" s="84"/>
      <c r="CB13" s="84"/>
      <c r="CC13" s="84"/>
      <c r="CD13" s="76">
        <f>SUBTOTAL(3,BX13:CC13)</f>
        <v>0</v>
      </c>
      <c r="CE13" s="75"/>
      <c r="CF13" s="74"/>
      <c r="CG13" s="74"/>
      <c r="CH13" s="73"/>
      <c r="CI13" s="72"/>
      <c r="CJ13" s="72"/>
      <c r="CK13" s="72"/>
      <c r="CL13" s="72"/>
      <c r="CM13" s="71"/>
      <c r="CN13" s="55" t="s">
        <v>1</v>
      </c>
      <c r="CO13" s="70"/>
      <c r="CP13" s="2"/>
    </row>
    <row r="14" spans="1:94" ht="11.25" customHeight="1" x14ac:dyDescent="0.25">
      <c r="A14" s="55" t="s">
        <v>1</v>
      </c>
      <c r="B14" s="69" t="s">
        <v>8</v>
      </c>
      <c r="C14" s="66"/>
      <c r="D14" s="66"/>
      <c r="E14" s="66"/>
      <c r="F14" s="66"/>
      <c r="G14" s="56">
        <f>SUBTOTAL(9,C14:F14)</f>
        <v>0</v>
      </c>
      <c r="H14" s="66"/>
      <c r="I14" s="56">
        <f>SUBTOTAL(9,H14:H14)</f>
        <v>0</v>
      </c>
      <c r="J14" s="66"/>
      <c r="K14" s="66"/>
      <c r="L14" s="66"/>
      <c r="M14" s="56">
        <f>SUBTOTAL(9,J14:L14)</f>
        <v>0</v>
      </c>
      <c r="N14" s="66"/>
      <c r="O14" s="66"/>
      <c r="P14" s="56">
        <f>SUBTOTAL(9,N14:O14)</f>
        <v>0</v>
      </c>
      <c r="Q14" s="56">
        <f>SUBTOTAL(9,C14:O14)</f>
        <v>0</v>
      </c>
      <c r="R14" s="64">
        <v>0</v>
      </c>
      <c r="S14" s="66"/>
      <c r="T14" s="68">
        <f>SUBTOTAL(9,S14:S14)</f>
        <v>0</v>
      </c>
      <c r="U14" s="67">
        <f>T14+IF($B10=2,0,U10)</f>
        <v>0</v>
      </c>
      <c r="V14" s="66"/>
      <c r="W14" s="66"/>
      <c r="X14" s="68">
        <f>SUBTOTAL(9,V14:W14)</f>
        <v>0</v>
      </c>
      <c r="Y14" s="67">
        <f>X14+IF($B10=2,0,Y10)</f>
        <v>0</v>
      </c>
      <c r="Z14" s="66"/>
      <c r="AA14" s="66"/>
      <c r="AB14" s="66"/>
      <c r="AC14" s="66"/>
      <c r="AD14" s="66"/>
      <c r="AE14" s="66"/>
      <c r="AF14" s="66"/>
      <c r="AG14" s="66"/>
      <c r="AH14" s="68">
        <f>SUBTOTAL(9,Z14:AG14)</f>
        <v>0</v>
      </c>
      <c r="AI14" s="67">
        <f>AH14+IF($B10=2,0,AI10)</f>
        <v>0</v>
      </c>
      <c r="AJ14" s="66"/>
      <c r="AK14" s="66"/>
      <c r="AL14" s="61">
        <f>SUBTOTAL(9,AJ14:AK14)</f>
        <v>0</v>
      </c>
      <c r="AM14" s="65">
        <v>0</v>
      </c>
      <c r="AN14" s="66"/>
      <c r="AO14" s="66"/>
      <c r="AP14" s="66"/>
      <c r="AQ14" s="66"/>
      <c r="AR14" s="66"/>
      <c r="AS14" s="66"/>
      <c r="AT14" s="66"/>
      <c r="AU14" s="61">
        <f>SUBTOTAL(9,AM14:AT14)</f>
        <v>0</v>
      </c>
      <c r="AV14" s="56">
        <f>SUBTOTAL(9,AJ14:AT14)</f>
        <v>0</v>
      </c>
      <c r="AW14" s="64">
        <f>AV14+IF($B10=2,0,AW10)</f>
        <v>0</v>
      </c>
      <c r="AX14" s="63"/>
      <c r="AY14" s="63"/>
      <c r="AZ14" s="62">
        <v>50</v>
      </c>
      <c r="BA14" s="60">
        <v>0</v>
      </c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56">
        <f>SUBTOTAL(9,BA14:BU14)</f>
        <v>0</v>
      </c>
      <c r="BW14" s="61">
        <f>BV14+IF($B10=2,0,BW10)</f>
        <v>0</v>
      </c>
      <c r="BX14" s="66"/>
      <c r="BY14" s="66"/>
      <c r="BZ14" s="66"/>
      <c r="CA14" s="66"/>
      <c r="CB14" s="66"/>
      <c r="CC14" s="66"/>
      <c r="CD14" s="56">
        <f>SUBTOTAL(9,BX14:CC14)</f>
        <v>0</v>
      </c>
      <c r="CE14" s="56">
        <f>CD14+IF($B10=2,0,CE10)</f>
        <v>0</v>
      </c>
      <c r="CF14" s="59"/>
      <c r="CG14" s="59"/>
      <c r="CH14" s="58">
        <f>SUMIF($C$5:CG$5,"Накопленный эффект, т/сут",$C14:CG14)+SUMIF($C$5:CG$5,"Нараст.  по потенциалу",$C14:CG14)-SUMIF($C$5:CG$5,"Нараст. по остановкам",$C14:CG14)-SUMIF($C$5:CG$5,"ИТОГО перевод в ППД",$C14:CG14)-SUMIF($C$5:CG$5,"ИТОГО  нерент, по распоряж.",$C14:CG14)-SUMIF($C$5:CG$5,"ИТОГО ост. дебит от ЗБС, Углуб., ПВЛГ/ПНЛГ",$C14:CG14)</f>
        <v>0</v>
      </c>
      <c r="CI14" s="57"/>
      <c r="CJ14" s="57"/>
      <c r="CK14" s="57"/>
      <c r="CL14" s="57"/>
      <c r="CM14" s="56">
        <f>SUBTOTAL(9,CI14:CL14)</f>
        <v>0</v>
      </c>
      <c r="CN14" s="55" t="s">
        <v>1</v>
      </c>
      <c r="CO14" s="54">
        <f>CO$4+SUMIF($C$5:CM$5,"Нараст. по остановкам",$C14:CM14)-SUMIF($C$5:CM$5,"Нараст.  по потенциалу",$C14:CM14)</f>
        <v>676.10016228627501</v>
      </c>
      <c r="CP14" s="2"/>
    </row>
    <row r="15" spans="1:94" ht="1.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2"/>
    </row>
    <row r="16" spans="1:94" ht="11.25" customHeight="1" x14ac:dyDescent="0.25">
      <c r="A16" s="107">
        <v>45353</v>
      </c>
      <c r="B16" s="106" t="s">
        <v>58</v>
      </c>
      <c r="C16" s="103"/>
      <c r="D16" s="103"/>
      <c r="E16" s="103"/>
      <c r="F16" s="103"/>
      <c r="G16" s="100">
        <v>0</v>
      </c>
      <c r="H16" s="103"/>
      <c r="I16" s="100">
        <v>0</v>
      </c>
      <c r="J16" s="103"/>
      <c r="K16" s="103"/>
      <c r="L16" s="103"/>
      <c r="M16" s="100">
        <v>0</v>
      </c>
      <c r="N16" s="103"/>
      <c r="O16" s="103"/>
      <c r="P16" s="100">
        <v>0</v>
      </c>
      <c r="Q16" s="100">
        <v>0</v>
      </c>
      <c r="R16" s="99"/>
      <c r="S16" s="103"/>
      <c r="T16" s="105"/>
      <c r="U16" s="104"/>
      <c r="V16" s="103"/>
      <c r="W16" s="103"/>
      <c r="X16" s="105"/>
      <c r="Y16" s="104"/>
      <c r="Z16" s="103"/>
      <c r="AA16" s="103"/>
      <c r="AB16" s="103"/>
      <c r="AC16" s="103"/>
      <c r="AD16" s="103"/>
      <c r="AE16" s="103"/>
      <c r="AF16" s="103"/>
      <c r="AG16" s="103"/>
      <c r="AH16" s="105"/>
      <c r="AI16" s="104"/>
      <c r="AJ16" s="103"/>
      <c r="AK16" s="103"/>
      <c r="AL16" s="101">
        <v>0</v>
      </c>
      <c r="AM16" s="102"/>
      <c r="AN16" s="103"/>
      <c r="AO16" s="103"/>
      <c r="AP16" s="103"/>
      <c r="AQ16" s="103"/>
      <c r="AR16" s="103"/>
      <c r="AS16" s="103"/>
      <c r="AT16" s="103"/>
      <c r="AU16" s="101">
        <v>60</v>
      </c>
      <c r="AV16" s="100">
        <v>60</v>
      </c>
      <c r="AW16" s="99"/>
      <c r="AX16" s="98"/>
      <c r="AY16" s="98"/>
      <c r="AZ16" s="97"/>
      <c r="BA16" s="95" t="s">
        <v>71</v>
      </c>
      <c r="BB16" s="95" t="s">
        <v>50</v>
      </c>
      <c r="BC16" s="95" t="s">
        <v>47</v>
      </c>
      <c r="BD16" s="95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94"/>
      <c r="BW16" s="96"/>
      <c r="BX16" s="103"/>
      <c r="BY16" s="103"/>
      <c r="BZ16" s="103"/>
      <c r="CA16" s="103"/>
      <c r="CB16" s="103"/>
      <c r="CC16" s="103"/>
      <c r="CD16" s="94"/>
      <c r="CE16" s="94"/>
      <c r="CF16" s="93"/>
      <c r="CG16" s="93"/>
      <c r="CH16" s="92"/>
      <c r="CI16" s="91"/>
      <c r="CJ16" s="90"/>
      <c r="CK16" s="91"/>
      <c r="CL16" s="91"/>
      <c r="CM16" s="90"/>
      <c r="CN16" s="89">
        <f>CN$4+SUMIF($C$5:CM$5,"Нараст. баланс",$C18:CM18)+SUMIF($C$7:CK$7,"Итого (с ВНР)",$C18:CK18)-SUMIF($C$5:CM$5,"Геол. снижение,  т/сут",$C18:CM18)-SUMIF(CL$7:CM$7,"Итого",CL18:CM18)-SUMIF($C$7:CM$7,"Итого (с ВСП)",$C18:CM18)</f>
        <v>30375.087850537526</v>
      </c>
      <c r="CO16" s="88"/>
      <c r="CP16" s="2"/>
    </row>
    <row r="17" spans="1:94" ht="11.25" customHeight="1" x14ac:dyDescent="0.25">
      <c r="A17" s="55" t="s">
        <v>1</v>
      </c>
      <c r="B17" s="87" t="s">
        <v>42</v>
      </c>
      <c r="C17" s="84"/>
      <c r="D17" s="84"/>
      <c r="E17" s="84"/>
      <c r="F17" s="84"/>
      <c r="G17" s="76">
        <v>0</v>
      </c>
      <c r="H17" s="84"/>
      <c r="I17" s="76">
        <v>0</v>
      </c>
      <c r="J17" s="84"/>
      <c r="K17" s="84"/>
      <c r="L17" s="84"/>
      <c r="M17" s="76">
        <v>0</v>
      </c>
      <c r="N17" s="84"/>
      <c r="O17" s="84"/>
      <c r="P17" s="76">
        <v>0</v>
      </c>
      <c r="Q17" s="76">
        <v>0</v>
      </c>
      <c r="R17" s="81"/>
      <c r="S17" s="84"/>
      <c r="T17" s="86">
        <f>SUBTOTAL(9,S19:S19)</f>
        <v>0</v>
      </c>
      <c r="U17" s="85"/>
      <c r="V17" s="84"/>
      <c r="W17" s="84"/>
      <c r="X17" s="86">
        <f>SUBTOTAL(9,V19:W19)</f>
        <v>0</v>
      </c>
      <c r="Y17" s="85"/>
      <c r="Z17" s="84"/>
      <c r="AA17" s="84"/>
      <c r="AB17" s="84"/>
      <c r="AC17" s="84"/>
      <c r="AD17" s="84"/>
      <c r="AE17" s="84"/>
      <c r="AF17" s="84"/>
      <c r="AG17" s="84"/>
      <c r="AH17" s="86">
        <f>SUBTOTAL(9,Z19:AG19)</f>
        <v>0</v>
      </c>
      <c r="AI17" s="85"/>
      <c r="AJ17" s="84"/>
      <c r="AK17" s="84"/>
      <c r="AL17" s="82">
        <f>SUBTOTAL(9,AJ19:AK19)</f>
        <v>0</v>
      </c>
      <c r="AM17" s="83"/>
      <c r="AN17" s="84"/>
      <c r="AO17" s="84"/>
      <c r="AP17" s="84"/>
      <c r="AQ17" s="84"/>
      <c r="AR17" s="84"/>
      <c r="AS17" s="84"/>
      <c r="AT17" s="84"/>
      <c r="AU17" s="82">
        <f>SUBTOTAL(9,AM19:AT19)</f>
        <v>0</v>
      </c>
      <c r="AV17" s="76">
        <f>SUBTOTAL(9,AJ19:AT19)</f>
        <v>0</v>
      </c>
      <c r="AW17" s="81"/>
      <c r="AX17" s="80"/>
      <c r="AY17" s="80"/>
      <c r="AZ17" s="79"/>
      <c r="BA17" s="77" t="s">
        <v>64</v>
      </c>
      <c r="BB17" s="77" t="s">
        <v>84</v>
      </c>
      <c r="BC17" s="77" t="s">
        <v>145</v>
      </c>
      <c r="BD17" s="77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76">
        <f>SUBTOTAL(9,BA19:BU19)</f>
        <v>3</v>
      </c>
      <c r="BW17" s="78"/>
      <c r="BX17" s="84"/>
      <c r="BY17" s="84"/>
      <c r="BZ17" s="84"/>
      <c r="CA17" s="84"/>
      <c r="CB17" s="84"/>
      <c r="CC17" s="84"/>
      <c r="CD17" s="76">
        <f>SUBTOTAL(3,BX17:CC17)</f>
        <v>0</v>
      </c>
      <c r="CE17" s="75"/>
      <c r="CF17" s="74"/>
      <c r="CG17" s="74"/>
      <c r="CH17" s="73"/>
      <c r="CI17" s="72"/>
      <c r="CJ17" s="71"/>
      <c r="CK17" s="72"/>
      <c r="CL17" s="72"/>
      <c r="CM17" s="71"/>
      <c r="CN17" s="55" t="s">
        <v>1</v>
      </c>
      <c r="CO17" s="70"/>
      <c r="CP17" s="2"/>
    </row>
    <row r="18" spans="1:94" ht="11.25" customHeight="1" x14ac:dyDescent="0.25">
      <c r="A18" s="55" t="s">
        <v>1</v>
      </c>
      <c r="B18" s="69" t="s">
        <v>8</v>
      </c>
      <c r="C18" s="66"/>
      <c r="D18" s="66"/>
      <c r="E18" s="66"/>
      <c r="F18" s="66"/>
      <c r="G18" s="56">
        <f>SUBTOTAL(9,C18:F18)</f>
        <v>0</v>
      </c>
      <c r="H18" s="66"/>
      <c r="I18" s="56">
        <f>SUBTOTAL(9,H18:H18)</f>
        <v>0</v>
      </c>
      <c r="J18" s="66"/>
      <c r="K18" s="66"/>
      <c r="L18" s="66"/>
      <c r="M18" s="56">
        <f>SUBTOTAL(9,J18:L18)</f>
        <v>0</v>
      </c>
      <c r="N18" s="66"/>
      <c r="O18" s="66"/>
      <c r="P18" s="56">
        <f>SUBTOTAL(9,N18:O18)</f>
        <v>0</v>
      </c>
      <c r="Q18" s="56">
        <f>SUBTOTAL(9,C18:O18)</f>
        <v>0</v>
      </c>
      <c r="R18" s="64">
        <v>0</v>
      </c>
      <c r="S18" s="66"/>
      <c r="T18" s="68">
        <f>SUBTOTAL(9,S18:S18)</f>
        <v>0</v>
      </c>
      <c r="U18" s="67">
        <f>T18+IF($B14=2,0,U14)</f>
        <v>0</v>
      </c>
      <c r="V18" s="66"/>
      <c r="W18" s="66"/>
      <c r="X18" s="68">
        <f>SUBTOTAL(9,V18:W18)</f>
        <v>0</v>
      </c>
      <c r="Y18" s="67">
        <f>X18+IF($B14=2,0,Y14)</f>
        <v>0</v>
      </c>
      <c r="Z18" s="66"/>
      <c r="AA18" s="66"/>
      <c r="AB18" s="66"/>
      <c r="AC18" s="66"/>
      <c r="AD18" s="66"/>
      <c r="AE18" s="66"/>
      <c r="AF18" s="66"/>
      <c r="AG18" s="66"/>
      <c r="AH18" s="68">
        <f>SUBTOTAL(9,Z18:AG18)</f>
        <v>0</v>
      </c>
      <c r="AI18" s="67">
        <f>AH18+IF($B14=2,0,AI14)</f>
        <v>0</v>
      </c>
      <c r="AJ18" s="66"/>
      <c r="AK18" s="66"/>
      <c r="AL18" s="61">
        <f>SUBTOTAL(9,AJ18:AK18)</f>
        <v>0</v>
      </c>
      <c r="AM18" s="65">
        <v>60</v>
      </c>
      <c r="AN18" s="66"/>
      <c r="AO18" s="66"/>
      <c r="AP18" s="66"/>
      <c r="AQ18" s="66"/>
      <c r="AR18" s="66"/>
      <c r="AS18" s="66"/>
      <c r="AT18" s="66"/>
      <c r="AU18" s="61">
        <f>SUBTOTAL(9,AM18:AT18)</f>
        <v>60</v>
      </c>
      <c r="AV18" s="56">
        <f>SUBTOTAL(9,AJ18:AT18)</f>
        <v>60</v>
      </c>
      <c r="AW18" s="64">
        <f>AV18+IF($B14=2,0,AW14)</f>
        <v>60</v>
      </c>
      <c r="AX18" s="63"/>
      <c r="AY18" s="63"/>
      <c r="AZ18" s="62">
        <v>100</v>
      </c>
      <c r="BA18" s="60">
        <v>4</v>
      </c>
      <c r="BB18" s="60">
        <v>1.1000000000000001</v>
      </c>
      <c r="BC18" s="60">
        <v>1.3</v>
      </c>
      <c r="BD18" s="60">
        <v>75.624399999999994</v>
      </c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56">
        <f>SUBTOTAL(9,BA18:BU18)</f>
        <v>82.0244</v>
      </c>
      <c r="BW18" s="61">
        <f>BV18+IF($B14=2,0,BW14)</f>
        <v>82.0244</v>
      </c>
      <c r="BX18" s="66"/>
      <c r="BY18" s="66"/>
      <c r="BZ18" s="66"/>
      <c r="CA18" s="66"/>
      <c r="CB18" s="66"/>
      <c r="CC18" s="66"/>
      <c r="CD18" s="56">
        <f>SUBTOTAL(9,BX18:CC18)</f>
        <v>0</v>
      </c>
      <c r="CE18" s="56">
        <f>CD18+IF($B14=2,0,CE14)</f>
        <v>0</v>
      </c>
      <c r="CF18" s="59"/>
      <c r="CG18" s="59"/>
      <c r="CH18" s="58">
        <f>SUMIF($C$5:CG$5,"Накопленный эффект, т/сут",$C18:CG18)+SUMIF($C$5:CG$5,"Нараст.  по потенциалу",$C18:CG18)-SUMIF($C$5:CG$5,"Нараст. по остановкам",$C18:CG18)-SUMIF($C$5:CG$5,"ИТОГО перевод в ППД",$C18:CG18)-SUMIF($C$5:CG$5,"ИТОГО  нерент, по распоряж.",$C18:CG18)-SUMIF($C$5:CG$5,"ИТОГО ост. дебит от ЗБС, Углуб., ПВЛГ/ПНЛГ",$C18:CG18)</f>
        <v>-22.0244</v>
      </c>
      <c r="CI18" s="57"/>
      <c r="CJ18" s="56">
        <v>57.728749462475399</v>
      </c>
      <c r="CK18" s="57"/>
      <c r="CL18" s="57"/>
      <c r="CM18" s="56">
        <f>SUBTOTAL(9,CI18:CL18)</f>
        <v>57.728749462475399</v>
      </c>
      <c r="CN18" s="55" t="s">
        <v>1</v>
      </c>
      <c r="CO18" s="54">
        <f>CO$4+SUMIF($C$5:CM$5,"Нараст. по остановкам",$C18:CM18)-SUMIF($C$5:CM$5,"Нараст.  по потенциалу",$C18:CM18)</f>
        <v>698.12456228627502</v>
      </c>
      <c r="CP18" s="2"/>
    </row>
    <row r="19" spans="1:94" ht="1.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>
        <v>1</v>
      </c>
      <c r="BB19" s="3">
        <v>1</v>
      </c>
      <c r="BC19" s="3">
        <v>1</v>
      </c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2"/>
    </row>
    <row r="20" spans="1:94" ht="11.25" customHeight="1" x14ac:dyDescent="0.25">
      <c r="A20" s="107">
        <v>45354</v>
      </c>
      <c r="B20" s="106" t="s">
        <v>58</v>
      </c>
      <c r="C20" s="103"/>
      <c r="D20" s="103"/>
      <c r="E20" s="103"/>
      <c r="F20" s="103"/>
      <c r="G20" s="100">
        <v>0</v>
      </c>
      <c r="H20" s="103"/>
      <c r="I20" s="100">
        <v>0</v>
      </c>
      <c r="J20" s="103"/>
      <c r="K20" s="103"/>
      <c r="L20" s="103"/>
      <c r="M20" s="100">
        <v>0</v>
      </c>
      <c r="N20" s="103"/>
      <c r="O20" s="103"/>
      <c r="P20" s="100">
        <v>0</v>
      </c>
      <c r="Q20" s="100">
        <v>0</v>
      </c>
      <c r="R20" s="99"/>
      <c r="S20" s="103"/>
      <c r="T20" s="105"/>
      <c r="U20" s="104"/>
      <c r="V20" s="103"/>
      <c r="W20" s="103"/>
      <c r="X20" s="105"/>
      <c r="Y20" s="104"/>
      <c r="Z20" s="103"/>
      <c r="AA20" s="103"/>
      <c r="AB20" s="103"/>
      <c r="AC20" s="103"/>
      <c r="AD20" s="103"/>
      <c r="AE20" s="103"/>
      <c r="AF20" s="103"/>
      <c r="AG20" s="103"/>
      <c r="AH20" s="105"/>
      <c r="AI20" s="104"/>
      <c r="AJ20" s="103"/>
      <c r="AK20" s="103"/>
      <c r="AL20" s="101">
        <v>0</v>
      </c>
      <c r="AM20" s="102"/>
      <c r="AN20" s="103"/>
      <c r="AO20" s="103"/>
      <c r="AP20" s="103"/>
      <c r="AQ20" s="103"/>
      <c r="AR20" s="103"/>
      <c r="AS20" s="103"/>
      <c r="AT20" s="103"/>
      <c r="AU20" s="101">
        <v>65.5</v>
      </c>
      <c r="AV20" s="100">
        <v>65.5</v>
      </c>
      <c r="AW20" s="99"/>
      <c r="AX20" s="98"/>
      <c r="AY20" s="98"/>
      <c r="AZ20" s="97"/>
      <c r="BA20" s="95" t="s">
        <v>52</v>
      </c>
      <c r="BB20" s="95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94"/>
      <c r="BW20" s="96"/>
      <c r="BX20" s="103"/>
      <c r="BY20" s="103"/>
      <c r="BZ20" s="103"/>
      <c r="CA20" s="103"/>
      <c r="CB20" s="103"/>
      <c r="CC20" s="103"/>
      <c r="CD20" s="94"/>
      <c r="CE20" s="94"/>
      <c r="CF20" s="93"/>
      <c r="CG20" s="93"/>
      <c r="CH20" s="92"/>
      <c r="CI20" s="91"/>
      <c r="CJ20" s="90"/>
      <c r="CK20" s="91"/>
      <c r="CL20" s="91"/>
      <c r="CM20" s="90"/>
      <c r="CN20" s="89">
        <f>CN$4+SUMIF($C$5:CM$5,"Нараст. баланс",$C22:CM22)+SUMIF($C$7:CK$7,"Итого (с ВНР)",$C22:CK22)-SUMIF($C$5:CM$5,"Геол. снижение,  т/сут",$C22:CM22)-SUMIF(CL$7:CM$7,"Итого",CL22:CM22)-SUMIF($C$7:CM$7,"Итого (с ВСП)",$C22:CM22)</f>
        <v>30331.221081717784</v>
      </c>
      <c r="CO20" s="88"/>
      <c r="CP20" s="2"/>
    </row>
    <row r="21" spans="1:94" ht="11.25" customHeight="1" x14ac:dyDescent="0.25">
      <c r="A21" s="55" t="s">
        <v>1</v>
      </c>
      <c r="B21" s="87" t="s">
        <v>42</v>
      </c>
      <c r="C21" s="84"/>
      <c r="D21" s="84"/>
      <c r="E21" s="84"/>
      <c r="F21" s="84"/>
      <c r="G21" s="76">
        <v>0</v>
      </c>
      <c r="H21" s="84"/>
      <c r="I21" s="76">
        <v>0</v>
      </c>
      <c r="J21" s="84"/>
      <c r="K21" s="84"/>
      <c r="L21" s="84"/>
      <c r="M21" s="76">
        <v>0</v>
      </c>
      <c r="N21" s="84"/>
      <c r="O21" s="84"/>
      <c r="P21" s="76">
        <v>0</v>
      </c>
      <c r="Q21" s="76">
        <v>0</v>
      </c>
      <c r="R21" s="81"/>
      <c r="S21" s="84"/>
      <c r="T21" s="86">
        <f>SUBTOTAL(9,S23:S23)</f>
        <v>0</v>
      </c>
      <c r="U21" s="85"/>
      <c r="V21" s="84"/>
      <c r="W21" s="84"/>
      <c r="X21" s="86">
        <f>SUBTOTAL(9,V23:W23)</f>
        <v>0</v>
      </c>
      <c r="Y21" s="85"/>
      <c r="Z21" s="84"/>
      <c r="AA21" s="84"/>
      <c r="AB21" s="84"/>
      <c r="AC21" s="84"/>
      <c r="AD21" s="84"/>
      <c r="AE21" s="84"/>
      <c r="AF21" s="84"/>
      <c r="AG21" s="84"/>
      <c r="AH21" s="86">
        <f>SUBTOTAL(9,Z23:AG23)</f>
        <v>0</v>
      </c>
      <c r="AI21" s="85"/>
      <c r="AJ21" s="84"/>
      <c r="AK21" s="84"/>
      <c r="AL21" s="82">
        <f>SUBTOTAL(9,AJ23:AK23)</f>
        <v>0</v>
      </c>
      <c r="AM21" s="83"/>
      <c r="AN21" s="84"/>
      <c r="AO21" s="84"/>
      <c r="AP21" s="84"/>
      <c r="AQ21" s="84"/>
      <c r="AR21" s="84"/>
      <c r="AS21" s="84"/>
      <c r="AT21" s="84"/>
      <c r="AU21" s="82">
        <f>SUBTOTAL(9,AM23:AT23)</f>
        <v>0</v>
      </c>
      <c r="AV21" s="76">
        <f>SUBTOTAL(9,AJ23:AT23)</f>
        <v>0</v>
      </c>
      <c r="AW21" s="81"/>
      <c r="AX21" s="80"/>
      <c r="AY21" s="80"/>
      <c r="AZ21" s="79"/>
      <c r="BA21" s="77" t="s">
        <v>146</v>
      </c>
      <c r="BB21" s="77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76">
        <f>SUBTOTAL(9,BA23:BU23)</f>
        <v>1</v>
      </c>
      <c r="BW21" s="78"/>
      <c r="BX21" s="84"/>
      <c r="BY21" s="84"/>
      <c r="BZ21" s="84"/>
      <c r="CA21" s="84"/>
      <c r="CB21" s="84"/>
      <c r="CC21" s="84"/>
      <c r="CD21" s="76">
        <f>SUBTOTAL(3,BX21:CC21)</f>
        <v>0</v>
      </c>
      <c r="CE21" s="75"/>
      <c r="CF21" s="74"/>
      <c r="CG21" s="74"/>
      <c r="CH21" s="73"/>
      <c r="CI21" s="72"/>
      <c r="CJ21" s="71"/>
      <c r="CK21" s="72"/>
      <c r="CL21" s="72"/>
      <c r="CM21" s="71"/>
      <c r="CN21" s="55" t="s">
        <v>1</v>
      </c>
      <c r="CO21" s="70"/>
      <c r="CP21" s="2"/>
    </row>
    <row r="22" spans="1:94" ht="11.25" customHeight="1" x14ac:dyDescent="0.25">
      <c r="A22" s="55" t="s">
        <v>1</v>
      </c>
      <c r="B22" s="69" t="s">
        <v>8</v>
      </c>
      <c r="C22" s="66"/>
      <c r="D22" s="66"/>
      <c r="E22" s="66"/>
      <c r="F22" s="66"/>
      <c r="G22" s="56">
        <f>SUBTOTAL(9,C22:F22)</f>
        <v>0</v>
      </c>
      <c r="H22" s="66"/>
      <c r="I22" s="56">
        <f>SUBTOTAL(9,H22:H22)</f>
        <v>0</v>
      </c>
      <c r="J22" s="66"/>
      <c r="K22" s="66"/>
      <c r="L22" s="66"/>
      <c r="M22" s="56">
        <f>SUBTOTAL(9,J22:L22)</f>
        <v>0</v>
      </c>
      <c r="N22" s="66"/>
      <c r="O22" s="66"/>
      <c r="P22" s="56">
        <f>SUBTOTAL(9,N22:O22)</f>
        <v>0</v>
      </c>
      <c r="Q22" s="56">
        <f>SUBTOTAL(9,C22:O22)</f>
        <v>0</v>
      </c>
      <c r="R22" s="64">
        <v>0</v>
      </c>
      <c r="S22" s="66"/>
      <c r="T22" s="68">
        <f>SUBTOTAL(9,S22:S22)</f>
        <v>0</v>
      </c>
      <c r="U22" s="67">
        <f>T22+IF($B18=2,0,U18)</f>
        <v>0</v>
      </c>
      <c r="V22" s="66"/>
      <c r="W22" s="66"/>
      <c r="X22" s="68">
        <f>SUBTOTAL(9,V22:W22)</f>
        <v>0</v>
      </c>
      <c r="Y22" s="67">
        <f>X22+IF($B18=2,0,Y18)</f>
        <v>0</v>
      </c>
      <c r="Z22" s="66"/>
      <c r="AA22" s="66"/>
      <c r="AB22" s="66"/>
      <c r="AC22" s="66"/>
      <c r="AD22" s="66"/>
      <c r="AE22" s="66"/>
      <c r="AF22" s="66"/>
      <c r="AG22" s="66"/>
      <c r="AH22" s="68">
        <f>SUBTOTAL(9,Z22:AG22)</f>
        <v>0</v>
      </c>
      <c r="AI22" s="67">
        <f>AH22+IF($B18=2,0,AI18)</f>
        <v>0</v>
      </c>
      <c r="AJ22" s="66"/>
      <c r="AK22" s="66"/>
      <c r="AL22" s="61">
        <f>SUBTOTAL(9,AJ22:AK22)</f>
        <v>0</v>
      </c>
      <c r="AM22" s="65">
        <v>5.5</v>
      </c>
      <c r="AN22" s="66"/>
      <c r="AO22" s="66"/>
      <c r="AP22" s="66"/>
      <c r="AQ22" s="66"/>
      <c r="AR22" s="66"/>
      <c r="AS22" s="66"/>
      <c r="AT22" s="66"/>
      <c r="AU22" s="61">
        <f>SUBTOTAL(9,AM22:AT22)</f>
        <v>5.5</v>
      </c>
      <c r="AV22" s="56">
        <f>SUBTOTAL(9,AJ22:AT22)</f>
        <v>5.5</v>
      </c>
      <c r="AW22" s="64">
        <f>AV22+IF($B18=2,0,AW18)</f>
        <v>65.5</v>
      </c>
      <c r="AX22" s="63"/>
      <c r="AY22" s="63"/>
      <c r="AZ22" s="62">
        <v>150</v>
      </c>
      <c r="BA22" s="60">
        <v>8.1999999999999993</v>
      </c>
      <c r="BB22" s="60">
        <v>45.2</v>
      </c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56">
        <f>SUBTOTAL(9,BA22:BU22)</f>
        <v>53.400000000000006</v>
      </c>
      <c r="BW22" s="61">
        <f>BV22+IF($B18=2,0,BW18)</f>
        <v>135.42439999999999</v>
      </c>
      <c r="BX22" s="66"/>
      <c r="BY22" s="66"/>
      <c r="BZ22" s="66"/>
      <c r="CA22" s="66"/>
      <c r="CB22" s="66"/>
      <c r="CC22" s="66"/>
      <c r="CD22" s="56">
        <f>SUBTOTAL(9,BX22:CC22)</f>
        <v>0</v>
      </c>
      <c r="CE22" s="56">
        <f>CD22+IF($B18=2,0,CE18)</f>
        <v>0</v>
      </c>
      <c r="CF22" s="59"/>
      <c r="CG22" s="59"/>
      <c r="CH22" s="58">
        <f>SUMIF($C$5:CG$5,"Накопленный эффект, т/сут",$C22:CG22)+SUMIF($C$5:CG$5,"Нараст.  по потенциалу",$C22:CG22)-SUMIF($C$5:CG$5,"Нараст. по остановкам",$C22:CG22)-SUMIF($C$5:CG$5,"ИТОГО перевод в ППД",$C22:CG22)-SUMIF($C$5:CG$5,"ИТОГО  нерент, по распоряж.",$C22:CG22)-SUMIF($C$5:CG$5,"ИТОГО ост. дебит от ЗБС, Углуб., ПВЛГ/ПНЛГ",$C22:CG22)</f>
        <v>-69.924399999999991</v>
      </c>
      <c r="CI22" s="57"/>
      <c r="CJ22" s="56">
        <v>3.6955182822172699</v>
      </c>
      <c r="CK22" s="57"/>
      <c r="CL22" s="57"/>
      <c r="CM22" s="56">
        <f>SUBTOTAL(9,CI22:CL22)</f>
        <v>3.6955182822172699</v>
      </c>
      <c r="CN22" s="55" t="s">
        <v>1</v>
      </c>
      <c r="CO22" s="54">
        <f>CO$4+SUMIF($C$5:CM$5,"Нараст. по остановкам",$C22:CM22)-SUMIF($C$5:CM$5,"Нараст.  по потенциалу",$C22:CM22)</f>
        <v>746.024562286275</v>
      </c>
      <c r="CP22" s="2"/>
    </row>
    <row r="23" spans="1:94" ht="1.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>
        <v>1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2"/>
    </row>
    <row r="24" spans="1:94" ht="11.25" customHeight="1" x14ac:dyDescent="0.25">
      <c r="A24" s="107">
        <v>45355</v>
      </c>
      <c r="B24" s="106" t="s">
        <v>58</v>
      </c>
      <c r="C24" s="102" t="s">
        <v>52</v>
      </c>
      <c r="D24" s="103"/>
      <c r="E24" s="103"/>
      <c r="F24" s="103"/>
      <c r="G24" s="100">
        <v>50</v>
      </c>
      <c r="H24" s="103"/>
      <c r="I24" s="100">
        <v>0</v>
      </c>
      <c r="J24" s="103"/>
      <c r="K24" s="103"/>
      <c r="L24" s="103"/>
      <c r="M24" s="100">
        <v>0</v>
      </c>
      <c r="N24" s="103"/>
      <c r="O24" s="103"/>
      <c r="P24" s="100">
        <v>0</v>
      </c>
      <c r="Q24" s="100">
        <v>50</v>
      </c>
      <c r="R24" s="99"/>
      <c r="S24" s="103"/>
      <c r="T24" s="105"/>
      <c r="U24" s="104"/>
      <c r="V24" s="102" t="s">
        <v>52</v>
      </c>
      <c r="W24" s="103"/>
      <c r="X24" s="105"/>
      <c r="Y24" s="104"/>
      <c r="Z24" s="103"/>
      <c r="AA24" s="103"/>
      <c r="AB24" s="103"/>
      <c r="AC24" s="103"/>
      <c r="AD24" s="103"/>
      <c r="AE24" s="103"/>
      <c r="AF24" s="103"/>
      <c r="AG24" s="103"/>
      <c r="AH24" s="105"/>
      <c r="AI24" s="104"/>
      <c r="AJ24" s="103"/>
      <c r="AK24" s="103"/>
      <c r="AL24" s="101">
        <v>0</v>
      </c>
      <c r="AM24" s="102"/>
      <c r="AN24" s="103"/>
      <c r="AO24" s="103"/>
      <c r="AP24" s="103"/>
      <c r="AQ24" s="103"/>
      <c r="AR24" s="103"/>
      <c r="AS24" s="103"/>
      <c r="AT24" s="103"/>
      <c r="AU24" s="101">
        <v>81</v>
      </c>
      <c r="AV24" s="100">
        <v>81</v>
      </c>
      <c r="AW24" s="99"/>
      <c r="AX24" s="98"/>
      <c r="AY24" s="98"/>
      <c r="AZ24" s="97"/>
      <c r="BA24" s="95" t="s">
        <v>47</v>
      </c>
      <c r="BB24" s="95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94"/>
      <c r="BW24" s="96"/>
      <c r="BX24" s="103"/>
      <c r="BY24" s="103"/>
      <c r="BZ24" s="103"/>
      <c r="CA24" s="103"/>
      <c r="CB24" s="103"/>
      <c r="CC24" s="103"/>
      <c r="CD24" s="94"/>
      <c r="CE24" s="94"/>
      <c r="CF24" s="93"/>
      <c r="CG24" s="93"/>
      <c r="CH24" s="92"/>
      <c r="CI24" s="90"/>
      <c r="CJ24" s="90"/>
      <c r="CK24" s="90"/>
      <c r="CL24" s="90"/>
      <c r="CM24" s="90"/>
      <c r="CN24" s="89">
        <f>CN$4+SUMIF($C$5:CM$5,"Нараст. баланс",$C26:CM26)+SUMIF($C$7:CK$7,"Итого (с ВНР)",$C26:CK26)-SUMIF($C$5:CM$5,"Геол. снижение,  т/сут",$C26:CM26)-SUMIF(CL$7:CM$7,"Итого",CL26:CM26)-SUMIF($C$7:CM$7,"Итого (с ВСП)",$C26:CM26)</f>
        <v>30359.982220874088</v>
      </c>
      <c r="CO24" s="88"/>
      <c r="CP24" s="2"/>
    </row>
    <row r="25" spans="1:94" ht="11.25" customHeight="1" x14ac:dyDescent="0.25">
      <c r="A25" s="55" t="s">
        <v>1</v>
      </c>
      <c r="B25" s="87" t="s">
        <v>42</v>
      </c>
      <c r="C25" s="83" t="s">
        <v>159</v>
      </c>
      <c r="D25" s="84"/>
      <c r="E25" s="84"/>
      <c r="F25" s="84"/>
      <c r="G25" s="76">
        <v>1</v>
      </c>
      <c r="H25" s="84"/>
      <c r="I25" s="76">
        <v>0</v>
      </c>
      <c r="J25" s="84"/>
      <c r="K25" s="84"/>
      <c r="L25" s="84"/>
      <c r="M25" s="76">
        <v>0</v>
      </c>
      <c r="N25" s="84"/>
      <c r="O25" s="84"/>
      <c r="P25" s="76">
        <v>0</v>
      </c>
      <c r="Q25" s="76">
        <v>1</v>
      </c>
      <c r="R25" s="81"/>
      <c r="S25" s="84"/>
      <c r="T25" s="86">
        <f>SUBTOTAL(9,S27:S27)</f>
        <v>0</v>
      </c>
      <c r="U25" s="85"/>
      <c r="V25" s="83" t="s">
        <v>158</v>
      </c>
      <c r="W25" s="84"/>
      <c r="X25" s="86">
        <f>SUBTOTAL(9,V27:W27)</f>
        <v>1</v>
      </c>
      <c r="Y25" s="85"/>
      <c r="Z25" s="84"/>
      <c r="AA25" s="84"/>
      <c r="AB25" s="84"/>
      <c r="AC25" s="84"/>
      <c r="AD25" s="84"/>
      <c r="AE25" s="84"/>
      <c r="AF25" s="84"/>
      <c r="AG25" s="84"/>
      <c r="AH25" s="86">
        <f>SUBTOTAL(9,Z27:AG27)</f>
        <v>0</v>
      </c>
      <c r="AI25" s="85"/>
      <c r="AJ25" s="84"/>
      <c r="AK25" s="84"/>
      <c r="AL25" s="82">
        <f>SUBTOTAL(9,AJ27:AK27)</f>
        <v>0</v>
      </c>
      <c r="AM25" s="83"/>
      <c r="AN25" s="84"/>
      <c r="AO25" s="84"/>
      <c r="AP25" s="84"/>
      <c r="AQ25" s="84"/>
      <c r="AR25" s="84"/>
      <c r="AS25" s="84"/>
      <c r="AT25" s="84"/>
      <c r="AU25" s="82">
        <f>SUBTOTAL(9,AM27:AT27)</f>
        <v>0</v>
      </c>
      <c r="AV25" s="76">
        <f>SUBTOTAL(9,AJ27:AT27)</f>
        <v>0</v>
      </c>
      <c r="AW25" s="81"/>
      <c r="AX25" s="80"/>
      <c r="AY25" s="80"/>
      <c r="AZ25" s="79"/>
      <c r="BA25" s="77" t="s">
        <v>136</v>
      </c>
      <c r="BB25" s="77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76">
        <f>SUBTOTAL(9,BA27:BU27)</f>
        <v>1</v>
      </c>
      <c r="BW25" s="78"/>
      <c r="BX25" s="84"/>
      <c r="BY25" s="84"/>
      <c r="BZ25" s="84"/>
      <c r="CA25" s="84"/>
      <c r="CB25" s="84"/>
      <c r="CC25" s="84"/>
      <c r="CD25" s="76">
        <f>SUBTOTAL(3,BX25:CC25)</f>
        <v>0</v>
      </c>
      <c r="CE25" s="75"/>
      <c r="CF25" s="74"/>
      <c r="CG25" s="74"/>
      <c r="CH25" s="73"/>
      <c r="CI25" s="71"/>
      <c r="CJ25" s="71"/>
      <c r="CK25" s="71"/>
      <c r="CL25" s="71"/>
      <c r="CM25" s="71"/>
      <c r="CN25" s="55" t="s">
        <v>1</v>
      </c>
      <c r="CO25" s="70"/>
      <c r="CP25" s="2"/>
    </row>
    <row r="26" spans="1:94" ht="11.25" customHeight="1" x14ac:dyDescent="0.25">
      <c r="A26" s="55" t="s">
        <v>1</v>
      </c>
      <c r="B26" s="69" t="s">
        <v>8</v>
      </c>
      <c r="C26" s="65">
        <v>50</v>
      </c>
      <c r="D26" s="66"/>
      <c r="E26" s="66"/>
      <c r="F26" s="66"/>
      <c r="G26" s="56">
        <f>SUBTOTAL(9,C26:F26)</f>
        <v>50</v>
      </c>
      <c r="H26" s="66"/>
      <c r="I26" s="56">
        <f>SUBTOTAL(9,H26:H26)</f>
        <v>0</v>
      </c>
      <c r="J26" s="66"/>
      <c r="K26" s="66"/>
      <c r="L26" s="66"/>
      <c r="M26" s="56">
        <f>SUBTOTAL(9,J26:L26)</f>
        <v>0</v>
      </c>
      <c r="N26" s="66"/>
      <c r="O26" s="66"/>
      <c r="P26" s="56">
        <f>SUBTOTAL(9,N26:O26)</f>
        <v>0</v>
      </c>
      <c r="Q26" s="56">
        <f>SUBTOTAL(9,C26:O26)</f>
        <v>50</v>
      </c>
      <c r="R26" s="64">
        <v>50</v>
      </c>
      <c r="S26" s="66"/>
      <c r="T26" s="68">
        <f>SUBTOTAL(9,S26:S26)</f>
        <v>0</v>
      </c>
      <c r="U26" s="67">
        <f>T26+IF($B22=2,0,U22)</f>
        <v>0</v>
      </c>
      <c r="V26" s="65">
        <v>90</v>
      </c>
      <c r="W26" s="66"/>
      <c r="X26" s="68">
        <f>SUBTOTAL(9,V26:W26)</f>
        <v>90</v>
      </c>
      <c r="Y26" s="67">
        <f>X26+IF($B22=2,0,Y22)</f>
        <v>90</v>
      </c>
      <c r="Z26" s="66"/>
      <c r="AA26" s="66"/>
      <c r="AB26" s="66"/>
      <c r="AC26" s="66"/>
      <c r="AD26" s="66"/>
      <c r="AE26" s="66"/>
      <c r="AF26" s="66"/>
      <c r="AG26" s="66"/>
      <c r="AH26" s="68">
        <f>SUBTOTAL(9,Z26:AG26)</f>
        <v>0</v>
      </c>
      <c r="AI26" s="67">
        <f>AH26+IF($B22=2,0,AI22)</f>
        <v>0</v>
      </c>
      <c r="AJ26" s="66"/>
      <c r="AK26" s="66"/>
      <c r="AL26" s="61">
        <f>SUBTOTAL(9,AJ26:AK26)</f>
        <v>0</v>
      </c>
      <c r="AM26" s="65">
        <v>15.5</v>
      </c>
      <c r="AN26" s="66"/>
      <c r="AO26" s="66"/>
      <c r="AP26" s="66"/>
      <c r="AQ26" s="66"/>
      <c r="AR26" s="66"/>
      <c r="AS26" s="66"/>
      <c r="AT26" s="66"/>
      <c r="AU26" s="61">
        <f>SUBTOTAL(9,AM26:AT26)</f>
        <v>15.5</v>
      </c>
      <c r="AV26" s="56">
        <f>SUBTOTAL(9,AJ26:AT26)</f>
        <v>15.5</v>
      </c>
      <c r="AW26" s="64">
        <f>AV26+IF($B22=2,0,AW22)</f>
        <v>81</v>
      </c>
      <c r="AX26" s="63"/>
      <c r="AY26" s="63"/>
      <c r="AZ26" s="62">
        <v>200</v>
      </c>
      <c r="BA26" s="60">
        <v>2.1</v>
      </c>
      <c r="BB26" s="60">
        <v>37.496400000000001</v>
      </c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56">
        <f>SUBTOTAL(9,BA26:BU26)</f>
        <v>39.596400000000003</v>
      </c>
      <c r="BW26" s="61">
        <f>BV26+IF($B22=2,0,BW22)</f>
        <v>175.02080000000001</v>
      </c>
      <c r="BX26" s="66"/>
      <c r="BY26" s="66"/>
      <c r="BZ26" s="66"/>
      <c r="CA26" s="66"/>
      <c r="CB26" s="66"/>
      <c r="CC26" s="66"/>
      <c r="CD26" s="56">
        <f>SUBTOTAL(9,BX26:CC26)</f>
        <v>0</v>
      </c>
      <c r="CE26" s="56">
        <f>CD26+IF($B22=2,0,CE22)</f>
        <v>0</v>
      </c>
      <c r="CF26" s="59"/>
      <c r="CG26" s="59"/>
      <c r="CH26" s="58">
        <f>SUMIF($C$5:CG$5,"Накопленный эффект, т/сут",$C26:CG26)+SUMIF($C$5:CG$5,"Нараст.  по потенциалу",$C26:CG26)-SUMIF($C$5:CG$5,"Нараст. по остановкам",$C26:CG26)-SUMIF($C$5:CG$5,"ИТОГО перевод в ППД",$C26:CG26)-SUMIF($C$5:CG$5,"ИТОГО  нерент, по распоряж.",$C26:CG26)-SUMIF($C$5:CG$5,"ИТОГО ост. дебит от ЗБС, Углуб., ПВЛГ/ПНЛГ",$C26:CG26)</f>
        <v>45.979199999999992</v>
      </c>
      <c r="CI26" s="56">
        <v>12.6</v>
      </c>
      <c r="CJ26" s="56">
        <v>21.591510480613401</v>
      </c>
      <c r="CK26" s="56">
        <v>3.0715915992626002</v>
      </c>
      <c r="CL26" s="56">
        <v>3.5748770460394601</v>
      </c>
      <c r="CM26" s="56">
        <f>SUBTOTAL(9,CI26:CL26)</f>
        <v>40.837979125915467</v>
      </c>
      <c r="CN26" s="55" t="s">
        <v>1</v>
      </c>
      <c r="CO26" s="54">
        <f>CO$4+SUMIF($C$5:CM$5,"Нараст. по остановкам",$C26:CM26)-SUMIF($C$5:CM$5,"Нараст.  по потенциалу",$C26:CM26)</f>
        <v>770.12096228627502</v>
      </c>
      <c r="CP26" s="2"/>
    </row>
    <row r="27" spans="1:94" ht="1.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>
        <v>1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>
        <v>1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2"/>
    </row>
    <row r="28" spans="1:94" ht="11.25" customHeight="1" x14ac:dyDescent="0.25">
      <c r="A28" s="107">
        <v>45356</v>
      </c>
      <c r="B28" s="106" t="s">
        <v>58</v>
      </c>
      <c r="C28" s="103"/>
      <c r="D28" s="103"/>
      <c r="E28" s="103"/>
      <c r="F28" s="103"/>
      <c r="G28" s="100">
        <v>50</v>
      </c>
      <c r="H28" s="103"/>
      <c r="I28" s="100">
        <v>0</v>
      </c>
      <c r="J28" s="103"/>
      <c r="K28" s="103"/>
      <c r="L28" s="103"/>
      <c r="M28" s="100">
        <v>0</v>
      </c>
      <c r="N28" s="103"/>
      <c r="O28" s="103"/>
      <c r="P28" s="100">
        <v>0</v>
      </c>
      <c r="Q28" s="100">
        <v>50</v>
      </c>
      <c r="R28" s="99"/>
      <c r="S28" s="103"/>
      <c r="T28" s="105"/>
      <c r="U28" s="104"/>
      <c r="V28" s="103"/>
      <c r="W28" s="103"/>
      <c r="X28" s="105"/>
      <c r="Y28" s="104"/>
      <c r="Z28" s="103"/>
      <c r="AA28" s="103"/>
      <c r="AB28" s="103"/>
      <c r="AC28" s="103"/>
      <c r="AD28" s="103"/>
      <c r="AE28" s="103"/>
      <c r="AF28" s="103"/>
      <c r="AG28" s="103"/>
      <c r="AH28" s="105"/>
      <c r="AI28" s="104"/>
      <c r="AJ28" s="103"/>
      <c r="AK28" s="103"/>
      <c r="AL28" s="101">
        <v>0</v>
      </c>
      <c r="AM28" s="102" t="s">
        <v>44</v>
      </c>
      <c r="AN28" s="102" t="s">
        <v>79</v>
      </c>
      <c r="AO28" s="102" t="s">
        <v>47</v>
      </c>
      <c r="AP28" s="102"/>
      <c r="AQ28" s="103"/>
      <c r="AR28" s="103"/>
      <c r="AS28" s="103"/>
      <c r="AT28" s="103"/>
      <c r="AU28" s="101">
        <v>201.6</v>
      </c>
      <c r="AV28" s="100">
        <v>201.6</v>
      </c>
      <c r="AW28" s="99"/>
      <c r="AX28" s="98"/>
      <c r="AY28" s="98"/>
      <c r="AZ28" s="97"/>
      <c r="BA28" s="95" t="s">
        <v>54</v>
      </c>
      <c r="BB28" s="95" t="s">
        <v>49</v>
      </c>
      <c r="BC28" s="95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94"/>
      <c r="BW28" s="96"/>
      <c r="BX28" s="103"/>
      <c r="BY28" s="103"/>
      <c r="BZ28" s="103"/>
      <c r="CA28" s="103"/>
      <c r="CB28" s="103"/>
      <c r="CC28" s="103"/>
      <c r="CD28" s="94"/>
      <c r="CE28" s="94"/>
      <c r="CF28" s="93"/>
      <c r="CG28" s="93"/>
      <c r="CH28" s="92"/>
      <c r="CI28" s="90"/>
      <c r="CJ28" s="90"/>
      <c r="CK28" s="90"/>
      <c r="CL28" s="90"/>
      <c r="CM28" s="90"/>
      <c r="CN28" s="89">
        <f>CN$4+SUMIF($C$5:CM$5,"Нараст. баланс",$C30:CM30)+SUMIF($C$7:CK$7,"Итого (с ВНР)",$C30:CK30)-SUMIF($C$5:CM$5,"Геол. снижение,  т/сут",$C30:CM30)-SUMIF(CL$7:CM$7,"Итого",CL30:CM30)-SUMIF($C$7:CM$7,"Итого (с ВСП)",$C30:CM30)</f>
        <v>30237.162315012381</v>
      </c>
      <c r="CO28" s="88"/>
      <c r="CP28" s="2"/>
    </row>
    <row r="29" spans="1:94" ht="11.25" customHeight="1" x14ac:dyDescent="0.25">
      <c r="A29" s="55" t="s">
        <v>1</v>
      </c>
      <c r="B29" s="87" t="s">
        <v>42</v>
      </c>
      <c r="C29" s="84"/>
      <c r="D29" s="84"/>
      <c r="E29" s="84"/>
      <c r="F29" s="84"/>
      <c r="G29" s="76">
        <v>0</v>
      </c>
      <c r="H29" s="84"/>
      <c r="I29" s="76">
        <v>0</v>
      </c>
      <c r="J29" s="84"/>
      <c r="K29" s="84"/>
      <c r="L29" s="84"/>
      <c r="M29" s="76">
        <v>0</v>
      </c>
      <c r="N29" s="84"/>
      <c r="O29" s="84"/>
      <c r="P29" s="76">
        <v>0</v>
      </c>
      <c r="Q29" s="76">
        <v>0</v>
      </c>
      <c r="R29" s="81"/>
      <c r="S29" s="84"/>
      <c r="T29" s="86">
        <f>SUBTOTAL(9,S31:S31)</f>
        <v>0</v>
      </c>
      <c r="U29" s="85"/>
      <c r="V29" s="84"/>
      <c r="W29" s="84"/>
      <c r="X29" s="86">
        <f>SUBTOTAL(9,V31:W31)</f>
        <v>0</v>
      </c>
      <c r="Y29" s="85"/>
      <c r="Z29" s="84"/>
      <c r="AA29" s="84"/>
      <c r="AB29" s="84"/>
      <c r="AC29" s="84"/>
      <c r="AD29" s="84"/>
      <c r="AE29" s="84"/>
      <c r="AF29" s="84"/>
      <c r="AG29" s="84"/>
      <c r="AH29" s="86">
        <f>SUBTOTAL(9,Z31:AG31)</f>
        <v>0</v>
      </c>
      <c r="AI29" s="85"/>
      <c r="AJ29" s="84"/>
      <c r="AK29" s="84"/>
      <c r="AL29" s="82">
        <f>SUBTOTAL(9,AJ31:AK31)</f>
        <v>0</v>
      </c>
      <c r="AM29" s="83" t="s">
        <v>157</v>
      </c>
      <c r="AN29" s="83" t="s">
        <v>156</v>
      </c>
      <c r="AO29" s="83" t="s">
        <v>155</v>
      </c>
      <c r="AP29" s="83"/>
      <c r="AQ29" s="84"/>
      <c r="AR29" s="84"/>
      <c r="AS29" s="84"/>
      <c r="AT29" s="84"/>
      <c r="AU29" s="82">
        <f>SUBTOTAL(9,AM31:AT31)</f>
        <v>3</v>
      </c>
      <c r="AV29" s="76">
        <f>SUBTOTAL(9,AJ31:AT31)</f>
        <v>3</v>
      </c>
      <c r="AW29" s="81"/>
      <c r="AX29" s="80"/>
      <c r="AY29" s="80"/>
      <c r="AZ29" s="79"/>
      <c r="BA29" s="77" t="s">
        <v>154</v>
      </c>
      <c r="BB29" s="77" t="s">
        <v>137</v>
      </c>
      <c r="BC29" s="77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76">
        <f>SUBTOTAL(9,BA31:BU31)</f>
        <v>2</v>
      </c>
      <c r="BW29" s="78"/>
      <c r="BX29" s="84"/>
      <c r="BY29" s="84"/>
      <c r="BZ29" s="84"/>
      <c r="CA29" s="84"/>
      <c r="CB29" s="84"/>
      <c r="CC29" s="84"/>
      <c r="CD29" s="76">
        <f>SUBTOTAL(3,BX29:CC29)</f>
        <v>0</v>
      </c>
      <c r="CE29" s="75"/>
      <c r="CF29" s="74"/>
      <c r="CG29" s="74"/>
      <c r="CH29" s="73"/>
      <c r="CI29" s="71"/>
      <c r="CJ29" s="71"/>
      <c r="CK29" s="71"/>
      <c r="CL29" s="71"/>
      <c r="CM29" s="71"/>
      <c r="CN29" s="55" t="s">
        <v>1</v>
      </c>
      <c r="CO29" s="70"/>
      <c r="CP29" s="2"/>
    </row>
    <row r="30" spans="1:94" ht="11.25" customHeight="1" x14ac:dyDescent="0.25">
      <c r="A30" s="55" t="s">
        <v>1</v>
      </c>
      <c r="B30" s="69" t="s">
        <v>8</v>
      </c>
      <c r="C30" s="66"/>
      <c r="D30" s="66"/>
      <c r="E30" s="66"/>
      <c r="F30" s="66"/>
      <c r="G30" s="56">
        <f>SUBTOTAL(9,C30:F30)</f>
        <v>0</v>
      </c>
      <c r="H30" s="66"/>
      <c r="I30" s="56">
        <f>SUBTOTAL(9,H30:H30)</f>
        <v>0</v>
      </c>
      <c r="J30" s="66"/>
      <c r="K30" s="66"/>
      <c r="L30" s="66"/>
      <c r="M30" s="56">
        <f>SUBTOTAL(9,J30:L30)</f>
        <v>0</v>
      </c>
      <c r="N30" s="66"/>
      <c r="O30" s="66"/>
      <c r="P30" s="56">
        <f>SUBTOTAL(9,N30:O30)</f>
        <v>0</v>
      </c>
      <c r="Q30" s="56">
        <f>SUBTOTAL(9,C30:O30)</f>
        <v>0</v>
      </c>
      <c r="R30" s="64">
        <v>50</v>
      </c>
      <c r="S30" s="66"/>
      <c r="T30" s="68">
        <f>SUBTOTAL(9,S30:S30)</f>
        <v>0</v>
      </c>
      <c r="U30" s="67">
        <f>T30+IF($B26=2,0,U26)</f>
        <v>0</v>
      </c>
      <c r="V30" s="66"/>
      <c r="W30" s="66"/>
      <c r="X30" s="68">
        <f>SUBTOTAL(9,V30:W30)</f>
        <v>0</v>
      </c>
      <c r="Y30" s="67">
        <f>X30+IF($B26=2,0,Y26)</f>
        <v>90</v>
      </c>
      <c r="Z30" s="66"/>
      <c r="AA30" s="66"/>
      <c r="AB30" s="66"/>
      <c r="AC30" s="66"/>
      <c r="AD30" s="66"/>
      <c r="AE30" s="66"/>
      <c r="AF30" s="66"/>
      <c r="AG30" s="66"/>
      <c r="AH30" s="68">
        <f>SUBTOTAL(9,Z30:AG30)</f>
        <v>0</v>
      </c>
      <c r="AI30" s="67">
        <f>AH30+IF($B26=2,0,AI26)</f>
        <v>0</v>
      </c>
      <c r="AJ30" s="66"/>
      <c r="AK30" s="66"/>
      <c r="AL30" s="61">
        <f>SUBTOTAL(9,AJ30:AK30)</f>
        <v>0</v>
      </c>
      <c r="AM30" s="65">
        <v>21.7</v>
      </c>
      <c r="AN30" s="65">
        <v>20</v>
      </c>
      <c r="AO30" s="65">
        <v>73.400000000000006</v>
      </c>
      <c r="AP30" s="65">
        <v>5.5</v>
      </c>
      <c r="AQ30" s="66"/>
      <c r="AR30" s="66"/>
      <c r="AS30" s="66"/>
      <c r="AT30" s="66"/>
      <c r="AU30" s="61">
        <f>SUBTOTAL(9,AM30:AT30)</f>
        <v>120.60000000000001</v>
      </c>
      <c r="AV30" s="56">
        <f>SUBTOTAL(9,AJ30:AT30)</f>
        <v>120.60000000000001</v>
      </c>
      <c r="AW30" s="64">
        <f>AV30+IF($B26=2,0,AW26)</f>
        <v>201.60000000000002</v>
      </c>
      <c r="AX30" s="63"/>
      <c r="AY30" s="63"/>
      <c r="AZ30" s="62">
        <v>250</v>
      </c>
      <c r="BA30" s="60">
        <v>1.5</v>
      </c>
      <c r="BB30" s="60">
        <v>3.4</v>
      </c>
      <c r="BC30" s="60">
        <v>136.72800000000001</v>
      </c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56">
        <f>SUBTOTAL(9,BA30:BU30)</f>
        <v>141.62800000000001</v>
      </c>
      <c r="BW30" s="61">
        <f>BV30+IF($B26=2,0,BW26)</f>
        <v>316.64880000000005</v>
      </c>
      <c r="BX30" s="66"/>
      <c r="BY30" s="66"/>
      <c r="BZ30" s="66"/>
      <c r="CA30" s="66"/>
      <c r="CB30" s="66"/>
      <c r="CC30" s="66"/>
      <c r="CD30" s="56">
        <f>SUBTOTAL(9,BX30:CC30)</f>
        <v>0</v>
      </c>
      <c r="CE30" s="56">
        <f>CD30+IF($B26=2,0,CE26)</f>
        <v>0</v>
      </c>
      <c r="CF30" s="59"/>
      <c r="CG30" s="59"/>
      <c r="CH30" s="58">
        <f>SUMIF($C$5:CG$5,"Накопленный эффект, т/сут",$C30:CG30)+SUMIF($C$5:CG$5,"Нараст.  по потенциалу",$C30:CG30)-SUMIF($C$5:CG$5,"Нараст. по остановкам",$C30:CG30)-SUMIF($C$5:CG$5,"ИТОГО перевод в ППД",$C30:CG30)-SUMIF($C$5:CG$5,"ИТОГО  нерент, по распоряж.",$C30:CG30)-SUMIF($C$5:CG$5,"ИТОГО ост. дебит от ЗБС, Углуб., ПВЛГ/ПНЛГ",$C30:CG30)</f>
        <v>24.951199999999972</v>
      </c>
      <c r="CI30" s="56">
        <v>12.6</v>
      </c>
      <c r="CJ30" s="56">
        <v>21.2014053841445</v>
      </c>
      <c r="CK30" s="56">
        <v>57.215102502636697</v>
      </c>
      <c r="CL30" s="56">
        <v>1.6133771008362401</v>
      </c>
      <c r="CM30" s="56">
        <f>SUBTOTAL(9,CI30:CL30)</f>
        <v>92.629884987617444</v>
      </c>
      <c r="CN30" s="55" t="s">
        <v>1</v>
      </c>
      <c r="CO30" s="54">
        <f>CO$4+SUMIF($C$5:CM$5,"Нараст. по остановкам",$C30:CM30)-SUMIF($C$5:CM$5,"Нараст.  по потенциалу",$C30:CM30)</f>
        <v>791.14896228627504</v>
      </c>
      <c r="CP30" s="2"/>
    </row>
    <row r="31" spans="1:94" ht="1.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>
        <v>1</v>
      </c>
      <c r="AN31" s="3">
        <v>1</v>
      </c>
      <c r="AO31" s="3">
        <v>1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>
        <v>1</v>
      </c>
      <c r="BB31" s="3">
        <v>1</v>
      </c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2"/>
    </row>
    <row r="32" spans="1:94" ht="11.25" customHeight="1" x14ac:dyDescent="0.25">
      <c r="A32" s="107">
        <v>45357</v>
      </c>
      <c r="B32" s="106" t="s">
        <v>58</v>
      </c>
      <c r="C32" s="103"/>
      <c r="D32" s="103"/>
      <c r="E32" s="103"/>
      <c r="F32" s="103"/>
      <c r="G32" s="100">
        <v>50</v>
      </c>
      <c r="H32" s="103"/>
      <c r="I32" s="100">
        <v>0</v>
      </c>
      <c r="J32" s="103"/>
      <c r="K32" s="103"/>
      <c r="L32" s="103"/>
      <c r="M32" s="100">
        <v>0</v>
      </c>
      <c r="N32" s="103"/>
      <c r="O32" s="103"/>
      <c r="P32" s="100">
        <v>0</v>
      </c>
      <c r="Q32" s="100">
        <v>50</v>
      </c>
      <c r="R32" s="99"/>
      <c r="S32" s="103"/>
      <c r="T32" s="105"/>
      <c r="U32" s="104"/>
      <c r="V32" s="102" t="s">
        <v>45</v>
      </c>
      <c r="W32" s="102" t="s">
        <v>47</v>
      </c>
      <c r="X32" s="105"/>
      <c r="Y32" s="104"/>
      <c r="Z32" s="103"/>
      <c r="AA32" s="103"/>
      <c r="AB32" s="103"/>
      <c r="AC32" s="103"/>
      <c r="AD32" s="103"/>
      <c r="AE32" s="103"/>
      <c r="AF32" s="103"/>
      <c r="AG32" s="103"/>
      <c r="AH32" s="105"/>
      <c r="AI32" s="104"/>
      <c r="AJ32" s="103"/>
      <c r="AK32" s="103"/>
      <c r="AL32" s="101">
        <v>0</v>
      </c>
      <c r="AM32" s="102"/>
      <c r="AN32" s="103"/>
      <c r="AO32" s="103"/>
      <c r="AP32" s="103"/>
      <c r="AQ32" s="103"/>
      <c r="AR32" s="103"/>
      <c r="AS32" s="103"/>
      <c r="AT32" s="103"/>
      <c r="AU32" s="101">
        <v>208.19200000000001</v>
      </c>
      <c r="AV32" s="100">
        <v>208.19200000000001</v>
      </c>
      <c r="AW32" s="99"/>
      <c r="AX32" s="98"/>
      <c r="AY32" s="98"/>
      <c r="AZ32" s="97"/>
      <c r="BA32" s="95" t="s">
        <v>47</v>
      </c>
      <c r="BB32" s="95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94"/>
      <c r="BW32" s="96"/>
      <c r="BX32" s="103"/>
      <c r="BY32" s="103"/>
      <c r="BZ32" s="103"/>
      <c r="CA32" s="103"/>
      <c r="CB32" s="103"/>
      <c r="CC32" s="103"/>
      <c r="CD32" s="94"/>
      <c r="CE32" s="94"/>
      <c r="CF32" s="93"/>
      <c r="CG32" s="93"/>
      <c r="CH32" s="92"/>
      <c r="CI32" s="90"/>
      <c r="CJ32" s="90"/>
      <c r="CK32" s="90"/>
      <c r="CL32" s="90"/>
      <c r="CM32" s="90"/>
      <c r="CN32" s="89">
        <f>CN$4+SUMIF($C$5:CM$5,"Нараст. баланс",$C34:CM34)+SUMIF($C$7:CK$7,"Итого (с ВНР)",$C34:CK34)-SUMIF($C$5:CM$5,"Геол. снижение,  т/сут",$C34:CM34)-SUMIF(CL$7:CM$7,"Итого",CL34:CM34)-SUMIF($C$7:CM$7,"Итого (с ВСП)",$C34:CM34)</f>
        <v>30102.079581551541</v>
      </c>
      <c r="CO32" s="88"/>
      <c r="CP32" s="2"/>
    </row>
    <row r="33" spans="1:94" ht="11.25" customHeight="1" x14ac:dyDescent="0.25">
      <c r="A33" s="55" t="s">
        <v>1</v>
      </c>
      <c r="B33" s="87" t="s">
        <v>42</v>
      </c>
      <c r="C33" s="84"/>
      <c r="D33" s="84"/>
      <c r="E33" s="84"/>
      <c r="F33" s="84"/>
      <c r="G33" s="76">
        <v>0</v>
      </c>
      <c r="H33" s="84"/>
      <c r="I33" s="76">
        <v>0</v>
      </c>
      <c r="J33" s="84"/>
      <c r="K33" s="84"/>
      <c r="L33" s="84"/>
      <c r="M33" s="76">
        <v>0</v>
      </c>
      <c r="N33" s="84"/>
      <c r="O33" s="84"/>
      <c r="P33" s="76">
        <v>0</v>
      </c>
      <c r="Q33" s="76">
        <v>0</v>
      </c>
      <c r="R33" s="81"/>
      <c r="S33" s="84"/>
      <c r="T33" s="86">
        <f>SUBTOTAL(9,S35:S35)</f>
        <v>0</v>
      </c>
      <c r="U33" s="85"/>
      <c r="V33" s="83" t="s">
        <v>153</v>
      </c>
      <c r="W33" s="83" t="s">
        <v>152</v>
      </c>
      <c r="X33" s="86">
        <f>SUBTOTAL(9,V35:W35)</f>
        <v>2</v>
      </c>
      <c r="Y33" s="85"/>
      <c r="Z33" s="84"/>
      <c r="AA33" s="84"/>
      <c r="AB33" s="84"/>
      <c r="AC33" s="84"/>
      <c r="AD33" s="84"/>
      <c r="AE33" s="84"/>
      <c r="AF33" s="84"/>
      <c r="AG33" s="84"/>
      <c r="AH33" s="86">
        <f>SUBTOTAL(9,Z35:AG35)</f>
        <v>0</v>
      </c>
      <c r="AI33" s="85"/>
      <c r="AJ33" s="84"/>
      <c r="AK33" s="84"/>
      <c r="AL33" s="82">
        <f>SUBTOTAL(9,AJ35:AK35)</f>
        <v>0</v>
      </c>
      <c r="AM33" s="83"/>
      <c r="AN33" s="84"/>
      <c r="AO33" s="84"/>
      <c r="AP33" s="84"/>
      <c r="AQ33" s="84"/>
      <c r="AR33" s="84"/>
      <c r="AS33" s="84"/>
      <c r="AT33" s="84"/>
      <c r="AU33" s="82">
        <f>SUBTOTAL(9,AM35:AT35)</f>
        <v>0</v>
      </c>
      <c r="AV33" s="76">
        <f>SUBTOTAL(9,AJ35:AT35)</f>
        <v>0</v>
      </c>
      <c r="AW33" s="81"/>
      <c r="AX33" s="80"/>
      <c r="AY33" s="80"/>
      <c r="AZ33" s="79"/>
      <c r="BA33" s="77" t="s">
        <v>133</v>
      </c>
      <c r="BB33" s="77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76">
        <f>SUBTOTAL(9,BA35:BU35)</f>
        <v>1</v>
      </c>
      <c r="BW33" s="78"/>
      <c r="BX33" s="84"/>
      <c r="BY33" s="84"/>
      <c r="BZ33" s="84"/>
      <c r="CA33" s="84"/>
      <c r="CB33" s="84"/>
      <c r="CC33" s="84"/>
      <c r="CD33" s="76">
        <f>SUBTOTAL(3,BX33:CC33)</f>
        <v>0</v>
      </c>
      <c r="CE33" s="75"/>
      <c r="CF33" s="74"/>
      <c r="CG33" s="74"/>
      <c r="CH33" s="73"/>
      <c r="CI33" s="71"/>
      <c r="CJ33" s="71"/>
      <c r="CK33" s="71"/>
      <c r="CL33" s="71"/>
      <c r="CM33" s="71"/>
      <c r="CN33" s="55" t="s">
        <v>1</v>
      </c>
      <c r="CO33" s="70"/>
      <c r="CP33" s="2"/>
    </row>
    <row r="34" spans="1:94" ht="11.25" customHeight="1" x14ac:dyDescent="0.25">
      <c r="A34" s="55" t="s">
        <v>1</v>
      </c>
      <c r="B34" s="69" t="s">
        <v>8</v>
      </c>
      <c r="C34" s="66"/>
      <c r="D34" s="66"/>
      <c r="E34" s="66"/>
      <c r="F34" s="66"/>
      <c r="G34" s="56">
        <f>SUBTOTAL(9,C34:F34)</f>
        <v>0</v>
      </c>
      <c r="H34" s="66"/>
      <c r="I34" s="56">
        <f>SUBTOTAL(9,H34:H34)</f>
        <v>0</v>
      </c>
      <c r="J34" s="66"/>
      <c r="K34" s="66"/>
      <c r="L34" s="66"/>
      <c r="M34" s="56">
        <f>SUBTOTAL(9,J34:L34)</f>
        <v>0</v>
      </c>
      <c r="N34" s="66"/>
      <c r="O34" s="66"/>
      <c r="P34" s="56">
        <f>SUBTOTAL(9,N34:O34)</f>
        <v>0</v>
      </c>
      <c r="Q34" s="56">
        <f>SUBTOTAL(9,C34:O34)</f>
        <v>0</v>
      </c>
      <c r="R34" s="64">
        <v>50</v>
      </c>
      <c r="S34" s="66"/>
      <c r="T34" s="68">
        <f>SUBTOTAL(9,S34:S34)</f>
        <v>0</v>
      </c>
      <c r="U34" s="67">
        <f>T34+IF($B30=2,0,U30)</f>
        <v>0</v>
      </c>
      <c r="V34" s="65">
        <v>30</v>
      </c>
      <c r="W34" s="65">
        <v>30</v>
      </c>
      <c r="X34" s="68">
        <f>SUBTOTAL(9,V34:W34)</f>
        <v>60</v>
      </c>
      <c r="Y34" s="67">
        <f>X34+IF($B30=2,0,Y30)</f>
        <v>150</v>
      </c>
      <c r="Z34" s="66"/>
      <c r="AA34" s="66"/>
      <c r="AB34" s="66"/>
      <c r="AC34" s="66"/>
      <c r="AD34" s="66"/>
      <c r="AE34" s="66"/>
      <c r="AF34" s="66"/>
      <c r="AG34" s="66"/>
      <c r="AH34" s="68">
        <f>SUBTOTAL(9,Z34:AG34)</f>
        <v>0</v>
      </c>
      <c r="AI34" s="67">
        <f>AH34+IF($B30=2,0,AI30)</f>
        <v>0</v>
      </c>
      <c r="AJ34" s="66"/>
      <c r="AK34" s="66"/>
      <c r="AL34" s="61">
        <f>SUBTOTAL(9,AJ34:AK34)</f>
        <v>0</v>
      </c>
      <c r="AM34" s="65">
        <v>6.5919999999999996</v>
      </c>
      <c r="AN34" s="66"/>
      <c r="AO34" s="66"/>
      <c r="AP34" s="66"/>
      <c r="AQ34" s="66"/>
      <c r="AR34" s="66"/>
      <c r="AS34" s="66"/>
      <c r="AT34" s="66"/>
      <c r="AU34" s="61">
        <f>SUBTOTAL(9,AM34:AT34)</f>
        <v>6.5919999999999996</v>
      </c>
      <c r="AV34" s="56">
        <f>SUBTOTAL(9,AJ34:AT34)</f>
        <v>6.5919999999999996</v>
      </c>
      <c r="AW34" s="64">
        <f>AV34+IF($B30=2,0,AW30)</f>
        <v>208.19200000000004</v>
      </c>
      <c r="AX34" s="63"/>
      <c r="AY34" s="63"/>
      <c r="AZ34" s="62">
        <v>300</v>
      </c>
      <c r="BA34" s="60">
        <v>1.5</v>
      </c>
      <c r="BB34" s="60">
        <v>20.8964</v>
      </c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56">
        <f>SUBTOTAL(9,BA34:BU34)</f>
        <v>22.3964</v>
      </c>
      <c r="BW34" s="61">
        <f>BV34+IF($B30=2,0,BW30)</f>
        <v>339.04520000000002</v>
      </c>
      <c r="BX34" s="66"/>
      <c r="BY34" s="66"/>
      <c r="BZ34" s="66"/>
      <c r="CA34" s="66"/>
      <c r="CB34" s="66"/>
      <c r="CC34" s="66"/>
      <c r="CD34" s="56">
        <f>SUBTOTAL(9,BX34:CC34)</f>
        <v>0</v>
      </c>
      <c r="CE34" s="56">
        <f>CD34+IF($B30=2,0,CE30)</f>
        <v>0</v>
      </c>
      <c r="CF34" s="59"/>
      <c r="CG34" s="59"/>
      <c r="CH34" s="58">
        <f>SUMIF($C$5:CG$5,"Накопленный эффект, т/сут",$C34:CG34)+SUMIF($C$5:CG$5,"Нараст.  по потенциалу",$C34:CG34)-SUMIF($C$5:CG$5,"Нараст. по остановкам",$C34:CG34)-SUMIF($C$5:CG$5,"ИТОГО перевод в ППД",$C34:CG34)-SUMIF($C$5:CG$5,"ИТОГО  нерент, по распоряж.",$C34:CG34)-SUMIF($C$5:CG$5,"ИТОГО ост. дебит от ЗБС, Углуб., ПВЛГ/ПНЛГ",$C34:CG34)</f>
        <v>69.146799999999985</v>
      </c>
      <c r="CI34" s="56">
        <v>12.6</v>
      </c>
      <c r="CJ34" s="56">
        <v>34.0089184401658</v>
      </c>
      <c r="CK34" s="56">
        <v>166.54994889251</v>
      </c>
      <c r="CL34" s="56">
        <v>8.7493511157819004</v>
      </c>
      <c r="CM34" s="56">
        <f>SUBTOTAL(9,CI34:CL34)</f>
        <v>221.90821844845772</v>
      </c>
      <c r="CN34" s="55" t="s">
        <v>1</v>
      </c>
      <c r="CO34" s="54">
        <f>CO$4+SUMIF($C$5:CM$5,"Нараст. по остановкам",$C34:CM34)-SUMIF($C$5:CM$5,"Нараст.  по потенциалу",$C34:CM34)</f>
        <v>806.95336228627502</v>
      </c>
      <c r="CP34" s="2"/>
    </row>
    <row r="35" spans="1:94" ht="1.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1</v>
      </c>
      <c r="W35" s="3">
        <v>1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>
        <v>1</v>
      </c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2"/>
    </row>
    <row r="36" spans="1:94" ht="11.25" customHeight="1" x14ac:dyDescent="0.25">
      <c r="A36" s="107">
        <v>45358</v>
      </c>
      <c r="B36" s="106" t="s">
        <v>58</v>
      </c>
      <c r="C36" s="102" t="s">
        <v>56</v>
      </c>
      <c r="D36" s="103"/>
      <c r="E36" s="103"/>
      <c r="F36" s="103"/>
      <c r="G36" s="100">
        <v>400</v>
      </c>
      <c r="H36" s="103"/>
      <c r="I36" s="100">
        <v>0</v>
      </c>
      <c r="J36" s="103"/>
      <c r="K36" s="103"/>
      <c r="L36" s="103"/>
      <c r="M36" s="100">
        <v>0</v>
      </c>
      <c r="N36" s="103"/>
      <c r="O36" s="103"/>
      <c r="P36" s="100">
        <v>0</v>
      </c>
      <c r="Q36" s="100">
        <v>400</v>
      </c>
      <c r="R36" s="99"/>
      <c r="S36" s="103"/>
      <c r="T36" s="105"/>
      <c r="U36" s="104"/>
      <c r="V36" s="102" t="s">
        <v>47</v>
      </c>
      <c r="W36" s="103"/>
      <c r="X36" s="105"/>
      <c r="Y36" s="104"/>
      <c r="Z36" s="103"/>
      <c r="AA36" s="103"/>
      <c r="AB36" s="103"/>
      <c r="AC36" s="103"/>
      <c r="AD36" s="103"/>
      <c r="AE36" s="103"/>
      <c r="AF36" s="103"/>
      <c r="AG36" s="103"/>
      <c r="AH36" s="105"/>
      <c r="AI36" s="104"/>
      <c r="AJ36" s="103"/>
      <c r="AK36" s="103"/>
      <c r="AL36" s="101">
        <v>0</v>
      </c>
      <c r="AM36" s="102"/>
      <c r="AN36" s="103"/>
      <c r="AO36" s="103"/>
      <c r="AP36" s="103"/>
      <c r="AQ36" s="103"/>
      <c r="AR36" s="103"/>
      <c r="AS36" s="103"/>
      <c r="AT36" s="103"/>
      <c r="AU36" s="101">
        <v>227.99199999999999</v>
      </c>
      <c r="AV36" s="100">
        <v>227.99199999999999</v>
      </c>
      <c r="AW36" s="99"/>
      <c r="AX36" s="98"/>
      <c r="AY36" s="98"/>
      <c r="AZ36" s="97"/>
      <c r="BA36" s="95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94"/>
      <c r="BW36" s="96"/>
      <c r="BX36" s="103"/>
      <c r="BY36" s="103"/>
      <c r="BZ36" s="103"/>
      <c r="CA36" s="103"/>
      <c r="CB36" s="103"/>
      <c r="CC36" s="103"/>
      <c r="CD36" s="94"/>
      <c r="CE36" s="94"/>
      <c r="CF36" s="93"/>
      <c r="CG36" s="93"/>
      <c r="CH36" s="92"/>
      <c r="CI36" s="90"/>
      <c r="CJ36" s="90"/>
      <c r="CK36" s="90"/>
      <c r="CL36" s="90"/>
      <c r="CM36" s="90"/>
      <c r="CN36" s="89">
        <f>CN$4+SUMIF($C$5:CM$5,"Нараст. баланс",$C38:CM38)+SUMIF($C$7:CK$7,"Итого (с ВНР)",$C38:CK38)-SUMIF($C$5:CM$5,"Геол. снижение,  т/сут",$C38:CM38)-SUMIF(CL$7:CM$7,"Итого",CL38:CM38)-SUMIF($C$7:CM$7,"Итого (с ВСП)",$C38:CM38)</f>
        <v>30292.025101738738</v>
      </c>
      <c r="CO36" s="88"/>
      <c r="CP36" s="2"/>
    </row>
    <row r="37" spans="1:94" ht="11.25" customHeight="1" x14ac:dyDescent="0.25">
      <c r="A37" s="55" t="s">
        <v>1</v>
      </c>
      <c r="B37" s="87" t="s">
        <v>42</v>
      </c>
      <c r="C37" s="83" t="s">
        <v>151</v>
      </c>
      <c r="D37" s="84"/>
      <c r="E37" s="84"/>
      <c r="F37" s="84"/>
      <c r="G37" s="76">
        <v>1</v>
      </c>
      <c r="H37" s="84"/>
      <c r="I37" s="76">
        <v>0</v>
      </c>
      <c r="J37" s="84"/>
      <c r="K37" s="84"/>
      <c r="L37" s="84"/>
      <c r="M37" s="76">
        <v>0</v>
      </c>
      <c r="N37" s="84"/>
      <c r="O37" s="84"/>
      <c r="P37" s="76">
        <v>0</v>
      </c>
      <c r="Q37" s="76">
        <v>1</v>
      </c>
      <c r="R37" s="81"/>
      <c r="S37" s="84"/>
      <c r="T37" s="86">
        <f>SUBTOTAL(9,S39:S39)</f>
        <v>0</v>
      </c>
      <c r="U37" s="85"/>
      <c r="V37" s="83" t="s">
        <v>150</v>
      </c>
      <c r="W37" s="84"/>
      <c r="X37" s="86">
        <f>SUBTOTAL(9,V39:W39)</f>
        <v>1</v>
      </c>
      <c r="Y37" s="85"/>
      <c r="Z37" s="84"/>
      <c r="AA37" s="84"/>
      <c r="AB37" s="84"/>
      <c r="AC37" s="84"/>
      <c r="AD37" s="84"/>
      <c r="AE37" s="84"/>
      <c r="AF37" s="84"/>
      <c r="AG37" s="84"/>
      <c r="AH37" s="86">
        <f>SUBTOTAL(9,Z39:AG39)</f>
        <v>0</v>
      </c>
      <c r="AI37" s="85"/>
      <c r="AJ37" s="84"/>
      <c r="AK37" s="84"/>
      <c r="AL37" s="82">
        <f>SUBTOTAL(9,AJ39:AK39)</f>
        <v>0</v>
      </c>
      <c r="AM37" s="83"/>
      <c r="AN37" s="84"/>
      <c r="AO37" s="84"/>
      <c r="AP37" s="84"/>
      <c r="AQ37" s="84"/>
      <c r="AR37" s="84"/>
      <c r="AS37" s="84"/>
      <c r="AT37" s="84"/>
      <c r="AU37" s="82">
        <f>SUBTOTAL(9,AM39:AT39)</f>
        <v>0</v>
      </c>
      <c r="AV37" s="76">
        <f>SUBTOTAL(9,AJ39:AT39)</f>
        <v>0</v>
      </c>
      <c r="AW37" s="81"/>
      <c r="AX37" s="80"/>
      <c r="AY37" s="80"/>
      <c r="AZ37" s="79"/>
      <c r="BA37" s="77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76">
        <f>SUBTOTAL(9,BA39:BU39)</f>
        <v>0</v>
      </c>
      <c r="BW37" s="78"/>
      <c r="BX37" s="84"/>
      <c r="BY37" s="84"/>
      <c r="BZ37" s="84"/>
      <c r="CA37" s="84"/>
      <c r="CB37" s="84"/>
      <c r="CC37" s="84"/>
      <c r="CD37" s="76">
        <f>SUBTOTAL(3,BX37:CC37)</f>
        <v>0</v>
      </c>
      <c r="CE37" s="75"/>
      <c r="CF37" s="74"/>
      <c r="CG37" s="74"/>
      <c r="CH37" s="73"/>
      <c r="CI37" s="71"/>
      <c r="CJ37" s="71"/>
      <c r="CK37" s="71"/>
      <c r="CL37" s="71"/>
      <c r="CM37" s="71"/>
      <c r="CN37" s="55" t="s">
        <v>1</v>
      </c>
      <c r="CO37" s="70"/>
      <c r="CP37" s="2"/>
    </row>
    <row r="38" spans="1:94" ht="11.25" customHeight="1" x14ac:dyDescent="0.25">
      <c r="A38" s="55" t="s">
        <v>1</v>
      </c>
      <c r="B38" s="69" t="s">
        <v>8</v>
      </c>
      <c r="C38" s="65">
        <v>350</v>
      </c>
      <c r="D38" s="66"/>
      <c r="E38" s="66"/>
      <c r="F38" s="66"/>
      <c r="G38" s="56">
        <f>SUBTOTAL(9,C38:F38)</f>
        <v>350</v>
      </c>
      <c r="H38" s="66"/>
      <c r="I38" s="56">
        <f>SUBTOTAL(9,H38:H38)</f>
        <v>0</v>
      </c>
      <c r="J38" s="66"/>
      <c r="K38" s="66"/>
      <c r="L38" s="66"/>
      <c r="M38" s="56">
        <f>SUBTOTAL(9,J38:L38)</f>
        <v>0</v>
      </c>
      <c r="N38" s="66"/>
      <c r="O38" s="66"/>
      <c r="P38" s="56">
        <f>SUBTOTAL(9,N38:O38)</f>
        <v>0</v>
      </c>
      <c r="Q38" s="56">
        <f>SUBTOTAL(9,C38:O38)</f>
        <v>350</v>
      </c>
      <c r="R38" s="64">
        <v>400</v>
      </c>
      <c r="S38" s="66"/>
      <c r="T38" s="68">
        <f>SUBTOTAL(9,S38:S38)</f>
        <v>0</v>
      </c>
      <c r="U38" s="67">
        <f>T38+IF($B34=2,0,U34)</f>
        <v>0</v>
      </c>
      <c r="V38" s="65">
        <v>20</v>
      </c>
      <c r="W38" s="66"/>
      <c r="X38" s="68">
        <f>SUBTOTAL(9,V38:W38)</f>
        <v>20</v>
      </c>
      <c r="Y38" s="67">
        <f>X38+IF($B34=2,0,Y34)</f>
        <v>170</v>
      </c>
      <c r="Z38" s="66"/>
      <c r="AA38" s="66"/>
      <c r="AB38" s="66"/>
      <c r="AC38" s="66"/>
      <c r="AD38" s="66"/>
      <c r="AE38" s="66"/>
      <c r="AF38" s="66"/>
      <c r="AG38" s="66"/>
      <c r="AH38" s="68">
        <f>SUBTOTAL(9,Z38:AG38)</f>
        <v>0</v>
      </c>
      <c r="AI38" s="67">
        <f>AH38+IF($B34=2,0,AI34)</f>
        <v>0</v>
      </c>
      <c r="AJ38" s="66"/>
      <c r="AK38" s="66"/>
      <c r="AL38" s="61">
        <f>SUBTOTAL(9,AJ38:AK38)</f>
        <v>0</v>
      </c>
      <c r="AM38" s="65">
        <v>19.8</v>
      </c>
      <c r="AN38" s="66"/>
      <c r="AO38" s="66"/>
      <c r="AP38" s="66"/>
      <c r="AQ38" s="66"/>
      <c r="AR38" s="66"/>
      <c r="AS38" s="66"/>
      <c r="AT38" s="66"/>
      <c r="AU38" s="61">
        <f>SUBTOTAL(9,AM38:AT38)</f>
        <v>19.8</v>
      </c>
      <c r="AV38" s="56">
        <f>SUBTOTAL(9,AJ38:AT38)</f>
        <v>19.8</v>
      </c>
      <c r="AW38" s="64">
        <f>AV38+IF($B34=2,0,AW34)</f>
        <v>227.99200000000005</v>
      </c>
      <c r="AX38" s="63"/>
      <c r="AY38" s="63"/>
      <c r="AZ38" s="62">
        <v>350</v>
      </c>
      <c r="BA38" s="60">
        <v>30.1</v>
      </c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56">
        <f>SUBTOTAL(9,BA38:BU38)</f>
        <v>30.1</v>
      </c>
      <c r="BW38" s="61">
        <f>BV38+IF($B34=2,0,BW34)</f>
        <v>369.14520000000005</v>
      </c>
      <c r="BX38" s="66"/>
      <c r="BY38" s="66"/>
      <c r="BZ38" s="66"/>
      <c r="CA38" s="66"/>
      <c r="CB38" s="66"/>
      <c r="CC38" s="66"/>
      <c r="CD38" s="56">
        <f>SUBTOTAL(9,BX38:CC38)</f>
        <v>0</v>
      </c>
      <c r="CE38" s="56">
        <f>CD38+IF($B34=2,0,CE34)</f>
        <v>0</v>
      </c>
      <c r="CF38" s="59">
        <v>212.28</v>
      </c>
      <c r="CG38" s="59">
        <v>212.28</v>
      </c>
      <c r="CH38" s="58">
        <f>SUMIF($C$5:CG$5,"Накопленный эффект, т/сут",$C38:CG38)+SUMIF($C$5:CG$5,"Нараст.  по потенциалу",$C38:CG38)-SUMIF($C$5:CG$5,"Нараст. по остановкам",$C38:CG38)-SUMIF($C$5:CG$5,"ИТОГО перевод в ППД",$C38:CG38)-SUMIF($C$5:CG$5,"ИТОГО  нерент, по распоряж.",$C38:CG38)-SUMIF($C$5:CG$5,"ИТОГО ост. дебит от ЗБС, Углуб., ПВЛГ/ПНЛГ",$C38:CG38)</f>
        <v>428.84680000000003</v>
      </c>
      <c r="CI38" s="56">
        <v>12.6</v>
      </c>
      <c r="CJ38" s="56">
        <v>12.272178736894</v>
      </c>
      <c r="CK38" s="56">
        <v>102.851375420238</v>
      </c>
      <c r="CL38" s="56">
        <v>1.65914410412901</v>
      </c>
      <c r="CM38" s="56">
        <f>SUBTOTAL(9,CI38:CL38)</f>
        <v>129.382698261261</v>
      </c>
      <c r="CN38" s="55" t="s">
        <v>1</v>
      </c>
      <c r="CO38" s="54">
        <f>CO$4+SUMIF($C$5:CM$5,"Нараст. по остановкам",$C38:CM38)-SUMIF($C$5:CM$5,"Нараст.  по потенциалу",$C38:CM38)</f>
        <v>817.25336228627486</v>
      </c>
      <c r="CP38" s="2"/>
    </row>
    <row r="39" spans="1:94" ht="1.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2"/>
    </row>
    <row r="40" spans="1:94" ht="11.25" customHeight="1" x14ac:dyDescent="0.25">
      <c r="A40" s="107">
        <v>45359</v>
      </c>
      <c r="B40" s="106" t="s">
        <v>58</v>
      </c>
      <c r="C40" s="103"/>
      <c r="D40" s="103"/>
      <c r="E40" s="103"/>
      <c r="F40" s="103"/>
      <c r="G40" s="100">
        <v>400</v>
      </c>
      <c r="H40" s="103"/>
      <c r="I40" s="100">
        <v>0</v>
      </c>
      <c r="J40" s="102" t="s">
        <v>47</v>
      </c>
      <c r="K40" s="103"/>
      <c r="L40" s="103"/>
      <c r="M40" s="100">
        <v>20</v>
      </c>
      <c r="N40" s="103"/>
      <c r="O40" s="103"/>
      <c r="P40" s="100">
        <v>0</v>
      </c>
      <c r="Q40" s="100">
        <v>420</v>
      </c>
      <c r="R40" s="99"/>
      <c r="S40" s="103"/>
      <c r="T40" s="105"/>
      <c r="U40" s="104"/>
      <c r="V40" s="103"/>
      <c r="W40" s="103"/>
      <c r="X40" s="105"/>
      <c r="Y40" s="104"/>
      <c r="Z40" s="103"/>
      <c r="AA40" s="103"/>
      <c r="AB40" s="103"/>
      <c r="AC40" s="103"/>
      <c r="AD40" s="103"/>
      <c r="AE40" s="103"/>
      <c r="AF40" s="103"/>
      <c r="AG40" s="103"/>
      <c r="AH40" s="105"/>
      <c r="AI40" s="104"/>
      <c r="AJ40" s="103"/>
      <c r="AK40" s="103"/>
      <c r="AL40" s="101">
        <v>0</v>
      </c>
      <c r="AM40" s="102"/>
      <c r="AN40" s="103"/>
      <c r="AO40" s="103"/>
      <c r="AP40" s="103"/>
      <c r="AQ40" s="103"/>
      <c r="AR40" s="103"/>
      <c r="AS40" s="103"/>
      <c r="AT40" s="103"/>
      <c r="AU40" s="101">
        <v>253.32599999999999</v>
      </c>
      <c r="AV40" s="100">
        <v>253.32599999999999</v>
      </c>
      <c r="AW40" s="99"/>
      <c r="AX40" s="98"/>
      <c r="AY40" s="98"/>
      <c r="AZ40" s="97"/>
      <c r="BA40" s="95" t="s">
        <v>55</v>
      </c>
      <c r="BB40" s="95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94"/>
      <c r="BW40" s="96"/>
      <c r="BX40" s="103"/>
      <c r="BY40" s="103"/>
      <c r="BZ40" s="103"/>
      <c r="CA40" s="103"/>
      <c r="CB40" s="103"/>
      <c r="CC40" s="103"/>
      <c r="CD40" s="94"/>
      <c r="CE40" s="94"/>
      <c r="CF40" s="93"/>
      <c r="CG40" s="93"/>
      <c r="CH40" s="92"/>
      <c r="CI40" s="90"/>
      <c r="CJ40" s="90"/>
      <c r="CK40" s="91"/>
      <c r="CL40" s="90"/>
      <c r="CM40" s="90"/>
      <c r="CN40" s="89">
        <f>CN$4+SUMIF($C$5:CM$5,"Нараст. баланс",$C42:CM42)+SUMIF($C$7:CK$7,"Итого (с ВНР)",$C42:CK42)-SUMIF($C$5:CM$5,"Геол. снижение,  т/сут",$C42:CM42)-SUMIF(CL$7:CM$7,"Итого",CL42:CM42)-SUMIF($C$7:CM$7,"Итого (с ВСП)",$C42:CM42)</f>
        <v>30351.54230510339</v>
      </c>
      <c r="CO40" s="88"/>
      <c r="CP40" s="2"/>
    </row>
    <row r="41" spans="1:94" ht="11.25" customHeight="1" x14ac:dyDescent="0.25">
      <c r="A41" s="55" t="s">
        <v>1</v>
      </c>
      <c r="B41" s="87" t="s">
        <v>42</v>
      </c>
      <c r="C41" s="84"/>
      <c r="D41" s="84"/>
      <c r="E41" s="84"/>
      <c r="F41" s="84"/>
      <c r="G41" s="76">
        <v>0</v>
      </c>
      <c r="H41" s="84"/>
      <c r="I41" s="76">
        <v>0</v>
      </c>
      <c r="J41" s="83" t="s">
        <v>149</v>
      </c>
      <c r="K41" s="84"/>
      <c r="L41" s="84"/>
      <c r="M41" s="76">
        <v>1</v>
      </c>
      <c r="N41" s="84"/>
      <c r="O41" s="84"/>
      <c r="P41" s="76">
        <v>0</v>
      </c>
      <c r="Q41" s="76">
        <v>1</v>
      </c>
      <c r="R41" s="81"/>
      <c r="S41" s="84"/>
      <c r="T41" s="86">
        <f>SUBTOTAL(9,S43:S43)</f>
        <v>0</v>
      </c>
      <c r="U41" s="85"/>
      <c r="V41" s="84"/>
      <c r="W41" s="84"/>
      <c r="X41" s="86">
        <f>SUBTOTAL(9,V43:W43)</f>
        <v>0</v>
      </c>
      <c r="Y41" s="85"/>
      <c r="Z41" s="84"/>
      <c r="AA41" s="84"/>
      <c r="AB41" s="84"/>
      <c r="AC41" s="84"/>
      <c r="AD41" s="84"/>
      <c r="AE41" s="84"/>
      <c r="AF41" s="84"/>
      <c r="AG41" s="84"/>
      <c r="AH41" s="86">
        <f>SUBTOTAL(9,Z43:AG43)</f>
        <v>0</v>
      </c>
      <c r="AI41" s="85"/>
      <c r="AJ41" s="84"/>
      <c r="AK41" s="84"/>
      <c r="AL41" s="82">
        <f>SUBTOTAL(9,AJ43:AK43)</f>
        <v>0</v>
      </c>
      <c r="AM41" s="83"/>
      <c r="AN41" s="84"/>
      <c r="AO41" s="84"/>
      <c r="AP41" s="84"/>
      <c r="AQ41" s="84"/>
      <c r="AR41" s="84"/>
      <c r="AS41" s="84"/>
      <c r="AT41" s="84"/>
      <c r="AU41" s="82">
        <f>SUBTOTAL(9,AM43:AT43)</f>
        <v>0</v>
      </c>
      <c r="AV41" s="76">
        <f>SUBTOTAL(9,AJ43:AT43)</f>
        <v>0</v>
      </c>
      <c r="AW41" s="81"/>
      <c r="AX41" s="80"/>
      <c r="AY41" s="80"/>
      <c r="AZ41" s="79"/>
      <c r="BA41" s="77" t="s">
        <v>126</v>
      </c>
      <c r="BB41" s="77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76">
        <f>SUBTOTAL(9,BA43:BU43)</f>
        <v>1</v>
      </c>
      <c r="BW41" s="78"/>
      <c r="BX41" s="84"/>
      <c r="BY41" s="84"/>
      <c r="BZ41" s="84"/>
      <c r="CA41" s="84"/>
      <c r="CB41" s="84"/>
      <c r="CC41" s="84"/>
      <c r="CD41" s="76">
        <f>SUBTOTAL(3,BX41:CC41)</f>
        <v>0</v>
      </c>
      <c r="CE41" s="75"/>
      <c r="CF41" s="74"/>
      <c r="CG41" s="74"/>
      <c r="CH41" s="73"/>
      <c r="CI41" s="71"/>
      <c r="CJ41" s="71"/>
      <c r="CK41" s="72"/>
      <c r="CL41" s="71"/>
      <c r="CM41" s="71"/>
      <c r="CN41" s="55" t="s">
        <v>1</v>
      </c>
      <c r="CO41" s="70"/>
      <c r="CP41" s="2"/>
    </row>
    <row r="42" spans="1:94" ht="11.25" customHeight="1" x14ac:dyDescent="0.25">
      <c r="A42" s="55" t="s">
        <v>1</v>
      </c>
      <c r="B42" s="69" t="s">
        <v>8</v>
      </c>
      <c r="C42" s="66"/>
      <c r="D42" s="66"/>
      <c r="E42" s="66"/>
      <c r="F42" s="66"/>
      <c r="G42" s="56">
        <f>SUBTOTAL(9,C42:F42)</f>
        <v>0</v>
      </c>
      <c r="H42" s="66"/>
      <c r="I42" s="56">
        <f>SUBTOTAL(9,H42:H42)</f>
        <v>0</v>
      </c>
      <c r="J42" s="65">
        <v>20</v>
      </c>
      <c r="K42" s="66"/>
      <c r="L42" s="66"/>
      <c r="M42" s="56">
        <f>SUBTOTAL(9,J42:L42)</f>
        <v>20</v>
      </c>
      <c r="N42" s="66"/>
      <c r="O42" s="66"/>
      <c r="P42" s="56">
        <f>SUBTOTAL(9,N42:O42)</f>
        <v>0</v>
      </c>
      <c r="Q42" s="56">
        <f>SUBTOTAL(9,C42:O42)</f>
        <v>20</v>
      </c>
      <c r="R42" s="64">
        <v>420</v>
      </c>
      <c r="S42" s="66"/>
      <c r="T42" s="68">
        <f>SUBTOTAL(9,S42:S42)</f>
        <v>0</v>
      </c>
      <c r="U42" s="67">
        <f>T42+IF($B38=2,0,U38)</f>
        <v>0</v>
      </c>
      <c r="V42" s="66"/>
      <c r="W42" s="66"/>
      <c r="X42" s="68">
        <f>SUBTOTAL(9,V42:W42)</f>
        <v>0</v>
      </c>
      <c r="Y42" s="67">
        <f>X42+IF($B38=2,0,Y38)</f>
        <v>170</v>
      </c>
      <c r="Z42" s="66"/>
      <c r="AA42" s="66"/>
      <c r="AB42" s="66"/>
      <c r="AC42" s="66"/>
      <c r="AD42" s="66"/>
      <c r="AE42" s="66"/>
      <c r="AF42" s="66"/>
      <c r="AG42" s="66"/>
      <c r="AH42" s="68">
        <f>SUBTOTAL(9,Z42:AG42)</f>
        <v>0</v>
      </c>
      <c r="AI42" s="67">
        <f>AH42+IF($B38=2,0,AI38)</f>
        <v>0</v>
      </c>
      <c r="AJ42" s="66"/>
      <c r="AK42" s="66"/>
      <c r="AL42" s="61">
        <f>SUBTOTAL(9,AJ42:AK42)</f>
        <v>0</v>
      </c>
      <c r="AM42" s="65">
        <v>25.334</v>
      </c>
      <c r="AN42" s="66"/>
      <c r="AO42" s="66"/>
      <c r="AP42" s="66"/>
      <c r="AQ42" s="66"/>
      <c r="AR42" s="66"/>
      <c r="AS42" s="66"/>
      <c r="AT42" s="66"/>
      <c r="AU42" s="61">
        <f>SUBTOTAL(9,AM42:AT42)</f>
        <v>25.334</v>
      </c>
      <c r="AV42" s="56">
        <f>SUBTOTAL(9,AJ42:AT42)</f>
        <v>25.334</v>
      </c>
      <c r="AW42" s="64">
        <f>AV42+IF($B38=2,0,AW38)</f>
        <v>253.32600000000005</v>
      </c>
      <c r="AX42" s="63"/>
      <c r="AY42" s="63"/>
      <c r="AZ42" s="62">
        <v>400</v>
      </c>
      <c r="BA42" s="60">
        <v>9.6</v>
      </c>
      <c r="BB42" s="60">
        <v>25.992799999999999</v>
      </c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56">
        <f>SUBTOTAL(9,BA42:BU42)</f>
        <v>35.592799999999997</v>
      </c>
      <c r="BW42" s="61">
        <f>BV42+IF($B38=2,0,BW38)</f>
        <v>404.73800000000006</v>
      </c>
      <c r="BX42" s="66"/>
      <c r="BY42" s="66"/>
      <c r="BZ42" s="66"/>
      <c r="CA42" s="66"/>
      <c r="CB42" s="66"/>
      <c r="CC42" s="66"/>
      <c r="CD42" s="56">
        <f>SUBTOTAL(9,BX42:CC42)</f>
        <v>0</v>
      </c>
      <c r="CE42" s="56">
        <f>CD42+IF($B38=2,0,CE38)</f>
        <v>0</v>
      </c>
      <c r="CF42" s="59">
        <v>25.16</v>
      </c>
      <c r="CG42" s="59">
        <v>25.16</v>
      </c>
      <c r="CH42" s="58">
        <f>SUMIF($C$5:CG$5,"Накопленный эффект, т/сут",$C42:CG42)+SUMIF($C$5:CG$5,"Нараст.  по потенциалу",$C42:CG42)-SUMIF($C$5:CG$5,"Нараст. по остановкам",$C42:CG42)-SUMIF($C$5:CG$5,"ИТОГО перевод в ППД",$C42:CG42)-SUMIF($C$5:CG$5,"ИТОГО  нерент, по распоряж.",$C42:CG42)-SUMIF($C$5:CG$5,"ИТОГО ост. дебит от ЗБС, Углуб., ПВЛГ/ПНЛГ",$C42:CG42)</f>
        <v>438.58799999999997</v>
      </c>
      <c r="CI42" s="56">
        <v>12.6</v>
      </c>
      <c r="CJ42" s="56">
        <v>182.15902074001499</v>
      </c>
      <c r="CK42" s="57"/>
      <c r="CL42" s="56">
        <v>21.9676741565962</v>
      </c>
      <c r="CM42" s="56">
        <f>SUBTOTAL(9,CI42:CL42)</f>
        <v>216.72669489661118</v>
      </c>
      <c r="CN42" s="55" t="s">
        <v>1</v>
      </c>
      <c r="CO42" s="54">
        <f>CO$4+SUMIF($C$5:CM$5,"Нараст. по остановкам",$C42:CM42)-SUMIF($C$5:CM$5,"Нараст.  по потенциалу",$C42:CM42)</f>
        <v>827.51216228627504</v>
      </c>
      <c r="CP42" s="2"/>
    </row>
    <row r="43" spans="1:94" ht="1.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>
        <v>1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2"/>
    </row>
    <row r="44" spans="1:94" ht="11.25" customHeight="1" x14ac:dyDescent="0.25">
      <c r="A44" s="107">
        <v>45360</v>
      </c>
      <c r="B44" s="106" t="s">
        <v>58</v>
      </c>
      <c r="C44" s="103"/>
      <c r="D44" s="103"/>
      <c r="E44" s="103"/>
      <c r="F44" s="103"/>
      <c r="G44" s="100">
        <v>400</v>
      </c>
      <c r="H44" s="103"/>
      <c r="I44" s="100">
        <v>0</v>
      </c>
      <c r="J44" s="102" t="s">
        <v>79</v>
      </c>
      <c r="K44" s="103"/>
      <c r="L44" s="103"/>
      <c r="M44" s="100">
        <v>30</v>
      </c>
      <c r="N44" s="103"/>
      <c r="O44" s="103"/>
      <c r="P44" s="100">
        <v>0</v>
      </c>
      <c r="Q44" s="100">
        <v>430</v>
      </c>
      <c r="R44" s="99"/>
      <c r="S44" s="103"/>
      <c r="T44" s="105"/>
      <c r="U44" s="104"/>
      <c r="V44" s="103"/>
      <c r="W44" s="103"/>
      <c r="X44" s="105"/>
      <c r="Y44" s="104"/>
      <c r="Z44" s="102" t="s">
        <v>55</v>
      </c>
      <c r="AA44" s="102" t="s">
        <v>79</v>
      </c>
      <c r="AB44" s="103"/>
      <c r="AC44" s="103"/>
      <c r="AD44" s="103"/>
      <c r="AE44" s="103"/>
      <c r="AF44" s="103"/>
      <c r="AG44" s="103"/>
      <c r="AH44" s="105"/>
      <c r="AI44" s="104"/>
      <c r="AJ44" s="103"/>
      <c r="AK44" s="103"/>
      <c r="AL44" s="101">
        <v>0</v>
      </c>
      <c r="AM44" s="102" t="s">
        <v>52</v>
      </c>
      <c r="AN44" s="102" t="s">
        <v>47</v>
      </c>
      <c r="AO44" s="103"/>
      <c r="AP44" s="103"/>
      <c r="AQ44" s="103"/>
      <c r="AR44" s="103"/>
      <c r="AS44" s="103"/>
      <c r="AT44" s="103"/>
      <c r="AU44" s="101">
        <v>262.82600000000002</v>
      </c>
      <c r="AV44" s="100">
        <v>262.82600000000002</v>
      </c>
      <c r="AW44" s="99"/>
      <c r="AX44" s="98"/>
      <c r="AY44" s="98"/>
      <c r="AZ44" s="97"/>
      <c r="BA44" s="95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94"/>
      <c r="BW44" s="96"/>
      <c r="BX44" s="103"/>
      <c r="BY44" s="103"/>
      <c r="BZ44" s="103"/>
      <c r="CA44" s="103"/>
      <c r="CB44" s="103"/>
      <c r="CC44" s="103"/>
      <c r="CD44" s="94"/>
      <c r="CE44" s="94"/>
      <c r="CF44" s="93"/>
      <c r="CG44" s="93"/>
      <c r="CH44" s="92"/>
      <c r="CI44" s="90"/>
      <c r="CJ44" s="90"/>
      <c r="CK44" s="91"/>
      <c r="CL44" s="90"/>
      <c r="CM44" s="90"/>
      <c r="CN44" s="89">
        <f>CN$4+SUMIF($C$5:CM$5,"Нараст. баланс",$C46:CM46)+SUMIF($C$7:CK$7,"Итого (с ВНР)",$C46:CK46)-SUMIF($C$5:CM$5,"Геол. снижение,  т/сут",$C46:CM46)-SUMIF(CL$7:CM$7,"Итого",CL46:CM46)-SUMIF($C$7:CM$7,"Итого (с ВСП)",$C46:CM46)</f>
        <v>30366.001398029919</v>
      </c>
      <c r="CO44" s="88"/>
      <c r="CP44" s="2"/>
    </row>
    <row r="45" spans="1:94" ht="11.25" customHeight="1" x14ac:dyDescent="0.25">
      <c r="A45" s="55" t="s">
        <v>1</v>
      </c>
      <c r="B45" s="87" t="s">
        <v>42</v>
      </c>
      <c r="C45" s="84"/>
      <c r="D45" s="84"/>
      <c r="E45" s="84"/>
      <c r="F45" s="84"/>
      <c r="G45" s="76">
        <v>0</v>
      </c>
      <c r="H45" s="84"/>
      <c r="I45" s="76">
        <v>0</v>
      </c>
      <c r="J45" s="83" t="s">
        <v>147</v>
      </c>
      <c r="K45" s="84"/>
      <c r="L45" s="84"/>
      <c r="M45" s="76">
        <v>1</v>
      </c>
      <c r="N45" s="84"/>
      <c r="O45" s="84"/>
      <c r="P45" s="76">
        <v>0</v>
      </c>
      <c r="Q45" s="76">
        <v>1</v>
      </c>
      <c r="R45" s="81"/>
      <c r="S45" s="84"/>
      <c r="T45" s="86">
        <f>SUBTOTAL(9,S47:S47)</f>
        <v>0</v>
      </c>
      <c r="U45" s="85"/>
      <c r="V45" s="84"/>
      <c r="W45" s="84"/>
      <c r="X45" s="86">
        <f>SUBTOTAL(9,V47:W47)</f>
        <v>0</v>
      </c>
      <c r="Y45" s="85"/>
      <c r="Z45" s="83" t="s">
        <v>148</v>
      </c>
      <c r="AA45" s="83" t="s">
        <v>147</v>
      </c>
      <c r="AB45" s="84"/>
      <c r="AC45" s="84"/>
      <c r="AD45" s="84"/>
      <c r="AE45" s="84"/>
      <c r="AF45" s="84"/>
      <c r="AG45" s="84"/>
      <c r="AH45" s="86">
        <f>SUBTOTAL(9,Z47:AG47)</f>
        <v>2</v>
      </c>
      <c r="AI45" s="85"/>
      <c r="AJ45" s="84"/>
      <c r="AK45" s="84"/>
      <c r="AL45" s="82">
        <f>SUBTOTAL(9,AJ47:AK47)</f>
        <v>0</v>
      </c>
      <c r="AM45" s="83" t="s">
        <v>146</v>
      </c>
      <c r="AN45" s="83" t="s">
        <v>145</v>
      </c>
      <c r="AO45" s="84"/>
      <c r="AP45" s="84"/>
      <c r="AQ45" s="84"/>
      <c r="AR45" s="84"/>
      <c r="AS45" s="84"/>
      <c r="AT45" s="84"/>
      <c r="AU45" s="82">
        <f>SUBTOTAL(9,AM47:AT47)</f>
        <v>2</v>
      </c>
      <c r="AV45" s="76">
        <f>SUBTOTAL(9,AJ47:AT47)</f>
        <v>2</v>
      </c>
      <c r="AW45" s="81"/>
      <c r="AX45" s="80"/>
      <c r="AY45" s="80"/>
      <c r="AZ45" s="79"/>
      <c r="BA45" s="77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76">
        <f>SUBTOTAL(9,BA47:BU47)</f>
        <v>0</v>
      </c>
      <c r="BW45" s="78"/>
      <c r="BX45" s="84"/>
      <c r="BY45" s="84"/>
      <c r="BZ45" s="84"/>
      <c r="CA45" s="84"/>
      <c r="CB45" s="84"/>
      <c r="CC45" s="84"/>
      <c r="CD45" s="76">
        <f>SUBTOTAL(3,BX45:CC45)</f>
        <v>0</v>
      </c>
      <c r="CE45" s="75"/>
      <c r="CF45" s="74"/>
      <c r="CG45" s="74"/>
      <c r="CH45" s="73"/>
      <c r="CI45" s="71"/>
      <c r="CJ45" s="71"/>
      <c r="CK45" s="72"/>
      <c r="CL45" s="71"/>
      <c r="CM45" s="71"/>
      <c r="CN45" s="55" t="s">
        <v>1</v>
      </c>
      <c r="CO45" s="70"/>
      <c r="CP45" s="2"/>
    </row>
    <row r="46" spans="1:94" ht="11.25" customHeight="1" x14ac:dyDescent="0.25">
      <c r="A46" s="55" t="s">
        <v>1</v>
      </c>
      <c r="B46" s="69" t="s">
        <v>8</v>
      </c>
      <c r="C46" s="66"/>
      <c r="D46" s="66"/>
      <c r="E46" s="66"/>
      <c r="F46" s="66"/>
      <c r="G46" s="56">
        <f>SUBTOTAL(9,C46:F46)</f>
        <v>0</v>
      </c>
      <c r="H46" s="66"/>
      <c r="I46" s="56">
        <f>SUBTOTAL(9,H46:H46)</f>
        <v>0</v>
      </c>
      <c r="J46" s="65">
        <v>10</v>
      </c>
      <c r="K46" s="66"/>
      <c r="L46" s="66"/>
      <c r="M46" s="56">
        <f>SUBTOTAL(9,J46:L46)</f>
        <v>10</v>
      </c>
      <c r="N46" s="66"/>
      <c r="O46" s="66"/>
      <c r="P46" s="56">
        <f>SUBTOTAL(9,N46:O46)</f>
        <v>0</v>
      </c>
      <c r="Q46" s="56">
        <f>SUBTOTAL(9,C46:O46)</f>
        <v>10</v>
      </c>
      <c r="R46" s="64">
        <v>430</v>
      </c>
      <c r="S46" s="66"/>
      <c r="T46" s="68">
        <f>SUBTOTAL(9,S46:S46)</f>
        <v>0</v>
      </c>
      <c r="U46" s="67">
        <f>T46+IF($B42=2,0,U42)</f>
        <v>0</v>
      </c>
      <c r="V46" s="66"/>
      <c r="W46" s="66"/>
      <c r="X46" s="68">
        <f>SUBTOTAL(9,V46:W46)</f>
        <v>0</v>
      </c>
      <c r="Y46" s="67">
        <f>X46+IF($B42=2,0,Y42)</f>
        <v>170</v>
      </c>
      <c r="Z46" s="65">
        <v>5</v>
      </c>
      <c r="AA46" s="65">
        <v>14.7</v>
      </c>
      <c r="AB46" s="66"/>
      <c r="AC46" s="66"/>
      <c r="AD46" s="66"/>
      <c r="AE46" s="66"/>
      <c r="AF46" s="66"/>
      <c r="AG46" s="66"/>
      <c r="AH46" s="68">
        <f>SUBTOTAL(9,Z46:AG46)</f>
        <v>19.7</v>
      </c>
      <c r="AI46" s="67">
        <f>AH46+IF($B42=2,0,AI42)</f>
        <v>19.7</v>
      </c>
      <c r="AJ46" s="66"/>
      <c r="AK46" s="66"/>
      <c r="AL46" s="61">
        <f>SUBTOTAL(9,AJ46:AK46)</f>
        <v>0</v>
      </c>
      <c r="AM46" s="65">
        <v>8.1999999999999993</v>
      </c>
      <c r="AN46" s="65">
        <v>1.3</v>
      </c>
      <c r="AO46" s="66"/>
      <c r="AP46" s="66"/>
      <c r="AQ46" s="66"/>
      <c r="AR46" s="66"/>
      <c r="AS46" s="66"/>
      <c r="AT46" s="66"/>
      <c r="AU46" s="61">
        <f>SUBTOTAL(9,AM46:AT46)</f>
        <v>9.5</v>
      </c>
      <c r="AV46" s="56">
        <f>SUBTOTAL(9,AJ46:AT46)</f>
        <v>9.5</v>
      </c>
      <c r="AW46" s="64">
        <f>AV46+IF($B42=2,0,AW42)</f>
        <v>262.82600000000002</v>
      </c>
      <c r="AX46" s="63"/>
      <c r="AY46" s="63"/>
      <c r="AZ46" s="62">
        <v>450</v>
      </c>
      <c r="BA46" s="60">
        <v>9.3640000000000008</v>
      </c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56">
        <f>SUBTOTAL(9,BA46:BU46)</f>
        <v>9.3640000000000008</v>
      </c>
      <c r="BW46" s="61">
        <f>BV46+IF($B42=2,0,BW42)</f>
        <v>414.10200000000003</v>
      </c>
      <c r="BX46" s="66"/>
      <c r="BY46" s="66"/>
      <c r="BZ46" s="66"/>
      <c r="CA46" s="66"/>
      <c r="CB46" s="66"/>
      <c r="CC46" s="66"/>
      <c r="CD46" s="56">
        <f>SUBTOTAL(9,BX46:CC46)</f>
        <v>0</v>
      </c>
      <c r="CE46" s="56">
        <f>CD46+IF($B42=2,0,CE42)</f>
        <v>0</v>
      </c>
      <c r="CF46" s="59">
        <v>188.75</v>
      </c>
      <c r="CG46" s="59">
        <v>188.75</v>
      </c>
      <c r="CH46" s="58">
        <f>SUMIF($C$5:CG$5,"Накопленный эффект, т/сут",$C46:CG46)+SUMIF($C$5:CG$5,"Нараст.  по потенциалу",$C46:CG46)-SUMIF($C$5:CG$5,"Нараст. по остановкам",$C46:CG46)-SUMIF($C$5:CG$5,"ИТОГО перевод в ППД",$C46:CG46)-SUMIF($C$5:CG$5,"ИТОГО  нерент, по распоряж.",$C46:CG46)-SUMIF($C$5:CG$5,"ИТОГО ост. дебит от ЗБС, Углуб., ПВЛГ/ПНЛГ",$C46:CG46)</f>
        <v>468.42400000000004</v>
      </c>
      <c r="CI46" s="56">
        <v>12.6</v>
      </c>
      <c r="CJ46" s="56">
        <v>3.32502883210906</v>
      </c>
      <c r="CK46" s="57"/>
      <c r="CL46" s="56">
        <v>2.5885731379715402</v>
      </c>
      <c r="CM46" s="56">
        <f>SUBTOTAL(9,CI46:CL46)</f>
        <v>18.5136019700806</v>
      </c>
      <c r="CN46" s="55" t="s">
        <v>1</v>
      </c>
      <c r="CO46" s="54">
        <f>CO$4+SUMIF($C$5:CM$5,"Нараст. по остановкам",$C46:CM46)-SUMIF($C$5:CM$5,"Нараст.  по потенциалу",$C46:CM46)</f>
        <v>827.37616228627508</v>
      </c>
      <c r="CP46" s="2"/>
    </row>
    <row r="47" spans="1:94" ht="1.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v>1</v>
      </c>
      <c r="AA47" s="3">
        <v>1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>
        <v>1</v>
      </c>
      <c r="AN47" s="3">
        <v>1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2"/>
    </row>
    <row r="48" spans="1:94" ht="11.25" customHeight="1" x14ac:dyDescent="0.25">
      <c r="A48" s="107">
        <v>45361</v>
      </c>
      <c r="B48" s="106" t="s">
        <v>58</v>
      </c>
      <c r="C48" s="102" t="s">
        <v>144</v>
      </c>
      <c r="D48" s="103"/>
      <c r="E48" s="103"/>
      <c r="F48" s="103"/>
      <c r="G48" s="100">
        <v>440</v>
      </c>
      <c r="H48" s="102" t="s">
        <v>143</v>
      </c>
      <c r="I48" s="100">
        <v>6</v>
      </c>
      <c r="J48" s="102" t="s">
        <v>71</v>
      </c>
      <c r="K48" s="103"/>
      <c r="L48" s="103"/>
      <c r="M48" s="100">
        <v>50</v>
      </c>
      <c r="N48" s="103"/>
      <c r="O48" s="103"/>
      <c r="P48" s="100">
        <v>0</v>
      </c>
      <c r="Q48" s="100">
        <v>496</v>
      </c>
      <c r="R48" s="99"/>
      <c r="S48" s="103"/>
      <c r="T48" s="105"/>
      <c r="U48" s="104"/>
      <c r="V48" s="103"/>
      <c r="W48" s="103"/>
      <c r="X48" s="105"/>
      <c r="Y48" s="104"/>
      <c r="Z48" s="102" t="s">
        <v>143</v>
      </c>
      <c r="AA48" s="103"/>
      <c r="AB48" s="103"/>
      <c r="AC48" s="103"/>
      <c r="AD48" s="103"/>
      <c r="AE48" s="103"/>
      <c r="AF48" s="103"/>
      <c r="AG48" s="103"/>
      <c r="AH48" s="105"/>
      <c r="AI48" s="104"/>
      <c r="AJ48" s="103"/>
      <c r="AK48" s="103"/>
      <c r="AL48" s="101">
        <v>0</v>
      </c>
      <c r="AM48" s="102" t="s">
        <v>56</v>
      </c>
      <c r="AN48" s="102"/>
      <c r="AO48" s="103"/>
      <c r="AP48" s="103"/>
      <c r="AQ48" s="103"/>
      <c r="AR48" s="103"/>
      <c r="AS48" s="103"/>
      <c r="AT48" s="103"/>
      <c r="AU48" s="101">
        <v>286.44299999999998</v>
      </c>
      <c r="AV48" s="100">
        <v>286.44299999999998</v>
      </c>
      <c r="AW48" s="99"/>
      <c r="AX48" s="98"/>
      <c r="AY48" s="98"/>
      <c r="AZ48" s="97"/>
      <c r="BA48" s="95" t="s">
        <v>56</v>
      </c>
      <c r="BB48" s="95" t="s">
        <v>55</v>
      </c>
      <c r="BC48" s="95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94"/>
      <c r="BW48" s="96"/>
      <c r="BX48" s="95" t="s">
        <v>56</v>
      </c>
      <c r="BY48" s="103"/>
      <c r="BZ48" s="103"/>
      <c r="CA48" s="103"/>
      <c r="CB48" s="103"/>
      <c r="CC48" s="103"/>
      <c r="CD48" s="94"/>
      <c r="CE48" s="94"/>
      <c r="CF48" s="93"/>
      <c r="CG48" s="93"/>
      <c r="CH48" s="92"/>
      <c r="CI48" s="90"/>
      <c r="CJ48" s="90"/>
      <c r="CK48" s="91"/>
      <c r="CL48" s="90"/>
      <c r="CM48" s="90"/>
      <c r="CN48" s="89">
        <f>CN$4+SUMIF($C$5:CM$5,"Нараст. баланс",$C50:CM50)+SUMIF($C$7:CK$7,"Итого (с ВНР)",$C50:CK50)-SUMIF($C$5:CM$5,"Геол. снижение,  т/сут",$C50:CM50)-SUMIF(CL$7:CM$7,"Итого",CL50:CM50)-SUMIF($C$7:CM$7,"Итого (с ВСП)",$C50:CM50)</f>
        <v>30359.514406480321</v>
      </c>
      <c r="CO48" s="88"/>
      <c r="CP48" s="2"/>
    </row>
    <row r="49" spans="1:94" ht="11.25" customHeight="1" x14ac:dyDescent="0.25">
      <c r="A49" s="55" t="s">
        <v>1</v>
      </c>
      <c r="B49" s="87" t="s">
        <v>42</v>
      </c>
      <c r="C49" s="83" t="s">
        <v>97</v>
      </c>
      <c r="D49" s="84"/>
      <c r="E49" s="84"/>
      <c r="F49" s="84"/>
      <c r="G49" s="76">
        <v>1</v>
      </c>
      <c r="H49" s="83" t="s">
        <v>141</v>
      </c>
      <c r="I49" s="76">
        <v>1</v>
      </c>
      <c r="J49" s="83" t="s">
        <v>142</v>
      </c>
      <c r="K49" s="84"/>
      <c r="L49" s="84"/>
      <c r="M49" s="76">
        <v>1</v>
      </c>
      <c r="N49" s="84"/>
      <c r="O49" s="84"/>
      <c r="P49" s="76">
        <v>0</v>
      </c>
      <c r="Q49" s="76">
        <v>3</v>
      </c>
      <c r="R49" s="81"/>
      <c r="S49" s="84"/>
      <c r="T49" s="86">
        <f>SUBTOTAL(9,S51:S51)</f>
        <v>0</v>
      </c>
      <c r="U49" s="85"/>
      <c r="V49" s="84"/>
      <c r="W49" s="84"/>
      <c r="X49" s="86">
        <f>SUBTOTAL(9,V51:W51)</f>
        <v>0</v>
      </c>
      <c r="Y49" s="85"/>
      <c r="Z49" s="83" t="s">
        <v>141</v>
      </c>
      <c r="AA49" s="84"/>
      <c r="AB49" s="84"/>
      <c r="AC49" s="84"/>
      <c r="AD49" s="84"/>
      <c r="AE49" s="84"/>
      <c r="AF49" s="84"/>
      <c r="AG49" s="84"/>
      <c r="AH49" s="86">
        <f>SUBTOTAL(9,Z51:AG51)</f>
        <v>1</v>
      </c>
      <c r="AI49" s="85"/>
      <c r="AJ49" s="84"/>
      <c r="AK49" s="84"/>
      <c r="AL49" s="82">
        <f>SUBTOTAL(9,AJ51:AK51)</f>
        <v>0</v>
      </c>
      <c r="AM49" s="83" t="s">
        <v>140</v>
      </c>
      <c r="AN49" s="83"/>
      <c r="AO49" s="84"/>
      <c r="AP49" s="84"/>
      <c r="AQ49" s="84"/>
      <c r="AR49" s="84"/>
      <c r="AS49" s="84"/>
      <c r="AT49" s="84"/>
      <c r="AU49" s="82">
        <f>SUBTOTAL(9,AM51:AT51)</f>
        <v>1</v>
      </c>
      <c r="AV49" s="76">
        <f>SUBTOTAL(9,AJ51:AT51)</f>
        <v>1</v>
      </c>
      <c r="AW49" s="81"/>
      <c r="AX49" s="80"/>
      <c r="AY49" s="80"/>
      <c r="AZ49" s="79"/>
      <c r="BA49" s="77" t="s">
        <v>140</v>
      </c>
      <c r="BB49" s="77" t="s">
        <v>119</v>
      </c>
      <c r="BC49" s="77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76">
        <f>SUBTOTAL(9,BA51:BU51)</f>
        <v>2</v>
      </c>
      <c r="BW49" s="78"/>
      <c r="BX49" s="77" t="s">
        <v>140</v>
      </c>
      <c r="BY49" s="84"/>
      <c r="BZ49" s="84"/>
      <c r="CA49" s="84"/>
      <c r="CB49" s="84"/>
      <c r="CC49" s="84"/>
      <c r="CD49" s="76">
        <f>SUBTOTAL(3,BX49:CC49)</f>
        <v>1</v>
      </c>
      <c r="CE49" s="75"/>
      <c r="CF49" s="74"/>
      <c r="CG49" s="74"/>
      <c r="CH49" s="73"/>
      <c r="CI49" s="71"/>
      <c r="CJ49" s="71"/>
      <c r="CK49" s="72"/>
      <c r="CL49" s="71"/>
      <c r="CM49" s="71"/>
      <c r="CN49" s="55" t="s">
        <v>1</v>
      </c>
      <c r="CO49" s="70"/>
      <c r="CP49" s="2"/>
    </row>
    <row r="50" spans="1:94" ht="11.25" customHeight="1" x14ac:dyDescent="0.25">
      <c r="A50" s="55" t="s">
        <v>1</v>
      </c>
      <c r="B50" s="69" t="s">
        <v>8</v>
      </c>
      <c r="C50" s="65">
        <v>40</v>
      </c>
      <c r="D50" s="66"/>
      <c r="E50" s="66"/>
      <c r="F50" s="66"/>
      <c r="G50" s="56">
        <f>SUBTOTAL(9,C50:F50)</f>
        <v>40</v>
      </c>
      <c r="H50" s="65">
        <v>6</v>
      </c>
      <c r="I50" s="56">
        <f>SUBTOTAL(9,H50:H50)</f>
        <v>6</v>
      </c>
      <c r="J50" s="65">
        <v>20</v>
      </c>
      <c r="K50" s="66"/>
      <c r="L50" s="66"/>
      <c r="M50" s="56">
        <f>SUBTOTAL(9,J50:L50)</f>
        <v>20</v>
      </c>
      <c r="N50" s="66"/>
      <c r="O50" s="66"/>
      <c r="P50" s="56">
        <f>SUBTOTAL(9,N50:O50)</f>
        <v>0</v>
      </c>
      <c r="Q50" s="56">
        <f>SUBTOTAL(9,C50:O50)</f>
        <v>66</v>
      </c>
      <c r="R50" s="64">
        <v>496</v>
      </c>
      <c r="S50" s="66"/>
      <c r="T50" s="68">
        <f>SUBTOTAL(9,S50:S50)</f>
        <v>0</v>
      </c>
      <c r="U50" s="67">
        <f>T50+IF($B46=2,0,U46)</f>
        <v>0</v>
      </c>
      <c r="V50" s="66"/>
      <c r="W50" s="66"/>
      <c r="X50" s="68">
        <f>SUBTOTAL(9,V50:W50)</f>
        <v>0</v>
      </c>
      <c r="Y50" s="67">
        <f>X50+IF($B46=2,0,Y46)</f>
        <v>170</v>
      </c>
      <c r="Z50" s="65">
        <v>0.1</v>
      </c>
      <c r="AA50" s="66"/>
      <c r="AB50" s="66"/>
      <c r="AC50" s="66"/>
      <c r="AD50" s="66"/>
      <c r="AE50" s="66"/>
      <c r="AF50" s="66"/>
      <c r="AG50" s="66"/>
      <c r="AH50" s="68">
        <f>SUBTOTAL(9,Z50:AG50)</f>
        <v>0.1</v>
      </c>
      <c r="AI50" s="67">
        <f>AH50+IF($B46=2,0,AI46)</f>
        <v>19.8</v>
      </c>
      <c r="AJ50" s="66"/>
      <c r="AK50" s="66"/>
      <c r="AL50" s="61">
        <f>SUBTOTAL(9,AJ50:AK50)</f>
        <v>0</v>
      </c>
      <c r="AM50" s="65">
        <v>5.8</v>
      </c>
      <c r="AN50" s="65">
        <v>17.817</v>
      </c>
      <c r="AO50" s="66"/>
      <c r="AP50" s="66"/>
      <c r="AQ50" s="66"/>
      <c r="AR50" s="66"/>
      <c r="AS50" s="66"/>
      <c r="AT50" s="66"/>
      <c r="AU50" s="61">
        <f>SUBTOTAL(9,AM50:AT50)</f>
        <v>23.617000000000001</v>
      </c>
      <c r="AV50" s="56">
        <f>SUBTOTAL(9,AJ50:AT50)</f>
        <v>23.617000000000001</v>
      </c>
      <c r="AW50" s="64">
        <f>AV50+IF($B46=2,0,AW46)</f>
        <v>286.44300000000004</v>
      </c>
      <c r="AX50" s="63"/>
      <c r="AY50" s="63"/>
      <c r="AZ50" s="62">
        <v>500</v>
      </c>
      <c r="BA50" s="60">
        <v>5.8</v>
      </c>
      <c r="BB50" s="60">
        <v>4.8</v>
      </c>
      <c r="BC50" s="60">
        <v>12.856</v>
      </c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56">
        <f>SUBTOTAL(9,BA50:BU50)</f>
        <v>23.456</v>
      </c>
      <c r="BW50" s="61">
        <f>BV50+IF($B46=2,0,BW46)</f>
        <v>437.55800000000005</v>
      </c>
      <c r="BX50" s="60">
        <v>5.8</v>
      </c>
      <c r="BY50" s="66"/>
      <c r="BZ50" s="66"/>
      <c r="CA50" s="66"/>
      <c r="CB50" s="66"/>
      <c r="CC50" s="66"/>
      <c r="CD50" s="56">
        <f>SUBTOTAL(9,BX50:CC50)</f>
        <v>5.8</v>
      </c>
      <c r="CE50" s="56">
        <f>CD50+IF($B46=2,0,CE46)</f>
        <v>5.8</v>
      </c>
      <c r="CF50" s="59">
        <v>143.33000000000001</v>
      </c>
      <c r="CG50" s="59">
        <v>143.33000000000001</v>
      </c>
      <c r="CH50" s="58">
        <f>SUMIF($C$5:CG$5,"Накопленный эффект, т/сут",$C50:CG50)+SUMIF($C$5:CG$5,"Нараст.  по потенциалу",$C50:CG50)-SUMIF($C$5:CG$5,"Нараст. по остановкам",$C50:CG50)-SUMIF($C$5:CG$5,"ИТОГО перевод в ППД",$C50:CG50)-SUMIF($C$5:CG$5,"ИТОГО  нерент, по распоряж.",$C50:CG50)-SUMIF($C$5:CG$5,"ИТОГО ост. дебит от ЗБС, Углуб., ПВЛГ/ПНЛГ",$C50:CG50)</f>
        <v>528.88499999999999</v>
      </c>
      <c r="CI50" s="56">
        <v>12.6</v>
      </c>
      <c r="CJ50" s="56">
        <v>38.311576278296499</v>
      </c>
      <c r="CK50" s="57"/>
      <c r="CL50" s="56">
        <v>29.970017241379299</v>
      </c>
      <c r="CM50" s="56">
        <f>SUBTOTAL(9,CI50:CL50)</f>
        <v>80.881593519675803</v>
      </c>
      <c r="CN50" s="55" t="s">
        <v>1</v>
      </c>
      <c r="CO50" s="54">
        <f>CO$4+SUMIF($C$5:CM$5,"Нараст. по остановкам",$C50:CM50)-SUMIF($C$5:CM$5,"Нараст.  по потенциалу",$C50:CM50)</f>
        <v>827.21516228627502</v>
      </c>
      <c r="CP50" s="2"/>
    </row>
    <row r="51" spans="1:94" ht="1.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>
        <v>1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>
        <v>1</v>
      </c>
      <c r="BB51" s="3">
        <v>1</v>
      </c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2"/>
    </row>
    <row r="52" spans="1:94" ht="11.25" customHeight="1" x14ac:dyDescent="0.25">
      <c r="A52" s="107">
        <v>45362</v>
      </c>
      <c r="B52" s="106" t="s">
        <v>58</v>
      </c>
      <c r="C52" s="102" t="s">
        <v>52</v>
      </c>
      <c r="D52" s="103"/>
      <c r="E52" s="103"/>
      <c r="F52" s="103"/>
      <c r="G52" s="100">
        <v>500</v>
      </c>
      <c r="H52" s="103"/>
      <c r="I52" s="100">
        <v>6</v>
      </c>
      <c r="J52" s="102" t="s">
        <v>44</v>
      </c>
      <c r="K52" s="103"/>
      <c r="L52" s="103"/>
      <c r="M52" s="100">
        <v>70</v>
      </c>
      <c r="N52" s="103"/>
      <c r="O52" s="103"/>
      <c r="P52" s="100">
        <v>0</v>
      </c>
      <c r="Q52" s="100">
        <v>576</v>
      </c>
      <c r="R52" s="99"/>
      <c r="S52" s="102" t="s">
        <v>49</v>
      </c>
      <c r="T52" s="105"/>
      <c r="U52" s="104"/>
      <c r="V52" s="103"/>
      <c r="W52" s="103"/>
      <c r="X52" s="105"/>
      <c r="Y52" s="104"/>
      <c r="Z52" s="103"/>
      <c r="AA52" s="103"/>
      <c r="AB52" s="103"/>
      <c r="AC52" s="103"/>
      <c r="AD52" s="103"/>
      <c r="AE52" s="103"/>
      <c r="AF52" s="103"/>
      <c r="AG52" s="103"/>
      <c r="AH52" s="105"/>
      <c r="AI52" s="104"/>
      <c r="AJ52" s="102" t="s">
        <v>49</v>
      </c>
      <c r="AK52" s="103"/>
      <c r="AL52" s="101">
        <v>3.4</v>
      </c>
      <c r="AM52" s="102" t="s">
        <v>47</v>
      </c>
      <c r="AN52" s="102"/>
      <c r="AO52" s="103"/>
      <c r="AP52" s="103"/>
      <c r="AQ52" s="103"/>
      <c r="AR52" s="103"/>
      <c r="AS52" s="103"/>
      <c r="AT52" s="103"/>
      <c r="AU52" s="101">
        <v>307.33499999999998</v>
      </c>
      <c r="AV52" s="100">
        <v>310.73500000000001</v>
      </c>
      <c r="AW52" s="99"/>
      <c r="AX52" s="98"/>
      <c r="AY52" s="98"/>
      <c r="AZ52" s="97"/>
      <c r="BA52" s="95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94"/>
      <c r="BW52" s="96"/>
      <c r="BX52" s="103"/>
      <c r="BY52" s="103"/>
      <c r="BZ52" s="103"/>
      <c r="CA52" s="103"/>
      <c r="CB52" s="103"/>
      <c r="CC52" s="103"/>
      <c r="CD52" s="94"/>
      <c r="CE52" s="94"/>
      <c r="CF52" s="93"/>
      <c r="CG52" s="93"/>
      <c r="CH52" s="92"/>
      <c r="CI52" s="90"/>
      <c r="CJ52" s="90"/>
      <c r="CK52" s="90"/>
      <c r="CL52" s="90"/>
      <c r="CM52" s="90"/>
      <c r="CN52" s="89">
        <f>CN$4+SUMIF($C$5:CM$5,"Нараст. баланс",$C54:CM54)+SUMIF($C$7:CK$7,"Итого (с ВНР)",$C54:CK54)-SUMIF($C$5:CM$5,"Геол. снижение,  т/сут",$C54:CM54)-SUMIF(CL$7:CM$7,"Итого",CL54:CM54)-SUMIF($C$7:CM$7,"Итого (с ВСП)",$C54:CM54)</f>
        <v>30412.853519079912</v>
      </c>
      <c r="CO52" s="88"/>
      <c r="CP52" s="2"/>
    </row>
    <row r="53" spans="1:94" ht="11.25" customHeight="1" x14ac:dyDescent="0.25">
      <c r="A53" s="55" t="s">
        <v>1</v>
      </c>
      <c r="B53" s="87" t="s">
        <v>42</v>
      </c>
      <c r="C53" s="83" t="s">
        <v>139</v>
      </c>
      <c r="D53" s="84"/>
      <c r="E53" s="84"/>
      <c r="F53" s="84"/>
      <c r="G53" s="76">
        <v>1</v>
      </c>
      <c r="H53" s="84"/>
      <c r="I53" s="76">
        <v>0</v>
      </c>
      <c r="J53" s="83" t="s">
        <v>138</v>
      </c>
      <c r="K53" s="84"/>
      <c r="L53" s="84"/>
      <c r="M53" s="76">
        <v>1</v>
      </c>
      <c r="N53" s="84"/>
      <c r="O53" s="84"/>
      <c r="P53" s="76">
        <v>0</v>
      </c>
      <c r="Q53" s="76">
        <v>2</v>
      </c>
      <c r="R53" s="81"/>
      <c r="S53" s="83" t="s">
        <v>137</v>
      </c>
      <c r="T53" s="86">
        <f>SUBTOTAL(9,S55:S55)</f>
        <v>1</v>
      </c>
      <c r="U53" s="85"/>
      <c r="V53" s="84"/>
      <c r="W53" s="84"/>
      <c r="X53" s="86">
        <f>SUBTOTAL(9,V55:W55)</f>
        <v>0</v>
      </c>
      <c r="Y53" s="85"/>
      <c r="Z53" s="84"/>
      <c r="AA53" s="84"/>
      <c r="AB53" s="84"/>
      <c r="AC53" s="84"/>
      <c r="AD53" s="84"/>
      <c r="AE53" s="84"/>
      <c r="AF53" s="84"/>
      <c r="AG53" s="84"/>
      <c r="AH53" s="86">
        <f>SUBTOTAL(9,Z55:AG55)</f>
        <v>0</v>
      </c>
      <c r="AI53" s="85"/>
      <c r="AJ53" s="83" t="s">
        <v>137</v>
      </c>
      <c r="AK53" s="84"/>
      <c r="AL53" s="82">
        <f>SUBTOTAL(9,AJ55:AK55)</f>
        <v>1</v>
      </c>
      <c r="AM53" s="83" t="s">
        <v>136</v>
      </c>
      <c r="AN53" s="83"/>
      <c r="AO53" s="84"/>
      <c r="AP53" s="84"/>
      <c r="AQ53" s="84"/>
      <c r="AR53" s="84"/>
      <c r="AS53" s="84"/>
      <c r="AT53" s="84"/>
      <c r="AU53" s="82">
        <f>SUBTOTAL(9,AM55:AT55)</f>
        <v>1</v>
      </c>
      <c r="AV53" s="76">
        <f>SUBTOTAL(9,AJ55:AT55)</f>
        <v>2</v>
      </c>
      <c r="AW53" s="81"/>
      <c r="AX53" s="80"/>
      <c r="AY53" s="80"/>
      <c r="AZ53" s="79"/>
      <c r="BA53" s="77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76">
        <f>SUBTOTAL(9,BA55:BU55)</f>
        <v>0</v>
      </c>
      <c r="BW53" s="78"/>
      <c r="BX53" s="84"/>
      <c r="BY53" s="84"/>
      <c r="BZ53" s="84"/>
      <c r="CA53" s="84"/>
      <c r="CB53" s="84"/>
      <c r="CC53" s="84"/>
      <c r="CD53" s="76">
        <f>SUBTOTAL(3,BX53:CC53)</f>
        <v>0</v>
      </c>
      <c r="CE53" s="75"/>
      <c r="CF53" s="74"/>
      <c r="CG53" s="74"/>
      <c r="CH53" s="73"/>
      <c r="CI53" s="71"/>
      <c r="CJ53" s="71"/>
      <c r="CK53" s="71"/>
      <c r="CL53" s="71"/>
      <c r="CM53" s="71"/>
      <c r="CN53" s="55" t="s">
        <v>1</v>
      </c>
      <c r="CO53" s="70"/>
      <c r="CP53" s="2"/>
    </row>
    <row r="54" spans="1:94" ht="11.25" customHeight="1" x14ac:dyDescent="0.25">
      <c r="A54" s="55" t="s">
        <v>1</v>
      </c>
      <c r="B54" s="69" t="s">
        <v>8</v>
      </c>
      <c r="C54" s="65">
        <v>60</v>
      </c>
      <c r="D54" s="66"/>
      <c r="E54" s="66"/>
      <c r="F54" s="66"/>
      <c r="G54" s="56">
        <f>SUBTOTAL(9,C54:F54)</f>
        <v>60</v>
      </c>
      <c r="H54" s="66"/>
      <c r="I54" s="56">
        <f>SUBTOTAL(9,H54:H54)</f>
        <v>0</v>
      </c>
      <c r="J54" s="65">
        <v>20</v>
      </c>
      <c r="K54" s="66"/>
      <c r="L54" s="66"/>
      <c r="M54" s="56">
        <f>SUBTOTAL(9,J54:L54)</f>
        <v>20</v>
      </c>
      <c r="N54" s="66"/>
      <c r="O54" s="66"/>
      <c r="P54" s="56">
        <f>SUBTOTAL(9,N54:O54)</f>
        <v>0</v>
      </c>
      <c r="Q54" s="56">
        <f>SUBTOTAL(9,C54:O54)</f>
        <v>80</v>
      </c>
      <c r="R54" s="64">
        <v>576</v>
      </c>
      <c r="S54" s="65">
        <v>9</v>
      </c>
      <c r="T54" s="68">
        <f>SUBTOTAL(9,S54:S54)</f>
        <v>9</v>
      </c>
      <c r="U54" s="67">
        <f>T54+IF($B50=2,0,U50)</f>
        <v>9</v>
      </c>
      <c r="V54" s="66"/>
      <c r="W54" s="66"/>
      <c r="X54" s="68">
        <f>SUBTOTAL(9,V54:W54)</f>
        <v>0</v>
      </c>
      <c r="Y54" s="67">
        <f>X54+IF($B50=2,0,Y50)</f>
        <v>170</v>
      </c>
      <c r="Z54" s="66"/>
      <c r="AA54" s="66"/>
      <c r="AB54" s="66"/>
      <c r="AC54" s="66"/>
      <c r="AD54" s="66"/>
      <c r="AE54" s="66"/>
      <c r="AF54" s="66"/>
      <c r="AG54" s="66"/>
      <c r="AH54" s="68">
        <f>SUBTOTAL(9,Z54:AG54)</f>
        <v>0</v>
      </c>
      <c r="AI54" s="67">
        <f>AH54+IF($B50=2,0,AI50)</f>
        <v>19.8</v>
      </c>
      <c r="AJ54" s="65">
        <v>3.4</v>
      </c>
      <c r="AK54" s="66"/>
      <c r="AL54" s="61">
        <f>SUBTOTAL(9,AJ54:AK54)</f>
        <v>3.4</v>
      </c>
      <c r="AM54" s="65">
        <v>2.1</v>
      </c>
      <c r="AN54" s="65">
        <v>18.792000000000002</v>
      </c>
      <c r="AO54" s="66"/>
      <c r="AP54" s="66"/>
      <c r="AQ54" s="66"/>
      <c r="AR54" s="66"/>
      <c r="AS54" s="66"/>
      <c r="AT54" s="66"/>
      <c r="AU54" s="61">
        <f>SUBTOTAL(9,AM54:AT54)</f>
        <v>20.892000000000003</v>
      </c>
      <c r="AV54" s="56">
        <f>SUBTOTAL(9,AJ54:AT54)</f>
        <v>24.292000000000002</v>
      </c>
      <c r="AW54" s="64">
        <f>AV54+IF($B50=2,0,AW50)</f>
        <v>310.73500000000001</v>
      </c>
      <c r="AX54" s="63"/>
      <c r="AY54" s="63"/>
      <c r="AZ54" s="62">
        <v>550</v>
      </c>
      <c r="BA54" s="60">
        <v>26.905999999999999</v>
      </c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56">
        <f>SUBTOTAL(9,BA54:BU54)</f>
        <v>26.905999999999999</v>
      </c>
      <c r="BW54" s="61">
        <f>BV54+IF($B50=2,0,BW50)</f>
        <v>464.46400000000006</v>
      </c>
      <c r="BX54" s="66"/>
      <c r="BY54" s="66"/>
      <c r="BZ54" s="66"/>
      <c r="CA54" s="66"/>
      <c r="CB54" s="66"/>
      <c r="CC54" s="66"/>
      <c r="CD54" s="56">
        <f>SUBTOTAL(9,BX54:CC54)</f>
        <v>0</v>
      </c>
      <c r="CE54" s="56">
        <f>CD54+IF($B50=2,0,CE50)</f>
        <v>5.8</v>
      </c>
      <c r="CF54" s="59">
        <v>162.24</v>
      </c>
      <c r="CG54" s="59">
        <v>162.24</v>
      </c>
      <c r="CH54" s="58">
        <f>SUMIF($C$5:CG$5,"Накопленный эффект, т/сут",$C54:CG54)+SUMIF($C$5:CG$5,"Нараст.  по потенциалу",$C54:CG54)-SUMIF($C$5:CG$5,"Нараст. по остановкам",$C54:CG54)-SUMIF($C$5:CG$5,"ИТОГО перевод в ППД",$C54:CG54)-SUMIF($C$5:CG$5,"ИТОГО  нерент, по распоряж.",$C54:CG54)-SUMIF($C$5:CG$5,"ИТОГО ост. дебит от ЗБС, Углуб., ПВЛГ/ПНЛГ",$C54:CG54)</f>
        <v>615.27099999999984</v>
      </c>
      <c r="CI54" s="56">
        <v>12.6</v>
      </c>
      <c r="CJ54" s="56">
        <v>6.0370949549658697</v>
      </c>
      <c r="CK54" s="56">
        <v>19.108234721405999</v>
      </c>
      <c r="CL54" s="56">
        <v>7.2731512437146897</v>
      </c>
      <c r="CM54" s="56">
        <f>SUBTOTAL(9,CI54:CL54)</f>
        <v>45.01848092008656</v>
      </c>
      <c r="CN54" s="55" t="s">
        <v>1</v>
      </c>
      <c r="CO54" s="54">
        <f>CO$4+SUMIF($C$5:CM$5,"Нараст. по остановкам",$C54:CM54)-SUMIF($C$5:CM$5,"Нараст.  по потенциалу",$C54:CM54)</f>
        <v>829.82916228627494</v>
      </c>
      <c r="CP54" s="2"/>
    </row>
    <row r="55" spans="1:94" ht="1.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1</v>
      </c>
      <c r="AK55" s="3"/>
      <c r="AL55" s="3"/>
      <c r="AM55" s="3">
        <v>1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2"/>
    </row>
    <row r="56" spans="1:94" ht="11.25" customHeight="1" x14ac:dyDescent="0.25">
      <c r="A56" s="107">
        <v>45363</v>
      </c>
      <c r="B56" s="106" t="s">
        <v>58</v>
      </c>
      <c r="C56" s="103"/>
      <c r="D56" s="103"/>
      <c r="E56" s="103"/>
      <c r="F56" s="103"/>
      <c r="G56" s="100">
        <v>500</v>
      </c>
      <c r="H56" s="103"/>
      <c r="I56" s="100">
        <v>6</v>
      </c>
      <c r="J56" s="103"/>
      <c r="K56" s="103"/>
      <c r="L56" s="103"/>
      <c r="M56" s="100">
        <v>70</v>
      </c>
      <c r="N56" s="103"/>
      <c r="O56" s="103"/>
      <c r="P56" s="100">
        <v>0</v>
      </c>
      <c r="Q56" s="100">
        <v>576</v>
      </c>
      <c r="R56" s="99"/>
      <c r="S56" s="103"/>
      <c r="T56" s="105"/>
      <c r="U56" s="104"/>
      <c r="V56" s="103"/>
      <c r="W56" s="103"/>
      <c r="X56" s="105"/>
      <c r="Y56" s="104"/>
      <c r="Z56" s="103"/>
      <c r="AA56" s="103"/>
      <c r="AB56" s="103"/>
      <c r="AC56" s="103"/>
      <c r="AD56" s="103"/>
      <c r="AE56" s="103"/>
      <c r="AF56" s="103"/>
      <c r="AG56" s="103"/>
      <c r="AH56" s="105"/>
      <c r="AI56" s="104"/>
      <c r="AJ56" s="103"/>
      <c r="AK56" s="103"/>
      <c r="AL56" s="101">
        <v>3.4</v>
      </c>
      <c r="AM56" s="102"/>
      <c r="AN56" s="103"/>
      <c r="AO56" s="103"/>
      <c r="AP56" s="103"/>
      <c r="AQ56" s="103"/>
      <c r="AR56" s="103"/>
      <c r="AS56" s="103"/>
      <c r="AT56" s="103"/>
      <c r="AU56" s="101">
        <v>319.53500000000003</v>
      </c>
      <c r="AV56" s="100">
        <v>322.935</v>
      </c>
      <c r="AW56" s="99"/>
      <c r="AX56" s="98"/>
      <c r="AY56" s="98"/>
      <c r="AZ56" s="97"/>
      <c r="BA56" s="95" t="s">
        <v>55</v>
      </c>
      <c r="BB56" s="95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94"/>
      <c r="BW56" s="96"/>
      <c r="BX56" s="103"/>
      <c r="BY56" s="103"/>
      <c r="BZ56" s="103"/>
      <c r="CA56" s="103"/>
      <c r="CB56" s="103"/>
      <c r="CC56" s="103"/>
      <c r="CD56" s="94"/>
      <c r="CE56" s="94"/>
      <c r="CF56" s="93"/>
      <c r="CG56" s="93"/>
      <c r="CH56" s="92"/>
      <c r="CI56" s="90"/>
      <c r="CJ56" s="90"/>
      <c r="CK56" s="90"/>
      <c r="CL56" s="90"/>
      <c r="CM56" s="90"/>
      <c r="CN56" s="89">
        <f>CN$4+SUMIF($C$5:CM$5,"Нараст. баланс",$C58:CM58)+SUMIF($C$7:CK$7,"Итого (с ВНР)",$C58:CK58)-SUMIF($C$5:CM$5,"Геол. снижение,  т/сут",$C58:CM58)-SUMIF(CL$7:CM$7,"Итого",CL58:CM58)-SUMIF($C$7:CM$7,"Итого (с ВСП)",$C58:CM58)</f>
        <v>30221.712360500336</v>
      </c>
      <c r="CO56" s="88"/>
      <c r="CP56" s="2"/>
    </row>
    <row r="57" spans="1:94" ht="11.25" customHeight="1" x14ac:dyDescent="0.25">
      <c r="A57" s="55" t="s">
        <v>1</v>
      </c>
      <c r="B57" s="87" t="s">
        <v>42</v>
      </c>
      <c r="C57" s="84"/>
      <c r="D57" s="84"/>
      <c r="E57" s="84"/>
      <c r="F57" s="84"/>
      <c r="G57" s="76">
        <v>0</v>
      </c>
      <c r="H57" s="84"/>
      <c r="I57" s="76">
        <v>0</v>
      </c>
      <c r="J57" s="84"/>
      <c r="K57" s="84"/>
      <c r="L57" s="84"/>
      <c r="M57" s="76">
        <v>0</v>
      </c>
      <c r="N57" s="84"/>
      <c r="O57" s="84"/>
      <c r="P57" s="76">
        <v>0</v>
      </c>
      <c r="Q57" s="76">
        <v>0</v>
      </c>
      <c r="R57" s="81"/>
      <c r="S57" s="84"/>
      <c r="T57" s="86">
        <f>SUBTOTAL(9,S59:S59)</f>
        <v>0</v>
      </c>
      <c r="U57" s="85"/>
      <c r="V57" s="84"/>
      <c r="W57" s="84"/>
      <c r="X57" s="86">
        <f>SUBTOTAL(9,V59:W59)</f>
        <v>0</v>
      </c>
      <c r="Y57" s="85"/>
      <c r="Z57" s="84"/>
      <c r="AA57" s="84"/>
      <c r="AB57" s="84"/>
      <c r="AC57" s="84"/>
      <c r="AD57" s="84"/>
      <c r="AE57" s="84"/>
      <c r="AF57" s="84"/>
      <c r="AG57" s="84"/>
      <c r="AH57" s="86">
        <f>SUBTOTAL(9,Z59:AG59)</f>
        <v>0</v>
      </c>
      <c r="AI57" s="85"/>
      <c r="AJ57" s="84"/>
      <c r="AK57" s="84"/>
      <c r="AL57" s="82">
        <f>SUBTOTAL(9,AJ59:AK59)</f>
        <v>0</v>
      </c>
      <c r="AM57" s="83"/>
      <c r="AN57" s="84"/>
      <c r="AO57" s="84"/>
      <c r="AP57" s="84"/>
      <c r="AQ57" s="84"/>
      <c r="AR57" s="84"/>
      <c r="AS57" s="84"/>
      <c r="AT57" s="84"/>
      <c r="AU57" s="82">
        <f>SUBTOTAL(9,AM59:AT59)</f>
        <v>0</v>
      </c>
      <c r="AV57" s="76">
        <f>SUBTOTAL(9,AJ59:AT59)</f>
        <v>0</v>
      </c>
      <c r="AW57" s="81"/>
      <c r="AX57" s="80"/>
      <c r="AY57" s="80"/>
      <c r="AZ57" s="79"/>
      <c r="BA57" s="77" t="s">
        <v>116</v>
      </c>
      <c r="BB57" s="77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76">
        <f>SUBTOTAL(9,BA59:BU59)</f>
        <v>1</v>
      </c>
      <c r="BW57" s="78"/>
      <c r="BX57" s="84"/>
      <c r="BY57" s="84"/>
      <c r="BZ57" s="84"/>
      <c r="CA57" s="84"/>
      <c r="CB57" s="84"/>
      <c r="CC57" s="84"/>
      <c r="CD57" s="76">
        <f>SUBTOTAL(3,BX57:CC57)</f>
        <v>0</v>
      </c>
      <c r="CE57" s="75"/>
      <c r="CF57" s="74"/>
      <c r="CG57" s="74"/>
      <c r="CH57" s="73"/>
      <c r="CI57" s="71"/>
      <c r="CJ57" s="71"/>
      <c r="CK57" s="71"/>
      <c r="CL57" s="71"/>
      <c r="CM57" s="71"/>
      <c r="CN57" s="55" t="s">
        <v>1</v>
      </c>
      <c r="CO57" s="70"/>
      <c r="CP57" s="2"/>
    </row>
    <row r="58" spans="1:94" ht="11.25" customHeight="1" x14ac:dyDescent="0.25">
      <c r="A58" s="55" t="s">
        <v>1</v>
      </c>
      <c r="B58" s="69" t="s">
        <v>8</v>
      </c>
      <c r="C58" s="66"/>
      <c r="D58" s="66"/>
      <c r="E58" s="66"/>
      <c r="F58" s="66"/>
      <c r="G58" s="56">
        <f>SUBTOTAL(9,C58:F58)</f>
        <v>0</v>
      </c>
      <c r="H58" s="66"/>
      <c r="I58" s="56">
        <f>SUBTOTAL(9,H58:H58)</f>
        <v>0</v>
      </c>
      <c r="J58" s="66"/>
      <c r="K58" s="66"/>
      <c r="L58" s="66"/>
      <c r="M58" s="56">
        <f>SUBTOTAL(9,J58:L58)</f>
        <v>0</v>
      </c>
      <c r="N58" s="66"/>
      <c r="O58" s="66"/>
      <c r="P58" s="56">
        <f>SUBTOTAL(9,N58:O58)</f>
        <v>0</v>
      </c>
      <c r="Q58" s="56">
        <f>SUBTOTAL(9,C58:O58)</f>
        <v>0</v>
      </c>
      <c r="R58" s="64">
        <v>576</v>
      </c>
      <c r="S58" s="66"/>
      <c r="T58" s="68">
        <f>SUBTOTAL(9,S58:S58)</f>
        <v>0</v>
      </c>
      <c r="U58" s="67">
        <f>T58+IF($B54=2,0,U54)</f>
        <v>9</v>
      </c>
      <c r="V58" s="66"/>
      <c r="W58" s="66"/>
      <c r="X58" s="68">
        <f>SUBTOTAL(9,V58:W58)</f>
        <v>0</v>
      </c>
      <c r="Y58" s="67">
        <f>X58+IF($B54=2,0,Y54)</f>
        <v>170</v>
      </c>
      <c r="Z58" s="66"/>
      <c r="AA58" s="66"/>
      <c r="AB58" s="66"/>
      <c r="AC58" s="66"/>
      <c r="AD58" s="66"/>
      <c r="AE58" s="66"/>
      <c r="AF58" s="66"/>
      <c r="AG58" s="66"/>
      <c r="AH58" s="68">
        <f>SUBTOTAL(9,Z58:AG58)</f>
        <v>0</v>
      </c>
      <c r="AI58" s="67">
        <f>AH58+IF($B54=2,0,AI54)</f>
        <v>19.8</v>
      </c>
      <c r="AJ58" s="66"/>
      <c r="AK58" s="66"/>
      <c r="AL58" s="61">
        <f>SUBTOTAL(9,AJ58:AK58)</f>
        <v>0</v>
      </c>
      <c r="AM58" s="65">
        <v>12.2</v>
      </c>
      <c r="AN58" s="66"/>
      <c r="AO58" s="66"/>
      <c r="AP58" s="66"/>
      <c r="AQ58" s="66"/>
      <c r="AR58" s="66"/>
      <c r="AS58" s="66"/>
      <c r="AT58" s="66"/>
      <c r="AU58" s="61">
        <f>SUBTOTAL(9,AM58:AT58)</f>
        <v>12.2</v>
      </c>
      <c r="AV58" s="56">
        <f>SUBTOTAL(9,AJ58:AT58)</f>
        <v>12.2</v>
      </c>
      <c r="AW58" s="64">
        <f>AV58+IF($B54=2,0,AW54)</f>
        <v>322.935</v>
      </c>
      <c r="AX58" s="63"/>
      <c r="AY58" s="63"/>
      <c r="AZ58" s="62">
        <v>600</v>
      </c>
      <c r="BA58" s="60">
        <v>6.9</v>
      </c>
      <c r="BB58" s="60">
        <v>8.2964000000000002</v>
      </c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56">
        <f>SUBTOTAL(9,BA58:BU58)</f>
        <v>15.196400000000001</v>
      </c>
      <c r="BW58" s="61">
        <f>BV58+IF($B54=2,0,BW54)</f>
        <v>479.66040000000004</v>
      </c>
      <c r="BX58" s="66"/>
      <c r="BY58" s="66"/>
      <c r="BZ58" s="66"/>
      <c r="CA58" s="66"/>
      <c r="CB58" s="66"/>
      <c r="CC58" s="66"/>
      <c r="CD58" s="56">
        <f>SUBTOTAL(9,BX58:CC58)</f>
        <v>0</v>
      </c>
      <c r="CE58" s="56">
        <f>CD58+IF($B54=2,0,CE54)</f>
        <v>5.8</v>
      </c>
      <c r="CF58" s="59">
        <v>143.82</v>
      </c>
      <c r="CG58" s="59">
        <v>143.82</v>
      </c>
      <c r="CH58" s="58">
        <f>SUMIF($C$5:CG$5,"Накопленный эффект, т/сут",$C58:CG58)+SUMIF($C$5:CG$5,"Нараст.  по потенциалу",$C58:CG58)-SUMIF($C$5:CG$5,"Нараст. по остановкам",$C58:CG58)-SUMIF($C$5:CG$5,"ИТОГО перевод в ППД",$C58:CG58)-SUMIF($C$5:CG$5,"ИТОГО  нерент, по распоряж.",$C58:CG58)-SUMIF($C$5:CG$5,"ИТОГО ост. дебит от ЗБС, Углуб., ПВЛГ/ПНЛГ",$C58:CG58)</f>
        <v>612.27459999999996</v>
      </c>
      <c r="CI58" s="56">
        <v>12.6</v>
      </c>
      <c r="CJ58" s="56">
        <v>125.22977438257701</v>
      </c>
      <c r="CK58" s="56">
        <v>43.029213243275002</v>
      </c>
      <c r="CL58" s="56">
        <v>20.724251873813699</v>
      </c>
      <c r="CM58" s="56">
        <f>SUBTOTAL(9,CI58:CL58)</f>
        <v>201.58323949966569</v>
      </c>
      <c r="CN58" s="55" t="s">
        <v>1</v>
      </c>
      <c r="CO58" s="54">
        <f>CO$4+SUMIF($C$5:CM$5,"Нараст. по остановкам",$C58:CM58)-SUMIF($C$5:CM$5,"Нараст.  по потенциалу",$C58:CM58)</f>
        <v>832.82556228627504</v>
      </c>
      <c r="CP58" s="2"/>
    </row>
    <row r="59" spans="1:94" ht="1.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>
        <v>1</v>
      </c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2"/>
    </row>
    <row r="60" spans="1:94" ht="11.25" customHeight="1" x14ac:dyDescent="0.25">
      <c r="A60" s="107">
        <v>45364</v>
      </c>
      <c r="B60" s="106" t="s">
        <v>58</v>
      </c>
      <c r="C60" s="103"/>
      <c r="D60" s="103"/>
      <c r="E60" s="103"/>
      <c r="F60" s="103"/>
      <c r="G60" s="100">
        <v>500</v>
      </c>
      <c r="H60" s="103"/>
      <c r="I60" s="100">
        <v>6</v>
      </c>
      <c r="J60" s="102" t="s">
        <v>50</v>
      </c>
      <c r="K60" s="103"/>
      <c r="L60" s="103"/>
      <c r="M60" s="100">
        <v>88</v>
      </c>
      <c r="N60" s="103"/>
      <c r="O60" s="103"/>
      <c r="P60" s="100">
        <v>0</v>
      </c>
      <c r="Q60" s="100">
        <v>594</v>
      </c>
      <c r="R60" s="99"/>
      <c r="S60" s="103"/>
      <c r="T60" s="105"/>
      <c r="U60" s="104"/>
      <c r="V60" s="103"/>
      <c r="W60" s="103"/>
      <c r="X60" s="105"/>
      <c r="Y60" s="104"/>
      <c r="Z60" s="102" t="s">
        <v>53</v>
      </c>
      <c r="AA60" s="103"/>
      <c r="AB60" s="103"/>
      <c r="AC60" s="103"/>
      <c r="AD60" s="103"/>
      <c r="AE60" s="103"/>
      <c r="AF60" s="103"/>
      <c r="AG60" s="103"/>
      <c r="AH60" s="105"/>
      <c r="AI60" s="104"/>
      <c r="AJ60" s="103"/>
      <c r="AK60" s="103"/>
      <c r="AL60" s="101">
        <v>3.4</v>
      </c>
      <c r="AM60" s="102" t="s">
        <v>47</v>
      </c>
      <c r="AN60" s="103"/>
      <c r="AO60" s="103"/>
      <c r="AP60" s="103"/>
      <c r="AQ60" s="103"/>
      <c r="AR60" s="103"/>
      <c r="AS60" s="103"/>
      <c r="AT60" s="103"/>
      <c r="AU60" s="101">
        <v>321.03500000000003</v>
      </c>
      <c r="AV60" s="100">
        <v>324.435</v>
      </c>
      <c r="AW60" s="99"/>
      <c r="AX60" s="98"/>
      <c r="AY60" s="98"/>
      <c r="AZ60" s="97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94"/>
      <c r="BW60" s="96"/>
      <c r="BX60" s="103"/>
      <c r="BY60" s="103"/>
      <c r="BZ60" s="103"/>
      <c r="CA60" s="103"/>
      <c r="CB60" s="103"/>
      <c r="CC60" s="103"/>
      <c r="CD60" s="94"/>
      <c r="CE60" s="94"/>
      <c r="CF60" s="93"/>
      <c r="CG60" s="93"/>
      <c r="CH60" s="92"/>
      <c r="CI60" s="90"/>
      <c r="CJ60" s="90"/>
      <c r="CK60" s="90"/>
      <c r="CL60" s="90"/>
      <c r="CM60" s="90"/>
      <c r="CN60" s="89">
        <f>CN$4+SUMIF($C$5:CM$5,"Нараст. баланс",$C62:CM62)+SUMIF($C$7:CK$7,"Итого (с ВНР)",$C62:CK62)-SUMIF($C$5:CM$5,"Геол. снижение,  т/сут",$C62:CM62)-SUMIF(CL$7:CM$7,"Итого",CL62:CM62)-SUMIF($C$7:CM$7,"Итого (с ВСП)",$C62:CM62)</f>
        <v>30350.843901799475</v>
      </c>
      <c r="CO60" s="88"/>
      <c r="CP60" s="2"/>
    </row>
    <row r="61" spans="1:94" ht="11.25" customHeight="1" x14ac:dyDescent="0.25">
      <c r="A61" s="55" t="s">
        <v>1</v>
      </c>
      <c r="B61" s="87" t="s">
        <v>42</v>
      </c>
      <c r="C61" s="84"/>
      <c r="D61" s="84"/>
      <c r="E61" s="84"/>
      <c r="F61" s="84"/>
      <c r="G61" s="76">
        <v>0</v>
      </c>
      <c r="H61" s="84"/>
      <c r="I61" s="76">
        <v>0</v>
      </c>
      <c r="J61" s="83" t="s">
        <v>135</v>
      </c>
      <c r="K61" s="84"/>
      <c r="L61" s="84"/>
      <c r="M61" s="76">
        <v>1</v>
      </c>
      <c r="N61" s="84"/>
      <c r="O61" s="84"/>
      <c r="P61" s="76">
        <v>0</v>
      </c>
      <c r="Q61" s="76">
        <v>1</v>
      </c>
      <c r="R61" s="81"/>
      <c r="S61" s="84"/>
      <c r="T61" s="86">
        <f>SUBTOTAL(9,S63:S63)</f>
        <v>0</v>
      </c>
      <c r="U61" s="85"/>
      <c r="V61" s="84"/>
      <c r="W61" s="84"/>
      <c r="X61" s="86">
        <f>SUBTOTAL(9,V63:W63)</f>
        <v>0</v>
      </c>
      <c r="Y61" s="85"/>
      <c r="Z61" s="83" t="s">
        <v>134</v>
      </c>
      <c r="AA61" s="84"/>
      <c r="AB61" s="84"/>
      <c r="AC61" s="84"/>
      <c r="AD61" s="84"/>
      <c r="AE61" s="84"/>
      <c r="AF61" s="84"/>
      <c r="AG61" s="84"/>
      <c r="AH61" s="86">
        <f>SUBTOTAL(9,Z63:AG63)</f>
        <v>1</v>
      </c>
      <c r="AI61" s="85"/>
      <c r="AJ61" s="84"/>
      <c r="AK61" s="84"/>
      <c r="AL61" s="82">
        <f>SUBTOTAL(9,AJ63:AK63)</f>
        <v>0</v>
      </c>
      <c r="AM61" s="83" t="s">
        <v>133</v>
      </c>
      <c r="AN61" s="84"/>
      <c r="AO61" s="84"/>
      <c r="AP61" s="84"/>
      <c r="AQ61" s="84"/>
      <c r="AR61" s="84"/>
      <c r="AS61" s="84"/>
      <c r="AT61" s="84"/>
      <c r="AU61" s="82">
        <f>SUBTOTAL(9,AM63:AT63)</f>
        <v>1</v>
      </c>
      <c r="AV61" s="76">
        <f>SUBTOTAL(9,AJ63:AT63)</f>
        <v>1</v>
      </c>
      <c r="AW61" s="81"/>
      <c r="AX61" s="80"/>
      <c r="AY61" s="80"/>
      <c r="AZ61" s="79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76">
        <f>SUBTOTAL(9,BA63:BU63)</f>
        <v>0</v>
      </c>
      <c r="BW61" s="78"/>
      <c r="BX61" s="84"/>
      <c r="BY61" s="84"/>
      <c r="BZ61" s="84"/>
      <c r="CA61" s="84"/>
      <c r="CB61" s="84"/>
      <c r="CC61" s="84"/>
      <c r="CD61" s="76">
        <f>SUBTOTAL(3,BX61:CC61)</f>
        <v>0</v>
      </c>
      <c r="CE61" s="75"/>
      <c r="CF61" s="74"/>
      <c r="CG61" s="74"/>
      <c r="CH61" s="73"/>
      <c r="CI61" s="71"/>
      <c r="CJ61" s="71"/>
      <c r="CK61" s="71"/>
      <c r="CL61" s="71"/>
      <c r="CM61" s="71"/>
      <c r="CN61" s="55" t="s">
        <v>1</v>
      </c>
      <c r="CO61" s="70"/>
      <c r="CP61" s="2"/>
    </row>
    <row r="62" spans="1:94" ht="11.25" customHeight="1" x14ac:dyDescent="0.25">
      <c r="A62" s="55" t="s">
        <v>1</v>
      </c>
      <c r="B62" s="69" t="s">
        <v>8</v>
      </c>
      <c r="C62" s="66"/>
      <c r="D62" s="66"/>
      <c r="E62" s="66"/>
      <c r="F62" s="66"/>
      <c r="G62" s="56">
        <f>SUBTOTAL(9,C62:F62)</f>
        <v>0</v>
      </c>
      <c r="H62" s="66"/>
      <c r="I62" s="56">
        <f>SUBTOTAL(9,H62:H62)</f>
        <v>0</v>
      </c>
      <c r="J62" s="65">
        <v>18</v>
      </c>
      <c r="K62" s="66"/>
      <c r="L62" s="66"/>
      <c r="M62" s="56">
        <f>SUBTOTAL(9,J62:L62)</f>
        <v>18</v>
      </c>
      <c r="N62" s="66"/>
      <c r="O62" s="66"/>
      <c r="P62" s="56">
        <f>SUBTOTAL(9,N62:O62)</f>
        <v>0</v>
      </c>
      <c r="Q62" s="56">
        <f>SUBTOTAL(9,C62:O62)</f>
        <v>18</v>
      </c>
      <c r="R62" s="64">
        <v>594</v>
      </c>
      <c r="S62" s="66"/>
      <c r="T62" s="68">
        <f>SUBTOTAL(9,S62:S62)</f>
        <v>0</v>
      </c>
      <c r="U62" s="67">
        <f>T62+IF($B58=2,0,U58)</f>
        <v>9</v>
      </c>
      <c r="V62" s="66"/>
      <c r="W62" s="66"/>
      <c r="X62" s="68">
        <f>SUBTOTAL(9,V62:W62)</f>
        <v>0</v>
      </c>
      <c r="Y62" s="67">
        <f>X62+IF($B58=2,0,Y58)</f>
        <v>170</v>
      </c>
      <c r="Z62" s="65">
        <v>3</v>
      </c>
      <c r="AA62" s="66"/>
      <c r="AB62" s="66"/>
      <c r="AC62" s="66"/>
      <c r="AD62" s="66"/>
      <c r="AE62" s="66"/>
      <c r="AF62" s="66"/>
      <c r="AG62" s="66"/>
      <c r="AH62" s="68">
        <f>SUBTOTAL(9,Z62:AG62)</f>
        <v>3</v>
      </c>
      <c r="AI62" s="67">
        <f>AH62+IF($B58=2,0,AI58)</f>
        <v>22.8</v>
      </c>
      <c r="AJ62" s="66"/>
      <c r="AK62" s="66"/>
      <c r="AL62" s="61">
        <f>SUBTOTAL(9,AJ62:AK62)</f>
        <v>0</v>
      </c>
      <c r="AM62" s="65">
        <v>1.5</v>
      </c>
      <c r="AN62" s="66"/>
      <c r="AO62" s="66"/>
      <c r="AP62" s="66"/>
      <c r="AQ62" s="66"/>
      <c r="AR62" s="66"/>
      <c r="AS62" s="66"/>
      <c r="AT62" s="66"/>
      <c r="AU62" s="61">
        <f>SUBTOTAL(9,AM62:AT62)</f>
        <v>1.5</v>
      </c>
      <c r="AV62" s="56">
        <f>SUBTOTAL(9,AJ62:AT62)</f>
        <v>1.5</v>
      </c>
      <c r="AW62" s="64">
        <f>AV62+IF($B58=2,0,AW58)</f>
        <v>324.435</v>
      </c>
      <c r="AX62" s="63"/>
      <c r="AY62" s="63"/>
      <c r="AZ62" s="62">
        <v>650</v>
      </c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56">
        <f>SUBTOTAL(9,BA62:BU62)</f>
        <v>0</v>
      </c>
      <c r="BW62" s="61">
        <f>BV62+IF($B58=2,0,BW58)</f>
        <v>479.66040000000004</v>
      </c>
      <c r="BX62" s="66"/>
      <c r="BY62" s="66"/>
      <c r="BZ62" s="66"/>
      <c r="CA62" s="66"/>
      <c r="CB62" s="66"/>
      <c r="CC62" s="66"/>
      <c r="CD62" s="56">
        <f>SUBTOTAL(9,BX62:CC62)</f>
        <v>0</v>
      </c>
      <c r="CE62" s="56">
        <f>CD62+IF($B58=2,0,CE58)</f>
        <v>5.8</v>
      </c>
      <c r="CF62" s="59">
        <v>140.12</v>
      </c>
      <c r="CG62" s="59">
        <v>140.12</v>
      </c>
      <c r="CH62" s="58">
        <f>SUMIF($C$5:CG$5,"Накопленный эффект, т/сут",$C62:CG62)+SUMIF($C$5:CG$5,"Нараст.  по потенциалу",$C62:CG62)-SUMIF($C$5:CG$5,"Нараст. по остановкам",$C62:CG62)-SUMIF($C$5:CG$5,"ИТОГО перевод в ППД",$C62:CG62)-SUMIF($C$5:CG$5,"ИТОГО  нерент, по распоряж.",$C62:CG62)-SUMIF($C$5:CG$5,"ИТОГО ост. дебит от ЗБС, Углуб., ПВЛГ/ПНЛГ",$C62:CG62)</f>
        <v>634.77459999999996</v>
      </c>
      <c r="CI62" s="56">
        <v>12.6</v>
      </c>
      <c r="CJ62" s="56">
        <v>16.304397857544501</v>
      </c>
      <c r="CK62" s="56">
        <v>11.987304444609901</v>
      </c>
      <c r="CL62" s="56">
        <v>7.7599958983706703</v>
      </c>
      <c r="CM62" s="56">
        <f>SUBTOTAL(9,CI62:CL62)</f>
        <v>48.651698200525068</v>
      </c>
      <c r="CN62" s="55" t="s">
        <v>1</v>
      </c>
      <c r="CO62" s="54">
        <f>CO$4+SUMIF($C$5:CM$5,"Нараст. по остановкам",$C62:CM62)-SUMIF($C$5:CM$5,"Нараст.  по потенциалу",$C62:CM62)</f>
        <v>831.32556228627504</v>
      </c>
      <c r="CP62" s="2"/>
    </row>
    <row r="63" spans="1:94" ht="1.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v>1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>
        <v>1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2"/>
    </row>
    <row r="64" spans="1:94" ht="11.25" customHeight="1" x14ac:dyDescent="0.25">
      <c r="A64" s="107">
        <v>45365</v>
      </c>
      <c r="B64" s="106" t="s">
        <v>58</v>
      </c>
      <c r="C64" s="103"/>
      <c r="D64" s="103"/>
      <c r="E64" s="103"/>
      <c r="F64" s="103"/>
      <c r="G64" s="100">
        <v>500</v>
      </c>
      <c r="H64" s="103"/>
      <c r="I64" s="100">
        <v>6</v>
      </c>
      <c r="J64" s="102" t="s">
        <v>47</v>
      </c>
      <c r="K64" s="103"/>
      <c r="L64" s="103"/>
      <c r="M64" s="100">
        <v>108</v>
      </c>
      <c r="N64" s="103"/>
      <c r="O64" s="103"/>
      <c r="P64" s="100">
        <v>0</v>
      </c>
      <c r="Q64" s="100">
        <v>614</v>
      </c>
      <c r="R64" s="99"/>
      <c r="S64" s="103"/>
      <c r="T64" s="105"/>
      <c r="U64" s="104"/>
      <c r="V64" s="103"/>
      <c r="W64" s="103"/>
      <c r="X64" s="105"/>
      <c r="Y64" s="104"/>
      <c r="Z64" s="102" t="s">
        <v>44</v>
      </c>
      <c r="AA64" s="103"/>
      <c r="AB64" s="103"/>
      <c r="AC64" s="103"/>
      <c r="AD64" s="103"/>
      <c r="AE64" s="103"/>
      <c r="AF64" s="103"/>
      <c r="AG64" s="103"/>
      <c r="AH64" s="105"/>
      <c r="AI64" s="104"/>
      <c r="AJ64" s="103"/>
      <c r="AK64" s="103"/>
      <c r="AL64" s="101">
        <v>3.4</v>
      </c>
      <c r="AM64" s="102"/>
      <c r="AN64" s="103"/>
      <c r="AO64" s="103"/>
      <c r="AP64" s="103"/>
      <c r="AQ64" s="103"/>
      <c r="AR64" s="103"/>
      <c r="AS64" s="103"/>
      <c r="AT64" s="103"/>
      <c r="AU64" s="101">
        <v>339.33139999999997</v>
      </c>
      <c r="AV64" s="100">
        <v>342.73140000000001</v>
      </c>
      <c r="AW64" s="99"/>
      <c r="AX64" s="98"/>
      <c r="AY64" s="98"/>
      <c r="AZ64" s="97"/>
      <c r="BA64" s="95" t="s">
        <v>51</v>
      </c>
      <c r="BB64" s="95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94"/>
      <c r="BW64" s="96"/>
      <c r="BX64" s="103"/>
      <c r="BY64" s="103"/>
      <c r="BZ64" s="103"/>
      <c r="CA64" s="103"/>
      <c r="CB64" s="103"/>
      <c r="CC64" s="103"/>
      <c r="CD64" s="94"/>
      <c r="CE64" s="94"/>
      <c r="CF64" s="93"/>
      <c r="CG64" s="93"/>
      <c r="CH64" s="92"/>
      <c r="CI64" s="90"/>
      <c r="CJ64" s="90"/>
      <c r="CK64" s="90"/>
      <c r="CL64" s="90"/>
      <c r="CM64" s="90"/>
      <c r="CN64" s="89">
        <f>CN$4+SUMIF($C$5:CM$5,"Нараст. баланс",$C66:CM66)+SUMIF($C$7:CK$7,"Итого (с ВНР)",$C66:CK66)-SUMIF($C$5:CM$5,"Геол. снижение,  т/сут",$C66:CM66)-SUMIF(CL$7:CM$7,"Итого",CL66:CM66)-SUMIF($C$7:CM$7,"Итого (с ВСП)",$C66:CM66)</f>
        <v>30322.22265743171</v>
      </c>
      <c r="CO64" s="88"/>
      <c r="CP64" s="2"/>
    </row>
    <row r="65" spans="1:94" ht="11.25" customHeight="1" x14ac:dyDescent="0.25">
      <c r="A65" s="55" t="s">
        <v>1</v>
      </c>
      <c r="B65" s="87" t="s">
        <v>42</v>
      </c>
      <c r="C65" s="84"/>
      <c r="D65" s="84"/>
      <c r="E65" s="84"/>
      <c r="F65" s="84"/>
      <c r="G65" s="76">
        <v>0</v>
      </c>
      <c r="H65" s="84"/>
      <c r="I65" s="76">
        <v>0</v>
      </c>
      <c r="J65" s="83" t="s">
        <v>132</v>
      </c>
      <c r="K65" s="84"/>
      <c r="L65" s="84"/>
      <c r="M65" s="76">
        <v>1</v>
      </c>
      <c r="N65" s="84"/>
      <c r="O65" s="84"/>
      <c r="P65" s="76">
        <v>0</v>
      </c>
      <c r="Q65" s="76">
        <v>1</v>
      </c>
      <c r="R65" s="81"/>
      <c r="S65" s="84"/>
      <c r="T65" s="86">
        <f>SUBTOTAL(9,S67:S67)</f>
        <v>0</v>
      </c>
      <c r="U65" s="85"/>
      <c r="V65" s="84"/>
      <c r="W65" s="84"/>
      <c r="X65" s="86">
        <f>SUBTOTAL(9,V67:W67)</f>
        <v>0</v>
      </c>
      <c r="Y65" s="85"/>
      <c r="Z65" s="83" t="s">
        <v>131</v>
      </c>
      <c r="AA65" s="84"/>
      <c r="AB65" s="84"/>
      <c r="AC65" s="84"/>
      <c r="AD65" s="84"/>
      <c r="AE65" s="84"/>
      <c r="AF65" s="84"/>
      <c r="AG65" s="84"/>
      <c r="AH65" s="86">
        <f>SUBTOTAL(9,Z67:AG67)</f>
        <v>1</v>
      </c>
      <c r="AI65" s="85"/>
      <c r="AJ65" s="84"/>
      <c r="AK65" s="84"/>
      <c r="AL65" s="82">
        <f>SUBTOTAL(9,AJ67:AK67)</f>
        <v>0</v>
      </c>
      <c r="AM65" s="83"/>
      <c r="AN65" s="84"/>
      <c r="AO65" s="84"/>
      <c r="AP65" s="84"/>
      <c r="AQ65" s="84"/>
      <c r="AR65" s="84"/>
      <c r="AS65" s="84"/>
      <c r="AT65" s="84"/>
      <c r="AU65" s="82">
        <f>SUBTOTAL(9,AM67:AT67)</f>
        <v>0</v>
      </c>
      <c r="AV65" s="76">
        <f>SUBTOTAL(9,AJ67:AT67)</f>
        <v>0</v>
      </c>
      <c r="AW65" s="81"/>
      <c r="AX65" s="80"/>
      <c r="AY65" s="80"/>
      <c r="AZ65" s="79"/>
      <c r="BA65" s="77" t="s">
        <v>106</v>
      </c>
      <c r="BB65" s="77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76">
        <f>SUBTOTAL(9,BA67:BU67)</f>
        <v>1</v>
      </c>
      <c r="BW65" s="78"/>
      <c r="BX65" s="84"/>
      <c r="BY65" s="84"/>
      <c r="BZ65" s="84"/>
      <c r="CA65" s="84"/>
      <c r="CB65" s="84"/>
      <c r="CC65" s="84"/>
      <c r="CD65" s="76">
        <f>SUBTOTAL(3,BX65:CC65)</f>
        <v>0</v>
      </c>
      <c r="CE65" s="75"/>
      <c r="CF65" s="74"/>
      <c r="CG65" s="74"/>
      <c r="CH65" s="73"/>
      <c r="CI65" s="71"/>
      <c r="CJ65" s="71"/>
      <c r="CK65" s="71"/>
      <c r="CL65" s="71"/>
      <c r="CM65" s="71"/>
      <c r="CN65" s="55" t="s">
        <v>1</v>
      </c>
      <c r="CO65" s="70"/>
      <c r="CP65" s="2"/>
    </row>
    <row r="66" spans="1:94" ht="11.25" customHeight="1" x14ac:dyDescent="0.25">
      <c r="A66" s="55" t="s">
        <v>1</v>
      </c>
      <c r="B66" s="69" t="s">
        <v>8</v>
      </c>
      <c r="C66" s="66"/>
      <c r="D66" s="66"/>
      <c r="E66" s="66"/>
      <c r="F66" s="66"/>
      <c r="G66" s="56">
        <f>SUBTOTAL(9,C66:F66)</f>
        <v>0</v>
      </c>
      <c r="H66" s="66"/>
      <c r="I66" s="56">
        <f>SUBTOTAL(9,H66:H66)</f>
        <v>0</v>
      </c>
      <c r="J66" s="65">
        <v>20</v>
      </c>
      <c r="K66" s="66"/>
      <c r="L66" s="66"/>
      <c r="M66" s="56">
        <f>SUBTOTAL(9,J66:L66)</f>
        <v>20</v>
      </c>
      <c r="N66" s="66"/>
      <c r="O66" s="66"/>
      <c r="P66" s="56">
        <f>SUBTOTAL(9,N66:O66)</f>
        <v>0</v>
      </c>
      <c r="Q66" s="56">
        <f>SUBTOTAL(9,C66:O66)</f>
        <v>20</v>
      </c>
      <c r="R66" s="64">
        <v>614</v>
      </c>
      <c r="S66" s="66"/>
      <c r="T66" s="68">
        <f>SUBTOTAL(9,S66:S66)</f>
        <v>0</v>
      </c>
      <c r="U66" s="67">
        <f>T66+IF($B62=2,0,U62)</f>
        <v>9</v>
      </c>
      <c r="V66" s="66"/>
      <c r="W66" s="66"/>
      <c r="X66" s="68">
        <f>SUBTOTAL(9,V66:W66)</f>
        <v>0</v>
      </c>
      <c r="Y66" s="67">
        <f>X66+IF($B62=2,0,Y62)</f>
        <v>170</v>
      </c>
      <c r="Z66" s="65">
        <v>6</v>
      </c>
      <c r="AA66" s="66"/>
      <c r="AB66" s="66"/>
      <c r="AC66" s="66"/>
      <c r="AD66" s="66"/>
      <c r="AE66" s="66"/>
      <c r="AF66" s="66"/>
      <c r="AG66" s="66"/>
      <c r="AH66" s="68">
        <f>SUBTOTAL(9,Z66:AG66)</f>
        <v>6</v>
      </c>
      <c r="AI66" s="67">
        <f>AH66+IF($B62=2,0,AI62)</f>
        <v>28.8</v>
      </c>
      <c r="AJ66" s="66"/>
      <c r="AK66" s="66"/>
      <c r="AL66" s="61">
        <f>SUBTOTAL(9,AJ66:AK66)</f>
        <v>0</v>
      </c>
      <c r="AM66" s="65">
        <v>18.296399999999998</v>
      </c>
      <c r="AN66" s="66"/>
      <c r="AO66" s="66"/>
      <c r="AP66" s="66"/>
      <c r="AQ66" s="66"/>
      <c r="AR66" s="66"/>
      <c r="AS66" s="66"/>
      <c r="AT66" s="66"/>
      <c r="AU66" s="61">
        <f>SUBTOTAL(9,AM66:AT66)</f>
        <v>18.296399999999998</v>
      </c>
      <c r="AV66" s="56">
        <f>SUBTOTAL(9,AJ66:AT66)</f>
        <v>18.296399999999998</v>
      </c>
      <c r="AW66" s="64">
        <f>AV66+IF($B62=2,0,AW62)</f>
        <v>342.73140000000001</v>
      </c>
      <c r="AX66" s="63"/>
      <c r="AY66" s="63"/>
      <c r="AZ66" s="62">
        <v>700</v>
      </c>
      <c r="BA66" s="60">
        <v>2.2999999999999998</v>
      </c>
      <c r="BB66" s="60">
        <v>19.600000000000001</v>
      </c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56">
        <f>SUBTOTAL(9,BA66:BU66)</f>
        <v>21.900000000000002</v>
      </c>
      <c r="BW66" s="61">
        <f>BV66+IF($B62=2,0,BW62)</f>
        <v>501.56040000000002</v>
      </c>
      <c r="BX66" s="66"/>
      <c r="BY66" s="66"/>
      <c r="BZ66" s="66"/>
      <c r="CA66" s="66"/>
      <c r="CB66" s="66"/>
      <c r="CC66" s="66"/>
      <c r="CD66" s="56">
        <f>SUBTOTAL(9,BX66:CC66)</f>
        <v>0</v>
      </c>
      <c r="CE66" s="56">
        <f>CD66+IF($B62=2,0,CE62)</f>
        <v>5.8</v>
      </c>
      <c r="CF66" s="59">
        <v>129.06</v>
      </c>
      <c r="CG66" s="59">
        <v>129.06</v>
      </c>
      <c r="CH66" s="58">
        <f>SUMIF($C$5:CG$5,"Накопленный эффект, т/сут",$C66:CG66)+SUMIF($C$5:CG$5,"Нараст.  по потенциалу",$C66:CG66)-SUMIF($C$5:CG$5,"Нараст. по остановкам",$C66:CG66)-SUMIF($C$5:CG$5,"ИТОГО перевод в ППД",$C66:CG66)-SUMIF($C$5:CG$5,"ИТОГО  нерент, по распоряж.",$C66:CG66)-SUMIF($C$5:CG$5,"ИТОГО ост. дебит от ЗБС, Углуб., ПВЛГ/ПНЛГ",$C66:CG66)</f>
        <v>657.17099999999982</v>
      </c>
      <c r="CI66" s="56">
        <v>12.6</v>
      </c>
      <c r="CJ66" s="56">
        <v>15.782934622226801</v>
      </c>
      <c r="CK66" s="56">
        <v>26.676472842587799</v>
      </c>
      <c r="CL66" s="56">
        <v>5.6699351034726897</v>
      </c>
      <c r="CM66" s="56">
        <f>SUBTOTAL(9,CI66:CL66)</f>
        <v>60.729342568287286</v>
      </c>
      <c r="CN66" s="55" t="s">
        <v>1</v>
      </c>
      <c r="CO66" s="54">
        <f>CO$4+SUMIF($C$5:CM$5,"Нараст. по остановкам",$C66:CM66)-SUMIF($C$5:CM$5,"Нараст.  по потенциалу",$C66:CM66)</f>
        <v>834.92916228627507</v>
      </c>
      <c r="CP66" s="2"/>
    </row>
    <row r="67" spans="1:94" ht="1.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1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>
        <v>1</v>
      </c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2"/>
    </row>
    <row r="68" spans="1:94" ht="11.25" customHeight="1" x14ac:dyDescent="0.25">
      <c r="A68" s="107">
        <v>45366</v>
      </c>
      <c r="B68" s="106" t="s">
        <v>58</v>
      </c>
      <c r="C68" s="102" t="s">
        <v>47</v>
      </c>
      <c r="D68" s="103"/>
      <c r="E68" s="103"/>
      <c r="F68" s="103"/>
      <c r="G68" s="100">
        <v>550</v>
      </c>
      <c r="H68" s="102" t="s">
        <v>47</v>
      </c>
      <c r="I68" s="100">
        <v>12</v>
      </c>
      <c r="J68" s="102" t="s">
        <v>49</v>
      </c>
      <c r="K68" s="103"/>
      <c r="L68" s="103"/>
      <c r="M68" s="100">
        <v>127</v>
      </c>
      <c r="N68" s="103"/>
      <c r="O68" s="103"/>
      <c r="P68" s="100">
        <v>0</v>
      </c>
      <c r="Q68" s="100">
        <v>689</v>
      </c>
      <c r="R68" s="99"/>
      <c r="S68" s="103"/>
      <c r="T68" s="105"/>
      <c r="U68" s="104"/>
      <c r="V68" s="103"/>
      <c r="W68" s="103"/>
      <c r="X68" s="105"/>
      <c r="Y68" s="104"/>
      <c r="Z68" s="102" t="s">
        <v>47</v>
      </c>
      <c r="AA68" s="102" t="s">
        <v>43</v>
      </c>
      <c r="AB68" s="103"/>
      <c r="AC68" s="103"/>
      <c r="AD68" s="103"/>
      <c r="AE68" s="103"/>
      <c r="AF68" s="103"/>
      <c r="AG68" s="103"/>
      <c r="AH68" s="105"/>
      <c r="AI68" s="104"/>
      <c r="AJ68" s="103"/>
      <c r="AK68" s="103"/>
      <c r="AL68" s="101">
        <v>3.4</v>
      </c>
      <c r="AM68" s="102" t="s">
        <v>55</v>
      </c>
      <c r="AN68" s="102"/>
      <c r="AO68" s="103"/>
      <c r="AP68" s="103"/>
      <c r="AQ68" s="103"/>
      <c r="AR68" s="103"/>
      <c r="AS68" s="103"/>
      <c r="AT68" s="103"/>
      <c r="AU68" s="101">
        <v>354.13139999999999</v>
      </c>
      <c r="AV68" s="100">
        <v>357.53140000000002</v>
      </c>
      <c r="AW68" s="99"/>
      <c r="AX68" s="98"/>
      <c r="AY68" s="98"/>
      <c r="AZ68" s="97"/>
      <c r="BA68" s="95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94"/>
      <c r="BW68" s="96"/>
      <c r="BX68" s="103"/>
      <c r="BY68" s="103"/>
      <c r="BZ68" s="103"/>
      <c r="CA68" s="103"/>
      <c r="CB68" s="103"/>
      <c r="CC68" s="103"/>
      <c r="CD68" s="94"/>
      <c r="CE68" s="94"/>
      <c r="CF68" s="93"/>
      <c r="CG68" s="93"/>
      <c r="CH68" s="92"/>
      <c r="CI68" s="90"/>
      <c r="CJ68" s="90"/>
      <c r="CK68" s="91"/>
      <c r="CL68" s="90"/>
      <c r="CM68" s="90"/>
      <c r="CN68" s="89">
        <f>CN$4+SUMIF($C$5:CM$5,"Нараст. баланс",$C70:CM70)+SUMIF($C$7:CK$7,"Итого (с ВНР)",$C70:CK70)-SUMIF($C$5:CM$5,"Геол. снижение,  т/сут",$C70:CM70)-SUMIF(CL$7:CM$7,"Итого",CL70:CM70)-SUMIF($C$7:CM$7,"Итого (с ВСП)",$C70:CM70)</f>
        <v>30405.492260886309</v>
      </c>
      <c r="CO68" s="88"/>
      <c r="CP68" s="2"/>
    </row>
    <row r="69" spans="1:94" ht="11.25" customHeight="1" x14ac:dyDescent="0.25">
      <c r="A69" s="55" t="s">
        <v>1</v>
      </c>
      <c r="B69" s="87" t="s">
        <v>42</v>
      </c>
      <c r="C69" s="83" t="s">
        <v>130</v>
      </c>
      <c r="D69" s="84"/>
      <c r="E69" s="84"/>
      <c r="F69" s="84"/>
      <c r="G69" s="76">
        <v>1</v>
      </c>
      <c r="H69" s="83" t="s">
        <v>128</v>
      </c>
      <c r="I69" s="76">
        <v>1</v>
      </c>
      <c r="J69" s="83" t="s">
        <v>129</v>
      </c>
      <c r="K69" s="84"/>
      <c r="L69" s="84"/>
      <c r="M69" s="76">
        <v>1</v>
      </c>
      <c r="N69" s="84"/>
      <c r="O69" s="84"/>
      <c r="P69" s="76">
        <v>0</v>
      </c>
      <c r="Q69" s="76">
        <v>3</v>
      </c>
      <c r="R69" s="81"/>
      <c r="S69" s="84"/>
      <c r="T69" s="86">
        <f>SUBTOTAL(9,S71:S71)</f>
        <v>0</v>
      </c>
      <c r="U69" s="85"/>
      <c r="V69" s="84"/>
      <c r="W69" s="84"/>
      <c r="X69" s="86">
        <f>SUBTOTAL(9,V71:W71)</f>
        <v>0</v>
      </c>
      <c r="Y69" s="85"/>
      <c r="Z69" s="83" t="s">
        <v>128</v>
      </c>
      <c r="AA69" s="83" t="s">
        <v>127</v>
      </c>
      <c r="AB69" s="84"/>
      <c r="AC69" s="84"/>
      <c r="AD69" s="84"/>
      <c r="AE69" s="84"/>
      <c r="AF69" s="84"/>
      <c r="AG69" s="84"/>
      <c r="AH69" s="86">
        <f>SUBTOTAL(9,Z71:AG71)</f>
        <v>2</v>
      </c>
      <c r="AI69" s="85"/>
      <c r="AJ69" s="84"/>
      <c r="AK69" s="84"/>
      <c r="AL69" s="82">
        <f>SUBTOTAL(9,AJ71:AK71)</f>
        <v>0</v>
      </c>
      <c r="AM69" s="83" t="s">
        <v>126</v>
      </c>
      <c r="AN69" s="83"/>
      <c r="AO69" s="84"/>
      <c r="AP69" s="84"/>
      <c r="AQ69" s="84"/>
      <c r="AR69" s="84"/>
      <c r="AS69" s="84"/>
      <c r="AT69" s="84"/>
      <c r="AU69" s="82">
        <f>SUBTOTAL(9,AM71:AT71)</f>
        <v>1</v>
      </c>
      <c r="AV69" s="76">
        <f>SUBTOTAL(9,AJ71:AT71)</f>
        <v>1</v>
      </c>
      <c r="AW69" s="81"/>
      <c r="AX69" s="80"/>
      <c r="AY69" s="80"/>
      <c r="AZ69" s="79"/>
      <c r="BA69" s="77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76">
        <f>SUBTOTAL(9,BA71:BU71)</f>
        <v>0</v>
      </c>
      <c r="BW69" s="78"/>
      <c r="BX69" s="84"/>
      <c r="BY69" s="84"/>
      <c r="BZ69" s="84"/>
      <c r="CA69" s="84"/>
      <c r="CB69" s="84"/>
      <c r="CC69" s="84"/>
      <c r="CD69" s="76">
        <f>SUBTOTAL(3,BX69:CC69)</f>
        <v>0</v>
      </c>
      <c r="CE69" s="75"/>
      <c r="CF69" s="74"/>
      <c r="CG69" s="74"/>
      <c r="CH69" s="73"/>
      <c r="CI69" s="71"/>
      <c r="CJ69" s="71"/>
      <c r="CK69" s="72"/>
      <c r="CL69" s="71"/>
      <c r="CM69" s="71"/>
      <c r="CN69" s="55" t="s">
        <v>1</v>
      </c>
      <c r="CO69" s="70"/>
      <c r="CP69" s="2"/>
    </row>
    <row r="70" spans="1:94" ht="11.25" customHeight="1" x14ac:dyDescent="0.25">
      <c r="A70" s="55" t="s">
        <v>1</v>
      </c>
      <c r="B70" s="69" t="s">
        <v>8</v>
      </c>
      <c r="C70" s="65">
        <v>50</v>
      </c>
      <c r="D70" s="66"/>
      <c r="E70" s="66"/>
      <c r="F70" s="66"/>
      <c r="G70" s="56">
        <f>SUBTOTAL(9,C70:F70)</f>
        <v>50</v>
      </c>
      <c r="H70" s="65">
        <v>6</v>
      </c>
      <c r="I70" s="56">
        <f>SUBTOTAL(9,H70:H70)</f>
        <v>6</v>
      </c>
      <c r="J70" s="65">
        <v>19</v>
      </c>
      <c r="K70" s="66"/>
      <c r="L70" s="66"/>
      <c r="M70" s="56">
        <f>SUBTOTAL(9,J70:L70)</f>
        <v>19</v>
      </c>
      <c r="N70" s="66"/>
      <c r="O70" s="66"/>
      <c r="P70" s="56">
        <f>SUBTOTAL(9,N70:O70)</f>
        <v>0</v>
      </c>
      <c r="Q70" s="56">
        <f>SUBTOTAL(9,C70:O70)</f>
        <v>75</v>
      </c>
      <c r="R70" s="64">
        <v>689</v>
      </c>
      <c r="S70" s="66"/>
      <c r="T70" s="68">
        <f>SUBTOTAL(9,S70:S70)</f>
        <v>0</v>
      </c>
      <c r="U70" s="67">
        <f>T70+IF($B66=2,0,U66)</f>
        <v>9</v>
      </c>
      <c r="V70" s="66"/>
      <c r="W70" s="66"/>
      <c r="X70" s="68">
        <f>SUBTOTAL(9,V70:W70)</f>
        <v>0</v>
      </c>
      <c r="Y70" s="67">
        <f>X70+IF($B66=2,0,Y66)</f>
        <v>170</v>
      </c>
      <c r="Z70" s="65">
        <v>2.1</v>
      </c>
      <c r="AA70" s="65">
        <v>8</v>
      </c>
      <c r="AB70" s="66"/>
      <c r="AC70" s="66"/>
      <c r="AD70" s="66"/>
      <c r="AE70" s="66"/>
      <c r="AF70" s="66"/>
      <c r="AG70" s="66"/>
      <c r="AH70" s="68">
        <f>SUBTOTAL(9,Z70:AG70)</f>
        <v>10.1</v>
      </c>
      <c r="AI70" s="67">
        <f>AH70+IF($B66=2,0,AI66)</f>
        <v>38.9</v>
      </c>
      <c r="AJ70" s="66"/>
      <c r="AK70" s="66"/>
      <c r="AL70" s="61">
        <f>SUBTOTAL(9,AJ70:AK70)</f>
        <v>0</v>
      </c>
      <c r="AM70" s="65">
        <v>9.6</v>
      </c>
      <c r="AN70" s="65">
        <v>5.2</v>
      </c>
      <c r="AO70" s="66"/>
      <c r="AP70" s="66"/>
      <c r="AQ70" s="66"/>
      <c r="AR70" s="66"/>
      <c r="AS70" s="66"/>
      <c r="AT70" s="66"/>
      <c r="AU70" s="61">
        <f>SUBTOTAL(9,AM70:AT70)</f>
        <v>14.8</v>
      </c>
      <c r="AV70" s="56">
        <f>SUBTOTAL(9,AJ70:AT70)</f>
        <v>14.8</v>
      </c>
      <c r="AW70" s="64">
        <f>AV70+IF($B66=2,0,AW66)</f>
        <v>357.53140000000002</v>
      </c>
      <c r="AX70" s="63"/>
      <c r="AY70" s="63"/>
      <c r="AZ70" s="62">
        <v>750</v>
      </c>
      <c r="BA70" s="60">
        <v>14.0304</v>
      </c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56">
        <f>SUBTOTAL(9,BA70:BU70)</f>
        <v>14.0304</v>
      </c>
      <c r="BW70" s="61">
        <f>BV70+IF($B66=2,0,BW66)</f>
        <v>515.59080000000006</v>
      </c>
      <c r="BX70" s="66"/>
      <c r="BY70" s="66"/>
      <c r="BZ70" s="66"/>
      <c r="CA70" s="66"/>
      <c r="CB70" s="66"/>
      <c r="CC70" s="66"/>
      <c r="CD70" s="56">
        <f>SUBTOTAL(9,BX70:CC70)</f>
        <v>0</v>
      </c>
      <c r="CE70" s="56">
        <f>CD70+IF($B66=2,0,CE66)</f>
        <v>5.8</v>
      </c>
      <c r="CF70" s="59">
        <v>77.44</v>
      </c>
      <c r="CG70" s="59">
        <v>77.44</v>
      </c>
      <c r="CH70" s="58">
        <f>SUMIF($C$5:CG$5,"Накопленный эффект, т/сут",$C70:CG70)+SUMIF($C$5:CG$5,"Нараст.  по потенциалу",$C70:CG70)-SUMIF($C$5:CG$5,"Нараст. по остановкам",$C70:CG70)-SUMIF($C$5:CG$5,"ИТОГО перевод в ППД",$C70:CG70)-SUMIF($C$5:CG$5,"ИТОГО  нерент, по распоряж.",$C70:CG70)-SUMIF($C$5:CG$5,"ИТОГО ост. дебит от ЗБС, Углуб., ПВЛГ/ПНЛГ",$C70:CG70)</f>
        <v>743.04059999999993</v>
      </c>
      <c r="CI70" s="56">
        <v>12.6</v>
      </c>
      <c r="CJ70" s="56">
        <v>9.0466129635002392</v>
      </c>
      <c r="CK70" s="57"/>
      <c r="CL70" s="56">
        <v>43.302726150194303</v>
      </c>
      <c r="CM70" s="56">
        <f>SUBTOTAL(9,CI70:CL70)</f>
        <v>64.949339113694549</v>
      </c>
      <c r="CN70" s="55" t="s">
        <v>1</v>
      </c>
      <c r="CO70" s="54">
        <f>CO$4+SUMIF($C$5:CM$5,"Нараст. по остановкам",$C70:CM70)-SUMIF($C$5:CM$5,"Нараст.  по потенциалу",$C70:CM70)</f>
        <v>834.15956228627488</v>
      </c>
      <c r="CP70" s="2"/>
    </row>
    <row r="71" spans="1:94" ht="1.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>
        <v>1</v>
      </c>
      <c r="AA71" s="3">
        <v>1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>
        <v>1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2"/>
    </row>
    <row r="72" spans="1:94" ht="11.25" customHeight="1" x14ac:dyDescent="0.25">
      <c r="A72" s="107">
        <v>45367</v>
      </c>
      <c r="B72" s="106" t="s">
        <v>58</v>
      </c>
      <c r="C72" s="102" t="s">
        <v>57</v>
      </c>
      <c r="D72" s="103"/>
      <c r="E72" s="103"/>
      <c r="F72" s="103"/>
      <c r="G72" s="100">
        <v>600</v>
      </c>
      <c r="H72" s="103"/>
      <c r="I72" s="100">
        <v>12</v>
      </c>
      <c r="J72" s="103"/>
      <c r="K72" s="103"/>
      <c r="L72" s="103"/>
      <c r="M72" s="100">
        <v>127</v>
      </c>
      <c r="N72" s="103"/>
      <c r="O72" s="103"/>
      <c r="P72" s="100">
        <v>0</v>
      </c>
      <c r="Q72" s="100">
        <v>739</v>
      </c>
      <c r="R72" s="99"/>
      <c r="S72" s="103"/>
      <c r="T72" s="105"/>
      <c r="U72" s="104"/>
      <c r="V72" s="103"/>
      <c r="W72" s="103"/>
      <c r="X72" s="105"/>
      <c r="Y72" s="104"/>
      <c r="Z72" s="102" t="s">
        <v>71</v>
      </c>
      <c r="AA72" s="102" t="s">
        <v>44</v>
      </c>
      <c r="AB72" s="103"/>
      <c r="AC72" s="103"/>
      <c r="AD72" s="103"/>
      <c r="AE72" s="103"/>
      <c r="AF72" s="103"/>
      <c r="AG72" s="103"/>
      <c r="AH72" s="105"/>
      <c r="AI72" s="104"/>
      <c r="AJ72" s="103"/>
      <c r="AK72" s="103"/>
      <c r="AL72" s="101">
        <v>3.4</v>
      </c>
      <c r="AM72" s="103"/>
      <c r="AN72" s="103"/>
      <c r="AO72" s="103"/>
      <c r="AP72" s="103"/>
      <c r="AQ72" s="103"/>
      <c r="AR72" s="103"/>
      <c r="AS72" s="103"/>
      <c r="AT72" s="103"/>
      <c r="AU72" s="101">
        <v>354.13139999999999</v>
      </c>
      <c r="AV72" s="100">
        <v>357.53140000000002</v>
      </c>
      <c r="AW72" s="99"/>
      <c r="AX72" s="98"/>
      <c r="AY72" s="98"/>
      <c r="AZ72" s="97"/>
      <c r="BA72" s="95" t="s">
        <v>51</v>
      </c>
      <c r="BB72" s="95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94"/>
      <c r="BW72" s="96"/>
      <c r="BX72" s="103"/>
      <c r="BY72" s="103"/>
      <c r="BZ72" s="103"/>
      <c r="CA72" s="103"/>
      <c r="CB72" s="103"/>
      <c r="CC72" s="103"/>
      <c r="CD72" s="94"/>
      <c r="CE72" s="94"/>
      <c r="CF72" s="93"/>
      <c r="CG72" s="93"/>
      <c r="CH72" s="92"/>
      <c r="CI72" s="90"/>
      <c r="CJ72" s="90"/>
      <c r="CK72" s="91"/>
      <c r="CL72" s="90"/>
      <c r="CM72" s="90"/>
      <c r="CN72" s="89">
        <f>CN$4+SUMIF($C$5:CM$5,"Нараст. баланс",$C74:CM74)+SUMIF($C$7:CK$7,"Итого (с ВНР)",$C74:CK74)-SUMIF($C$5:CM$5,"Геол. снижение,  т/сут",$C74:CM74)-SUMIF(CL$7:CM$7,"Итого",CL74:CM74)-SUMIF($C$7:CM$7,"Итого (с ВСП)",$C74:CM74)</f>
        <v>30418.163745942071</v>
      </c>
      <c r="CO72" s="88"/>
      <c r="CP72" s="2"/>
    </row>
    <row r="73" spans="1:94" ht="11.25" customHeight="1" x14ac:dyDescent="0.25">
      <c r="A73" s="55" t="s">
        <v>1</v>
      </c>
      <c r="B73" s="87" t="s">
        <v>42</v>
      </c>
      <c r="C73" s="83" t="s">
        <v>125</v>
      </c>
      <c r="D73" s="84"/>
      <c r="E73" s="84"/>
      <c r="F73" s="84"/>
      <c r="G73" s="76">
        <v>1</v>
      </c>
      <c r="H73" s="84"/>
      <c r="I73" s="76">
        <v>0</v>
      </c>
      <c r="J73" s="84"/>
      <c r="K73" s="84"/>
      <c r="L73" s="84"/>
      <c r="M73" s="76">
        <v>0</v>
      </c>
      <c r="N73" s="84"/>
      <c r="O73" s="84"/>
      <c r="P73" s="76">
        <v>0</v>
      </c>
      <c r="Q73" s="76">
        <v>1</v>
      </c>
      <c r="R73" s="81"/>
      <c r="S73" s="84"/>
      <c r="T73" s="86">
        <f>SUBTOTAL(9,S75:S75)</f>
        <v>0</v>
      </c>
      <c r="U73" s="85"/>
      <c r="V73" s="84"/>
      <c r="W73" s="84"/>
      <c r="X73" s="86">
        <f>SUBTOTAL(9,V75:W75)</f>
        <v>0</v>
      </c>
      <c r="Y73" s="85"/>
      <c r="Z73" s="83" t="s">
        <v>124</v>
      </c>
      <c r="AA73" s="83" t="s">
        <v>123</v>
      </c>
      <c r="AB73" s="84"/>
      <c r="AC73" s="84"/>
      <c r="AD73" s="84"/>
      <c r="AE73" s="84"/>
      <c r="AF73" s="84"/>
      <c r="AG73" s="84"/>
      <c r="AH73" s="86">
        <f>SUBTOTAL(9,Z75:AG75)</f>
        <v>2</v>
      </c>
      <c r="AI73" s="85"/>
      <c r="AJ73" s="84"/>
      <c r="AK73" s="84"/>
      <c r="AL73" s="82">
        <f>SUBTOTAL(9,AJ75:AK75)</f>
        <v>0</v>
      </c>
      <c r="AM73" s="84"/>
      <c r="AN73" s="84"/>
      <c r="AO73" s="84"/>
      <c r="AP73" s="84"/>
      <c r="AQ73" s="84"/>
      <c r="AR73" s="84"/>
      <c r="AS73" s="84"/>
      <c r="AT73" s="84"/>
      <c r="AU73" s="82">
        <f>SUBTOTAL(9,AM75:AT75)</f>
        <v>0</v>
      </c>
      <c r="AV73" s="76">
        <f>SUBTOTAL(9,AJ75:AT75)</f>
        <v>0</v>
      </c>
      <c r="AW73" s="81"/>
      <c r="AX73" s="80"/>
      <c r="AY73" s="80"/>
      <c r="AZ73" s="79"/>
      <c r="BA73" s="77" t="s">
        <v>97</v>
      </c>
      <c r="BB73" s="77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76">
        <f>SUBTOTAL(9,BA75:BU75)</f>
        <v>1</v>
      </c>
      <c r="BW73" s="78"/>
      <c r="BX73" s="84"/>
      <c r="BY73" s="84"/>
      <c r="BZ73" s="84"/>
      <c r="CA73" s="84"/>
      <c r="CB73" s="84"/>
      <c r="CC73" s="84"/>
      <c r="CD73" s="76">
        <f>SUBTOTAL(3,BX73:CC73)</f>
        <v>0</v>
      </c>
      <c r="CE73" s="75"/>
      <c r="CF73" s="74"/>
      <c r="CG73" s="74"/>
      <c r="CH73" s="73"/>
      <c r="CI73" s="71"/>
      <c r="CJ73" s="71"/>
      <c r="CK73" s="72"/>
      <c r="CL73" s="71"/>
      <c r="CM73" s="71"/>
      <c r="CN73" s="55" t="s">
        <v>1</v>
      </c>
      <c r="CO73" s="70"/>
      <c r="CP73" s="2"/>
    </row>
    <row r="74" spans="1:94" ht="11.25" customHeight="1" x14ac:dyDescent="0.25">
      <c r="A74" s="55" t="s">
        <v>1</v>
      </c>
      <c r="B74" s="69" t="s">
        <v>8</v>
      </c>
      <c r="C74" s="65">
        <v>50</v>
      </c>
      <c r="D74" s="66"/>
      <c r="E74" s="66"/>
      <c r="F74" s="66"/>
      <c r="G74" s="56">
        <f>SUBTOTAL(9,C74:F74)</f>
        <v>50</v>
      </c>
      <c r="H74" s="66"/>
      <c r="I74" s="56">
        <f>SUBTOTAL(9,H74:H74)</f>
        <v>0</v>
      </c>
      <c r="J74" s="66"/>
      <c r="K74" s="66"/>
      <c r="L74" s="66"/>
      <c r="M74" s="56">
        <f>SUBTOTAL(9,J74:L74)</f>
        <v>0</v>
      </c>
      <c r="N74" s="66"/>
      <c r="O74" s="66"/>
      <c r="P74" s="56">
        <f>SUBTOTAL(9,N74:O74)</f>
        <v>0</v>
      </c>
      <c r="Q74" s="56">
        <f>SUBTOTAL(9,C74:O74)</f>
        <v>50</v>
      </c>
      <c r="R74" s="64">
        <v>739</v>
      </c>
      <c r="S74" s="66"/>
      <c r="T74" s="68">
        <f>SUBTOTAL(9,S74:S74)</f>
        <v>0</v>
      </c>
      <c r="U74" s="67">
        <f>T74+IF($B70=2,0,U70)</f>
        <v>9</v>
      </c>
      <c r="V74" s="66"/>
      <c r="W74" s="66"/>
      <c r="X74" s="68">
        <f>SUBTOTAL(9,V74:W74)</f>
        <v>0</v>
      </c>
      <c r="Y74" s="67">
        <f>X74+IF($B70=2,0,Y70)</f>
        <v>170</v>
      </c>
      <c r="Z74" s="65">
        <v>5</v>
      </c>
      <c r="AA74" s="65">
        <v>4</v>
      </c>
      <c r="AB74" s="66"/>
      <c r="AC74" s="66"/>
      <c r="AD74" s="66"/>
      <c r="AE74" s="66"/>
      <c r="AF74" s="66"/>
      <c r="AG74" s="66"/>
      <c r="AH74" s="68">
        <f>SUBTOTAL(9,Z74:AG74)</f>
        <v>9</v>
      </c>
      <c r="AI74" s="67">
        <f>AH74+IF($B70=2,0,AI70)</f>
        <v>47.9</v>
      </c>
      <c r="AJ74" s="66"/>
      <c r="AK74" s="66"/>
      <c r="AL74" s="61">
        <f>SUBTOTAL(9,AJ74:AK74)</f>
        <v>0</v>
      </c>
      <c r="AM74" s="66"/>
      <c r="AN74" s="66"/>
      <c r="AO74" s="66"/>
      <c r="AP74" s="66"/>
      <c r="AQ74" s="66"/>
      <c r="AR74" s="66"/>
      <c r="AS74" s="66"/>
      <c r="AT74" s="66"/>
      <c r="AU74" s="61">
        <f>SUBTOTAL(9,AM74:AT74)</f>
        <v>0</v>
      </c>
      <c r="AV74" s="56">
        <f>SUBTOTAL(9,AJ74:AT74)</f>
        <v>0</v>
      </c>
      <c r="AW74" s="64">
        <f>AV74+IF($B70=2,0,AW70)</f>
        <v>357.53140000000002</v>
      </c>
      <c r="AX74" s="63"/>
      <c r="AY74" s="63"/>
      <c r="AZ74" s="62">
        <v>800</v>
      </c>
      <c r="BA74" s="60">
        <v>4.2</v>
      </c>
      <c r="BB74" s="60">
        <v>7.1</v>
      </c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56">
        <f>SUBTOTAL(9,BA74:BU74)</f>
        <v>11.3</v>
      </c>
      <c r="BW74" s="61">
        <f>BV74+IF($B70=2,0,BW70)</f>
        <v>526.89080000000001</v>
      </c>
      <c r="BX74" s="66"/>
      <c r="BY74" s="66"/>
      <c r="BZ74" s="66"/>
      <c r="CA74" s="66"/>
      <c r="CB74" s="66"/>
      <c r="CC74" s="66"/>
      <c r="CD74" s="56">
        <f>SUBTOTAL(9,BX74:CC74)</f>
        <v>0</v>
      </c>
      <c r="CE74" s="56">
        <f>CD74+IF($B70=2,0,CE70)</f>
        <v>5.8</v>
      </c>
      <c r="CF74" s="59">
        <v>106.94</v>
      </c>
      <c r="CG74" s="59">
        <v>106.94</v>
      </c>
      <c r="CH74" s="58">
        <f>SUMIF($C$5:CG$5,"Накопленный эффект, т/сут",$C74:CG74)+SUMIF($C$5:CG$5,"Нараст.  по потенциалу",$C74:CG74)-SUMIF($C$5:CG$5,"Нараст. по остановкам",$C74:CG74)-SUMIF($C$5:CG$5,"ИТОГО перевод в ППД",$C74:CG74)-SUMIF($C$5:CG$5,"ИТОГО  нерент, по распоряж.",$C74:CG74)-SUMIF($C$5:CG$5,"ИТОГО ост. дебит от ЗБС, Углуб., ПВЛГ/ПНЛГ",$C74:CG74)</f>
        <v>790.74059999999997</v>
      </c>
      <c r="CI74" s="56">
        <v>12.6</v>
      </c>
      <c r="CJ74" s="56">
        <v>7.61105233379386</v>
      </c>
      <c r="CK74" s="57"/>
      <c r="CL74" s="56">
        <v>0.26680172413793102</v>
      </c>
      <c r="CM74" s="56">
        <f>SUBTOTAL(9,CI74:CL74)</f>
        <v>20.47785405793179</v>
      </c>
      <c r="CN74" s="55" t="s">
        <v>1</v>
      </c>
      <c r="CO74" s="54">
        <f>CO$4+SUMIF($C$5:CM$5,"Нараст. по остановкам",$C74:CM74)-SUMIF($C$5:CM$5,"Нараст.  по потенциалу",$C74:CM74)</f>
        <v>845.45956228627506</v>
      </c>
      <c r="CP74" s="2"/>
    </row>
    <row r="75" spans="1:94" ht="1.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>
        <v>1</v>
      </c>
      <c r="AA75" s="3">
        <v>1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>
        <v>1</v>
      </c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2"/>
    </row>
    <row r="76" spans="1:94" ht="11.25" customHeight="1" x14ac:dyDescent="0.25">
      <c r="A76" s="107">
        <v>45368</v>
      </c>
      <c r="B76" s="106" t="s">
        <v>58</v>
      </c>
      <c r="C76" s="103"/>
      <c r="D76" s="103"/>
      <c r="E76" s="103"/>
      <c r="F76" s="103"/>
      <c r="G76" s="100">
        <v>600</v>
      </c>
      <c r="H76" s="103"/>
      <c r="I76" s="100">
        <v>12</v>
      </c>
      <c r="J76" s="102" t="s">
        <v>49</v>
      </c>
      <c r="K76" s="103"/>
      <c r="L76" s="103"/>
      <c r="M76" s="100">
        <v>147</v>
      </c>
      <c r="N76" s="103"/>
      <c r="O76" s="103"/>
      <c r="P76" s="100">
        <v>0</v>
      </c>
      <c r="Q76" s="100">
        <v>759</v>
      </c>
      <c r="R76" s="99"/>
      <c r="S76" s="103"/>
      <c r="T76" s="105"/>
      <c r="U76" s="104"/>
      <c r="V76" s="103"/>
      <c r="W76" s="103"/>
      <c r="X76" s="105"/>
      <c r="Y76" s="104"/>
      <c r="Z76" s="102" t="s">
        <v>54</v>
      </c>
      <c r="AA76" s="102" t="s">
        <v>54</v>
      </c>
      <c r="AB76" s="103"/>
      <c r="AC76" s="103"/>
      <c r="AD76" s="103"/>
      <c r="AE76" s="103"/>
      <c r="AF76" s="103"/>
      <c r="AG76" s="103"/>
      <c r="AH76" s="105"/>
      <c r="AI76" s="104"/>
      <c r="AJ76" s="103"/>
      <c r="AK76" s="103"/>
      <c r="AL76" s="101">
        <v>3.4</v>
      </c>
      <c r="AM76" s="102" t="s">
        <v>55</v>
      </c>
      <c r="AN76" s="102"/>
      <c r="AO76" s="103"/>
      <c r="AP76" s="103"/>
      <c r="AQ76" s="103"/>
      <c r="AR76" s="103"/>
      <c r="AS76" s="103"/>
      <c r="AT76" s="103"/>
      <c r="AU76" s="101">
        <v>385.53140000000002</v>
      </c>
      <c r="AV76" s="100">
        <v>388.9314</v>
      </c>
      <c r="AW76" s="99"/>
      <c r="AX76" s="98"/>
      <c r="AY76" s="98"/>
      <c r="AZ76" s="97"/>
      <c r="BA76" s="95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94"/>
      <c r="BW76" s="96"/>
      <c r="BX76" s="103"/>
      <c r="BY76" s="103"/>
      <c r="BZ76" s="103"/>
      <c r="CA76" s="103"/>
      <c r="CB76" s="103"/>
      <c r="CC76" s="103"/>
      <c r="CD76" s="94"/>
      <c r="CE76" s="94"/>
      <c r="CF76" s="93"/>
      <c r="CG76" s="93"/>
      <c r="CH76" s="92"/>
      <c r="CI76" s="90"/>
      <c r="CJ76" s="90"/>
      <c r="CK76" s="91"/>
      <c r="CL76" s="90"/>
      <c r="CM76" s="90"/>
      <c r="CN76" s="89">
        <f>CN$4+SUMIF($C$5:CM$5,"Нараст. баланс",$C78:CM78)+SUMIF($C$7:CK$7,"Итого (с ВНР)",$C78:CK78)-SUMIF($C$5:CM$5,"Геол. снижение,  т/сут",$C78:CM78)-SUMIF(CL$7:CM$7,"Итого",CL78:CM78)-SUMIF($C$7:CM$7,"Итого (с ВСП)",$C78:CM78)</f>
        <v>30362.930718792122</v>
      </c>
      <c r="CO76" s="88"/>
      <c r="CP76" s="2"/>
    </row>
    <row r="77" spans="1:94" ht="11.25" customHeight="1" x14ac:dyDescent="0.25">
      <c r="A77" s="55" t="s">
        <v>1</v>
      </c>
      <c r="B77" s="87" t="s">
        <v>42</v>
      </c>
      <c r="C77" s="84"/>
      <c r="D77" s="84"/>
      <c r="E77" s="84"/>
      <c r="F77" s="84"/>
      <c r="G77" s="76">
        <v>0</v>
      </c>
      <c r="H77" s="84"/>
      <c r="I77" s="76">
        <v>0</v>
      </c>
      <c r="J77" s="83" t="s">
        <v>122</v>
      </c>
      <c r="K77" s="84"/>
      <c r="L77" s="84"/>
      <c r="M77" s="76">
        <v>1</v>
      </c>
      <c r="N77" s="84"/>
      <c r="O77" s="84"/>
      <c r="P77" s="76">
        <v>0</v>
      </c>
      <c r="Q77" s="76">
        <v>1</v>
      </c>
      <c r="R77" s="81"/>
      <c r="S77" s="84"/>
      <c r="T77" s="86">
        <f>SUBTOTAL(9,S79:S79)</f>
        <v>0</v>
      </c>
      <c r="U77" s="85"/>
      <c r="V77" s="84"/>
      <c r="W77" s="84"/>
      <c r="X77" s="86">
        <f>SUBTOTAL(9,V79:W79)</f>
        <v>0</v>
      </c>
      <c r="Y77" s="85"/>
      <c r="Z77" s="83" t="s">
        <v>121</v>
      </c>
      <c r="AA77" s="83" t="s">
        <v>120</v>
      </c>
      <c r="AB77" s="84"/>
      <c r="AC77" s="84"/>
      <c r="AD77" s="84"/>
      <c r="AE77" s="84"/>
      <c r="AF77" s="84"/>
      <c r="AG77" s="84"/>
      <c r="AH77" s="86">
        <f>SUBTOTAL(9,Z79:AG79)</f>
        <v>2</v>
      </c>
      <c r="AI77" s="85"/>
      <c r="AJ77" s="84"/>
      <c r="AK77" s="84"/>
      <c r="AL77" s="82">
        <f>SUBTOTAL(9,AJ79:AK79)</f>
        <v>0</v>
      </c>
      <c r="AM77" s="83" t="s">
        <v>119</v>
      </c>
      <c r="AN77" s="83"/>
      <c r="AO77" s="84"/>
      <c r="AP77" s="84"/>
      <c r="AQ77" s="84"/>
      <c r="AR77" s="84"/>
      <c r="AS77" s="84"/>
      <c r="AT77" s="84"/>
      <c r="AU77" s="82">
        <f>SUBTOTAL(9,AM79:AT79)</f>
        <v>1</v>
      </c>
      <c r="AV77" s="76">
        <f>SUBTOTAL(9,AJ79:AT79)</f>
        <v>1</v>
      </c>
      <c r="AW77" s="81"/>
      <c r="AX77" s="80"/>
      <c r="AY77" s="80"/>
      <c r="AZ77" s="79"/>
      <c r="BA77" s="77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76">
        <f>SUBTOTAL(9,BA79:BU79)</f>
        <v>0</v>
      </c>
      <c r="BW77" s="78"/>
      <c r="BX77" s="84"/>
      <c r="BY77" s="84"/>
      <c r="BZ77" s="84"/>
      <c r="CA77" s="84"/>
      <c r="CB77" s="84"/>
      <c r="CC77" s="84"/>
      <c r="CD77" s="76">
        <f>SUBTOTAL(3,BX77:CC77)</f>
        <v>0</v>
      </c>
      <c r="CE77" s="75"/>
      <c r="CF77" s="74"/>
      <c r="CG77" s="74"/>
      <c r="CH77" s="73"/>
      <c r="CI77" s="71"/>
      <c r="CJ77" s="71"/>
      <c r="CK77" s="72"/>
      <c r="CL77" s="71"/>
      <c r="CM77" s="71"/>
      <c r="CN77" s="55" t="s">
        <v>1</v>
      </c>
      <c r="CO77" s="70"/>
      <c r="CP77" s="2"/>
    </row>
    <row r="78" spans="1:94" ht="11.25" customHeight="1" x14ac:dyDescent="0.25">
      <c r="A78" s="55" t="s">
        <v>1</v>
      </c>
      <c r="B78" s="69" t="s">
        <v>8</v>
      </c>
      <c r="C78" s="66"/>
      <c r="D78" s="66"/>
      <c r="E78" s="66"/>
      <c r="F78" s="66"/>
      <c r="G78" s="56">
        <f>SUBTOTAL(9,C78:F78)</f>
        <v>0</v>
      </c>
      <c r="H78" s="66"/>
      <c r="I78" s="56">
        <f>SUBTOTAL(9,H78:H78)</f>
        <v>0</v>
      </c>
      <c r="J78" s="65">
        <v>20</v>
      </c>
      <c r="K78" s="66"/>
      <c r="L78" s="66"/>
      <c r="M78" s="56">
        <f>SUBTOTAL(9,J78:L78)</f>
        <v>20</v>
      </c>
      <c r="N78" s="66"/>
      <c r="O78" s="66"/>
      <c r="P78" s="56">
        <f>SUBTOTAL(9,N78:O78)</f>
        <v>0</v>
      </c>
      <c r="Q78" s="56">
        <f>SUBTOTAL(9,C78:O78)</f>
        <v>20</v>
      </c>
      <c r="R78" s="64">
        <v>759</v>
      </c>
      <c r="S78" s="66"/>
      <c r="T78" s="68">
        <f>SUBTOTAL(9,S78:S78)</f>
        <v>0</v>
      </c>
      <c r="U78" s="67">
        <f>T78+IF($B74=2,0,U74)</f>
        <v>9</v>
      </c>
      <c r="V78" s="66"/>
      <c r="W78" s="66"/>
      <c r="X78" s="68">
        <f>SUBTOTAL(9,V78:W78)</f>
        <v>0</v>
      </c>
      <c r="Y78" s="67">
        <f>X78+IF($B74=2,0,Y74)</f>
        <v>170</v>
      </c>
      <c r="Z78" s="65">
        <v>5</v>
      </c>
      <c r="AA78" s="65">
        <v>5</v>
      </c>
      <c r="AB78" s="66"/>
      <c r="AC78" s="66"/>
      <c r="AD78" s="66"/>
      <c r="AE78" s="66"/>
      <c r="AF78" s="66"/>
      <c r="AG78" s="66"/>
      <c r="AH78" s="68">
        <f>SUBTOTAL(9,Z78:AG78)</f>
        <v>10</v>
      </c>
      <c r="AI78" s="67">
        <f>AH78+IF($B74=2,0,AI74)</f>
        <v>57.9</v>
      </c>
      <c r="AJ78" s="66"/>
      <c r="AK78" s="66"/>
      <c r="AL78" s="61">
        <f>SUBTOTAL(9,AJ78:AK78)</f>
        <v>0</v>
      </c>
      <c r="AM78" s="65">
        <v>4.8</v>
      </c>
      <c r="AN78" s="65">
        <v>26.6</v>
      </c>
      <c r="AO78" s="66"/>
      <c r="AP78" s="66"/>
      <c r="AQ78" s="66"/>
      <c r="AR78" s="66"/>
      <c r="AS78" s="66"/>
      <c r="AT78" s="66"/>
      <c r="AU78" s="61">
        <f>SUBTOTAL(9,AM78:AT78)</f>
        <v>31.400000000000002</v>
      </c>
      <c r="AV78" s="56">
        <f>SUBTOTAL(9,AJ78:AT78)</f>
        <v>31.400000000000002</v>
      </c>
      <c r="AW78" s="64">
        <f>AV78+IF($B74=2,0,AW74)</f>
        <v>388.9314</v>
      </c>
      <c r="AX78" s="63"/>
      <c r="AY78" s="63"/>
      <c r="AZ78" s="62">
        <v>850</v>
      </c>
      <c r="BA78" s="60">
        <v>31.216999999999999</v>
      </c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56">
        <f>SUBTOTAL(9,BA78:BU78)</f>
        <v>31.216999999999999</v>
      </c>
      <c r="BW78" s="61">
        <f>BV78+IF($B74=2,0,BW74)</f>
        <v>558.1078</v>
      </c>
      <c r="BX78" s="66"/>
      <c r="BY78" s="66"/>
      <c r="BZ78" s="66"/>
      <c r="CA78" s="66"/>
      <c r="CB78" s="66"/>
      <c r="CC78" s="66"/>
      <c r="CD78" s="56">
        <f>SUBTOTAL(9,BX78:CC78)</f>
        <v>0</v>
      </c>
      <c r="CE78" s="56">
        <f>CD78+IF($B74=2,0,CE74)</f>
        <v>5.8</v>
      </c>
      <c r="CF78" s="59">
        <v>95.88</v>
      </c>
      <c r="CG78" s="59">
        <v>95.88</v>
      </c>
      <c r="CH78" s="58">
        <f>SUMIF($C$5:CG$5,"Накопленный эффект, т/сут",$C78:CG78)+SUMIF($C$5:CG$5,"Нараст.  по потенциалу",$C78:CG78)-SUMIF($C$5:CG$5,"Нараст. по остановкам",$C78:CG78)-SUMIF($C$5:CG$5,"ИТОГО перевод в ППД",$C78:CG78)-SUMIF($C$5:CG$5,"ИТОГО  нерент, по распоряж.",$C78:CG78)-SUMIF($C$5:CG$5,"ИТОГО ост. дебит от ЗБС, Углуб., ПВЛГ/ПНЛГ",$C78:CG78)</f>
        <v>820.92360000000008</v>
      </c>
      <c r="CI78" s="56">
        <v>12.6</v>
      </c>
      <c r="CJ78" s="56">
        <v>54.311708033843601</v>
      </c>
      <c r="CK78" s="57"/>
      <c r="CL78" s="56">
        <v>4.2173174036459003E-2</v>
      </c>
      <c r="CM78" s="56">
        <f>SUBTOTAL(9,CI78:CL78)</f>
        <v>66.953881207880059</v>
      </c>
      <c r="CN78" s="55" t="s">
        <v>1</v>
      </c>
      <c r="CO78" s="54">
        <f>CO$4+SUMIF($C$5:CM$5,"Нараст. по остановкам",$C78:CM78)-SUMIF($C$5:CM$5,"Нараст.  по потенциалу",$C78:CM78)</f>
        <v>845.27656228627507</v>
      </c>
      <c r="CP78" s="2"/>
    </row>
    <row r="79" spans="1:94" ht="1.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>
        <v>1</v>
      </c>
      <c r="AA79" s="3">
        <v>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>
        <v>1</v>
      </c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2"/>
    </row>
    <row r="80" spans="1:94" ht="11.25" customHeight="1" x14ac:dyDescent="0.25">
      <c r="A80" s="107">
        <v>45369</v>
      </c>
      <c r="B80" s="106" t="s">
        <v>58</v>
      </c>
      <c r="C80" s="103"/>
      <c r="D80" s="103"/>
      <c r="E80" s="103"/>
      <c r="F80" s="103"/>
      <c r="G80" s="100">
        <v>600</v>
      </c>
      <c r="H80" s="103"/>
      <c r="I80" s="100">
        <v>12</v>
      </c>
      <c r="J80" s="103"/>
      <c r="K80" s="103"/>
      <c r="L80" s="103"/>
      <c r="M80" s="100">
        <v>147</v>
      </c>
      <c r="N80" s="103"/>
      <c r="O80" s="103"/>
      <c r="P80" s="100">
        <v>0</v>
      </c>
      <c r="Q80" s="100">
        <v>759</v>
      </c>
      <c r="R80" s="99"/>
      <c r="S80" s="102" t="s">
        <v>55</v>
      </c>
      <c r="T80" s="105"/>
      <c r="U80" s="104"/>
      <c r="V80" s="103"/>
      <c r="W80" s="103"/>
      <c r="X80" s="105"/>
      <c r="Y80" s="104"/>
      <c r="Z80" s="102" t="s">
        <v>48</v>
      </c>
      <c r="AA80" s="102" t="s">
        <v>55</v>
      </c>
      <c r="AB80" s="103"/>
      <c r="AC80" s="103"/>
      <c r="AD80" s="103"/>
      <c r="AE80" s="103"/>
      <c r="AF80" s="103"/>
      <c r="AG80" s="103"/>
      <c r="AH80" s="105"/>
      <c r="AI80" s="104"/>
      <c r="AJ80" s="102" t="s">
        <v>55</v>
      </c>
      <c r="AK80" s="103"/>
      <c r="AL80" s="101">
        <v>10.3</v>
      </c>
      <c r="AM80" s="102"/>
      <c r="AN80" s="103"/>
      <c r="AO80" s="103"/>
      <c r="AP80" s="103"/>
      <c r="AQ80" s="103"/>
      <c r="AR80" s="103"/>
      <c r="AS80" s="103"/>
      <c r="AT80" s="103"/>
      <c r="AU80" s="101">
        <v>396.73140000000001</v>
      </c>
      <c r="AV80" s="100">
        <v>407.03140000000002</v>
      </c>
      <c r="AW80" s="99"/>
      <c r="AX80" s="98"/>
      <c r="AY80" s="98"/>
      <c r="AZ80" s="97"/>
      <c r="BA80" s="95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94"/>
      <c r="BW80" s="96"/>
      <c r="BX80" s="103"/>
      <c r="BY80" s="103"/>
      <c r="BZ80" s="103"/>
      <c r="CA80" s="103"/>
      <c r="CB80" s="103"/>
      <c r="CC80" s="103"/>
      <c r="CD80" s="94"/>
      <c r="CE80" s="94"/>
      <c r="CF80" s="93"/>
      <c r="CG80" s="93"/>
      <c r="CH80" s="92"/>
      <c r="CI80" s="90"/>
      <c r="CJ80" s="90"/>
      <c r="CK80" s="90"/>
      <c r="CL80" s="90"/>
      <c r="CM80" s="90"/>
      <c r="CN80" s="89">
        <f>CN$4+SUMIF($C$5:CM$5,"Нараст. баланс",$C82:CM82)+SUMIF($C$7:CK$7,"Итого (с ВНР)",$C82:CK82)-SUMIF($C$5:CM$5,"Геол. снижение,  т/сут",$C82:CM82)-SUMIF(CL$7:CM$7,"Итого",CL82:CM82)-SUMIF($C$7:CM$7,"Итого (с ВСП)",$C82:CM82)</f>
        <v>30324.768183069402</v>
      </c>
      <c r="CO80" s="88"/>
      <c r="CP80" s="2"/>
    </row>
    <row r="81" spans="1:94" ht="11.25" customHeight="1" x14ac:dyDescent="0.25">
      <c r="A81" s="55" t="s">
        <v>1</v>
      </c>
      <c r="B81" s="87" t="s">
        <v>42</v>
      </c>
      <c r="C81" s="84"/>
      <c r="D81" s="84"/>
      <c r="E81" s="84"/>
      <c r="F81" s="84"/>
      <c r="G81" s="76">
        <v>0</v>
      </c>
      <c r="H81" s="84"/>
      <c r="I81" s="76">
        <v>0</v>
      </c>
      <c r="J81" s="84"/>
      <c r="K81" s="84"/>
      <c r="L81" s="84"/>
      <c r="M81" s="76">
        <v>0</v>
      </c>
      <c r="N81" s="84"/>
      <c r="O81" s="84"/>
      <c r="P81" s="76">
        <v>0</v>
      </c>
      <c r="Q81" s="76">
        <v>0</v>
      </c>
      <c r="R81" s="81"/>
      <c r="S81" s="83" t="s">
        <v>116</v>
      </c>
      <c r="T81" s="86">
        <f>SUBTOTAL(9,S83:S83)</f>
        <v>1</v>
      </c>
      <c r="U81" s="85"/>
      <c r="V81" s="84"/>
      <c r="W81" s="84"/>
      <c r="X81" s="86">
        <f>SUBTOTAL(9,V83:W83)</f>
        <v>0</v>
      </c>
      <c r="Y81" s="85"/>
      <c r="Z81" s="83" t="s">
        <v>118</v>
      </c>
      <c r="AA81" s="83" t="s">
        <v>117</v>
      </c>
      <c r="AB81" s="84"/>
      <c r="AC81" s="84"/>
      <c r="AD81" s="84"/>
      <c r="AE81" s="84"/>
      <c r="AF81" s="84"/>
      <c r="AG81" s="84"/>
      <c r="AH81" s="86">
        <f>SUBTOTAL(9,Z83:AG83)</f>
        <v>2</v>
      </c>
      <c r="AI81" s="85"/>
      <c r="AJ81" s="83" t="s">
        <v>116</v>
      </c>
      <c r="AK81" s="84"/>
      <c r="AL81" s="82">
        <f>SUBTOTAL(9,AJ83:AK83)</f>
        <v>1</v>
      </c>
      <c r="AM81" s="83"/>
      <c r="AN81" s="84"/>
      <c r="AO81" s="84"/>
      <c r="AP81" s="84"/>
      <c r="AQ81" s="84"/>
      <c r="AR81" s="84"/>
      <c r="AS81" s="84"/>
      <c r="AT81" s="84"/>
      <c r="AU81" s="82">
        <f>SUBTOTAL(9,AM83:AT83)</f>
        <v>0</v>
      </c>
      <c r="AV81" s="76">
        <f>SUBTOTAL(9,AJ83:AT83)</f>
        <v>1</v>
      </c>
      <c r="AW81" s="81"/>
      <c r="AX81" s="80"/>
      <c r="AY81" s="80"/>
      <c r="AZ81" s="79"/>
      <c r="BA81" s="77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76">
        <f>SUBTOTAL(9,BA83:BU83)</f>
        <v>0</v>
      </c>
      <c r="BW81" s="78"/>
      <c r="BX81" s="84"/>
      <c r="BY81" s="84"/>
      <c r="BZ81" s="84"/>
      <c r="CA81" s="84"/>
      <c r="CB81" s="84"/>
      <c r="CC81" s="84"/>
      <c r="CD81" s="76">
        <f>SUBTOTAL(3,BX81:CC81)</f>
        <v>0</v>
      </c>
      <c r="CE81" s="75"/>
      <c r="CF81" s="74"/>
      <c r="CG81" s="74"/>
      <c r="CH81" s="73"/>
      <c r="CI81" s="71"/>
      <c r="CJ81" s="71"/>
      <c r="CK81" s="71"/>
      <c r="CL81" s="71"/>
      <c r="CM81" s="71"/>
      <c r="CN81" s="55" t="s">
        <v>1</v>
      </c>
      <c r="CO81" s="70"/>
      <c r="CP81" s="2"/>
    </row>
    <row r="82" spans="1:94" ht="11.25" customHeight="1" x14ac:dyDescent="0.25">
      <c r="A82" s="55" t="s">
        <v>1</v>
      </c>
      <c r="B82" s="69" t="s">
        <v>8</v>
      </c>
      <c r="C82" s="66"/>
      <c r="D82" s="66"/>
      <c r="E82" s="66"/>
      <c r="F82" s="66"/>
      <c r="G82" s="56">
        <f>SUBTOTAL(9,C82:F82)</f>
        <v>0</v>
      </c>
      <c r="H82" s="66"/>
      <c r="I82" s="56">
        <f>SUBTOTAL(9,H82:H82)</f>
        <v>0</v>
      </c>
      <c r="J82" s="66"/>
      <c r="K82" s="66"/>
      <c r="L82" s="66"/>
      <c r="M82" s="56">
        <f>SUBTOTAL(9,J82:L82)</f>
        <v>0</v>
      </c>
      <c r="N82" s="66"/>
      <c r="O82" s="66"/>
      <c r="P82" s="56">
        <f>SUBTOTAL(9,N82:O82)</f>
        <v>0</v>
      </c>
      <c r="Q82" s="56">
        <f>SUBTOTAL(9,C82:O82)</f>
        <v>0</v>
      </c>
      <c r="R82" s="64">
        <v>759</v>
      </c>
      <c r="S82" s="65">
        <v>6</v>
      </c>
      <c r="T82" s="68">
        <f>SUBTOTAL(9,S82:S82)</f>
        <v>6</v>
      </c>
      <c r="U82" s="67">
        <f>T82+IF($B78=2,0,U78)</f>
        <v>15</v>
      </c>
      <c r="V82" s="66"/>
      <c r="W82" s="66"/>
      <c r="X82" s="68">
        <f>SUBTOTAL(9,V82:W82)</f>
        <v>0</v>
      </c>
      <c r="Y82" s="67">
        <f>X82+IF($B78=2,0,Y78)</f>
        <v>170</v>
      </c>
      <c r="Z82" s="65">
        <v>8</v>
      </c>
      <c r="AA82" s="65">
        <v>4</v>
      </c>
      <c r="AB82" s="66"/>
      <c r="AC82" s="66"/>
      <c r="AD82" s="66"/>
      <c r="AE82" s="66"/>
      <c r="AF82" s="66"/>
      <c r="AG82" s="66"/>
      <c r="AH82" s="68">
        <f>SUBTOTAL(9,Z82:AG82)</f>
        <v>12</v>
      </c>
      <c r="AI82" s="67">
        <f>AH82+IF($B78=2,0,AI78)</f>
        <v>69.900000000000006</v>
      </c>
      <c r="AJ82" s="65">
        <v>6.9</v>
      </c>
      <c r="AK82" s="66"/>
      <c r="AL82" s="61">
        <f>SUBTOTAL(9,AJ82:AK82)</f>
        <v>6.9</v>
      </c>
      <c r="AM82" s="65">
        <v>11.2</v>
      </c>
      <c r="AN82" s="66"/>
      <c r="AO82" s="66"/>
      <c r="AP82" s="66"/>
      <c r="AQ82" s="66"/>
      <c r="AR82" s="66"/>
      <c r="AS82" s="66"/>
      <c r="AT82" s="66"/>
      <c r="AU82" s="61">
        <f>SUBTOTAL(9,AM82:AT82)</f>
        <v>11.2</v>
      </c>
      <c r="AV82" s="56">
        <f>SUBTOTAL(9,AJ82:AT82)</f>
        <v>18.100000000000001</v>
      </c>
      <c r="AW82" s="64">
        <f>AV82+IF($B78=2,0,AW78)</f>
        <v>407.03140000000002</v>
      </c>
      <c r="AX82" s="63"/>
      <c r="AY82" s="63"/>
      <c r="AZ82" s="62">
        <v>900</v>
      </c>
      <c r="BA82" s="60">
        <v>17</v>
      </c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56">
        <f>SUBTOTAL(9,BA82:BU82)</f>
        <v>17</v>
      </c>
      <c r="BW82" s="61">
        <f>BV82+IF($B78=2,0,BW78)</f>
        <v>575.1078</v>
      </c>
      <c r="BX82" s="66"/>
      <c r="BY82" s="66"/>
      <c r="BZ82" s="66"/>
      <c r="CA82" s="66"/>
      <c r="CB82" s="66"/>
      <c r="CC82" s="66"/>
      <c r="CD82" s="56">
        <f>SUBTOTAL(9,BX82:CC82)</f>
        <v>0</v>
      </c>
      <c r="CE82" s="56">
        <f>CD82+IF($B78=2,0,CE78)</f>
        <v>5.8</v>
      </c>
      <c r="CF82" s="59">
        <v>84.82</v>
      </c>
      <c r="CG82" s="59">
        <v>84.82</v>
      </c>
      <c r="CH82" s="58">
        <f>SUMIF($C$5:CG$5,"Накопленный эффект, т/сут",$C82:CG82)+SUMIF($C$5:CG$5,"Нараст.  по потенциалу",$C82:CG82)-SUMIF($C$5:CG$5,"Нараст. по остановкам",$C82:CG82)-SUMIF($C$5:CG$5,"ИТОГО перевод в ППД",$C82:CG82)-SUMIF($C$5:CG$5,"ИТОГО  нерент, по распоряж.",$C82:CG82)-SUMIF($C$5:CG$5,"ИТОГО ост. дебит от ЗБС, Углуб., ПВЛГ/ПНЛГ",$C82:CG82)</f>
        <v>840.02359999999999</v>
      </c>
      <c r="CI82" s="56">
        <v>12.6</v>
      </c>
      <c r="CJ82" s="56">
        <v>42.875811131387103</v>
      </c>
      <c r="CK82" s="56">
        <v>3.5471839080459699</v>
      </c>
      <c r="CL82" s="56">
        <v>26.253421891167001</v>
      </c>
      <c r="CM82" s="56">
        <f>SUBTOTAL(9,CI82:CL82)</f>
        <v>85.276416930600078</v>
      </c>
      <c r="CN82" s="55" t="s">
        <v>1</v>
      </c>
      <c r="CO82" s="54">
        <f>CO$4+SUMIF($C$5:CM$5,"Нараст. по остановкам",$C82:CM82)-SUMIF($C$5:CM$5,"Нараст.  по потенциалу",$C82:CM82)</f>
        <v>844.17656228627493</v>
      </c>
      <c r="CP82" s="2"/>
    </row>
    <row r="83" spans="1:94" ht="1.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1</v>
      </c>
      <c r="T83" s="3"/>
      <c r="U83" s="3"/>
      <c r="V83" s="3"/>
      <c r="W83" s="3"/>
      <c r="X83" s="3"/>
      <c r="Y83" s="3"/>
      <c r="Z83" s="3">
        <v>1</v>
      </c>
      <c r="AA83" s="3">
        <v>1</v>
      </c>
      <c r="AB83" s="3"/>
      <c r="AC83" s="3"/>
      <c r="AD83" s="3"/>
      <c r="AE83" s="3"/>
      <c r="AF83" s="3"/>
      <c r="AG83" s="3"/>
      <c r="AH83" s="3"/>
      <c r="AI83" s="3"/>
      <c r="AJ83" s="3">
        <v>1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2"/>
    </row>
    <row r="84" spans="1:94" ht="11.25" customHeight="1" x14ac:dyDescent="0.25">
      <c r="A84" s="107">
        <v>45370</v>
      </c>
      <c r="B84" s="106" t="s">
        <v>58</v>
      </c>
      <c r="C84" s="103"/>
      <c r="D84" s="103"/>
      <c r="E84" s="103"/>
      <c r="F84" s="103"/>
      <c r="G84" s="100">
        <v>600</v>
      </c>
      <c r="H84" s="103"/>
      <c r="I84" s="100">
        <v>12</v>
      </c>
      <c r="J84" s="102" t="s">
        <v>47</v>
      </c>
      <c r="K84" s="103"/>
      <c r="L84" s="103"/>
      <c r="M84" s="100">
        <v>168</v>
      </c>
      <c r="N84" s="103"/>
      <c r="O84" s="103"/>
      <c r="P84" s="100">
        <v>0</v>
      </c>
      <c r="Q84" s="100">
        <v>780</v>
      </c>
      <c r="R84" s="99"/>
      <c r="S84" s="103"/>
      <c r="T84" s="105"/>
      <c r="U84" s="104"/>
      <c r="V84" s="103"/>
      <c r="W84" s="103"/>
      <c r="X84" s="105"/>
      <c r="Y84" s="104"/>
      <c r="Z84" s="102" t="s">
        <v>45</v>
      </c>
      <c r="AA84" s="103"/>
      <c r="AB84" s="103"/>
      <c r="AC84" s="103"/>
      <c r="AD84" s="103"/>
      <c r="AE84" s="103"/>
      <c r="AF84" s="103"/>
      <c r="AG84" s="103"/>
      <c r="AH84" s="105"/>
      <c r="AI84" s="104"/>
      <c r="AJ84" s="103"/>
      <c r="AK84" s="103"/>
      <c r="AL84" s="101">
        <v>10.3</v>
      </c>
      <c r="AM84" s="102"/>
      <c r="AN84" s="103"/>
      <c r="AO84" s="103"/>
      <c r="AP84" s="103"/>
      <c r="AQ84" s="103"/>
      <c r="AR84" s="103"/>
      <c r="AS84" s="103"/>
      <c r="AT84" s="103"/>
      <c r="AU84" s="101">
        <v>402.73140000000001</v>
      </c>
      <c r="AV84" s="100">
        <v>413.03140000000002</v>
      </c>
      <c r="AW84" s="99"/>
      <c r="AX84" s="98"/>
      <c r="AY84" s="98"/>
      <c r="AZ84" s="97"/>
      <c r="BA84" s="95" t="s">
        <v>49</v>
      </c>
      <c r="BB84" s="95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94"/>
      <c r="BW84" s="96"/>
      <c r="BX84" s="103"/>
      <c r="BY84" s="103"/>
      <c r="BZ84" s="103"/>
      <c r="CA84" s="103"/>
      <c r="CB84" s="103"/>
      <c r="CC84" s="103"/>
      <c r="CD84" s="94"/>
      <c r="CE84" s="94"/>
      <c r="CF84" s="93"/>
      <c r="CG84" s="93"/>
      <c r="CH84" s="92"/>
      <c r="CI84" s="90"/>
      <c r="CJ84" s="90"/>
      <c r="CK84" s="90"/>
      <c r="CL84" s="90"/>
      <c r="CM84" s="90"/>
      <c r="CN84" s="89">
        <f>CN$4+SUMIF($C$5:CM$5,"Нараст. баланс",$C86:CM86)+SUMIF($C$7:CK$7,"Итого (с ВНР)",$C86:CK86)-SUMIF($C$5:CM$5,"Геол. снижение,  т/сут",$C86:CM86)-SUMIF(CL$7:CM$7,"Итого",CL86:CM86)-SUMIF($C$7:CM$7,"Итого (с ВСП)",$C86:CM86)</f>
        <v>30299.594625109217</v>
      </c>
      <c r="CO84" s="88"/>
      <c r="CP84" s="2"/>
    </row>
    <row r="85" spans="1:94" ht="11.25" customHeight="1" x14ac:dyDescent="0.25">
      <c r="A85" s="55" t="s">
        <v>1</v>
      </c>
      <c r="B85" s="87" t="s">
        <v>42</v>
      </c>
      <c r="C85" s="84"/>
      <c r="D85" s="84"/>
      <c r="E85" s="84"/>
      <c r="F85" s="84"/>
      <c r="G85" s="76">
        <v>0</v>
      </c>
      <c r="H85" s="84"/>
      <c r="I85" s="76">
        <v>0</v>
      </c>
      <c r="J85" s="83" t="s">
        <v>115</v>
      </c>
      <c r="K85" s="84"/>
      <c r="L85" s="84"/>
      <c r="M85" s="76">
        <v>1</v>
      </c>
      <c r="N85" s="84"/>
      <c r="O85" s="84"/>
      <c r="P85" s="76">
        <v>0</v>
      </c>
      <c r="Q85" s="76">
        <v>1</v>
      </c>
      <c r="R85" s="81"/>
      <c r="S85" s="84"/>
      <c r="T85" s="86">
        <f>SUBTOTAL(9,S87:S87)</f>
        <v>0</v>
      </c>
      <c r="U85" s="85"/>
      <c r="V85" s="84"/>
      <c r="W85" s="84"/>
      <c r="X85" s="86">
        <f>SUBTOTAL(9,V87:W87)</f>
        <v>0</v>
      </c>
      <c r="Y85" s="85"/>
      <c r="Z85" s="83" t="s">
        <v>114</v>
      </c>
      <c r="AA85" s="84"/>
      <c r="AB85" s="84"/>
      <c r="AC85" s="84"/>
      <c r="AD85" s="84"/>
      <c r="AE85" s="84"/>
      <c r="AF85" s="84"/>
      <c r="AG85" s="84"/>
      <c r="AH85" s="86">
        <f>SUBTOTAL(9,Z87:AG87)</f>
        <v>1</v>
      </c>
      <c r="AI85" s="85"/>
      <c r="AJ85" s="84"/>
      <c r="AK85" s="84"/>
      <c r="AL85" s="82">
        <f>SUBTOTAL(9,AJ87:AK87)</f>
        <v>0</v>
      </c>
      <c r="AM85" s="83"/>
      <c r="AN85" s="84"/>
      <c r="AO85" s="84"/>
      <c r="AP85" s="84"/>
      <c r="AQ85" s="84"/>
      <c r="AR85" s="84"/>
      <c r="AS85" s="84"/>
      <c r="AT85" s="84"/>
      <c r="AU85" s="82">
        <f>SUBTOTAL(9,AM87:AT87)</f>
        <v>0</v>
      </c>
      <c r="AV85" s="76">
        <f>SUBTOTAL(9,AJ87:AT87)</f>
        <v>0</v>
      </c>
      <c r="AW85" s="81"/>
      <c r="AX85" s="80"/>
      <c r="AY85" s="80"/>
      <c r="AZ85" s="79"/>
      <c r="BA85" s="77" t="s">
        <v>83</v>
      </c>
      <c r="BB85" s="77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76">
        <f>SUBTOTAL(9,BA87:BU87)</f>
        <v>1</v>
      </c>
      <c r="BW85" s="78"/>
      <c r="BX85" s="84"/>
      <c r="BY85" s="84"/>
      <c r="BZ85" s="84"/>
      <c r="CA85" s="84"/>
      <c r="CB85" s="84"/>
      <c r="CC85" s="84"/>
      <c r="CD85" s="76">
        <f>SUBTOTAL(3,BX85:CC85)</f>
        <v>0</v>
      </c>
      <c r="CE85" s="75"/>
      <c r="CF85" s="74"/>
      <c r="CG85" s="74"/>
      <c r="CH85" s="73"/>
      <c r="CI85" s="71"/>
      <c r="CJ85" s="71"/>
      <c r="CK85" s="71"/>
      <c r="CL85" s="71"/>
      <c r="CM85" s="71"/>
      <c r="CN85" s="55" t="s">
        <v>1</v>
      </c>
      <c r="CO85" s="70"/>
      <c r="CP85" s="2"/>
    </row>
    <row r="86" spans="1:94" ht="11.25" customHeight="1" x14ac:dyDescent="0.25">
      <c r="A86" s="55" t="s">
        <v>1</v>
      </c>
      <c r="B86" s="69" t="s">
        <v>8</v>
      </c>
      <c r="C86" s="66"/>
      <c r="D86" s="66"/>
      <c r="E86" s="66"/>
      <c r="F86" s="66"/>
      <c r="G86" s="56">
        <f>SUBTOTAL(9,C86:F86)</f>
        <v>0</v>
      </c>
      <c r="H86" s="66"/>
      <c r="I86" s="56">
        <f>SUBTOTAL(9,H86:H86)</f>
        <v>0</v>
      </c>
      <c r="J86" s="65">
        <v>21</v>
      </c>
      <c r="K86" s="66"/>
      <c r="L86" s="66"/>
      <c r="M86" s="56">
        <f>SUBTOTAL(9,J86:L86)</f>
        <v>21</v>
      </c>
      <c r="N86" s="66"/>
      <c r="O86" s="66"/>
      <c r="P86" s="56">
        <f>SUBTOTAL(9,N86:O86)</f>
        <v>0</v>
      </c>
      <c r="Q86" s="56">
        <f>SUBTOTAL(9,C86:O86)</f>
        <v>21</v>
      </c>
      <c r="R86" s="64">
        <v>780</v>
      </c>
      <c r="S86" s="66"/>
      <c r="T86" s="68">
        <f>SUBTOTAL(9,S86:S86)</f>
        <v>0</v>
      </c>
      <c r="U86" s="67">
        <f>T86+IF($B82=2,0,U82)</f>
        <v>15</v>
      </c>
      <c r="V86" s="66"/>
      <c r="W86" s="66"/>
      <c r="X86" s="68">
        <f>SUBTOTAL(9,V86:W86)</f>
        <v>0</v>
      </c>
      <c r="Y86" s="67">
        <f>X86+IF($B82=2,0,Y82)</f>
        <v>170</v>
      </c>
      <c r="Z86" s="65">
        <v>10</v>
      </c>
      <c r="AA86" s="66"/>
      <c r="AB86" s="66"/>
      <c r="AC86" s="66"/>
      <c r="AD86" s="66"/>
      <c r="AE86" s="66"/>
      <c r="AF86" s="66"/>
      <c r="AG86" s="66"/>
      <c r="AH86" s="68">
        <f>SUBTOTAL(9,Z86:AG86)</f>
        <v>10</v>
      </c>
      <c r="AI86" s="67">
        <f>AH86+IF($B82=2,0,AI82)</f>
        <v>79.900000000000006</v>
      </c>
      <c r="AJ86" s="66"/>
      <c r="AK86" s="66"/>
      <c r="AL86" s="61">
        <f>SUBTOTAL(9,AJ86:AK86)</f>
        <v>0</v>
      </c>
      <c r="AM86" s="65">
        <v>6</v>
      </c>
      <c r="AN86" s="66"/>
      <c r="AO86" s="66"/>
      <c r="AP86" s="66"/>
      <c r="AQ86" s="66"/>
      <c r="AR86" s="66"/>
      <c r="AS86" s="66"/>
      <c r="AT86" s="66"/>
      <c r="AU86" s="61">
        <f>SUBTOTAL(9,AM86:AT86)</f>
        <v>6</v>
      </c>
      <c r="AV86" s="56">
        <f>SUBTOTAL(9,AJ86:AT86)</f>
        <v>6</v>
      </c>
      <c r="AW86" s="64">
        <f>AV86+IF($B82=2,0,AW82)</f>
        <v>413.03140000000002</v>
      </c>
      <c r="AX86" s="63"/>
      <c r="AY86" s="63"/>
      <c r="AZ86" s="62">
        <v>950</v>
      </c>
      <c r="BA86" s="60">
        <v>7.7</v>
      </c>
      <c r="BB86" s="60">
        <v>1.1000000000000001</v>
      </c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56">
        <f>SUBTOTAL(9,BA86:BU86)</f>
        <v>8.8000000000000007</v>
      </c>
      <c r="BW86" s="61">
        <f>BV86+IF($B82=2,0,BW82)</f>
        <v>583.90779999999995</v>
      </c>
      <c r="BX86" s="66"/>
      <c r="BY86" s="66"/>
      <c r="BZ86" s="66"/>
      <c r="CA86" s="66"/>
      <c r="CB86" s="66"/>
      <c r="CC86" s="66"/>
      <c r="CD86" s="56">
        <f>SUBTOTAL(9,BX86:CC86)</f>
        <v>0</v>
      </c>
      <c r="CE86" s="56">
        <f>CD86+IF($B82=2,0,CE82)</f>
        <v>5.8</v>
      </c>
      <c r="CF86" s="59">
        <v>71.31</v>
      </c>
      <c r="CG86" s="59">
        <v>71.31</v>
      </c>
      <c r="CH86" s="58">
        <f>SUMIF($C$5:CG$5,"Накопленный эффект, т/сут",$C86:CG86)+SUMIF($C$5:CG$5,"Нараст.  по потенциалу",$C86:CG86)-SUMIF($C$5:CG$5,"Нараст. по остановкам",$C86:CG86)-SUMIF($C$5:CG$5,"ИТОГО перевод в ППД",$C86:CG86)-SUMIF($C$5:CG$5,"ИТОГО  нерент, по распоряж.",$C86:CG86)-SUMIF($C$5:CG$5,"ИТОГО ост. дебит от ЗБС, Углуб., ПВЛГ/ПНЛГ",$C86:CG86)</f>
        <v>868.22360000000026</v>
      </c>
      <c r="CI86" s="56">
        <v>14.8</v>
      </c>
      <c r="CJ86" s="56">
        <v>79.281978540263395</v>
      </c>
      <c r="CK86" s="56">
        <v>6.1803448275862198</v>
      </c>
      <c r="CL86" s="56">
        <v>1.8976515229321</v>
      </c>
      <c r="CM86" s="56">
        <f>SUBTOTAL(9,CI86:CL86)</f>
        <v>102.15997489078171</v>
      </c>
      <c r="CN86" s="55" t="s">
        <v>1</v>
      </c>
      <c r="CO86" s="54">
        <f>CO$4+SUMIF($C$5:CM$5,"Нараст. по остановкам",$C86:CM86)-SUMIF($C$5:CM$5,"Нараст.  по потенциалу",$C86:CM86)</f>
        <v>846.97656228627488</v>
      </c>
      <c r="CP86" s="2"/>
    </row>
    <row r="87" spans="1:94" ht="1.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>
        <v>1</v>
      </c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2"/>
    </row>
    <row r="88" spans="1:94" ht="11.25" customHeight="1" x14ac:dyDescent="0.25">
      <c r="A88" s="107">
        <v>45371</v>
      </c>
      <c r="B88" s="106" t="s">
        <v>58</v>
      </c>
      <c r="C88" s="103"/>
      <c r="D88" s="103"/>
      <c r="E88" s="103"/>
      <c r="F88" s="103"/>
      <c r="G88" s="100">
        <v>600</v>
      </c>
      <c r="H88" s="103"/>
      <c r="I88" s="100">
        <v>12</v>
      </c>
      <c r="J88" s="102" t="s">
        <v>47</v>
      </c>
      <c r="K88" s="103"/>
      <c r="L88" s="103"/>
      <c r="M88" s="100">
        <v>191</v>
      </c>
      <c r="N88" s="103"/>
      <c r="O88" s="103"/>
      <c r="P88" s="100">
        <v>0</v>
      </c>
      <c r="Q88" s="100">
        <v>803</v>
      </c>
      <c r="R88" s="99"/>
      <c r="S88" s="103"/>
      <c r="T88" s="105"/>
      <c r="U88" s="104"/>
      <c r="V88" s="103"/>
      <c r="W88" s="103"/>
      <c r="X88" s="105"/>
      <c r="Y88" s="104"/>
      <c r="Z88" s="102" t="s">
        <v>52</v>
      </c>
      <c r="AA88" s="103"/>
      <c r="AB88" s="103"/>
      <c r="AC88" s="103"/>
      <c r="AD88" s="103"/>
      <c r="AE88" s="103"/>
      <c r="AF88" s="103"/>
      <c r="AG88" s="103"/>
      <c r="AH88" s="105"/>
      <c r="AI88" s="104"/>
      <c r="AJ88" s="103"/>
      <c r="AK88" s="103"/>
      <c r="AL88" s="101">
        <v>10.3</v>
      </c>
      <c r="AM88" s="103"/>
      <c r="AN88" s="103"/>
      <c r="AO88" s="103"/>
      <c r="AP88" s="103"/>
      <c r="AQ88" s="103"/>
      <c r="AR88" s="103"/>
      <c r="AS88" s="103"/>
      <c r="AT88" s="103"/>
      <c r="AU88" s="101">
        <v>402.73140000000001</v>
      </c>
      <c r="AV88" s="100">
        <v>413.03140000000002</v>
      </c>
      <c r="AW88" s="99"/>
      <c r="AX88" s="98"/>
      <c r="AY88" s="98"/>
      <c r="AZ88" s="97"/>
      <c r="BA88" s="95" t="s">
        <v>51</v>
      </c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94"/>
      <c r="BW88" s="96"/>
      <c r="BX88" s="103"/>
      <c r="BY88" s="103"/>
      <c r="BZ88" s="103"/>
      <c r="CA88" s="103"/>
      <c r="CB88" s="103"/>
      <c r="CC88" s="103"/>
      <c r="CD88" s="94"/>
      <c r="CE88" s="94"/>
      <c r="CF88" s="93"/>
      <c r="CG88" s="93"/>
      <c r="CH88" s="92"/>
      <c r="CI88" s="90"/>
      <c r="CJ88" s="90"/>
      <c r="CK88" s="91"/>
      <c r="CL88" s="90"/>
      <c r="CM88" s="90"/>
      <c r="CN88" s="89">
        <f>CN$4+SUMIF($C$5:CM$5,"Нараст. баланс",$C90:CM90)+SUMIF($C$7:CK$7,"Итого (с ВНР)",$C90:CK90)-SUMIF($C$5:CM$5,"Геол. снижение,  т/сут",$C90:CM90)-SUMIF(CL$7:CM$7,"Итого",CL90:CM90)-SUMIF($C$7:CM$7,"Итого (с ВСП)",$C90:CM90)</f>
        <v>30307.819681219989</v>
      </c>
      <c r="CO88" s="88"/>
      <c r="CP88" s="2"/>
    </row>
    <row r="89" spans="1:94" ht="11.25" customHeight="1" x14ac:dyDescent="0.25">
      <c r="A89" s="55" t="s">
        <v>1</v>
      </c>
      <c r="B89" s="87" t="s">
        <v>42</v>
      </c>
      <c r="C89" s="84"/>
      <c r="D89" s="84"/>
      <c r="E89" s="84"/>
      <c r="F89" s="84"/>
      <c r="G89" s="76">
        <v>0</v>
      </c>
      <c r="H89" s="84"/>
      <c r="I89" s="76">
        <v>0</v>
      </c>
      <c r="J89" s="83" t="s">
        <v>113</v>
      </c>
      <c r="K89" s="84"/>
      <c r="L89" s="84"/>
      <c r="M89" s="76">
        <v>1</v>
      </c>
      <c r="N89" s="84"/>
      <c r="O89" s="84"/>
      <c r="P89" s="76">
        <v>0</v>
      </c>
      <c r="Q89" s="76">
        <v>1</v>
      </c>
      <c r="R89" s="81"/>
      <c r="S89" s="84"/>
      <c r="T89" s="86">
        <f>SUBTOTAL(9,S91:S91)</f>
        <v>0</v>
      </c>
      <c r="U89" s="85"/>
      <c r="V89" s="84"/>
      <c r="W89" s="84"/>
      <c r="X89" s="86">
        <f>SUBTOTAL(9,V91:W91)</f>
        <v>0</v>
      </c>
      <c r="Y89" s="85"/>
      <c r="Z89" s="83" t="s">
        <v>112</v>
      </c>
      <c r="AA89" s="84"/>
      <c r="AB89" s="84"/>
      <c r="AC89" s="84"/>
      <c r="AD89" s="84"/>
      <c r="AE89" s="84"/>
      <c r="AF89" s="84"/>
      <c r="AG89" s="84"/>
      <c r="AH89" s="86">
        <f>SUBTOTAL(9,Z91:AG91)</f>
        <v>1</v>
      </c>
      <c r="AI89" s="85"/>
      <c r="AJ89" s="84"/>
      <c r="AK89" s="84"/>
      <c r="AL89" s="82">
        <f>SUBTOTAL(9,AJ91:AK91)</f>
        <v>0</v>
      </c>
      <c r="AM89" s="84"/>
      <c r="AN89" s="84"/>
      <c r="AO89" s="84"/>
      <c r="AP89" s="84"/>
      <c r="AQ89" s="84"/>
      <c r="AR89" s="84"/>
      <c r="AS89" s="84"/>
      <c r="AT89" s="84"/>
      <c r="AU89" s="82">
        <f>SUBTOTAL(9,AM91:AT91)</f>
        <v>0</v>
      </c>
      <c r="AV89" s="76">
        <f>SUBTOTAL(9,AJ91:AT91)</f>
        <v>0</v>
      </c>
      <c r="AW89" s="81"/>
      <c r="AX89" s="80"/>
      <c r="AY89" s="80"/>
      <c r="AZ89" s="79"/>
      <c r="BA89" s="77" t="s">
        <v>75</v>
      </c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76">
        <f>SUBTOTAL(9,BA91:BU91)</f>
        <v>1</v>
      </c>
      <c r="BW89" s="78"/>
      <c r="BX89" s="84"/>
      <c r="BY89" s="84"/>
      <c r="BZ89" s="84"/>
      <c r="CA89" s="84"/>
      <c r="CB89" s="84"/>
      <c r="CC89" s="84"/>
      <c r="CD89" s="76">
        <f>SUBTOTAL(3,BX89:CC89)</f>
        <v>0</v>
      </c>
      <c r="CE89" s="75"/>
      <c r="CF89" s="74"/>
      <c r="CG89" s="74"/>
      <c r="CH89" s="73"/>
      <c r="CI89" s="71"/>
      <c r="CJ89" s="71"/>
      <c r="CK89" s="72"/>
      <c r="CL89" s="71"/>
      <c r="CM89" s="71"/>
      <c r="CN89" s="55" t="s">
        <v>1</v>
      </c>
      <c r="CO89" s="70"/>
      <c r="CP89" s="2"/>
    </row>
    <row r="90" spans="1:94" ht="11.25" customHeight="1" x14ac:dyDescent="0.25">
      <c r="A90" s="55" t="s">
        <v>1</v>
      </c>
      <c r="B90" s="69" t="s">
        <v>8</v>
      </c>
      <c r="C90" s="66"/>
      <c r="D90" s="66"/>
      <c r="E90" s="66"/>
      <c r="F90" s="66"/>
      <c r="G90" s="56">
        <f>SUBTOTAL(9,C90:F90)</f>
        <v>0</v>
      </c>
      <c r="H90" s="66"/>
      <c r="I90" s="56">
        <f>SUBTOTAL(9,H90:H90)</f>
        <v>0</v>
      </c>
      <c r="J90" s="65">
        <v>23</v>
      </c>
      <c r="K90" s="66"/>
      <c r="L90" s="66"/>
      <c r="M90" s="56">
        <f>SUBTOTAL(9,J90:L90)</f>
        <v>23</v>
      </c>
      <c r="N90" s="66"/>
      <c r="O90" s="66"/>
      <c r="P90" s="56">
        <f>SUBTOTAL(9,N90:O90)</f>
        <v>0</v>
      </c>
      <c r="Q90" s="56">
        <f>SUBTOTAL(9,C90:O90)</f>
        <v>23</v>
      </c>
      <c r="R90" s="64">
        <v>803</v>
      </c>
      <c r="S90" s="66"/>
      <c r="T90" s="68">
        <f>SUBTOTAL(9,S90:S90)</f>
        <v>0</v>
      </c>
      <c r="U90" s="67">
        <f>T90+IF($B86=2,0,U86)</f>
        <v>15</v>
      </c>
      <c r="V90" s="66"/>
      <c r="W90" s="66"/>
      <c r="X90" s="68">
        <f>SUBTOTAL(9,V90:W90)</f>
        <v>0</v>
      </c>
      <c r="Y90" s="67">
        <f>X90+IF($B86=2,0,Y86)</f>
        <v>170</v>
      </c>
      <c r="Z90" s="65">
        <v>6</v>
      </c>
      <c r="AA90" s="66"/>
      <c r="AB90" s="66"/>
      <c r="AC90" s="66"/>
      <c r="AD90" s="66"/>
      <c r="AE90" s="66"/>
      <c r="AF90" s="66"/>
      <c r="AG90" s="66"/>
      <c r="AH90" s="68">
        <f>SUBTOTAL(9,Z90:AG90)</f>
        <v>6</v>
      </c>
      <c r="AI90" s="67">
        <f>AH90+IF($B86=2,0,AI86)</f>
        <v>85.9</v>
      </c>
      <c r="AJ90" s="66"/>
      <c r="AK90" s="66"/>
      <c r="AL90" s="61">
        <f>SUBTOTAL(9,AJ90:AK90)</f>
        <v>0</v>
      </c>
      <c r="AM90" s="66"/>
      <c r="AN90" s="66"/>
      <c r="AO90" s="66"/>
      <c r="AP90" s="66"/>
      <c r="AQ90" s="66"/>
      <c r="AR90" s="66"/>
      <c r="AS90" s="66"/>
      <c r="AT90" s="66"/>
      <c r="AU90" s="61">
        <f>SUBTOTAL(9,AM90:AT90)</f>
        <v>0</v>
      </c>
      <c r="AV90" s="56">
        <f>SUBTOTAL(9,AJ90:AT90)</f>
        <v>0</v>
      </c>
      <c r="AW90" s="64">
        <f>AV90+IF($B86=2,0,AW86)</f>
        <v>413.03140000000002</v>
      </c>
      <c r="AX90" s="63"/>
      <c r="AY90" s="63"/>
      <c r="AZ90" s="62">
        <v>1000</v>
      </c>
      <c r="BA90" s="60">
        <v>2.1</v>
      </c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56">
        <f>SUBTOTAL(9,BA90:BU90)</f>
        <v>2.1</v>
      </c>
      <c r="BW90" s="61">
        <f>BV90+IF($B86=2,0,BW86)</f>
        <v>586.00779999999997</v>
      </c>
      <c r="BX90" s="66"/>
      <c r="BY90" s="66"/>
      <c r="BZ90" s="66"/>
      <c r="CA90" s="66"/>
      <c r="CB90" s="66"/>
      <c r="CC90" s="66"/>
      <c r="CD90" s="56">
        <f>SUBTOTAL(9,BX90:CC90)</f>
        <v>0</v>
      </c>
      <c r="CE90" s="56">
        <f>CD90+IF($B86=2,0,CE86)</f>
        <v>5.8</v>
      </c>
      <c r="CF90" s="59">
        <v>60.38</v>
      </c>
      <c r="CG90" s="59">
        <v>60.38</v>
      </c>
      <c r="CH90" s="58">
        <f>SUMIF($C$5:CG$5,"Накопленный эффект, т/сут",$C90:CG90)+SUMIF($C$5:CG$5,"Нараст.  по потенциалу",$C90:CG90)-SUMIF($C$5:CG$5,"Нараст. по остановкам",$C90:CG90)-SUMIF($C$5:CG$5,"ИТОГО перевод в ППД",$C90:CG90)-SUMIF($C$5:CG$5,"ИТОГО  нерент, по распоряж.",$C90:CG90)-SUMIF($C$5:CG$5,"ИТОГО ост. дебит от ЗБС, Углуб., ПВЛГ/ПНЛГ",$C90:CG90)</f>
        <v>895.12360000000024</v>
      </c>
      <c r="CI90" s="56">
        <v>14.8</v>
      </c>
      <c r="CJ90" s="56">
        <v>66.593749239779797</v>
      </c>
      <c r="CK90" s="57"/>
      <c r="CL90" s="56">
        <v>0.37116954022988502</v>
      </c>
      <c r="CM90" s="56">
        <f>SUBTOTAL(9,CI90:CL90)</f>
        <v>81.76491878000968</v>
      </c>
      <c r="CN90" s="55" t="s">
        <v>1</v>
      </c>
      <c r="CO90" s="54">
        <f>CO$4+SUMIF($C$5:CM$5,"Нараст. по остановкам",$C90:CM90)-SUMIF($C$5:CM$5,"Нараст.  по потенциалу",$C90:CM90)</f>
        <v>849.07656228627479</v>
      </c>
      <c r="CP90" s="2"/>
    </row>
    <row r="91" spans="1:94" ht="1.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>
        <v>1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>
        <v>1</v>
      </c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2"/>
    </row>
    <row r="92" spans="1:94" ht="11.25" customHeight="1" x14ac:dyDescent="0.25">
      <c r="A92" s="107">
        <v>45372</v>
      </c>
      <c r="B92" s="106" t="s">
        <v>58</v>
      </c>
      <c r="C92" s="102" t="s">
        <v>111</v>
      </c>
      <c r="D92" s="102" t="s">
        <v>57</v>
      </c>
      <c r="E92" s="103"/>
      <c r="F92" s="103"/>
      <c r="G92" s="100">
        <v>710</v>
      </c>
      <c r="H92" s="103"/>
      <c r="I92" s="100">
        <v>12</v>
      </c>
      <c r="J92" s="103"/>
      <c r="K92" s="103"/>
      <c r="L92" s="103"/>
      <c r="M92" s="100">
        <v>191</v>
      </c>
      <c r="N92" s="103"/>
      <c r="O92" s="103"/>
      <c r="P92" s="100">
        <v>0</v>
      </c>
      <c r="Q92" s="100">
        <v>913</v>
      </c>
      <c r="R92" s="99"/>
      <c r="S92" s="103"/>
      <c r="T92" s="105"/>
      <c r="U92" s="104"/>
      <c r="V92" s="103"/>
      <c r="W92" s="103"/>
      <c r="X92" s="105"/>
      <c r="Y92" s="104"/>
      <c r="Z92" s="102" t="s">
        <v>47</v>
      </c>
      <c r="AA92" s="102" t="s">
        <v>47</v>
      </c>
      <c r="AB92" s="103"/>
      <c r="AC92" s="103"/>
      <c r="AD92" s="103"/>
      <c r="AE92" s="103"/>
      <c r="AF92" s="103"/>
      <c r="AG92" s="103"/>
      <c r="AH92" s="105"/>
      <c r="AI92" s="104"/>
      <c r="AJ92" s="103"/>
      <c r="AK92" s="103"/>
      <c r="AL92" s="101">
        <v>10.3</v>
      </c>
      <c r="AM92" s="102" t="s">
        <v>51</v>
      </c>
      <c r="AN92" s="103"/>
      <c r="AO92" s="103"/>
      <c r="AP92" s="103"/>
      <c r="AQ92" s="103"/>
      <c r="AR92" s="103"/>
      <c r="AS92" s="103"/>
      <c r="AT92" s="103"/>
      <c r="AU92" s="101">
        <v>405.03140000000002</v>
      </c>
      <c r="AV92" s="100">
        <v>415.33139999999997</v>
      </c>
      <c r="AW92" s="99"/>
      <c r="AX92" s="98"/>
      <c r="AY92" s="98"/>
      <c r="AZ92" s="97"/>
      <c r="BA92" s="95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94"/>
      <c r="BW92" s="96"/>
      <c r="BX92" s="103"/>
      <c r="BY92" s="103"/>
      <c r="BZ92" s="103"/>
      <c r="CA92" s="103"/>
      <c r="CB92" s="103"/>
      <c r="CC92" s="103"/>
      <c r="CD92" s="94"/>
      <c r="CE92" s="94"/>
      <c r="CF92" s="93"/>
      <c r="CG92" s="93"/>
      <c r="CH92" s="92"/>
      <c r="CI92" s="90"/>
      <c r="CJ92" s="90"/>
      <c r="CK92" s="90"/>
      <c r="CL92" s="90"/>
      <c r="CM92" s="90"/>
      <c r="CN92" s="89">
        <f>CN$4+SUMIF($C$5:CM$5,"Нараст. баланс",$C94:CM94)+SUMIF($C$7:CK$7,"Итого (с ВНР)",$C94:CK94)-SUMIF($C$5:CM$5,"Геол. снижение,  т/сут",$C94:CM94)-SUMIF(CL$7:CM$7,"Итого",CL94:CM94)-SUMIF($C$7:CM$7,"Итого (с ВСП)",$C94:CM94)</f>
        <v>30403.067633340248</v>
      </c>
      <c r="CO92" s="88"/>
      <c r="CP92" s="2"/>
    </row>
    <row r="93" spans="1:94" ht="11.25" customHeight="1" x14ac:dyDescent="0.25">
      <c r="A93" s="55" t="s">
        <v>1</v>
      </c>
      <c r="B93" s="87" t="s">
        <v>42</v>
      </c>
      <c r="C93" s="83" t="s">
        <v>110</v>
      </c>
      <c r="D93" s="83" t="s">
        <v>109</v>
      </c>
      <c r="E93" s="84"/>
      <c r="F93" s="84"/>
      <c r="G93" s="76">
        <v>2</v>
      </c>
      <c r="H93" s="84"/>
      <c r="I93" s="76">
        <v>0</v>
      </c>
      <c r="J93" s="84"/>
      <c r="K93" s="84"/>
      <c r="L93" s="84"/>
      <c r="M93" s="76">
        <v>0</v>
      </c>
      <c r="N93" s="84"/>
      <c r="O93" s="84"/>
      <c r="P93" s="76">
        <v>0</v>
      </c>
      <c r="Q93" s="76">
        <v>2</v>
      </c>
      <c r="R93" s="81"/>
      <c r="S93" s="84"/>
      <c r="T93" s="86">
        <f>SUBTOTAL(9,S95:S95)</f>
        <v>0</v>
      </c>
      <c r="U93" s="85"/>
      <c r="V93" s="84"/>
      <c r="W93" s="84"/>
      <c r="X93" s="86">
        <f>SUBTOTAL(9,V95:W95)</f>
        <v>0</v>
      </c>
      <c r="Y93" s="85"/>
      <c r="Z93" s="83" t="s">
        <v>108</v>
      </c>
      <c r="AA93" s="83" t="s">
        <v>107</v>
      </c>
      <c r="AB93" s="84"/>
      <c r="AC93" s="84"/>
      <c r="AD93" s="84"/>
      <c r="AE93" s="84"/>
      <c r="AF93" s="84"/>
      <c r="AG93" s="84"/>
      <c r="AH93" s="86">
        <f>SUBTOTAL(9,Z95:AG95)</f>
        <v>2</v>
      </c>
      <c r="AI93" s="85"/>
      <c r="AJ93" s="84"/>
      <c r="AK93" s="84"/>
      <c r="AL93" s="82">
        <f>SUBTOTAL(9,AJ95:AK95)</f>
        <v>0</v>
      </c>
      <c r="AM93" s="83" t="s">
        <v>106</v>
      </c>
      <c r="AN93" s="84"/>
      <c r="AO93" s="84"/>
      <c r="AP93" s="84"/>
      <c r="AQ93" s="84"/>
      <c r="AR93" s="84"/>
      <c r="AS93" s="84"/>
      <c r="AT93" s="84"/>
      <c r="AU93" s="82">
        <f>SUBTOTAL(9,AM95:AT95)</f>
        <v>1</v>
      </c>
      <c r="AV93" s="76">
        <f>SUBTOTAL(9,AJ95:AT95)</f>
        <v>1</v>
      </c>
      <c r="AW93" s="81"/>
      <c r="AX93" s="80"/>
      <c r="AY93" s="80"/>
      <c r="AZ93" s="79"/>
      <c r="BA93" s="77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76">
        <f>SUBTOTAL(9,BA95:BU95)</f>
        <v>0</v>
      </c>
      <c r="BW93" s="78"/>
      <c r="BX93" s="84"/>
      <c r="BY93" s="84"/>
      <c r="BZ93" s="84"/>
      <c r="CA93" s="84"/>
      <c r="CB93" s="84"/>
      <c r="CC93" s="84"/>
      <c r="CD93" s="76">
        <f>SUBTOTAL(3,BX93:CC93)</f>
        <v>0</v>
      </c>
      <c r="CE93" s="75"/>
      <c r="CF93" s="74"/>
      <c r="CG93" s="74"/>
      <c r="CH93" s="73"/>
      <c r="CI93" s="71"/>
      <c r="CJ93" s="71"/>
      <c r="CK93" s="71"/>
      <c r="CL93" s="71"/>
      <c r="CM93" s="71"/>
      <c r="CN93" s="55" t="s">
        <v>1</v>
      </c>
      <c r="CO93" s="70"/>
      <c r="CP93" s="2"/>
    </row>
    <row r="94" spans="1:94" ht="11.25" customHeight="1" x14ac:dyDescent="0.25">
      <c r="A94" s="55" t="s">
        <v>1</v>
      </c>
      <c r="B94" s="69" t="s">
        <v>8</v>
      </c>
      <c r="C94" s="65">
        <v>30</v>
      </c>
      <c r="D94" s="65">
        <v>80</v>
      </c>
      <c r="E94" s="66"/>
      <c r="F94" s="66"/>
      <c r="G94" s="56">
        <f>SUBTOTAL(9,C94:F94)</f>
        <v>110</v>
      </c>
      <c r="H94" s="66"/>
      <c r="I94" s="56">
        <f>SUBTOTAL(9,H94:H94)</f>
        <v>0</v>
      </c>
      <c r="J94" s="66"/>
      <c r="K94" s="66"/>
      <c r="L94" s="66"/>
      <c r="M94" s="56">
        <f>SUBTOTAL(9,J94:L94)</f>
        <v>0</v>
      </c>
      <c r="N94" s="66"/>
      <c r="O94" s="66"/>
      <c r="P94" s="56">
        <f>SUBTOTAL(9,N94:O94)</f>
        <v>0</v>
      </c>
      <c r="Q94" s="56">
        <f>SUBTOTAL(9,C94:O94)</f>
        <v>110</v>
      </c>
      <c r="R94" s="64">
        <v>913</v>
      </c>
      <c r="S94" s="66"/>
      <c r="T94" s="68">
        <f>SUBTOTAL(9,S94:S94)</f>
        <v>0</v>
      </c>
      <c r="U94" s="67">
        <f>T94+IF($B90=2,0,U90)</f>
        <v>15</v>
      </c>
      <c r="V94" s="66"/>
      <c r="W94" s="66"/>
      <c r="X94" s="68">
        <f>SUBTOTAL(9,V94:W94)</f>
        <v>0</v>
      </c>
      <c r="Y94" s="67">
        <f>X94+IF($B90=2,0,Y90)</f>
        <v>170</v>
      </c>
      <c r="Z94" s="65">
        <v>3</v>
      </c>
      <c r="AA94" s="65">
        <v>4</v>
      </c>
      <c r="AB94" s="66"/>
      <c r="AC94" s="66"/>
      <c r="AD94" s="66"/>
      <c r="AE94" s="66"/>
      <c r="AF94" s="66"/>
      <c r="AG94" s="66"/>
      <c r="AH94" s="68">
        <f>SUBTOTAL(9,Z94:AG94)</f>
        <v>7</v>
      </c>
      <c r="AI94" s="67">
        <f>AH94+IF($B90=2,0,AI90)</f>
        <v>92.9</v>
      </c>
      <c r="AJ94" s="66"/>
      <c r="AK94" s="66"/>
      <c r="AL94" s="61">
        <f>SUBTOTAL(9,AJ94:AK94)</f>
        <v>0</v>
      </c>
      <c r="AM94" s="65">
        <v>2.2999999999999998</v>
      </c>
      <c r="AN94" s="66"/>
      <c r="AO94" s="66"/>
      <c r="AP94" s="66"/>
      <c r="AQ94" s="66"/>
      <c r="AR94" s="66"/>
      <c r="AS94" s="66"/>
      <c r="AT94" s="66"/>
      <c r="AU94" s="61">
        <f>SUBTOTAL(9,AM94:AT94)</f>
        <v>2.2999999999999998</v>
      </c>
      <c r="AV94" s="56">
        <f>SUBTOTAL(9,AJ94:AT94)</f>
        <v>2.2999999999999998</v>
      </c>
      <c r="AW94" s="64">
        <f>AV94+IF($B90=2,0,AW90)</f>
        <v>415.33140000000003</v>
      </c>
      <c r="AX94" s="63"/>
      <c r="AY94" s="63"/>
      <c r="AZ94" s="62">
        <v>1050</v>
      </c>
      <c r="BA94" s="60">
        <v>7.1</v>
      </c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56">
        <f>SUBTOTAL(9,BA94:BU94)</f>
        <v>7.1</v>
      </c>
      <c r="BW94" s="61">
        <f>BV94+IF($B90=2,0,BW90)</f>
        <v>593.1078</v>
      </c>
      <c r="BX94" s="66"/>
      <c r="BY94" s="66"/>
      <c r="BZ94" s="66"/>
      <c r="CA94" s="66"/>
      <c r="CB94" s="66"/>
      <c r="CC94" s="66"/>
      <c r="CD94" s="56">
        <f>SUBTOTAL(9,BX94:CC94)</f>
        <v>0</v>
      </c>
      <c r="CE94" s="56">
        <f>CD94+IF($B90=2,0,CE90)</f>
        <v>5.8</v>
      </c>
      <c r="CF94" s="59">
        <v>47.98</v>
      </c>
      <c r="CG94" s="59">
        <v>47.98</v>
      </c>
      <c r="CH94" s="58">
        <f>SUMIF($C$5:CG$5,"Накопленный эффект, т/сут",$C94:CG94)+SUMIF($C$5:CG$5,"Нараст.  по потенциалу",$C94:CG94)-SUMIF($C$5:CG$5,"Нараст. по остановкам",$C94:CG94)-SUMIF($C$5:CG$5,"ИТОГО перевод в ППД",$C94:CG94)-SUMIF($C$5:CG$5,"ИТОГО  нерент, по распоряж.",$C94:CG94)-SUMIF($C$5:CG$5,"ИТОГО ост. дебит от ЗБС, Углуб., ПВЛГ/ПНЛГ",$C94:CG94)</f>
        <v>1007.3236000000002</v>
      </c>
      <c r="CI94" s="56">
        <v>14.8</v>
      </c>
      <c r="CJ94" s="56">
        <v>39.203624514549297</v>
      </c>
      <c r="CK94" s="56">
        <v>4.1396206896551702</v>
      </c>
      <c r="CL94" s="56">
        <v>2.9737214555484699</v>
      </c>
      <c r="CM94" s="56">
        <f>SUBTOTAL(9,CI94:CL94)</f>
        <v>61.11696665975294</v>
      </c>
      <c r="CN94" s="55" t="s">
        <v>1</v>
      </c>
      <c r="CO94" s="54">
        <f>CO$4+SUMIF($C$5:CM$5,"Нараст. по остановкам",$C94:CM94)-SUMIF($C$5:CM$5,"Нараст.  по потенциалу",$C94:CM94)</f>
        <v>853.87656228627498</v>
      </c>
      <c r="CP94" s="2"/>
    </row>
    <row r="95" spans="1:94" ht="1.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1</v>
      </c>
      <c r="AA95" s="3">
        <v>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>
        <v>1</v>
      </c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2"/>
    </row>
    <row r="96" spans="1:94" ht="11.25" customHeight="1" x14ac:dyDescent="0.25">
      <c r="A96" s="107">
        <v>45373</v>
      </c>
      <c r="B96" s="106" t="s">
        <v>58</v>
      </c>
      <c r="C96" s="102" t="s">
        <v>54</v>
      </c>
      <c r="D96" s="102" t="s">
        <v>50</v>
      </c>
      <c r="E96" s="103"/>
      <c r="F96" s="103"/>
      <c r="G96" s="100">
        <v>780</v>
      </c>
      <c r="H96" s="103"/>
      <c r="I96" s="100">
        <v>12</v>
      </c>
      <c r="J96" s="103"/>
      <c r="K96" s="103"/>
      <c r="L96" s="103"/>
      <c r="M96" s="100">
        <v>191</v>
      </c>
      <c r="N96" s="103"/>
      <c r="O96" s="103"/>
      <c r="P96" s="100">
        <v>0</v>
      </c>
      <c r="Q96" s="100">
        <v>983</v>
      </c>
      <c r="R96" s="99"/>
      <c r="S96" s="103"/>
      <c r="T96" s="105"/>
      <c r="U96" s="104"/>
      <c r="V96" s="103"/>
      <c r="W96" s="103"/>
      <c r="X96" s="105"/>
      <c r="Y96" s="104"/>
      <c r="Z96" s="102" t="s">
        <v>47</v>
      </c>
      <c r="AA96" s="103"/>
      <c r="AB96" s="103"/>
      <c r="AC96" s="103"/>
      <c r="AD96" s="103"/>
      <c r="AE96" s="103"/>
      <c r="AF96" s="103"/>
      <c r="AG96" s="103"/>
      <c r="AH96" s="105"/>
      <c r="AI96" s="104"/>
      <c r="AJ96" s="103"/>
      <c r="AK96" s="103"/>
      <c r="AL96" s="101">
        <v>10.3</v>
      </c>
      <c r="AM96" s="102"/>
      <c r="AN96" s="103"/>
      <c r="AO96" s="103"/>
      <c r="AP96" s="103"/>
      <c r="AQ96" s="103"/>
      <c r="AR96" s="103"/>
      <c r="AS96" s="103"/>
      <c r="AT96" s="103"/>
      <c r="AU96" s="101">
        <v>409.33139999999997</v>
      </c>
      <c r="AV96" s="100">
        <v>419.63139999999999</v>
      </c>
      <c r="AW96" s="99"/>
      <c r="AX96" s="98"/>
      <c r="AY96" s="98"/>
      <c r="AZ96" s="97"/>
      <c r="BA96" s="95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94"/>
      <c r="BW96" s="96"/>
      <c r="BX96" s="103"/>
      <c r="BY96" s="103"/>
      <c r="BZ96" s="103"/>
      <c r="CA96" s="103"/>
      <c r="CB96" s="103"/>
      <c r="CC96" s="103"/>
      <c r="CD96" s="94"/>
      <c r="CE96" s="94"/>
      <c r="CF96" s="93"/>
      <c r="CG96" s="93"/>
      <c r="CH96" s="92"/>
      <c r="CI96" s="90"/>
      <c r="CJ96" s="90"/>
      <c r="CK96" s="90"/>
      <c r="CL96" s="90"/>
      <c r="CM96" s="90"/>
      <c r="CN96" s="89">
        <f>CN$4+SUMIF($C$5:CM$5,"Нараст. баланс",$C98:CM98)+SUMIF($C$7:CK$7,"Итого (с ВНР)",$C98:CK98)-SUMIF($C$5:CM$5,"Геол. снижение,  т/сут",$C98:CM98)-SUMIF(CL$7:CM$7,"Итого",CL98:CM98)-SUMIF($C$7:CM$7,"Итого (с ВСП)",$C98:CM98)</f>
        <v>30392.676985629863</v>
      </c>
      <c r="CO96" s="88"/>
      <c r="CP96" s="2"/>
    </row>
    <row r="97" spans="1:94" ht="11.25" customHeight="1" x14ac:dyDescent="0.25">
      <c r="A97" s="55" t="s">
        <v>1</v>
      </c>
      <c r="B97" s="87" t="s">
        <v>42</v>
      </c>
      <c r="C97" s="83" t="s">
        <v>105</v>
      </c>
      <c r="D97" s="83" t="s">
        <v>104</v>
      </c>
      <c r="E97" s="84"/>
      <c r="F97" s="84"/>
      <c r="G97" s="76">
        <v>2</v>
      </c>
      <c r="H97" s="84"/>
      <c r="I97" s="76">
        <v>0</v>
      </c>
      <c r="J97" s="84"/>
      <c r="K97" s="84"/>
      <c r="L97" s="84"/>
      <c r="M97" s="76">
        <v>0</v>
      </c>
      <c r="N97" s="84"/>
      <c r="O97" s="84"/>
      <c r="P97" s="76">
        <v>0</v>
      </c>
      <c r="Q97" s="76">
        <v>2</v>
      </c>
      <c r="R97" s="81"/>
      <c r="S97" s="84"/>
      <c r="T97" s="86">
        <f>SUBTOTAL(9,S99:S99)</f>
        <v>0</v>
      </c>
      <c r="U97" s="85"/>
      <c r="V97" s="84"/>
      <c r="W97" s="84"/>
      <c r="X97" s="86">
        <f>SUBTOTAL(9,V99:W99)</f>
        <v>0</v>
      </c>
      <c r="Y97" s="85"/>
      <c r="Z97" s="83" t="s">
        <v>103</v>
      </c>
      <c r="AA97" s="84"/>
      <c r="AB97" s="84"/>
      <c r="AC97" s="84"/>
      <c r="AD97" s="84"/>
      <c r="AE97" s="84"/>
      <c r="AF97" s="84"/>
      <c r="AG97" s="84"/>
      <c r="AH97" s="86">
        <f>SUBTOTAL(9,Z99:AG99)</f>
        <v>1</v>
      </c>
      <c r="AI97" s="85"/>
      <c r="AJ97" s="84"/>
      <c r="AK97" s="84"/>
      <c r="AL97" s="82">
        <f>SUBTOTAL(9,AJ99:AK99)</f>
        <v>0</v>
      </c>
      <c r="AM97" s="83"/>
      <c r="AN97" s="84"/>
      <c r="AO97" s="84"/>
      <c r="AP97" s="84"/>
      <c r="AQ97" s="84"/>
      <c r="AR97" s="84"/>
      <c r="AS97" s="84"/>
      <c r="AT97" s="84"/>
      <c r="AU97" s="82">
        <f>SUBTOTAL(9,AM99:AT99)</f>
        <v>0</v>
      </c>
      <c r="AV97" s="76">
        <f>SUBTOTAL(9,AJ99:AT99)</f>
        <v>0</v>
      </c>
      <c r="AW97" s="81"/>
      <c r="AX97" s="80"/>
      <c r="AY97" s="80"/>
      <c r="AZ97" s="79"/>
      <c r="BA97" s="77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76">
        <f>SUBTOTAL(9,BA99:BU99)</f>
        <v>0</v>
      </c>
      <c r="BW97" s="78"/>
      <c r="BX97" s="84"/>
      <c r="BY97" s="84"/>
      <c r="BZ97" s="84"/>
      <c r="CA97" s="84"/>
      <c r="CB97" s="84"/>
      <c r="CC97" s="84"/>
      <c r="CD97" s="76">
        <f>SUBTOTAL(3,BX97:CC97)</f>
        <v>0</v>
      </c>
      <c r="CE97" s="75"/>
      <c r="CF97" s="74"/>
      <c r="CG97" s="74"/>
      <c r="CH97" s="73"/>
      <c r="CI97" s="71"/>
      <c r="CJ97" s="71"/>
      <c r="CK97" s="71"/>
      <c r="CL97" s="71"/>
      <c r="CM97" s="71"/>
      <c r="CN97" s="55" t="s">
        <v>1</v>
      </c>
      <c r="CO97" s="70"/>
      <c r="CP97" s="2"/>
    </row>
    <row r="98" spans="1:94" ht="11.25" customHeight="1" x14ac:dyDescent="0.25">
      <c r="A98" s="55" t="s">
        <v>1</v>
      </c>
      <c r="B98" s="69" t="s">
        <v>8</v>
      </c>
      <c r="C98" s="65">
        <v>30</v>
      </c>
      <c r="D98" s="65">
        <v>40</v>
      </c>
      <c r="E98" s="66"/>
      <c r="F98" s="66"/>
      <c r="G98" s="56">
        <f>SUBTOTAL(9,C98:F98)</f>
        <v>70</v>
      </c>
      <c r="H98" s="66"/>
      <c r="I98" s="56">
        <f>SUBTOTAL(9,H98:H98)</f>
        <v>0</v>
      </c>
      <c r="J98" s="66"/>
      <c r="K98" s="66"/>
      <c r="L98" s="66"/>
      <c r="M98" s="56">
        <f>SUBTOTAL(9,J98:L98)</f>
        <v>0</v>
      </c>
      <c r="N98" s="66"/>
      <c r="O98" s="66"/>
      <c r="P98" s="56">
        <f>SUBTOTAL(9,N98:O98)</f>
        <v>0</v>
      </c>
      <c r="Q98" s="56">
        <f>SUBTOTAL(9,C98:O98)</f>
        <v>70</v>
      </c>
      <c r="R98" s="64">
        <v>983</v>
      </c>
      <c r="S98" s="66"/>
      <c r="T98" s="68">
        <f>SUBTOTAL(9,S98:S98)</f>
        <v>0</v>
      </c>
      <c r="U98" s="67">
        <f>T98+IF($B94=2,0,U94)</f>
        <v>15</v>
      </c>
      <c r="V98" s="66"/>
      <c r="W98" s="66"/>
      <c r="X98" s="68">
        <f>SUBTOTAL(9,V98:W98)</f>
        <v>0</v>
      </c>
      <c r="Y98" s="67">
        <f>X98+IF($B94=2,0,Y94)</f>
        <v>170</v>
      </c>
      <c r="Z98" s="65">
        <v>4</v>
      </c>
      <c r="AA98" s="66"/>
      <c r="AB98" s="66"/>
      <c r="AC98" s="66"/>
      <c r="AD98" s="66"/>
      <c r="AE98" s="66"/>
      <c r="AF98" s="66"/>
      <c r="AG98" s="66"/>
      <c r="AH98" s="68">
        <f>SUBTOTAL(9,Z98:AG98)</f>
        <v>4</v>
      </c>
      <c r="AI98" s="67">
        <f>AH98+IF($B94=2,0,AI94)</f>
        <v>96.9</v>
      </c>
      <c r="AJ98" s="66"/>
      <c r="AK98" s="66"/>
      <c r="AL98" s="61">
        <f>SUBTOTAL(9,AJ98:AK98)</f>
        <v>0</v>
      </c>
      <c r="AM98" s="65">
        <v>4.3</v>
      </c>
      <c r="AN98" s="66"/>
      <c r="AO98" s="66"/>
      <c r="AP98" s="66"/>
      <c r="AQ98" s="66"/>
      <c r="AR98" s="66"/>
      <c r="AS98" s="66"/>
      <c r="AT98" s="66"/>
      <c r="AU98" s="61">
        <f>SUBTOTAL(9,AM98:AT98)</f>
        <v>4.3</v>
      </c>
      <c r="AV98" s="56">
        <f>SUBTOTAL(9,AJ98:AT98)</f>
        <v>4.3</v>
      </c>
      <c r="AW98" s="64">
        <f>AV98+IF($B94=2,0,AW94)</f>
        <v>419.63140000000004</v>
      </c>
      <c r="AX98" s="63"/>
      <c r="AY98" s="63"/>
      <c r="AZ98" s="62">
        <v>1100</v>
      </c>
      <c r="BA98" s="60">
        <v>5.5</v>
      </c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56">
        <f>SUBTOTAL(9,BA98:BU98)</f>
        <v>5.5</v>
      </c>
      <c r="BW98" s="61">
        <f>BV98+IF($B94=2,0,BW94)</f>
        <v>598.6078</v>
      </c>
      <c r="BX98" s="66"/>
      <c r="BY98" s="66"/>
      <c r="BZ98" s="66"/>
      <c r="CA98" s="66"/>
      <c r="CB98" s="66"/>
      <c r="CC98" s="66"/>
      <c r="CD98" s="56">
        <f>SUBTOTAL(9,BX98:CC98)</f>
        <v>0</v>
      </c>
      <c r="CE98" s="56">
        <f>CD98+IF($B94=2,0,CE94)</f>
        <v>5.8</v>
      </c>
      <c r="CF98" s="59">
        <v>38.380000000000003</v>
      </c>
      <c r="CG98" s="59">
        <v>38.380000000000003</v>
      </c>
      <c r="CH98" s="58">
        <f>SUMIF($C$5:CG$5,"Накопленный эффект, т/сут",$C98:CG98)+SUMIF($C$5:CG$5,"Нараст.  по потенциалу",$C98:CG98)-SUMIF($C$5:CG$5,"Нараст. по остановкам",$C98:CG98)-SUMIF($C$5:CG$5,"ИТОГО перевод в ППД",$C98:CG98)-SUMIF($C$5:CG$5,"ИТОГО  нерент, по распоряж.",$C98:CG98)-SUMIF($C$5:CG$5,"ИТОГО ост. дебит от ЗБС, Углуб., ПВЛГ/ПНЛГ",$C98:CG98)</f>
        <v>1080.1236000000001</v>
      </c>
      <c r="CI98" s="56">
        <v>14.8</v>
      </c>
      <c r="CJ98" s="56">
        <v>44.4023646606285</v>
      </c>
      <c r="CK98" s="56">
        <v>40.274700618974698</v>
      </c>
      <c r="CL98" s="56">
        <v>4.4305490905330496</v>
      </c>
      <c r="CM98" s="56">
        <f>SUBTOTAL(9,CI98:CL98)</f>
        <v>103.90761437013626</v>
      </c>
      <c r="CN98" s="55" t="s">
        <v>1</v>
      </c>
      <c r="CO98" s="54">
        <f>CO$4+SUMIF($C$5:CM$5,"Нараст. по остановкам",$C98:CM98)-SUMIF($C$5:CM$5,"Нараст.  по потенциалу",$C98:CM98)</f>
        <v>855.07656228627502</v>
      </c>
      <c r="CP98" s="2"/>
    </row>
    <row r="99" spans="1:94" ht="1.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>
        <v>1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2"/>
    </row>
    <row r="100" spans="1:94" ht="11.25" customHeight="1" x14ac:dyDescent="0.25">
      <c r="A100" s="107">
        <v>45374</v>
      </c>
      <c r="B100" s="106" t="s">
        <v>58</v>
      </c>
      <c r="C100" s="102" t="s">
        <v>56</v>
      </c>
      <c r="D100" s="102" t="s">
        <v>63</v>
      </c>
      <c r="E100" s="103"/>
      <c r="F100" s="103"/>
      <c r="G100" s="100">
        <v>1170</v>
      </c>
      <c r="H100" s="103"/>
      <c r="I100" s="100">
        <v>12</v>
      </c>
      <c r="J100" s="102" t="s">
        <v>47</v>
      </c>
      <c r="K100" s="103"/>
      <c r="L100" s="103"/>
      <c r="M100" s="100">
        <v>212</v>
      </c>
      <c r="N100" s="103"/>
      <c r="O100" s="103"/>
      <c r="P100" s="100">
        <v>0</v>
      </c>
      <c r="Q100" s="100">
        <v>1394</v>
      </c>
      <c r="R100" s="99"/>
      <c r="S100" s="103"/>
      <c r="T100" s="105"/>
      <c r="U100" s="104"/>
      <c r="V100" s="103"/>
      <c r="W100" s="103"/>
      <c r="X100" s="105"/>
      <c r="Y100" s="104"/>
      <c r="Z100" s="102" t="s">
        <v>47</v>
      </c>
      <c r="AA100" s="102" t="s">
        <v>47</v>
      </c>
      <c r="AB100" s="103"/>
      <c r="AC100" s="103"/>
      <c r="AD100" s="103"/>
      <c r="AE100" s="103"/>
      <c r="AF100" s="103"/>
      <c r="AG100" s="103"/>
      <c r="AH100" s="105"/>
      <c r="AI100" s="104"/>
      <c r="AJ100" s="103"/>
      <c r="AK100" s="103"/>
      <c r="AL100" s="101">
        <v>10.3</v>
      </c>
      <c r="AM100" s="102" t="s">
        <v>51</v>
      </c>
      <c r="AN100" s="102"/>
      <c r="AO100" s="103"/>
      <c r="AP100" s="103"/>
      <c r="AQ100" s="103"/>
      <c r="AR100" s="103"/>
      <c r="AS100" s="103"/>
      <c r="AT100" s="103"/>
      <c r="AU100" s="101">
        <v>426.83139999999997</v>
      </c>
      <c r="AV100" s="100">
        <v>437.13139999999999</v>
      </c>
      <c r="AW100" s="99"/>
      <c r="AX100" s="98"/>
      <c r="AY100" s="98"/>
      <c r="AZ100" s="97"/>
      <c r="BA100" s="95"/>
      <c r="BB100" s="103"/>
      <c r="BC100" s="103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94"/>
      <c r="BW100" s="96"/>
      <c r="BX100" s="103"/>
      <c r="BY100" s="103"/>
      <c r="BZ100" s="103"/>
      <c r="CA100" s="103"/>
      <c r="CB100" s="103"/>
      <c r="CC100" s="103"/>
      <c r="CD100" s="94"/>
      <c r="CE100" s="94"/>
      <c r="CF100" s="93"/>
      <c r="CG100" s="93"/>
      <c r="CH100" s="92"/>
      <c r="CI100" s="90"/>
      <c r="CJ100" s="90"/>
      <c r="CK100" s="91"/>
      <c r="CL100" s="90"/>
      <c r="CM100" s="90"/>
      <c r="CN100" s="89">
        <f>CN$4+SUMIF($C$5:CM$5,"Нараст. баланс",$C102:CM102)+SUMIF($C$7:CK$7,"Итого (с ВНР)",$C102:CK102)-SUMIF($C$5:CM$5,"Геол. снижение,  т/сут",$C102:CM102)-SUMIF(CL$7:CM$7,"Итого",CL102:CM102)-SUMIF($C$7:CM$7,"Итого (с ВСП)",$C102:CM102)</f>
        <v>30452.725724218482</v>
      </c>
      <c r="CO100" s="88"/>
      <c r="CP100" s="2"/>
    </row>
    <row r="101" spans="1:94" ht="11.25" customHeight="1" x14ac:dyDescent="0.25">
      <c r="A101" s="55" t="s">
        <v>1</v>
      </c>
      <c r="B101" s="87" t="s">
        <v>42</v>
      </c>
      <c r="C101" s="83" t="s">
        <v>102</v>
      </c>
      <c r="D101" s="83" t="s">
        <v>101</v>
      </c>
      <c r="E101" s="84"/>
      <c r="F101" s="84"/>
      <c r="G101" s="76">
        <v>2</v>
      </c>
      <c r="H101" s="84"/>
      <c r="I101" s="76">
        <v>0</v>
      </c>
      <c r="J101" s="83" t="s">
        <v>100</v>
      </c>
      <c r="K101" s="84"/>
      <c r="L101" s="84"/>
      <c r="M101" s="76">
        <v>1</v>
      </c>
      <c r="N101" s="84"/>
      <c r="O101" s="84"/>
      <c r="P101" s="76">
        <v>0</v>
      </c>
      <c r="Q101" s="76">
        <v>3</v>
      </c>
      <c r="R101" s="81"/>
      <c r="S101" s="84"/>
      <c r="T101" s="86">
        <f>SUBTOTAL(9,S103:S103)</f>
        <v>0</v>
      </c>
      <c r="U101" s="85"/>
      <c r="V101" s="84"/>
      <c r="W101" s="84"/>
      <c r="X101" s="86">
        <f>SUBTOTAL(9,V103:W103)</f>
        <v>0</v>
      </c>
      <c r="Y101" s="85"/>
      <c r="Z101" s="83" t="s">
        <v>99</v>
      </c>
      <c r="AA101" s="83" t="s">
        <v>98</v>
      </c>
      <c r="AB101" s="84"/>
      <c r="AC101" s="84"/>
      <c r="AD101" s="84"/>
      <c r="AE101" s="84"/>
      <c r="AF101" s="84"/>
      <c r="AG101" s="84"/>
      <c r="AH101" s="86">
        <f>SUBTOTAL(9,Z103:AG103)</f>
        <v>2</v>
      </c>
      <c r="AI101" s="85"/>
      <c r="AJ101" s="84"/>
      <c r="AK101" s="84"/>
      <c r="AL101" s="82">
        <f>SUBTOTAL(9,AJ103:AK103)</f>
        <v>0</v>
      </c>
      <c r="AM101" s="83" t="s">
        <v>97</v>
      </c>
      <c r="AN101" s="83"/>
      <c r="AO101" s="84"/>
      <c r="AP101" s="84"/>
      <c r="AQ101" s="84"/>
      <c r="AR101" s="84"/>
      <c r="AS101" s="84"/>
      <c r="AT101" s="84"/>
      <c r="AU101" s="82">
        <f>SUBTOTAL(9,AM103:AT103)</f>
        <v>1</v>
      </c>
      <c r="AV101" s="76">
        <f>SUBTOTAL(9,AJ103:AT103)</f>
        <v>1</v>
      </c>
      <c r="AW101" s="81"/>
      <c r="AX101" s="80"/>
      <c r="AY101" s="80"/>
      <c r="AZ101" s="79"/>
      <c r="BA101" s="77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76">
        <f>SUBTOTAL(9,BA103:BU103)</f>
        <v>0</v>
      </c>
      <c r="BW101" s="78"/>
      <c r="BX101" s="84"/>
      <c r="BY101" s="84"/>
      <c r="BZ101" s="84"/>
      <c r="CA101" s="84"/>
      <c r="CB101" s="84"/>
      <c r="CC101" s="84"/>
      <c r="CD101" s="76">
        <f>SUBTOTAL(3,BX101:CC101)</f>
        <v>0</v>
      </c>
      <c r="CE101" s="75"/>
      <c r="CF101" s="74"/>
      <c r="CG101" s="74"/>
      <c r="CH101" s="73"/>
      <c r="CI101" s="71"/>
      <c r="CJ101" s="71"/>
      <c r="CK101" s="72"/>
      <c r="CL101" s="71"/>
      <c r="CM101" s="71"/>
      <c r="CN101" s="55" t="s">
        <v>1</v>
      </c>
      <c r="CO101" s="70"/>
      <c r="CP101" s="2"/>
    </row>
    <row r="102" spans="1:94" ht="11.25" customHeight="1" x14ac:dyDescent="0.25">
      <c r="A102" s="55" t="s">
        <v>1</v>
      </c>
      <c r="B102" s="69" t="s">
        <v>8</v>
      </c>
      <c r="C102" s="65">
        <v>350</v>
      </c>
      <c r="D102" s="65">
        <v>40</v>
      </c>
      <c r="E102" s="66"/>
      <c r="F102" s="66"/>
      <c r="G102" s="56">
        <f>SUBTOTAL(9,C102:F102)</f>
        <v>390</v>
      </c>
      <c r="H102" s="66"/>
      <c r="I102" s="56">
        <f>SUBTOTAL(9,H102:H102)</f>
        <v>0</v>
      </c>
      <c r="J102" s="65">
        <v>21</v>
      </c>
      <c r="K102" s="66"/>
      <c r="L102" s="66"/>
      <c r="M102" s="56">
        <f>SUBTOTAL(9,J102:L102)</f>
        <v>21</v>
      </c>
      <c r="N102" s="66"/>
      <c r="O102" s="66"/>
      <c r="P102" s="56">
        <f>SUBTOTAL(9,N102:O102)</f>
        <v>0</v>
      </c>
      <c r="Q102" s="56">
        <f>SUBTOTAL(9,C102:O102)</f>
        <v>411</v>
      </c>
      <c r="R102" s="64">
        <v>1394</v>
      </c>
      <c r="S102" s="66"/>
      <c r="T102" s="68">
        <f>SUBTOTAL(9,S102:S102)</f>
        <v>0</v>
      </c>
      <c r="U102" s="67">
        <f>T102+IF($B98=2,0,U98)</f>
        <v>15</v>
      </c>
      <c r="V102" s="66"/>
      <c r="W102" s="66"/>
      <c r="X102" s="68">
        <f>SUBTOTAL(9,V102:W102)</f>
        <v>0</v>
      </c>
      <c r="Y102" s="67">
        <f>X102+IF($B98=2,0,Y98)</f>
        <v>170</v>
      </c>
      <c r="Z102" s="65">
        <v>6</v>
      </c>
      <c r="AA102" s="65">
        <v>5</v>
      </c>
      <c r="AB102" s="66"/>
      <c r="AC102" s="66"/>
      <c r="AD102" s="66"/>
      <c r="AE102" s="66"/>
      <c r="AF102" s="66"/>
      <c r="AG102" s="66"/>
      <c r="AH102" s="68">
        <f>SUBTOTAL(9,Z102:AG102)</f>
        <v>11</v>
      </c>
      <c r="AI102" s="67">
        <f>AH102+IF($B98=2,0,AI98)</f>
        <v>107.9</v>
      </c>
      <c r="AJ102" s="66"/>
      <c r="AK102" s="66"/>
      <c r="AL102" s="61">
        <f>SUBTOTAL(9,AJ102:AK102)</f>
        <v>0</v>
      </c>
      <c r="AM102" s="65">
        <v>4.2</v>
      </c>
      <c r="AN102" s="65">
        <v>13.3</v>
      </c>
      <c r="AO102" s="66"/>
      <c r="AP102" s="66"/>
      <c r="AQ102" s="66"/>
      <c r="AR102" s="66"/>
      <c r="AS102" s="66"/>
      <c r="AT102" s="66"/>
      <c r="AU102" s="61">
        <f>SUBTOTAL(9,AM102:AT102)</f>
        <v>17.5</v>
      </c>
      <c r="AV102" s="56">
        <f>SUBTOTAL(9,AJ102:AT102)</f>
        <v>17.5</v>
      </c>
      <c r="AW102" s="64">
        <f>AV102+IF($B98=2,0,AW98)</f>
        <v>437.13140000000004</v>
      </c>
      <c r="AX102" s="63"/>
      <c r="AY102" s="63"/>
      <c r="AZ102" s="62">
        <v>1150</v>
      </c>
      <c r="BA102" s="60">
        <v>17.027999999999999</v>
      </c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56">
        <f>SUBTOTAL(9,BA102:BU102)</f>
        <v>17.027999999999999</v>
      </c>
      <c r="BW102" s="61">
        <f>BV102+IF($B98=2,0,BW98)</f>
        <v>615.63580000000002</v>
      </c>
      <c r="BX102" s="66"/>
      <c r="BY102" s="66"/>
      <c r="BZ102" s="66"/>
      <c r="CA102" s="66"/>
      <c r="CB102" s="66"/>
      <c r="CC102" s="66"/>
      <c r="CD102" s="56">
        <f>SUBTOTAL(9,BX102:CC102)</f>
        <v>0</v>
      </c>
      <c r="CE102" s="56">
        <f>CD102+IF($B98=2,0,CE98)</f>
        <v>5.8</v>
      </c>
      <c r="CF102" s="59">
        <v>377.32</v>
      </c>
      <c r="CG102" s="59">
        <v>377.32</v>
      </c>
      <c r="CH102" s="58">
        <f>SUMIF($C$5:CG$5,"Накопленный эффект, т/сут",$C102:CG102)+SUMIF($C$5:CG$5,"Нараст.  по потенциалу",$C102:CG102)-SUMIF($C$5:CG$5,"Нараст. по остановкам",$C102:CG102)-SUMIF($C$5:CG$5,"ИТОГО перевод в ППД",$C102:CG102)-SUMIF($C$5:CG$5,"ИТОГО  нерент, по распоряж.",$C102:CG102)-SUMIF($C$5:CG$5,"ИТОГО ост. дебит от ЗБС, Углуб., ПВЛГ/ПНЛГ",$C102:CG102)</f>
        <v>1502.5956000000003</v>
      </c>
      <c r="CI102" s="56">
        <v>14.8</v>
      </c>
      <c r="CJ102" s="56">
        <v>56.293763301323203</v>
      </c>
      <c r="CK102" s="57"/>
      <c r="CL102" s="56">
        <v>6.2971124801943903</v>
      </c>
      <c r="CM102" s="56">
        <f>SUBTOTAL(9,CI102:CL102)</f>
        <v>77.390875781517593</v>
      </c>
      <c r="CN102" s="55" t="s">
        <v>1</v>
      </c>
      <c r="CO102" s="54">
        <f>CO$4+SUMIF($C$5:CM$5,"Нараст. по остановкам",$C102:CM102)-SUMIF($C$5:CM$5,"Нараст.  по потенциалу",$C102:CM102)</f>
        <v>854.60456228627504</v>
      </c>
      <c r="CP102" s="2"/>
    </row>
    <row r="103" spans="1:94" ht="1.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>
        <v>1</v>
      </c>
      <c r="AA103" s="3">
        <v>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>
        <v>1</v>
      </c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2"/>
    </row>
    <row r="104" spans="1:94" ht="11.25" customHeight="1" x14ac:dyDescent="0.25">
      <c r="A104" s="107">
        <v>45375</v>
      </c>
      <c r="B104" s="106" t="s">
        <v>58</v>
      </c>
      <c r="C104" s="102" t="s">
        <v>63</v>
      </c>
      <c r="D104" s="103"/>
      <c r="E104" s="103"/>
      <c r="F104" s="103"/>
      <c r="G104" s="100">
        <v>1210</v>
      </c>
      <c r="H104" s="103"/>
      <c r="I104" s="100">
        <v>12</v>
      </c>
      <c r="J104" s="102" t="s">
        <v>47</v>
      </c>
      <c r="K104" s="103"/>
      <c r="L104" s="103"/>
      <c r="M104" s="100">
        <v>231</v>
      </c>
      <c r="N104" s="103"/>
      <c r="O104" s="103"/>
      <c r="P104" s="100">
        <v>0</v>
      </c>
      <c r="Q104" s="100">
        <v>1453</v>
      </c>
      <c r="R104" s="99"/>
      <c r="S104" s="103"/>
      <c r="T104" s="105"/>
      <c r="U104" s="104"/>
      <c r="V104" s="103"/>
      <c r="W104" s="103"/>
      <c r="X104" s="105"/>
      <c r="Y104" s="104"/>
      <c r="Z104" s="102" t="s">
        <v>55</v>
      </c>
      <c r="AA104" s="102" t="s">
        <v>47</v>
      </c>
      <c r="AB104" s="103"/>
      <c r="AC104" s="103"/>
      <c r="AD104" s="103"/>
      <c r="AE104" s="103"/>
      <c r="AF104" s="103"/>
      <c r="AG104" s="103"/>
      <c r="AH104" s="105"/>
      <c r="AI104" s="104"/>
      <c r="AJ104" s="103"/>
      <c r="AK104" s="103"/>
      <c r="AL104" s="101">
        <v>10.3</v>
      </c>
      <c r="AM104" s="102"/>
      <c r="AN104" s="103"/>
      <c r="AO104" s="103"/>
      <c r="AP104" s="103"/>
      <c r="AQ104" s="103"/>
      <c r="AR104" s="103"/>
      <c r="AS104" s="103"/>
      <c r="AT104" s="103"/>
      <c r="AU104" s="101">
        <v>433.65940000000001</v>
      </c>
      <c r="AV104" s="100">
        <v>443.95940000000002</v>
      </c>
      <c r="AW104" s="99"/>
      <c r="AX104" s="98"/>
      <c r="AY104" s="98"/>
      <c r="AZ104" s="97"/>
      <c r="BA104" s="95" t="s">
        <v>51</v>
      </c>
      <c r="BB104" s="95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  <c r="BV104" s="94"/>
      <c r="BW104" s="96"/>
      <c r="BX104" s="103"/>
      <c r="BY104" s="103"/>
      <c r="BZ104" s="103"/>
      <c r="CA104" s="103"/>
      <c r="CB104" s="103"/>
      <c r="CC104" s="103"/>
      <c r="CD104" s="94"/>
      <c r="CE104" s="94"/>
      <c r="CF104" s="93"/>
      <c r="CG104" s="93"/>
      <c r="CH104" s="92"/>
      <c r="CI104" s="90"/>
      <c r="CJ104" s="90"/>
      <c r="CK104" s="91"/>
      <c r="CL104" s="90"/>
      <c r="CM104" s="90"/>
      <c r="CN104" s="89">
        <f>CN$4+SUMIF($C$5:CM$5,"Нараст. баланс",$C106:CM106)+SUMIF($C$7:CK$7,"Итого (с ВНР)",$C106:CK106)-SUMIF($C$5:CM$5,"Геол. снижение,  т/сут",$C106:CM106)-SUMIF(CL$7:CM$7,"Итого",CL106:CM106)-SUMIF($C$7:CM$7,"Итого (с ВСП)",$C106:CM106)</f>
        <v>30494.425802492919</v>
      </c>
      <c r="CO104" s="88"/>
      <c r="CP104" s="2"/>
    </row>
    <row r="105" spans="1:94" ht="11.25" customHeight="1" x14ac:dyDescent="0.25">
      <c r="A105" s="55" t="s">
        <v>1</v>
      </c>
      <c r="B105" s="87" t="s">
        <v>42</v>
      </c>
      <c r="C105" s="83" t="s">
        <v>96</v>
      </c>
      <c r="D105" s="84"/>
      <c r="E105" s="84"/>
      <c r="F105" s="84"/>
      <c r="G105" s="76">
        <v>1</v>
      </c>
      <c r="H105" s="84"/>
      <c r="I105" s="76">
        <v>0</v>
      </c>
      <c r="J105" s="83" t="s">
        <v>95</v>
      </c>
      <c r="K105" s="84"/>
      <c r="L105" s="84"/>
      <c r="M105" s="76">
        <v>1</v>
      </c>
      <c r="N105" s="84"/>
      <c r="O105" s="84"/>
      <c r="P105" s="76">
        <v>0</v>
      </c>
      <c r="Q105" s="76">
        <v>2</v>
      </c>
      <c r="R105" s="81"/>
      <c r="S105" s="84"/>
      <c r="T105" s="86">
        <f>SUBTOTAL(9,S107:S107)</f>
        <v>0</v>
      </c>
      <c r="U105" s="85"/>
      <c r="V105" s="84"/>
      <c r="W105" s="84"/>
      <c r="X105" s="86">
        <f>SUBTOTAL(9,V107:W107)</f>
        <v>0</v>
      </c>
      <c r="Y105" s="85"/>
      <c r="Z105" s="83" t="s">
        <v>94</v>
      </c>
      <c r="AA105" s="83" t="s">
        <v>93</v>
      </c>
      <c r="AB105" s="84"/>
      <c r="AC105" s="84"/>
      <c r="AD105" s="84"/>
      <c r="AE105" s="84"/>
      <c r="AF105" s="84"/>
      <c r="AG105" s="84"/>
      <c r="AH105" s="86">
        <f>SUBTOTAL(9,Z107:AG107)</f>
        <v>2</v>
      </c>
      <c r="AI105" s="85"/>
      <c r="AJ105" s="84"/>
      <c r="AK105" s="84"/>
      <c r="AL105" s="82">
        <f>SUBTOTAL(9,AJ107:AK107)</f>
        <v>0</v>
      </c>
      <c r="AM105" s="83"/>
      <c r="AN105" s="84"/>
      <c r="AO105" s="84"/>
      <c r="AP105" s="84"/>
      <c r="AQ105" s="84"/>
      <c r="AR105" s="84"/>
      <c r="AS105" s="84"/>
      <c r="AT105" s="84"/>
      <c r="AU105" s="82">
        <f>SUBTOTAL(9,AM107:AT107)</f>
        <v>0</v>
      </c>
      <c r="AV105" s="76">
        <f>SUBTOTAL(9,AJ107:AT107)</f>
        <v>0</v>
      </c>
      <c r="AW105" s="81"/>
      <c r="AX105" s="80"/>
      <c r="AY105" s="80"/>
      <c r="AZ105" s="79"/>
      <c r="BA105" s="77" t="s">
        <v>29</v>
      </c>
      <c r="BB105" s="77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76">
        <f>SUBTOTAL(9,BA107:BU107)</f>
        <v>1</v>
      </c>
      <c r="BW105" s="78"/>
      <c r="BX105" s="84"/>
      <c r="BY105" s="84"/>
      <c r="BZ105" s="84"/>
      <c r="CA105" s="84"/>
      <c r="CB105" s="84"/>
      <c r="CC105" s="84"/>
      <c r="CD105" s="76">
        <f>SUBTOTAL(3,BX105:CC105)</f>
        <v>0</v>
      </c>
      <c r="CE105" s="75"/>
      <c r="CF105" s="74"/>
      <c r="CG105" s="74"/>
      <c r="CH105" s="73"/>
      <c r="CI105" s="71"/>
      <c r="CJ105" s="71"/>
      <c r="CK105" s="72"/>
      <c r="CL105" s="71"/>
      <c r="CM105" s="71"/>
      <c r="CN105" s="55" t="s">
        <v>1</v>
      </c>
      <c r="CO105" s="70"/>
      <c r="CP105" s="2"/>
    </row>
    <row r="106" spans="1:94" ht="11.25" customHeight="1" x14ac:dyDescent="0.25">
      <c r="A106" s="55" t="s">
        <v>1</v>
      </c>
      <c r="B106" s="69" t="s">
        <v>8</v>
      </c>
      <c r="C106" s="65">
        <v>40</v>
      </c>
      <c r="D106" s="66"/>
      <c r="E106" s="66"/>
      <c r="F106" s="66"/>
      <c r="G106" s="56">
        <f>SUBTOTAL(9,C106:F106)</f>
        <v>40</v>
      </c>
      <c r="H106" s="66"/>
      <c r="I106" s="56">
        <f>SUBTOTAL(9,H106:H106)</f>
        <v>0</v>
      </c>
      <c r="J106" s="65">
        <v>19</v>
      </c>
      <c r="K106" s="66"/>
      <c r="L106" s="66"/>
      <c r="M106" s="56">
        <f>SUBTOTAL(9,J106:L106)</f>
        <v>19</v>
      </c>
      <c r="N106" s="66"/>
      <c r="O106" s="66"/>
      <c r="P106" s="56">
        <f>SUBTOTAL(9,N106:O106)</f>
        <v>0</v>
      </c>
      <c r="Q106" s="56">
        <f>SUBTOTAL(9,C106:O106)</f>
        <v>59</v>
      </c>
      <c r="R106" s="64">
        <v>1453</v>
      </c>
      <c r="S106" s="66"/>
      <c r="T106" s="68">
        <f>SUBTOTAL(9,S106:S106)</f>
        <v>0</v>
      </c>
      <c r="U106" s="67">
        <f>T106+IF($B102=2,0,U102)</f>
        <v>15</v>
      </c>
      <c r="V106" s="66"/>
      <c r="W106" s="66"/>
      <c r="X106" s="68">
        <f>SUBTOTAL(9,V106:W106)</f>
        <v>0</v>
      </c>
      <c r="Y106" s="67">
        <f>X106+IF($B102=2,0,Y102)</f>
        <v>170</v>
      </c>
      <c r="Z106" s="65">
        <v>4</v>
      </c>
      <c r="AA106" s="65">
        <v>8</v>
      </c>
      <c r="AB106" s="66"/>
      <c r="AC106" s="66"/>
      <c r="AD106" s="66"/>
      <c r="AE106" s="66"/>
      <c r="AF106" s="66"/>
      <c r="AG106" s="66"/>
      <c r="AH106" s="68">
        <f>SUBTOTAL(9,Z106:AG106)</f>
        <v>12</v>
      </c>
      <c r="AI106" s="67">
        <f>AH106+IF($B102=2,0,AI102)</f>
        <v>119.9</v>
      </c>
      <c r="AJ106" s="66"/>
      <c r="AK106" s="66"/>
      <c r="AL106" s="61">
        <f>SUBTOTAL(9,AJ106:AK106)</f>
        <v>0</v>
      </c>
      <c r="AM106" s="65">
        <v>6.8280000000000003</v>
      </c>
      <c r="AN106" s="66"/>
      <c r="AO106" s="66"/>
      <c r="AP106" s="66"/>
      <c r="AQ106" s="66"/>
      <c r="AR106" s="66"/>
      <c r="AS106" s="66"/>
      <c r="AT106" s="66"/>
      <c r="AU106" s="61">
        <f>SUBTOTAL(9,AM106:AT106)</f>
        <v>6.8280000000000003</v>
      </c>
      <c r="AV106" s="56">
        <f>SUBTOTAL(9,AJ106:AT106)</f>
        <v>6.8280000000000003</v>
      </c>
      <c r="AW106" s="64">
        <f>AV106+IF($B102=2,0,AW102)</f>
        <v>443.95940000000002</v>
      </c>
      <c r="AX106" s="63"/>
      <c r="AY106" s="63"/>
      <c r="AZ106" s="62">
        <v>1200</v>
      </c>
      <c r="BA106" s="60">
        <v>6.2</v>
      </c>
      <c r="BB106" s="60">
        <v>1.1000000000000001</v>
      </c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56">
        <f>SUBTOTAL(9,BA106:BU106)</f>
        <v>7.3000000000000007</v>
      </c>
      <c r="BW106" s="61">
        <f>BV106+IF($B102=2,0,BW102)</f>
        <v>622.93579999999997</v>
      </c>
      <c r="BX106" s="66"/>
      <c r="BY106" s="66"/>
      <c r="BZ106" s="66"/>
      <c r="CA106" s="66"/>
      <c r="CB106" s="66"/>
      <c r="CC106" s="66"/>
      <c r="CD106" s="56">
        <f>SUBTOTAL(9,BX106:CC106)</f>
        <v>0</v>
      </c>
      <c r="CE106" s="56">
        <f>CD106+IF($B102=2,0,CE102)</f>
        <v>5.8</v>
      </c>
      <c r="CF106" s="59">
        <v>362.84</v>
      </c>
      <c r="CG106" s="59">
        <v>362.84</v>
      </c>
      <c r="CH106" s="58">
        <f>SUMIF($C$5:CG$5,"Накопленный эффект, т/сут",$C106:CG106)+SUMIF($C$5:CG$5,"Нараст.  по потенциалу",$C106:CG106)-SUMIF($C$5:CG$5,"Нараст. по остановкам",$C106:CG106)-SUMIF($C$5:CG$5,"ИТОГО перевод в ППД",$C106:CG106)-SUMIF($C$5:CG$5,"ИТОГО  нерент, по распоряж.",$C106:CG106)-SUMIF($C$5:CG$5,"ИТОГО ост. дебит от ЗБС, Углуб., ПВЛГ/ПНЛГ",$C106:CG106)</f>
        <v>1573.1236000000004</v>
      </c>
      <c r="CI106" s="56">
        <v>2.2000000000000002</v>
      </c>
      <c r="CJ106" s="56">
        <v>64.910688311678598</v>
      </c>
      <c r="CK106" s="57"/>
      <c r="CL106" s="56">
        <v>3.5881091954022901</v>
      </c>
      <c r="CM106" s="56">
        <f>SUBTOTAL(9,CI106:CL106)</f>
        <v>70.698797507080897</v>
      </c>
      <c r="CN106" s="55" t="s">
        <v>1</v>
      </c>
      <c r="CO106" s="54">
        <f>CO$4+SUMIF($C$5:CM$5,"Нараст. по остановкам",$C106:CM106)-SUMIF($C$5:CM$5,"Нараст.  по потенциалу",$C106:CM106)</f>
        <v>855.07656228627502</v>
      </c>
      <c r="CP106" s="2"/>
    </row>
    <row r="107" spans="1:94" ht="1.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</v>
      </c>
      <c r="AA107" s="3">
        <v>1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>
        <v>1</v>
      </c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"/>
    </row>
    <row r="108" spans="1:94" ht="11.25" customHeight="1" x14ac:dyDescent="0.25">
      <c r="A108" s="107">
        <v>45376</v>
      </c>
      <c r="B108" s="106" t="s">
        <v>58</v>
      </c>
      <c r="C108" s="102" t="s">
        <v>92</v>
      </c>
      <c r="D108" s="103"/>
      <c r="E108" s="103"/>
      <c r="F108" s="103"/>
      <c r="G108" s="100">
        <v>1240</v>
      </c>
      <c r="H108" s="103"/>
      <c r="I108" s="100">
        <v>12</v>
      </c>
      <c r="J108" s="102" t="s">
        <v>79</v>
      </c>
      <c r="K108" s="102" t="s">
        <v>47</v>
      </c>
      <c r="L108" s="102" t="s">
        <v>71</v>
      </c>
      <c r="M108" s="100">
        <v>293</v>
      </c>
      <c r="N108" s="102" t="s">
        <v>50</v>
      </c>
      <c r="O108" s="103"/>
      <c r="P108" s="100">
        <v>5</v>
      </c>
      <c r="Q108" s="100">
        <v>1550</v>
      </c>
      <c r="R108" s="99"/>
      <c r="S108" s="102" t="s">
        <v>49</v>
      </c>
      <c r="T108" s="105"/>
      <c r="U108" s="104"/>
      <c r="V108" s="103"/>
      <c r="W108" s="103"/>
      <c r="X108" s="105"/>
      <c r="Y108" s="104"/>
      <c r="Z108" s="102" t="s">
        <v>91</v>
      </c>
      <c r="AA108" s="102" t="s">
        <v>47</v>
      </c>
      <c r="AB108" s="103"/>
      <c r="AC108" s="103"/>
      <c r="AD108" s="103"/>
      <c r="AE108" s="103"/>
      <c r="AF108" s="103"/>
      <c r="AG108" s="103"/>
      <c r="AH108" s="105"/>
      <c r="AI108" s="104"/>
      <c r="AJ108" s="102" t="s">
        <v>50</v>
      </c>
      <c r="AK108" s="102" t="s">
        <v>49</v>
      </c>
      <c r="AL108" s="101">
        <v>19.100000000000001</v>
      </c>
      <c r="AM108" s="103"/>
      <c r="AN108" s="103"/>
      <c r="AO108" s="103"/>
      <c r="AP108" s="103"/>
      <c r="AQ108" s="103"/>
      <c r="AR108" s="103"/>
      <c r="AS108" s="103"/>
      <c r="AT108" s="103"/>
      <c r="AU108" s="101">
        <v>433.65940000000001</v>
      </c>
      <c r="AV108" s="100">
        <v>452.75940000000003</v>
      </c>
      <c r="AW108" s="99"/>
      <c r="AX108" s="98"/>
      <c r="AY108" s="98"/>
      <c r="AZ108" s="97"/>
      <c r="BA108" s="95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94"/>
      <c r="BW108" s="96"/>
      <c r="BX108" s="103"/>
      <c r="BY108" s="103"/>
      <c r="BZ108" s="103"/>
      <c r="CA108" s="103"/>
      <c r="CB108" s="103"/>
      <c r="CC108" s="103"/>
      <c r="CD108" s="94"/>
      <c r="CE108" s="94"/>
      <c r="CF108" s="93"/>
      <c r="CG108" s="93"/>
      <c r="CH108" s="92"/>
      <c r="CI108" s="90"/>
      <c r="CJ108" s="90"/>
      <c r="CK108" s="90"/>
      <c r="CL108" s="90"/>
      <c r="CM108" s="90"/>
      <c r="CN108" s="89">
        <f>CN$4+SUMIF($C$5:CM$5,"Нараст. баланс",$C110:CM110)+SUMIF($C$7:CK$7,"Итого (с ВНР)",$C110:CK110)-SUMIF($C$5:CM$5,"Геол. снижение,  т/сут",$C110:CM110)-SUMIF(CL$7:CM$7,"Итого",CL110:CM110)-SUMIF($C$7:CM$7,"Итого (с ВСП)",$C110:CM110)</f>
        <v>29449.246265484358</v>
      </c>
      <c r="CO108" s="88"/>
      <c r="CP108" s="2"/>
    </row>
    <row r="109" spans="1:94" ht="11.25" customHeight="1" x14ac:dyDescent="0.25">
      <c r="A109" s="55" t="s">
        <v>1</v>
      </c>
      <c r="B109" s="87" t="s">
        <v>42</v>
      </c>
      <c r="C109" s="83" t="s">
        <v>90</v>
      </c>
      <c r="D109" s="84"/>
      <c r="E109" s="84"/>
      <c r="F109" s="84"/>
      <c r="G109" s="76">
        <v>1</v>
      </c>
      <c r="H109" s="84"/>
      <c r="I109" s="76">
        <v>0</v>
      </c>
      <c r="J109" s="83" t="s">
        <v>89</v>
      </c>
      <c r="K109" s="83" t="s">
        <v>88</v>
      </c>
      <c r="L109" s="83" t="s">
        <v>87</v>
      </c>
      <c r="M109" s="76">
        <v>3</v>
      </c>
      <c r="N109" s="83" t="s">
        <v>84</v>
      </c>
      <c r="O109" s="84"/>
      <c r="P109" s="76">
        <v>1</v>
      </c>
      <c r="Q109" s="76">
        <v>5</v>
      </c>
      <c r="R109" s="81"/>
      <c r="S109" s="83" t="s">
        <v>83</v>
      </c>
      <c r="T109" s="86">
        <f>SUBTOTAL(9,S111:S111)</f>
        <v>1</v>
      </c>
      <c r="U109" s="85"/>
      <c r="V109" s="84"/>
      <c r="W109" s="84"/>
      <c r="X109" s="86">
        <f>SUBTOTAL(9,V111:W111)</f>
        <v>0</v>
      </c>
      <c r="Y109" s="85"/>
      <c r="Z109" s="83" t="s">
        <v>86</v>
      </c>
      <c r="AA109" s="83" t="s">
        <v>85</v>
      </c>
      <c r="AB109" s="84"/>
      <c r="AC109" s="84"/>
      <c r="AD109" s="84"/>
      <c r="AE109" s="84"/>
      <c r="AF109" s="84"/>
      <c r="AG109" s="84"/>
      <c r="AH109" s="86">
        <f>SUBTOTAL(9,Z111:AG111)</f>
        <v>2</v>
      </c>
      <c r="AI109" s="85"/>
      <c r="AJ109" s="83" t="s">
        <v>84</v>
      </c>
      <c r="AK109" s="83" t="s">
        <v>83</v>
      </c>
      <c r="AL109" s="82">
        <f>SUBTOTAL(9,AJ111:AK111)</f>
        <v>2</v>
      </c>
      <c r="AM109" s="84"/>
      <c r="AN109" s="84"/>
      <c r="AO109" s="84"/>
      <c r="AP109" s="84"/>
      <c r="AQ109" s="84"/>
      <c r="AR109" s="84"/>
      <c r="AS109" s="84"/>
      <c r="AT109" s="84"/>
      <c r="AU109" s="82">
        <f>SUBTOTAL(9,AM111:AT111)</f>
        <v>0</v>
      </c>
      <c r="AV109" s="76">
        <f>SUBTOTAL(9,AJ111:AT111)</f>
        <v>2</v>
      </c>
      <c r="AW109" s="81"/>
      <c r="AX109" s="80"/>
      <c r="AY109" s="80"/>
      <c r="AZ109" s="79"/>
      <c r="BA109" s="77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76">
        <f>SUBTOTAL(9,BA111:BU111)</f>
        <v>0</v>
      </c>
      <c r="BW109" s="78"/>
      <c r="BX109" s="84"/>
      <c r="BY109" s="84"/>
      <c r="BZ109" s="84"/>
      <c r="CA109" s="84"/>
      <c r="CB109" s="84"/>
      <c r="CC109" s="84"/>
      <c r="CD109" s="76">
        <f>SUBTOTAL(3,BX109:CC109)</f>
        <v>0</v>
      </c>
      <c r="CE109" s="75"/>
      <c r="CF109" s="74"/>
      <c r="CG109" s="74"/>
      <c r="CH109" s="73"/>
      <c r="CI109" s="71"/>
      <c r="CJ109" s="71"/>
      <c r="CK109" s="71"/>
      <c r="CL109" s="71"/>
      <c r="CM109" s="71"/>
      <c r="CN109" s="55" t="s">
        <v>1</v>
      </c>
      <c r="CO109" s="70"/>
      <c r="CP109" s="2"/>
    </row>
    <row r="110" spans="1:94" ht="11.25" customHeight="1" x14ac:dyDescent="0.25">
      <c r="A110" s="55" t="s">
        <v>1</v>
      </c>
      <c r="B110" s="69" t="s">
        <v>8</v>
      </c>
      <c r="C110" s="65">
        <v>30</v>
      </c>
      <c r="D110" s="66"/>
      <c r="E110" s="66"/>
      <c r="F110" s="66"/>
      <c r="G110" s="56">
        <f>SUBTOTAL(9,C110:F110)</f>
        <v>30</v>
      </c>
      <c r="H110" s="66"/>
      <c r="I110" s="56">
        <f>SUBTOTAL(9,H110:H110)</f>
        <v>0</v>
      </c>
      <c r="J110" s="65">
        <v>23</v>
      </c>
      <c r="K110" s="65">
        <v>20</v>
      </c>
      <c r="L110" s="65">
        <v>19</v>
      </c>
      <c r="M110" s="56">
        <f>SUBTOTAL(9,J110:L110)</f>
        <v>62</v>
      </c>
      <c r="N110" s="65">
        <v>5</v>
      </c>
      <c r="O110" s="66"/>
      <c r="P110" s="56">
        <f>SUBTOTAL(9,N110:O110)</f>
        <v>5</v>
      </c>
      <c r="Q110" s="56">
        <f>SUBTOTAL(9,C110:O110)</f>
        <v>97</v>
      </c>
      <c r="R110" s="64">
        <v>1550</v>
      </c>
      <c r="S110" s="65">
        <v>5</v>
      </c>
      <c r="T110" s="68">
        <f>SUBTOTAL(9,S110:S110)</f>
        <v>5</v>
      </c>
      <c r="U110" s="67">
        <f>T110+IF($B106=2,0,U106)</f>
        <v>20</v>
      </c>
      <c r="V110" s="66"/>
      <c r="W110" s="66"/>
      <c r="X110" s="68">
        <f>SUBTOTAL(9,V110:W110)</f>
        <v>0</v>
      </c>
      <c r="Y110" s="67">
        <f>X110+IF($B106=2,0,Y106)</f>
        <v>170</v>
      </c>
      <c r="Z110" s="65">
        <v>5</v>
      </c>
      <c r="AA110" s="65">
        <v>6</v>
      </c>
      <c r="AB110" s="66"/>
      <c r="AC110" s="66"/>
      <c r="AD110" s="66"/>
      <c r="AE110" s="66"/>
      <c r="AF110" s="66"/>
      <c r="AG110" s="66"/>
      <c r="AH110" s="68">
        <f>SUBTOTAL(9,Z110:AG110)</f>
        <v>11</v>
      </c>
      <c r="AI110" s="67">
        <f>AH110+IF($B106=2,0,AI106)</f>
        <v>130.9</v>
      </c>
      <c r="AJ110" s="65">
        <v>1.1000000000000001</v>
      </c>
      <c r="AK110" s="65">
        <v>7.7</v>
      </c>
      <c r="AL110" s="61">
        <f>SUBTOTAL(9,AJ110:AK110)</f>
        <v>8.8000000000000007</v>
      </c>
      <c r="AM110" s="66"/>
      <c r="AN110" s="66"/>
      <c r="AO110" s="66"/>
      <c r="AP110" s="66"/>
      <c r="AQ110" s="66"/>
      <c r="AR110" s="66"/>
      <c r="AS110" s="66"/>
      <c r="AT110" s="66"/>
      <c r="AU110" s="61">
        <f>SUBTOTAL(9,AM110:AT110)</f>
        <v>0</v>
      </c>
      <c r="AV110" s="56">
        <f>SUBTOTAL(9,AJ110:AT110)</f>
        <v>8.8000000000000007</v>
      </c>
      <c r="AW110" s="64">
        <f>AV110+IF($B106=2,0,AW106)</f>
        <v>452.75940000000003</v>
      </c>
      <c r="AX110" s="63"/>
      <c r="AY110" s="63"/>
      <c r="AZ110" s="62">
        <v>1250</v>
      </c>
      <c r="BA110" s="60">
        <v>6</v>
      </c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56">
        <f>SUBTOTAL(9,BA110:BU110)</f>
        <v>6</v>
      </c>
      <c r="BW110" s="61">
        <f>BV110+IF($B106=2,0,BW106)</f>
        <v>628.93579999999997</v>
      </c>
      <c r="BX110" s="66"/>
      <c r="BY110" s="66"/>
      <c r="BZ110" s="66"/>
      <c r="CA110" s="66"/>
      <c r="CB110" s="66"/>
      <c r="CC110" s="66"/>
      <c r="CD110" s="56">
        <f>SUBTOTAL(9,BX110:CC110)</f>
        <v>0</v>
      </c>
      <c r="CE110" s="56">
        <f>CD110+IF($B106=2,0,CE106)</f>
        <v>5.8</v>
      </c>
      <c r="CF110" s="59">
        <v>360.2</v>
      </c>
      <c r="CG110" s="59">
        <v>360.2</v>
      </c>
      <c r="CH110" s="58">
        <f>SUMIF($C$5:CG$5,"Накопленный эффект, т/сут",$C110:CG110)+SUMIF($C$5:CG$5,"Нараст.  по потенциалу",$C110:CG110)-SUMIF($C$5:CG$5,"Нараст. по остановкам",$C110:CG110)-SUMIF($C$5:CG$5,"ИТОГО перевод в ППД",$C110:CG110)-SUMIF($C$5:CG$5,"ИТОГО  нерент, по распоряж.",$C110:CG110)-SUMIF($C$5:CG$5,"ИТОГО ост. дебит от ЗБС, Углуб., ПВЛГ/ПНЛГ",$C110:CG110)</f>
        <v>1688.9236000000001</v>
      </c>
      <c r="CI110" s="56">
        <v>2.2000000000000002</v>
      </c>
      <c r="CJ110" s="56">
        <v>11.8296673754094</v>
      </c>
      <c r="CK110" s="56">
        <v>1147.47913513919</v>
      </c>
      <c r="CL110" s="56">
        <v>22.8095320010449</v>
      </c>
      <c r="CM110" s="56">
        <f>SUBTOTAL(9,CI110:CL110)</f>
        <v>1184.3183345156444</v>
      </c>
      <c r="CN110" s="55" t="s">
        <v>1</v>
      </c>
      <c r="CO110" s="54">
        <f>CO$4+SUMIF($C$5:CM$5,"Нараст. по остановкам",$C110:CM110)-SUMIF($C$5:CM$5,"Нараст.  по потенциалу",$C110:CM110)</f>
        <v>852.27656228627495</v>
      </c>
      <c r="CP110" s="2"/>
    </row>
    <row r="111" spans="1:94" ht="1.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>
        <v>1</v>
      </c>
      <c r="T111" s="3"/>
      <c r="U111" s="3"/>
      <c r="V111" s="3"/>
      <c r="W111" s="3"/>
      <c r="X111" s="3"/>
      <c r="Y111" s="3"/>
      <c r="Z111" s="3">
        <v>1</v>
      </c>
      <c r="AA111" s="3">
        <v>1</v>
      </c>
      <c r="AB111" s="3"/>
      <c r="AC111" s="3"/>
      <c r="AD111" s="3"/>
      <c r="AE111" s="3"/>
      <c r="AF111" s="3"/>
      <c r="AG111" s="3"/>
      <c r="AH111" s="3"/>
      <c r="AI111" s="3"/>
      <c r="AJ111" s="3">
        <v>1</v>
      </c>
      <c r="AK111" s="3">
        <v>1</v>
      </c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2"/>
    </row>
    <row r="112" spans="1:94" ht="11.25" customHeight="1" x14ac:dyDescent="0.25">
      <c r="A112" s="107">
        <v>45377</v>
      </c>
      <c r="B112" s="106" t="s">
        <v>58</v>
      </c>
      <c r="C112" s="103"/>
      <c r="D112" s="103"/>
      <c r="E112" s="103"/>
      <c r="F112" s="103"/>
      <c r="G112" s="100">
        <v>1240</v>
      </c>
      <c r="H112" s="103"/>
      <c r="I112" s="100">
        <v>12</v>
      </c>
      <c r="J112" s="103"/>
      <c r="K112" s="103"/>
      <c r="L112" s="103"/>
      <c r="M112" s="100">
        <v>293</v>
      </c>
      <c r="N112" s="103"/>
      <c r="O112" s="103"/>
      <c r="P112" s="100">
        <v>5</v>
      </c>
      <c r="Q112" s="100">
        <v>1550</v>
      </c>
      <c r="R112" s="99"/>
      <c r="S112" s="103"/>
      <c r="T112" s="105"/>
      <c r="U112" s="104"/>
      <c r="V112" s="103"/>
      <c r="W112" s="103"/>
      <c r="X112" s="105"/>
      <c r="Y112" s="104"/>
      <c r="Z112" s="102" t="s">
        <v>50</v>
      </c>
      <c r="AA112" s="102" t="s">
        <v>43</v>
      </c>
      <c r="AB112" s="103"/>
      <c r="AC112" s="103"/>
      <c r="AD112" s="103"/>
      <c r="AE112" s="103"/>
      <c r="AF112" s="103"/>
      <c r="AG112" s="103"/>
      <c r="AH112" s="105"/>
      <c r="AI112" s="104"/>
      <c r="AJ112" s="103"/>
      <c r="AK112" s="103"/>
      <c r="AL112" s="101">
        <v>19.100000000000001</v>
      </c>
      <c r="AM112" s="103"/>
      <c r="AN112" s="103"/>
      <c r="AO112" s="103"/>
      <c r="AP112" s="103"/>
      <c r="AQ112" s="103"/>
      <c r="AR112" s="103"/>
      <c r="AS112" s="103"/>
      <c r="AT112" s="103"/>
      <c r="AU112" s="101">
        <v>433.65940000000001</v>
      </c>
      <c r="AV112" s="100">
        <v>452.75940000000003</v>
      </c>
      <c r="AW112" s="99"/>
      <c r="AX112" s="98"/>
      <c r="AY112" s="98"/>
      <c r="AZ112" s="97"/>
      <c r="BA112" s="95" t="s">
        <v>51</v>
      </c>
      <c r="BB112" s="95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94"/>
      <c r="BW112" s="96"/>
      <c r="BX112" s="103"/>
      <c r="BY112" s="103"/>
      <c r="BZ112" s="103"/>
      <c r="CA112" s="103"/>
      <c r="CB112" s="103"/>
      <c r="CC112" s="103"/>
      <c r="CD112" s="94"/>
      <c r="CE112" s="94"/>
      <c r="CF112" s="93"/>
      <c r="CG112" s="93"/>
      <c r="CH112" s="92"/>
      <c r="CI112" s="91"/>
      <c r="CJ112" s="90"/>
      <c r="CK112" s="91"/>
      <c r="CL112" s="91"/>
      <c r="CM112" s="90"/>
      <c r="CN112" s="89">
        <f>CN$4+SUMIF($C$5:CM$5,"Нараст. баланс",$C114:CM114)+SUMIF($C$7:CK$7,"Итого (с ВНР)",$C114:CK114)-SUMIF($C$5:CM$5,"Геол. снижение,  т/сут",$C114:CM114)-SUMIF(CL$7:CM$7,"Итого",CL114:CM114)-SUMIF($C$7:CM$7,"Итого (с ВСП)",$C114:CM114)</f>
        <v>30594.163463988105</v>
      </c>
      <c r="CO112" s="88"/>
      <c r="CP112" s="2"/>
    </row>
    <row r="113" spans="1:94" ht="11.25" customHeight="1" x14ac:dyDescent="0.25">
      <c r="A113" s="55" t="s">
        <v>1</v>
      </c>
      <c r="B113" s="87" t="s">
        <v>42</v>
      </c>
      <c r="C113" s="84"/>
      <c r="D113" s="84"/>
      <c r="E113" s="84"/>
      <c r="F113" s="84"/>
      <c r="G113" s="76">
        <v>0</v>
      </c>
      <c r="H113" s="84"/>
      <c r="I113" s="76">
        <v>0</v>
      </c>
      <c r="J113" s="84"/>
      <c r="K113" s="84"/>
      <c r="L113" s="84"/>
      <c r="M113" s="76">
        <v>0</v>
      </c>
      <c r="N113" s="84"/>
      <c r="O113" s="84"/>
      <c r="P113" s="76">
        <v>0</v>
      </c>
      <c r="Q113" s="76">
        <v>0</v>
      </c>
      <c r="R113" s="81"/>
      <c r="S113" s="84"/>
      <c r="T113" s="86">
        <f>SUBTOTAL(9,S115:S115)</f>
        <v>0</v>
      </c>
      <c r="U113" s="85"/>
      <c r="V113" s="84"/>
      <c r="W113" s="84"/>
      <c r="X113" s="86">
        <f>SUBTOTAL(9,V115:W115)</f>
        <v>0</v>
      </c>
      <c r="Y113" s="85"/>
      <c r="Z113" s="83" t="s">
        <v>82</v>
      </c>
      <c r="AA113" s="83" t="s">
        <v>81</v>
      </c>
      <c r="AB113" s="84"/>
      <c r="AC113" s="84"/>
      <c r="AD113" s="84"/>
      <c r="AE113" s="84"/>
      <c r="AF113" s="84"/>
      <c r="AG113" s="84"/>
      <c r="AH113" s="86">
        <f>SUBTOTAL(9,Z115:AG115)</f>
        <v>2</v>
      </c>
      <c r="AI113" s="85"/>
      <c r="AJ113" s="84"/>
      <c r="AK113" s="84"/>
      <c r="AL113" s="82">
        <f>SUBTOTAL(9,AJ115:AK115)</f>
        <v>0</v>
      </c>
      <c r="AM113" s="84"/>
      <c r="AN113" s="84"/>
      <c r="AO113" s="84"/>
      <c r="AP113" s="84"/>
      <c r="AQ113" s="84"/>
      <c r="AR113" s="84"/>
      <c r="AS113" s="84"/>
      <c r="AT113" s="84"/>
      <c r="AU113" s="82">
        <f>SUBTOTAL(9,AM115:AT115)</f>
        <v>0</v>
      </c>
      <c r="AV113" s="76">
        <f>SUBTOTAL(9,AJ115:AT115)</f>
        <v>0</v>
      </c>
      <c r="AW113" s="81"/>
      <c r="AX113" s="80"/>
      <c r="AY113" s="80"/>
      <c r="AZ113" s="79"/>
      <c r="BA113" s="77" t="s">
        <v>80</v>
      </c>
      <c r="BB113" s="77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76">
        <f>SUBTOTAL(9,BA115:BU115)</f>
        <v>1</v>
      </c>
      <c r="BW113" s="78"/>
      <c r="BX113" s="84"/>
      <c r="BY113" s="84"/>
      <c r="BZ113" s="84"/>
      <c r="CA113" s="84"/>
      <c r="CB113" s="84"/>
      <c r="CC113" s="84"/>
      <c r="CD113" s="76">
        <f>SUBTOTAL(3,BX113:CC113)</f>
        <v>0</v>
      </c>
      <c r="CE113" s="75"/>
      <c r="CF113" s="74"/>
      <c r="CG113" s="74"/>
      <c r="CH113" s="73"/>
      <c r="CI113" s="72"/>
      <c r="CJ113" s="71"/>
      <c r="CK113" s="72"/>
      <c r="CL113" s="72"/>
      <c r="CM113" s="71"/>
      <c r="CN113" s="55" t="s">
        <v>1</v>
      </c>
      <c r="CO113" s="70"/>
      <c r="CP113" s="2"/>
    </row>
    <row r="114" spans="1:94" ht="11.25" customHeight="1" x14ac:dyDescent="0.25">
      <c r="A114" s="55" t="s">
        <v>1</v>
      </c>
      <c r="B114" s="69" t="s">
        <v>8</v>
      </c>
      <c r="C114" s="66"/>
      <c r="D114" s="66"/>
      <c r="E114" s="66"/>
      <c r="F114" s="66"/>
      <c r="G114" s="56">
        <f>SUBTOTAL(9,C114:F114)</f>
        <v>0</v>
      </c>
      <c r="H114" s="66"/>
      <c r="I114" s="56">
        <f>SUBTOTAL(9,H114:H114)</f>
        <v>0</v>
      </c>
      <c r="J114" s="66"/>
      <c r="K114" s="66"/>
      <c r="L114" s="66"/>
      <c r="M114" s="56">
        <f>SUBTOTAL(9,J114:L114)</f>
        <v>0</v>
      </c>
      <c r="N114" s="66"/>
      <c r="O114" s="66"/>
      <c r="P114" s="56">
        <f>SUBTOTAL(9,N114:O114)</f>
        <v>0</v>
      </c>
      <c r="Q114" s="56">
        <f>SUBTOTAL(9,C114:O114)</f>
        <v>0</v>
      </c>
      <c r="R114" s="64">
        <v>1550</v>
      </c>
      <c r="S114" s="66"/>
      <c r="T114" s="68">
        <f>SUBTOTAL(9,S114:S114)</f>
        <v>0</v>
      </c>
      <c r="U114" s="67">
        <f>T114+IF($B110=2,0,U110)</f>
        <v>20</v>
      </c>
      <c r="V114" s="66"/>
      <c r="W114" s="66"/>
      <c r="X114" s="68">
        <f>SUBTOTAL(9,V114:W114)</f>
        <v>0</v>
      </c>
      <c r="Y114" s="67">
        <f>X114+IF($B110=2,0,Y110)</f>
        <v>170</v>
      </c>
      <c r="Z114" s="65">
        <v>5</v>
      </c>
      <c r="AA114" s="65">
        <v>7</v>
      </c>
      <c r="AB114" s="66"/>
      <c r="AC114" s="66"/>
      <c r="AD114" s="66"/>
      <c r="AE114" s="66"/>
      <c r="AF114" s="66"/>
      <c r="AG114" s="66"/>
      <c r="AH114" s="68">
        <f>SUBTOTAL(9,Z114:AG114)</f>
        <v>12</v>
      </c>
      <c r="AI114" s="67">
        <f>AH114+IF($B110=2,0,AI110)</f>
        <v>142.9</v>
      </c>
      <c r="AJ114" s="66"/>
      <c r="AK114" s="66"/>
      <c r="AL114" s="61">
        <f>SUBTOTAL(9,AJ114:AK114)</f>
        <v>0</v>
      </c>
      <c r="AM114" s="66"/>
      <c r="AN114" s="66"/>
      <c r="AO114" s="66"/>
      <c r="AP114" s="66"/>
      <c r="AQ114" s="66"/>
      <c r="AR114" s="66"/>
      <c r="AS114" s="66"/>
      <c r="AT114" s="66"/>
      <c r="AU114" s="61">
        <f>SUBTOTAL(9,AM114:AT114)</f>
        <v>0</v>
      </c>
      <c r="AV114" s="56">
        <f>SUBTOTAL(9,AJ114:AT114)</f>
        <v>0</v>
      </c>
      <c r="AW114" s="64">
        <f>AV114+IF($B110=2,0,AW110)</f>
        <v>452.75940000000003</v>
      </c>
      <c r="AX114" s="63"/>
      <c r="AY114" s="63"/>
      <c r="AZ114" s="62">
        <v>1300</v>
      </c>
      <c r="BA114" s="60">
        <v>1.2</v>
      </c>
      <c r="BB114" s="60">
        <v>1.1000000000000001</v>
      </c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56">
        <f>SUBTOTAL(9,BA114:BU114)</f>
        <v>2.2999999999999998</v>
      </c>
      <c r="BW114" s="61">
        <f>BV114+IF($B110=2,0,BW110)</f>
        <v>631.23579999999993</v>
      </c>
      <c r="BX114" s="66"/>
      <c r="BY114" s="66"/>
      <c r="BZ114" s="66"/>
      <c r="CA114" s="66"/>
      <c r="CB114" s="66"/>
      <c r="CC114" s="66"/>
      <c r="CD114" s="56">
        <f>SUBTOTAL(9,BX114:CC114)</f>
        <v>0</v>
      </c>
      <c r="CE114" s="56">
        <f>CD114+IF($B110=2,0,CE110)</f>
        <v>5.8</v>
      </c>
      <c r="CF114" s="59">
        <v>351.34</v>
      </c>
      <c r="CG114" s="59">
        <v>351.34</v>
      </c>
      <c r="CH114" s="58">
        <f>SUMIF($C$5:CG$5,"Накопленный эффект, т/сут",$C114:CG114)+SUMIF($C$5:CG$5,"Нараст.  по потенциалу",$C114:CG114)-SUMIF($C$5:CG$5,"Нараст. по остановкам",$C114:CG114)-SUMIF($C$5:CG$5,"ИТОГО перевод в ППД",$C114:CG114)-SUMIF($C$5:CG$5,"ИТОГО  нерент, по распоряж.",$C114:CG114)-SUMIF($C$5:CG$5,"ИТОГО ост. дебит от ЗБС, Углуб., ПВЛГ/ПНЛГ",$C114:CG114)</f>
        <v>1698.6236000000001</v>
      </c>
      <c r="CI114" s="57"/>
      <c r="CJ114" s="56">
        <v>7.9611360118931103</v>
      </c>
      <c r="CK114" s="57"/>
      <c r="CL114" s="57"/>
      <c r="CM114" s="56">
        <f>SUBTOTAL(9,CI114:CL114)</f>
        <v>7.9611360118931103</v>
      </c>
      <c r="CN114" s="55" t="s">
        <v>1</v>
      </c>
      <c r="CO114" s="54">
        <f>CO$4+SUMIF($C$5:CM$5,"Нараст. по остановкам",$C114:CM114)-SUMIF($C$5:CM$5,"Нараст.  по потенциалу",$C114:CM114)</f>
        <v>854.57656228627491</v>
      </c>
      <c r="CP114" s="2"/>
    </row>
    <row r="115" spans="1:94" ht="1.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1</v>
      </c>
      <c r="AA115" s="3">
        <v>1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>
        <v>1</v>
      </c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2"/>
    </row>
    <row r="116" spans="1:94" ht="11.25" customHeight="1" x14ac:dyDescent="0.25">
      <c r="A116" s="107">
        <v>45378</v>
      </c>
      <c r="B116" s="106" t="s">
        <v>58</v>
      </c>
      <c r="C116" s="103"/>
      <c r="D116" s="103"/>
      <c r="E116" s="103"/>
      <c r="F116" s="103"/>
      <c r="G116" s="100">
        <v>1240</v>
      </c>
      <c r="H116" s="103"/>
      <c r="I116" s="100">
        <v>12</v>
      </c>
      <c r="J116" s="103"/>
      <c r="K116" s="103"/>
      <c r="L116" s="103"/>
      <c r="M116" s="100">
        <v>293</v>
      </c>
      <c r="N116" s="102" t="s">
        <v>51</v>
      </c>
      <c r="O116" s="102" t="s">
        <v>79</v>
      </c>
      <c r="P116" s="100">
        <v>15</v>
      </c>
      <c r="Q116" s="100">
        <v>1560</v>
      </c>
      <c r="R116" s="99"/>
      <c r="S116" s="103"/>
      <c r="T116" s="105"/>
      <c r="U116" s="104"/>
      <c r="V116" s="103"/>
      <c r="W116" s="103"/>
      <c r="X116" s="105"/>
      <c r="Y116" s="104"/>
      <c r="Z116" s="102" t="s">
        <v>51</v>
      </c>
      <c r="AA116" s="103"/>
      <c r="AB116" s="103"/>
      <c r="AC116" s="103"/>
      <c r="AD116" s="103"/>
      <c r="AE116" s="103"/>
      <c r="AF116" s="103"/>
      <c r="AG116" s="103"/>
      <c r="AH116" s="105"/>
      <c r="AI116" s="104"/>
      <c r="AJ116" s="103"/>
      <c r="AK116" s="103"/>
      <c r="AL116" s="101">
        <v>19.100000000000001</v>
      </c>
      <c r="AM116" s="102" t="s">
        <v>51</v>
      </c>
      <c r="AN116" s="102"/>
      <c r="AO116" s="103"/>
      <c r="AP116" s="103"/>
      <c r="AQ116" s="103"/>
      <c r="AR116" s="103"/>
      <c r="AS116" s="103"/>
      <c r="AT116" s="103"/>
      <c r="AU116" s="101">
        <v>467.55939999999998</v>
      </c>
      <c r="AV116" s="100">
        <v>486.65940000000001</v>
      </c>
      <c r="AW116" s="99"/>
      <c r="AX116" s="93"/>
      <c r="AY116" s="93"/>
      <c r="AZ116" s="97"/>
      <c r="BA116" s="95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94"/>
      <c r="BW116" s="96"/>
      <c r="BX116" s="103"/>
      <c r="BY116" s="103"/>
      <c r="BZ116" s="103"/>
      <c r="CA116" s="103"/>
      <c r="CB116" s="103"/>
      <c r="CC116" s="103"/>
      <c r="CD116" s="94"/>
      <c r="CE116" s="94"/>
      <c r="CF116" s="93"/>
      <c r="CG116" s="93"/>
      <c r="CH116" s="92"/>
      <c r="CI116" s="91"/>
      <c r="CJ116" s="90"/>
      <c r="CK116" s="91"/>
      <c r="CL116" s="91"/>
      <c r="CM116" s="90"/>
      <c r="CN116" s="89">
        <f>CN$4+SUMIF($C$5:CM$5,"Нараст. баланс",$C118:CM118)+SUMIF($C$7:CK$7,"Итого (с ВНР)",$C118:CK118)-SUMIF($C$5:CM$5,"Геол. снижение,  т/сут",$C118:CM118)-SUMIF(CL$7:CM$7,"Итого",CL118:CM118)-SUMIF($C$7:CM$7,"Итого (с ВСП)",$C118:CM118)</f>
        <v>30567.721347587634</v>
      </c>
      <c r="CO116" s="88"/>
      <c r="CP116" s="2"/>
    </row>
    <row r="117" spans="1:94" ht="11.25" customHeight="1" x14ac:dyDescent="0.25">
      <c r="A117" s="55" t="s">
        <v>1</v>
      </c>
      <c r="B117" s="87" t="s">
        <v>42</v>
      </c>
      <c r="C117" s="84"/>
      <c r="D117" s="84"/>
      <c r="E117" s="84"/>
      <c r="F117" s="84"/>
      <c r="G117" s="76">
        <v>0</v>
      </c>
      <c r="H117" s="84"/>
      <c r="I117" s="76">
        <v>0</v>
      </c>
      <c r="J117" s="84"/>
      <c r="K117" s="84"/>
      <c r="L117" s="84"/>
      <c r="M117" s="76">
        <v>0</v>
      </c>
      <c r="N117" s="83" t="s">
        <v>78</v>
      </c>
      <c r="O117" s="83" t="s">
        <v>77</v>
      </c>
      <c r="P117" s="76">
        <v>2</v>
      </c>
      <c r="Q117" s="76">
        <v>2</v>
      </c>
      <c r="R117" s="81"/>
      <c r="S117" s="84"/>
      <c r="T117" s="86">
        <f>SUBTOTAL(9,S119:S119)</f>
        <v>0</v>
      </c>
      <c r="U117" s="85"/>
      <c r="V117" s="84"/>
      <c r="W117" s="84"/>
      <c r="X117" s="86">
        <f>SUBTOTAL(9,V119:W119)</f>
        <v>0</v>
      </c>
      <c r="Y117" s="85"/>
      <c r="Z117" s="83" t="s">
        <v>76</v>
      </c>
      <c r="AA117" s="84"/>
      <c r="AB117" s="84"/>
      <c r="AC117" s="84"/>
      <c r="AD117" s="84"/>
      <c r="AE117" s="84"/>
      <c r="AF117" s="84"/>
      <c r="AG117" s="84"/>
      <c r="AH117" s="86">
        <f>SUBTOTAL(9,Z119:AG119)</f>
        <v>1</v>
      </c>
      <c r="AI117" s="85"/>
      <c r="AJ117" s="84"/>
      <c r="AK117" s="84"/>
      <c r="AL117" s="82">
        <f>SUBTOTAL(9,AJ119:AK119)</f>
        <v>0</v>
      </c>
      <c r="AM117" s="83" t="s">
        <v>75</v>
      </c>
      <c r="AN117" s="83"/>
      <c r="AO117" s="84"/>
      <c r="AP117" s="84"/>
      <c r="AQ117" s="84"/>
      <c r="AR117" s="84"/>
      <c r="AS117" s="84"/>
      <c r="AT117" s="84"/>
      <c r="AU117" s="82">
        <f>SUBTOTAL(9,AM119:AT119)</f>
        <v>1</v>
      </c>
      <c r="AV117" s="76">
        <f>SUBTOTAL(9,AJ119:AT119)</f>
        <v>1</v>
      </c>
      <c r="AW117" s="81"/>
      <c r="AX117" s="74"/>
      <c r="AY117" s="74"/>
      <c r="AZ117" s="79"/>
      <c r="BA117" s="77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76">
        <f>SUBTOTAL(9,BA119:BU119)</f>
        <v>0</v>
      </c>
      <c r="BW117" s="78"/>
      <c r="BX117" s="84"/>
      <c r="BY117" s="84"/>
      <c r="BZ117" s="84"/>
      <c r="CA117" s="84"/>
      <c r="CB117" s="84"/>
      <c r="CC117" s="84"/>
      <c r="CD117" s="76">
        <f>SUBTOTAL(3,BX117:CC117)</f>
        <v>0</v>
      </c>
      <c r="CE117" s="75"/>
      <c r="CF117" s="74"/>
      <c r="CG117" s="74"/>
      <c r="CH117" s="73"/>
      <c r="CI117" s="72"/>
      <c r="CJ117" s="71"/>
      <c r="CK117" s="72"/>
      <c r="CL117" s="72"/>
      <c r="CM117" s="71"/>
      <c r="CN117" s="55" t="s">
        <v>1</v>
      </c>
      <c r="CO117" s="70"/>
      <c r="CP117" s="2"/>
    </row>
    <row r="118" spans="1:94" ht="11.25" customHeight="1" x14ac:dyDescent="0.25">
      <c r="A118" s="55" t="s">
        <v>1</v>
      </c>
      <c r="B118" s="69" t="s">
        <v>8</v>
      </c>
      <c r="C118" s="66"/>
      <c r="D118" s="66"/>
      <c r="E118" s="66"/>
      <c r="F118" s="66"/>
      <c r="G118" s="56">
        <f>SUBTOTAL(9,C118:F118)</f>
        <v>0</v>
      </c>
      <c r="H118" s="66"/>
      <c r="I118" s="56">
        <f>SUBTOTAL(9,H118:H118)</f>
        <v>0</v>
      </c>
      <c r="J118" s="66"/>
      <c r="K118" s="66"/>
      <c r="L118" s="66"/>
      <c r="M118" s="56">
        <f>SUBTOTAL(9,J118:L118)</f>
        <v>0</v>
      </c>
      <c r="N118" s="65">
        <v>5</v>
      </c>
      <c r="O118" s="65">
        <v>5</v>
      </c>
      <c r="P118" s="56">
        <f>SUBTOTAL(9,N118:O118)</f>
        <v>10</v>
      </c>
      <c r="Q118" s="56">
        <f>SUBTOTAL(9,C118:O118)</f>
        <v>10</v>
      </c>
      <c r="R118" s="64">
        <v>1560</v>
      </c>
      <c r="S118" s="66"/>
      <c r="T118" s="68">
        <f>SUBTOTAL(9,S118:S118)</f>
        <v>0</v>
      </c>
      <c r="U118" s="67">
        <f>T118+IF($B114=2,0,U114)</f>
        <v>20</v>
      </c>
      <c r="V118" s="66"/>
      <c r="W118" s="66"/>
      <c r="X118" s="68">
        <f>SUBTOTAL(9,V118:W118)</f>
        <v>0</v>
      </c>
      <c r="Y118" s="67">
        <f>X118+IF($B114=2,0,Y114)</f>
        <v>170</v>
      </c>
      <c r="Z118" s="65">
        <v>8</v>
      </c>
      <c r="AA118" s="66"/>
      <c r="AB118" s="66"/>
      <c r="AC118" s="66"/>
      <c r="AD118" s="66"/>
      <c r="AE118" s="66"/>
      <c r="AF118" s="66"/>
      <c r="AG118" s="66"/>
      <c r="AH118" s="68">
        <f>SUBTOTAL(9,Z118:AG118)</f>
        <v>8</v>
      </c>
      <c r="AI118" s="67">
        <f>AH118+IF($B114=2,0,AI114)</f>
        <v>150.9</v>
      </c>
      <c r="AJ118" s="66"/>
      <c r="AK118" s="66"/>
      <c r="AL118" s="61">
        <f>SUBTOTAL(9,AJ118:AK118)</f>
        <v>0</v>
      </c>
      <c r="AM118" s="65">
        <v>2.1</v>
      </c>
      <c r="AN118" s="65">
        <v>31.8</v>
      </c>
      <c r="AO118" s="66"/>
      <c r="AP118" s="66"/>
      <c r="AQ118" s="66"/>
      <c r="AR118" s="66"/>
      <c r="AS118" s="66"/>
      <c r="AT118" s="66"/>
      <c r="AU118" s="61">
        <f>SUBTOTAL(9,AM118:AT118)</f>
        <v>33.9</v>
      </c>
      <c r="AV118" s="56">
        <f>SUBTOTAL(9,AJ118:AT118)</f>
        <v>33.9</v>
      </c>
      <c r="AW118" s="64">
        <f>AV118+IF($B114=2,0,AW114)</f>
        <v>486.65940000000001</v>
      </c>
      <c r="AX118" s="59">
        <v>803.9</v>
      </c>
      <c r="AY118" s="59">
        <v>803.9</v>
      </c>
      <c r="AZ118" s="62">
        <v>1350</v>
      </c>
      <c r="BA118" s="60">
        <v>42.427999999999997</v>
      </c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56">
        <f>SUBTOTAL(9,BA118:BU118)</f>
        <v>42.427999999999997</v>
      </c>
      <c r="BW118" s="61">
        <f>BV118+IF($B114=2,0,BW114)</f>
        <v>673.66379999999992</v>
      </c>
      <c r="BX118" s="66"/>
      <c r="BY118" s="66"/>
      <c r="BZ118" s="66"/>
      <c r="CA118" s="66"/>
      <c r="CB118" s="66"/>
      <c r="CC118" s="66"/>
      <c r="CD118" s="56">
        <f>SUBTOTAL(9,BX118:CC118)</f>
        <v>0</v>
      </c>
      <c r="CE118" s="56">
        <f>CD118+IF($B114=2,0,CE114)</f>
        <v>5.8</v>
      </c>
      <c r="CF118" s="59"/>
      <c r="CG118" s="59"/>
      <c r="CH118" s="58">
        <f>SUMIF($C$5:CG$5,"Накопленный эффект, т/сут",$C118:CG118)+SUMIF($C$5:CG$5,"Нараст.  по потенциалу",$C118:CG118)-SUMIF($C$5:CG$5,"Нараст. по остановкам",$C118:CG118)-SUMIF($C$5:CG$5,"ИТОГО перевод в ППД",$C118:CG118)-SUMIF($C$5:CG$5,"ИТОГО  нерент, по распоряж.",$C118:CG118)-SUMIF($C$5:CG$5,"ИТОГО ост. дебит от ЗБС, Углуб., ПВЛГ/ПНЛГ",$C118:CG118)</f>
        <v>1708.0956000000003</v>
      </c>
      <c r="CI118" s="57"/>
      <c r="CJ118" s="56">
        <v>1149.11525241237</v>
      </c>
      <c r="CK118" s="57"/>
      <c r="CL118" s="57"/>
      <c r="CM118" s="56">
        <f>SUBTOTAL(9,CI118:CL118)</f>
        <v>1149.11525241237</v>
      </c>
      <c r="CN118" s="55" t="s">
        <v>1</v>
      </c>
      <c r="CO118" s="54">
        <f>CO$4+SUMIF($C$5:CM$5,"Нараст. по остановкам",$C118:CM118)-SUMIF($C$5:CM$5,"Нараст.  по потенциалу",$C118:CM118)</f>
        <v>863.10456228627481</v>
      </c>
      <c r="CP118" s="2"/>
    </row>
    <row r="119" spans="1:94" ht="1.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>
        <v>1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>
        <v>1</v>
      </c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2"/>
    </row>
    <row r="120" spans="1:94" ht="11.25" customHeight="1" x14ac:dyDescent="0.25">
      <c r="A120" s="107">
        <v>45379</v>
      </c>
      <c r="B120" s="106" t="s">
        <v>58</v>
      </c>
      <c r="C120" s="103"/>
      <c r="D120" s="103"/>
      <c r="E120" s="103"/>
      <c r="F120" s="103"/>
      <c r="G120" s="100">
        <v>1240</v>
      </c>
      <c r="H120" s="103"/>
      <c r="I120" s="100">
        <v>12</v>
      </c>
      <c r="J120" s="102" t="s">
        <v>55</v>
      </c>
      <c r="K120" s="103"/>
      <c r="L120" s="103"/>
      <c r="M120" s="100">
        <v>313</v>
      </c>
      <c r="N120" s="103"/>
      <c r="O120" s="103"/>
      <c r="P120" s="100">
        <v>15</v>
      </c>
      <c r="Q120" s="100">
        <v>1580</v>
      </c>
      <c r="R120" s="99"/>
      <c r="S120" s="103"/>
      <c r="T120" s="105"/>
      <c r="U120" s="104"/>
      <c r="V120" s="103"/>
      <c r="W120" s="103"/>
      <c r="X120" s="105"/>
      <c r="Y120" s="104"/>
      <c r="Z120" s="102" t="s">
        <v>52</v>
      </c>
      <c r="AA120" s="103"/>
      <c r="AB120" s="103"/>
      <c r="AC120" s="103"/>
      <c r="AD120" s="103"/>
      <c r="AE120" s="103"/>
      <c r="AF120" s="103"/>
      <c r="AG120" s="103"/>
      <c r="AH120" s="105"/>
      <c r="AI120" s="104"/>
      <c r="AJ120" s="103"/>
      <c r="AK120" s="103"/>
      <c r="AL120" s="101">
        <v>19.100000000000001</v>
      </c>
      <c r="AM120" s="102"/>
      <c r="AN120" s="103"/>
      <c r="AO120" s="103"/>
      <c r="AP120" s="103"/>
      <c r="AQ120" s="103"/>
      <c r="AR120" s="103"/>
      <c r="AS120" s="103"/>
      <c r="AT120" s="103"/>
      <c r="AU120" s="101">
        <v>475.38240000000002</v>
      </c>
      <c r="AV120" s="100">
        <v>494.48239999999998</v>
      </c>
      <c r="AW120" s="99"/>
      <c r="AX120" s="98"/>
      <c r="AY120" s="98"/>
      <c r="AZ120" s="97"/>
      <c r="BA120" s="95" t="s">
        <v>51</v>
      </c>
      <c r="BB120" s="95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94"/>
      <c r="BW120" s="96"/>
      <c r="BX120" s="103"/>
      <c r="BY120" s="103"/>
      <c r="BZ120" s="103"/>
      <c r="CA120" s="103"/>
      <c r="CB120" s="103"/>
      <c r="CC120" s="103"/>
      <c r="CD120" s="94"/>
      <c r="CE120" s="94"/>
      <c r="CF120" s="93"/>
      <c r="CG120" s="93"/>
      <c r="CH120" s="92"/>
      <c r="CI120" s="91"/>
      <c r="CJ120" s="90"/>
      <c r="CK120" s="91"/>
      <c r="CL120" s="90"/>
      <c r="CM120" s="90"/>
      <c r="CN120" s="89">
        <f>CN$4+SUMIF($C$5:CM$5,"Нараст. баланс",$C122:CM122)+SUMIF($C$7:CK$7,"Итого (с ВНР)",$C122:CK122)-SUMIF($C$5:CM$5,"Геол. снижение,  т/сут",$C122:CM122)-SUMIF(CL$7:CM$7,"Итого",CL122:CM122)-SUMIF($C$7:CM$7,"Итого (с ВСП)",$C122:CM122)</f>
        <v>30506.301393091042</v>
      </c>
      <c r="CO120" s="88"/>
      <c r="CP120" s="2"/>
    </row>
    <row r="121" spans="1:94" ht="11.25" customHeight="1" x14ac:dyDescent="0.25">
      <c r="A121" s="55" t="s">
        <v>1</v>
      </c>
      <c r="B121" s="87" t="s">
        <v>42</v>
      </c>
      <c r="C121" s="84"/>
      <c r="D121" s="84"/>
      <c r="E121" s="84"/>
      <c r="F121" s="84"/>
      <c r="G121" s="76">
        <v>0</v>
      </c>
      <c r="H121" s="84"/>
      <c r="I121" s="76">
        <v>0</v>
      </c>
      <c r="J121" s="83" t="s">
        <v>74</v>
      </c>
      <c r="K121" s="84"/>
      <c r="L121" s="84"/>
      <c r="M121" s="76">
        <v>1</v>
      </c>
      <c r="N121" s="84"/>
      <c r="O121" s="84"/>
      <c r="P121" s="76">
        <v>0</v>
      </c>
      <c r="Q121" s="76">
        <v>1</v>
      </c>
      <c r="R121" s="81"/>
      <c r="S121" s="84"/>
      <c r="T121" s="86">
        <f>SUBTOTAL(9,S123:S123)</f>
        <v>0</v>
      </c>
      <c r="U121" s="85"/>
      <c r="V121" s="84"/>
      <c r="W121" s="84"/>
      <c r="X121" s="86">
        <f>SUBTOTAL(9,V123:W123)</f>
        <v>0</v>
      </c>
      <c r="Y121" s="85"/>
      <c r="Z121" s="83" t="s">
        <v>73</v>
      </c>
      <c r="AA121" s="84"/>
      <c r="AB121" s="84"/>
      <c r="AC121" s="84"/>
      <c r="AD121" s="84"/>
      <c r="AE121" s="84"/>
      <c r="AF121" s="84"/>
      <c r="AG121" s="84"/>
      <c r="AH121" s="86">
        <f>SUBTOTAL(9,Z123:AG123)</f>
        <v>1</v>
      </c>
      <c r="AI121" s="85"/>
      <c r="AJ121" s="84"/>
      <c r="AK121" s="84"/>
      <c r="AL121" s="82">
        <f>SUBTOTAL(9,AJ123:AK123)</f>
        <v>0</v>
      </c>
      <c r="AM121" s="83"/>
      <c r="AN121" s="84"/>
      <c r="AO121" s="84"/>
      <c r="AP121" s="84"/>
      <c r="AQ121" s="84"/>
      <c r="AR121" s="84"/>
      <c r="AS121" s="84"/>
      <c r="AT121" s="84"/>
      <c r="AU121" s="82">
        <f>SUBTOTAL(9,AM123:AT123)</f>
        <v>0</v>
      </c>
      <c r="AV121" s="76">
        <f>SUBTOTAL(9,AJ123:AT123)</f>
        <v>0</v>
      </c>
      <c r="AW121" s="81"/>
      <c r="AX121" s="80"/>
      <c r="AY121" s="80"/>
      <c r="AZ121" s="79"/>
      <c r="BA121" s="77" t="s">
        <v>72</v>
      </c>
      <c r="BB121" s="77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76">
        <f>SUBTOTAL(9,BA123:BU123)</f>
        <v>1</v>
      </c>
      <c r="BW121" s="78"/>
      <c r="BX121" s="84"/>
      <c r="BY121" s="84"/>
      <c r="BZ121" s="84"/>
      <c r="CA121" s="84"/>
      <c r="CB121" s="84"/>
      <c r="CC121" s="84"/>
      <c r="CD121" s="76">
        <f>SUBTOTAL(3,BX121:CC121)</f>
        <v>0</v>
      </c>
      <c r="CE121" s="75"/>
      <c r="CF121" s="74"/>
      <c r="CG121" s="74"/>
      <c r="CH121" s="73"/>
      <c r="CI121" s="72"/>
      <c r="CJ121" s="71"/>
      <c r="CK121" s="72"/>
      <c r="CL121" s="71"/>
      <c r="CM121" s="71"/>
      <c r="CN121" s="55" t="s">
        <v>1</v>
      </c>
      <c r="CO121" s="70"/>
      <c r="CP121" s="2"/>
    </row>
    <row r="122" spans="1:94" ht="11.25" customHeight="1" x14ac:dyDescent="0.25">
      <c r="A122" s="55" t="s">
        <v>1</v>
      </c>
      <c r="B122" s="69" t="s">
        <v>8</v>
      </c>
      <c r="C122" s="66"/>
      <c r="D122" s="66"/>
      <c r="E122" s="66"/>
      <c r="F122" s="66"/>
      <c r="G122" s="56">
        <f>SUBTOTAL(9,C122:F122)</f>
        <v>0</v>
      </c>
      <c r="H122" s="66"/>
      <c r="I122" s="56">
        <f>SUBTOTAL(9,H122:H122)</f>
        <v>0</v>
      </c>
      <c r="J122" s="65">
        <v>20</v>
      </c>
      <c r="K122" s="66"/>
      <c r="L122" s="66"/>
      <c r="M122" s="56">
        <f>SUBTOTAL(9,J122:L122)</f>
        <v>20</v>
      </c>
      <c r="N122" s="66"/>
      <c r="O122" s="66"/>
      <c r="P122" s="56">
        <f>SUBTOTAL(9,N122:O122)</f>
        <v>0</v>
      </c>
      <c r="Q122" s="56">
        <f>SUBTOTAL(9,C122:O122)</f>
        <v>20</v>
      </c>
      <c r="R122" s="64">
        <v>1580</v>
      </c>
      <c r="S122" s="66"/>
      <c r="T122" s="68">
        <f>SUBTOTAL(9,S122:S122)</f>
        <v>0</v>
      </c>
      <c r="U122" s="67">
        <f>T122+IF($B118=2,0,U118)</f>
        <v>20</v>
      </c>
      <c r="V122" s="66"/>
      <c r="W122" s="66"/>
      <c r="X122" s="68">
        <f>SUBTOTAL(9,V122:W122)</f>
        <v>0</v>
      </c>
      <c r="Y122" s="67">
        <f>X122+IF($B118=2,0,Y118)</f>
        <v>170</v>
      </c>
      <c r="Z122" s="65">
        <v>6</v>
      </c>
      <c r="AA122" s="66"/>
      <c r="AB122" s="66"/>
      <c r="AC122" s="66"/>
      <c r="AD122" s="66"/>
      <c r="AE122" s="66"/>
      <c r="AF122" s="66"/>
      <c r="AG122" s="66"/>
      <c r="AH122" s="68">
        <f>SUBTOTAL(9,Z122:AG122)</f>
        <v>6</v>
      </c>
      <c r="AI122" s="67">
        <f>AH122+IF($B118=2,0,AI118)</f>
        <v>156.9</v>
      </c>
      <c r="AJ122" s="66"/>
      <c r="AK122" s="66"/>
      <c r="AL122" s="61">
        <f>SUBTOTAL(9,AJ122:AK122)</f>
        <v>0</v>
      </c>
      <c r="AM122" s="65">
        <v>7.8230000000000004</v>
      </c>
      <c r="AN122" s="66"/>
      <c r="AO122" s="66"/>
      <c r="AP122" s="66"/>
      <c r="AQ122" s="66"/>
      <c r="AR122" s="66"/>
      <c r="AS122" s="66"/>
      <c r="AT122" s="66"/>
      <c r="AU122" s="61">
        <f>SUBTOTAL(9,AM122:AT122)</f>
        <v>7.8230000000000004</v>
      </c>
      <c r="AV122" s="56">
        <f>SUBTOTAL(9,AJ122:AT122)</f>
        <v>7.8230000000000004</v>
      </c>
      <c r="AW122" s="64">
        <f>AV122+IF($B118=2,0,AW118)</f>
        <v>494.48239999999998</v>
      </c>
      <c r="AX122" s="63"/>
      <c r="AY122" s="63"/>
      <c r="AZ122" s="62">
        <v>1400</v>
      </c>
      <c r="BA122" s="60">
        <v>2.7</v>
      </c>
      <c r="BB122" s="60">
        <v>4</v>
      </c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56">
        <f>SUBTOTAL(9,BA122:BU122)</f>
        <v>6.7</v>
      </c>
      <c r="BW122" s="61">
        <f>BV122+IF($B118=2,0,BW118)</f>
        <v>680.36379999999997</v>
      </c>
      <c r="BX122" s="66"/>
      <c r="BY122" s="66"/>
      <c r="BZ122" s="66"/>
      <c r="CA122" s="66"/>
      <c r="CB122" s="66"/>
      <c r="CC122" s="66"/>
      <c r="CD122" s="56">
        <f>SUBTOTAL(9,BX122:CC122)</f>
        <v>0</v>
      </c>
      <c r="CE122" s="56">
        <f>CD122+IF($B118=2,0,CE118)</f>
        <v>5.8</v>
      </c>
      <c r="CF122" s="59">
        <v>94.48</v>
      </c>
      <c r="CG122" s="59">
        <v>94.48</v>
      </c>
      <c r="CH122" s="58">
        <f>SUMIF($C$5:CG$5,"Накопленный эффект, т/сут",$C122:CG122)+SUMIF($C$5:CG$5,"Нараст.  по потенциалу",$C122:CG122)-SUMIF($C$5:CG$5,"Нараст. по остановкам",$C122:CG122)-SUMIF($C$5:CG$5,"ИТОГО перевод в ППД",$C122:CG122)-SUMIF($C$5:CG$5,"ИТОГО  нерент, по распоряж.",$C122:CG122)-SUMIF($C$5:CG$5,"ИТОГО ост. дебит от ЗБС, Углуб., ПВЛГ/ПНЛГ",$C122:CG122)</f>
        <v>1735.2185999999999</v>
      </c>
      <c r="CI122" s="57"/>
      <c r="CJ122" s="56">
        <v>289.11008658958599</v>
      </c>
      <c r="CK122" s="57"/>
      <c r="CL122" s="56">
        <v>0.16812031937227101</v>
      </c>
      <c r="CM122" s="56">
        <f>SUBTOTAL(9,CI122:CL122)</f>
        <v>289.27820690895828</v>
      </c>
      <c r="CN122" s="55" t="s">
        <v>1</v>
      </c>
      <c r="CO122" s="54">
        <f>CO$4+SUMIF($C$5:CM$5,"Нараст. по остановкам",$C122:CM122)-SUMIF($C$5:CM$5,"Нараст.  по потенциалу",$C122:CM122)</f>
        <v>861.98156228627511</v>
      </c>
      <c r="CP122" s="2"/>
    </row>
    <row r="123" spans="1:94" ht="1.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>
        <v>1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>
        <v>1</v>
      </c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2"/>
    </row>
    <row r="124" spans="1:94" ht="11.25" customHeight="1" x14ac:dyDescent="0.25">
      <c r="A124" s="107">
        <v>45380</v>
      </c>
      <c r="B124" s="106" t="s">
        <v>58</v>
      </c>
      <c r="C124" s="102" t="s">
        <v>47</v>
      </c>
      <c r="D124" s="102" t="s">
        <v>50</v>
      </c>
      <c r="E124" s="102" t="s">
        <v>63</v>
      </c>
      <c r="F124" s="102" t="s">
        <v>63</v>
      </c>
      <c r="G124" s="100">
        <v>1370</v>
      </c>
      <c r="H124" s="102" t="s">
        <v>71</v>
      </c>
      <c r="I124" s="100">
        <v>18</v>
      </c>
      <c r="J124" s="103"/>
      <c r="K124" s="103"/>
      <c r="L124" s="103"/>
      <c r="M124" s="100">
        <v>313</v>
      </c>
      <c r="N124" s="102" t="s">
        <v>49</v>
      </c>
      <c r="O124" s="103"/>
      <c r="P124" s="100">
        <v>20</v>
      </c>
      <c r="Q124" s="100">
        <v>1721</v>
      </c>
      <c r="R124" s="99"/>
      <c r="S124" s="103"/>
      <c r="T124" s="105"/>
      <c r="U124" s="104"/>
      <c r="V124" s="103"/>
      <c r="W124" s="103"/>
      <c r="X124" s="105"/>
      <c r="Y124" s="104"/>
      <c r="Z124" s="102" t="s">
        <v>52</v>
      </c>
      <c r="AA124" s="103"/>
      <c r="AB124" s="103"/>
      <c r="AC124" s="103"/>
      <c r="AD124" s="103"/>
      <c r="AE124" s="103"/>
      <c r="AF124" s="103"/>
      <c r="AG124" s="103"/>
      <c r="AH124" s="105"/>
      <c r="AI124" s="104"/>
      <c r="AJ124" s="102" t="s">
        <v>71</v>
      </c>
      <c r="AK124" s="103"/>
      <c r="AL124" s="101">
        <v>23.1</v>
      </c>
      <c r="AM124" s="103"/>
      <c r="AN124" s="103"/>
      <c r="AO124" s="103"/>
      <c r="AP124" s="103"/>
      <c r="AQ124" s="103"/>
      <c r="AR124" s="103"/>
      <c r="AS124" s="103"/>
      <c r="AT124" s="103"/>
      <c r="AU124" s="101">
        <v>475.38240000000002</v>
      </c>
      <c r="AV124" s="100">
        <v>498.48239999999998</v>
      </c>
      <c r="AW124" s="99"/>
      <c r="AX124" s="98"/>
      <c r="AY124" s="98"/>
      <c r="AZ124" s="97"/>
      <c r="BA124" s="95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03"/>
      <c r="BV124" s="94"/>
      <c r="BW124" s="96"/>
      <c r="BX124" s="103"/>
      <c r="BY124" s="103"/>
      <c r="BZ124" s="103"/>
      <c r="CA124" s="103"/>
      <c r="CB124" s="103"/>
      <c r="CC124" s="103"/>
      <c r="CD124" s="94"/>
      <c r="CE124" s="94"/>
      <c r="CF124" s="93"/>
      <c r="CG124" s="93"/>
      <c r="CH124" s="92"/>
      <c r="CI124" s="91"/>
      <c r="CJ124" s="90"/>
      <c r="CK124" s="91"/>
      <c r="CL124" s="91"/>
      <c r="CM124" s="90"/>
      <c r="CN124" s="89">
        <f>CN$4+SUMIF($C$5:CM$5,"Нараст. баланс",$C126:CM126)+SUMIF($C$7:CK$7,"Итого (с ВНР)",$C126:CK126)-SUMIF($C$5:CM$5,"Геол. снижение,  т/сут",$C126:CM126)-SUMIF(CL$7:CM$7,"Итого",CL126:CM126)-SUMIF($C$7:CM$7,"Итого (с ВСП)",$C126:CM126)</f>
        <v>30660.554913249005</v>
      </c>
      <c r="CO124" s="88"/>
      <c r="CP124" s="2"/>
    </row>
    <row r="125" spans="1:94" ht="11.25" customHeight="1" x14ac:dyDescent="0.25">
      <c r="A125" s="55" t="s">
        <v>1</v>
      </c>
      <c r="B125" s="87" t="s">
        <v>42</v>
      </c>
      <c r="C125" s="83" t="s">
        <v>70</v>
      </c>
      <c r="D125" s="83" t="s">
        <v>69</v>
      </c>
      <c r="E125" s="83" t="s">
        <v>68</v>
      </c>
      <c r="F125" s="83" t="s">
        <v>67</v>
      </c>
      <c r="G125" s="76">
        <v>4</v>
      </c>
      <c r="H125" s="83" t="s">
        <v>64</v>
      </c>
      <c r="I125" s="76">
        <v>1</v>
      </c>
      <c r="J125" s="84"/>
      <c r="K125" s="84"/>
      <c r="L125" s="84"/>
      <c r="M125" s="76">
        <v>0</v>
      </c>
      <c r="N125" s="83" t="s">
        <v>66</v>
      </c>
      <c r="O125" s="84"/>
      <c r="P125" s="76">
        <v>1</v>
      </c>
      <c r="Q125" s="76">
        <v>6</v>
      </c>
      <c r="R125" s="81"/>
      <c r="S125" s="84"/>
      <c r="T125" s="86">
        <f>SUBTOTAL(9,S127:S127)</f>
        <v>0</v>
      </c>
      <c r="U125" s="85"/>
      <c r="V125" s="84"/>
      <c r="W125" s="84"/>
      <c r="X125" s="86">
        <f>SUBTOTAL(9,V127:W127)</f>
        <v>0</v>
      </c>
      <c r="Y125" s="85"/>
      <c r="Z125" s="83" t="s">
        <v>65</v>
      </c>
      <c r="AA125" s="84"/>
      <c r="AB125" s="84"/>
      <c r="AC125" s="84"/>
      <c r="AD125" s="84"/>
      <c r="AE125" s="84"/>
      <c r="AF125" s="84"/>
      <c r="AG125" s="84"/>
      <c r="AH125" s="86">
        <f>SUBTOTAL(9,Z127:AG127)</f>
        <v>1</v>
      </c>
      <c r="AI125" s="85"/>
      <c r="AJ125" s="83" t="s">
        <v>64</v>
      </c>
      <c r="AK125" s="84"/>
      <c r="AL125" s="82">
        <f>SUBTOTAL(9,AJ127:AK127)</f>
        <v>1</v>
      </c>
      <c r="AM125" s="84"/>
      <c r="AN125" s="84"/>
      <c r="AO125" s="84"/>
      <c r="AP125" s="84"/>
      <c r="AQ125" s="84"/>
      <c r="AR125" s="84"/>
      <c r="AS125" s="84"/>
      <c r="AT125" s="84"/>
      <c r="AU125" s="82">
        <f>SUBTOTAL(9,AM127:AT127)</f>
        <v>0</v>
      </c>
      <c r="AV125" s="76">
        <f>SUBTOTAL(9,AJ127:AT127)</f>
        <v>1</v>
      </c>
      <c r="AW125" s="81"/>
      <c r="AX125" s="80"/>
      <c r="AY125" s="80"/>
      <c r="AZ125" s="79"/>
      <c r="BA125" s="77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76">
        <f>SUBTOTAL(9,BA127:BU127)</f>
        <v>0</v>
      </c>
      <c r="BW125" s="78"/>
      <c r="BX125" s="84"/>
      <c r="BY125" s="84"/>
      <c r="BZ125" s="84"/>
      <c r="CA125" s="84"/>
      <c r="CB125" s="84"/>
      <c r="CC125" s="84"/>
      <c r="CD125" s="76">
        <f>SUBTOTAL(3,BX125:CC125)</f>
        <v>0</v>
      </c>
      <c r="CE125" s="75"/>
      <c r="CF125" s="74"/>
      <c r="CG125" s="74"/>
      <c r="CH125" s="73"/>
      <c r="CI125" s="72"/>
      <c r="CJ125" s="71"/>
      <c r="CK125" s="72"/>
      <c r="CL125" s="72"/>
      <c r="CM125" s="71"/>
      <c r="CN125" s="55" t="s">
        <v>1</v>
      </c>
      <c r="CO125" s="70"/>
      <c r="CP125" s="2"/>
    </row>
    <row r="126" spans="1:94" ht="11.25" customHeight="1" x14ac:dyDescent="0.25">
      <c r="A126" s="55" t="s">
        <v>1</v>
      </c>
      <c r="B126" s="69" t="s">
        <v>8</v>
      </c>
      <c r="C126" s="65">
        <v>30</v>
      </c>
      <c r="D126" s="65">
        <v>40</v>
      </c>
      <c r="E126" s="65">
        <v>30</v>
      </c>
      <c r="F126" s="65">
        <v>30</v>
      </c>
      <c r="G126" s="56">
        <f>SUBTOTAL(9,C126:F126)</f>
        <v>130</v>
      </c>
      <c r="H126" s="65">
        <v>6</v>
      </c>
      <c r="I126" s="56">
        <f>SUBTOTAL(9,H126:H126)</f>
        <v>6</v>
      </c>
      <c r="J126" s="66"/>
      <c r="K126" s="66"/>
      <c r="L126" s="66"/>
      <c r="M126" s="56">
        <f>SUBTOTAL(9,J126:L126)</f>
        <v>0</v>
      </c>
      <c r="N126" s="65">
        <v>5</v>
      </c>
      <c r="O126" s="66"/>
      <c r="P126" s="56">
        <f>SUBTOTAL(9,N126:O126)</f>
        <v>5</v>
      </c>
      <c r="Q126" s="56">
        <f>SUBTOTAL(9,C126:O126)</f>
        <v>141</v>
      </c>
      <c r="R126" s="64">
        <v>1721</v>
      </c>
      <c r="S126" s="66"/>
      <c r="T126" s="68">
        <f>SUBTOTAL(9,S126:S126)</f>
        <v>0</v>
      </c>
      <c r="U126" s="67">
        <f>T126+IF($B122=2,0,U122)</f>
        <v>20</v>
      </c>
      <c r="V126" s="66"/>
      <c r="W126" s="66"/>
      <c r="X126" s="68">
        <f>SUBTOTAL(9,V126:W126)</f>
        <v>0</v>
      </c>
      <c r="Y126" s="67">
        <f>X126+IF($B122=2,0,Y122)</f>
        <v>170</v>
      </c>
      <c r="Z126" s="65">
        <v>6</v>
      </c>
      <c r="AA126" s="66"/>
      <c r="AB126" s="66"/>
      <c r="AC126" s="66"/>
      <c r="AD126" s="66"/>
      <c r="AE126" s="66"/>
      <c r="AF126" s="66"/>
      <c r="AG126" s="66"/>
      <c r="AH126" s="68">
        <f>SUBTOTAL(9,Z126:AG126)</f>
        <v>6</v>
      </c>
      <c r="AI126" s="67">
        <f>AH126+IF($B122=2,0,AI122)</f>
        <v>162.9</v>
      </c>
      <c r="AJ126" s="65">
        <v>4</v>
      </c>
      <c r="AK126" s="66"/>
      <c r="AL126" s="61">
        <f>SUBTOTAL(9,AJ126:AK126)</f>
        <v>4</v>
      </c>
      <c r="AM126" s="66"/>
      <c r="AN126" s="66"/>
      <c r="AO126" s="66"/>
      <c r="AP126" s="66"/>
      <c r="AQ126" s="66"/>
      <c r="AR126" s="66"/>
      <c r="AS126" s="66"/>
      <c r="AT126" s="66"/>
      <c r="AU126" s="61">
        <f>SUBTOTAL(9,AM126:AT126)</f>
        <v>0</v>
      </c>
      <c r="AV126" s="56">
        <f>SUBTOTAL(9,AJ126:AT126)</f>
        <v>4</v>
      </c>
      <c r="AW126" s="64">
        <f>AV126+IF($B122=2,0,AW122)</f>
        <v>498.48239999999998</v>
      </c>
      <c r="AX126" s="63"/>
      <c r="AY126" s="63"/>
      <c r="AZ126" s="62">
        <v>1450</v>
      </c>
      <c r="BA126" s="60">
        <v>5.0999999999999996</v>
      </c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56">
        <f>SUBTOTAL(9,BA126:BU126)</f>
        <v>5.0999999999999996</v>
      </c>
      <c r="BW126" s="61">
        <f>BV126+IF($B122=2,0,BW122)</f>
        <v>685.46379999999999</v>
      </c>
      <c r="BX126" s="66"/>
      <c r="BY126" s="66"/>
      <c r="BZ126" s="66"/>
      <c r="CA126" s="66"/>
      <c r="CB126" s="66"/>
      <c r="CC126" s="66"/>
      <c r="CD126" s="56">
        <f>SUBTOTAL(9,BX126:CC126)</f>
        <v>0</v>
      </c>
      <c r="CE126" s="56">
        <f>CD126+IF($B122=2,0,CE122)</f>
        <v>5.8</v>
      </c>
      <c r="CF126" s="59">
        <v>318.16000000000003</v>
      </c>
      <c r="CG126" s="59">
        <v>318.16000000000003</v>
      </c>
      <c r="CH126" s="58">
        <f>SUMIF($C$5:CG$5,"Накопленный эффект, т/сут",$C126:CG126)+SUMIF($C$5:CG$5,"Нараст.  по потенциалу",$C126:CG126)-SUMIF($C$5:CG$5,"Нараст. по остановкам",$C126:CG126)-SUMIF($C$5:CG$5,"ИТОГО перевод в ППД",$C126:CG126)-SUMIF($C$5:CG$5,"ИТОГО  нерент, по распоряж.",$C126:CG126)-SUMIF($C$5:CG$5,"ИТОГО ост. дебит от ЗБС, Углуб., ПВЛГ/ПНЛГ",$C126:CG126)</f>
        <v>1881.1186</v>
      </c>
      <c r="CI126" s="57"/>
      <c r="CJ126" s="56">
        <v>7.2446867509987198</v>
      </c>
      <c r="CK126" s="57"/>
      <c r="CL126" s="57"/>
      <c r="CM126" s="56">
        <f>SUBTOTAL(9,CI126:CL126)</f>
        <v>7.2446867509987198</v>
      </c>
      <c r="CN126" s="55" t="s">
        <v>1</v>
      </c>
      <c r="CO126" s="54">
        <f>CO$4+SUMIF($C$5:CM$5,"Нараст. по остановкам",$C126:CM126)-SUMIF($C$5:CM$5,"Нараст.  по потенциалу",$C126:CM126)</f>
        <v>863.08156228627502</v>
      </c>
      <c r="CP126" s="2"/>
    </row>
    <row r="127" spans="1:94" ht="1.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>
        <v>1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>
        <v>1</v>
      </c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2"/>
    </row>
    <row r="128" spans="1:94" ht="11.25" customHeight="1" x14ac:dyDescent="0.25">
      <c r="A128" s="107">
        <v>45381</v>
      </c>
      <c r="B128" s="106" t="s">
        <v>58</v>
      </c>
      <c r="C128" s="102" t="s">
        <v>57</v>
      </c>
      <c r="D128" s="102" t="s">
        <v>63</v>
      </c>
      <c r="E128" s="103"/>
      <c r="F128" s="103"/>
      <c r="G128" s="100">
        <v>1480</v>
      </c>
      <c r="H128" s="103"/>
      <c r="I128" s="100">
        <v>18</v>
      </c>
      <c r="J128" s="103"/>
      <c r="K128" s="103"/>
      <c r="L128" s="103"/>
      <c r="M128" s="100">
        <v>313</v>
      </c>
      <c r="N128" s="103"/>
      <c r="O128" s="103"/>
      <c r="P128" s="100">
        <v>20</v>
      </c>
      <c r="Q128" s="100">
        <v>1831</v>
      </c>
      <c r="R128" s="99"/>
      <c r="S128" s="103"/>
      <c r="T128" s="105"/>
      <c r="U128" s="104"/>
      <c r="V128" s="103"/>
      <c r="W128" s="103"/>
      <c r="X128" s="105"/>
      <c r="Y128" s="104"/>
      <c r="Z128" s="102" t="s">
        <v>49</v>
      </c>
      <c r="AA128" s="102" t="s">
        <v>49</v>
      </c>
      <c r="AB128" s="103"/>
      <c r="AC128" s="103"/>
      <c r="AD128" s="103"/>
      <c r="AE128" s="103"/>
      <c r="AF128" s="103"/>
      <c r="AG128" s="103"/>
      <c r="AH128" s="105"/>
      <c r="AI128" s="104"/>
      <c r="AJ128" s="103"/>
      <c r="AK128" s="103"/>
      <c r="AL128" s="101">
        <v>23.1</v>
      </c>
      <c r="AM128" s="102"/>
      <c r="AN128" s="103"/>
      <c r="AO128" s="103"/>
      <c r="AP128" s="103"/>
      <c r="AQ128" s="103"/>
      <c r="AR128" s="103"/>
      <c r="AS128" s="103"/>
      <c r="AT128" s="103"/>
      <c r="AU128" s="101">
        <v>481.48239999999998</v>
      </c>
      <c r="AV128" s="100">
        <v>504.58240000000001</v>
      </c>
      <c r="AW128" s="99"/>
      <c r="AX128" s="98"/>
      <c r="AY128" s="98"/>
      <c r="AZ128" s="97"/>
      <c r="BA128" s="95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  <c r="BP128" s="103"/>
      <c r="BQ128" s="103"/>
      <c r="BR128" s="103"/>
      <c r="BS128" s="103"/>
      <c r="BT128" s="103"/>
      <c r="BU128" s="103"/>
      <c r="BV128" s="94"/>
      <c r="BW128" s="96"/>
      <c r="BX128" s="103"/>
      <c r="BY128" s="103"/>
      <c r="BZ128" s="103"/>
      <c r="CA128" s="103"/>
      <c r="CB128" s="103"/>
      <c r="CC128" s="103"/>
      <c r="CD128" s="94"/>
      <c r="CE128" s="94"/>
      <c r="CF128" s="93"/>
      <c r="CG128" s="93"/>
      <c r="CH128" s="92"/>
      <c r="CI128" s="91"/>
      <c r="CJ128" s="90"/>
      <c r="CK128" s="91"/>
      <c r="CL128" s="91"/>
      <c r="CM128" s="90"/>
      <c r="CN128" s="89">
        <f>CN$4+SUMIF($C$5:CM$5,"Нараст. баланс",$C130:CM130)+SUMIF($C$7:CK$7,"Итого (с ВНР)",$C130:CK130)-SUMIF($C$5:CM$5,"Геол. снижение,  т/сут",$C130:CM130)-SUMIF(CL$7:CM$7,"Итого",CL130:CM130)-SUMIF($C$7:CM$7,"Итого (с ВСП)",$C130:CM130)</f>
        <v>30738.501996810868</v>
      </c>
      <c r="CO128" s="88"/>
      <c r="CP128" s="2"/>
    </row>
    <row r="129" spans="1:94" ht="11.25" customHeight="1" x14ac:dyDescent="0.25">
      <c r="A129" s="55" t="s">
        <v>1</v>
      </c>
      <c r="B129" s="87" t="s">
        <v>42</v>
      </c>
      <c r="C129" s="83" t="s">
        <v>62</v>
      </c>
      <c r="D129" s="83" t="s">
        <v>61</v>
      </c>
      <c r="E129" s="84"/>
      <c r="F129" s="84"/>
      <c r="G129" s="76">
        <v>2</v>
      </c>
      <c r="H129" s="84"/>
      <c r="I129" s="76">
        <v>0</v>
      </c>
      <c r="J129" s="84"/>
      <c r="K129" s="84"/>
      <c r="L129" s="84"/>
      <c r="M129" s="76">
        <v>0</v>
      </c>
      <c r="N129" s="84"/>
      <c r="O129" s="84"/>
      <c r="P129" s="76">
        <v>0</v>
      </c>
      <c r="Q129" s="76">
        <v>2</v>
      </c>
      <c r="R129" s="81"/>
      <c r="S129" s="84"/>
      <c r="T129" s="86">
        <f>SUBTOTAL(9,S131:S131)</f>
        <v>0</v>
      </c>
      <c r="U129" s="85"/>
      <c r="V129" s="84"/>
      <c r="W129" s="84"/>
      <c r="X129" s="86">
        <f>SUBTOTAL(9,V131:W131)</f>
        <v>0</v>
      </c>
      <c r="Y129" s="85"/>
      <c r="Z129" s="83" t="s">
        <v>60</v>
      </c>
      <c r="AA129" s="83" t="s">
        <v>59</v>
      </c>
      <c r="AB129" s="84"/>
      <c r="AC129" s="84"/>
      <c r="AD129" s="84"/>
      <c r="AE129" s="84"/>
      <c r="AF129" s="84"/>
      <c r="AG129" s="84"/>
      <c r="AH129" s="86">
        <f>SUBTOTAL(9,Z131:AG131)</f>
        <v>2</v>
      </c>
      <c r="AI129" s="85"/>
      <c r="AJ129" s="84"/>
      <c r="AK129" s="84"/>
      <c r="AL129" s="82">
        <f>SUBTOTAL(9,AJ131:AK131)</f>
        <v>0</v>
      </c>
      <c r="AM129" s="83"/>
      <c r="AN129" s="84"/>
      <c r="AO129" s="84"/>
      <c r="AP129" s="84"/>
      <c r="AQ129" s="84"/>
      <c r="AR129" s="84"/>
      <c r="AS129" s="84"/>
      <c r="AT129" s="84"/>
      <c r="AU129" s="82">
        <f>SUBTOTAL(9,AM131:AT131)</f>
        <v>0</v>
      </c>
      <c r="AV129" s="76">
        <f>SUBTOTAL(9,AJ131:AT131)</f>
        <v>0</v>
      </c>
      <c r="AW129" s="81"/>
      <c r="AX129" s="80"/>
      <c r="AY129" s="80"/>
      <c r="AZ129" s="79"/>
      <c r="BA129" s="77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76">
        <f>SUBTOTAL(9,BA131:BU131)</f>
        <v>0</v>
      </c>
      <c r="BW129" s="78"/>
      <c r="BX129" s="84"/>
      <c r="BY129" s="84"/>
      <c r="BZ129" s="84"/>
      <c r="CA129" s="84"/>
      <c r="CB129" s="84"/>
      <c r="CC129" s="84"/>
      <c r="CD129" s="76">
        <f>SUBTOTAL(3,BX129:CC129)</f>
        <v>0</v>
      </c>
      <c r="CE129" s="75"/>
      <c r="CF129" s="74"/>
      <c r="CG129" s="74"/>
      <c r="CH129" s="73"/>
      <c r="CI129" s="72"/>
      <c r="CJ129" s="71"/>
      <c r="CK129" s="72"/>
      <c r="CL129" s="72"/>
      <c r="CM129" s="71"/>
      <c r="CN129" s="55" t="s">
        <v>1</v>
      </c>
      <c r="CO129" s="70"/>
      <c r="CP129" s="2"/>
    </row>
    <row r="130" spans="1:94" ht="11.25" customHeight="1" x14ac:dyDescent="0.25">
      <c r="A130" s="55" t="s">
        <v>1</v>
      </c>
      <c r="B130" s="69" t="s">
        <v>8</v>
      </c>
      <c r="C130" s="65">
        <v>70</v>
      </c>
      <c r="D130" s="65">
        <v>40</v>
      </c>
      <c r="E130" s="66"/>
      <c r="F130" s="66"/>
      <c r="G130" s="56">
        <f>SUBTOTAL(9,C130:F130)</f>
        <v>110</v>
      </c>
      <c r="H130" s="66"/>
      <c r="I130" s="56">
        <f>SUBTOTAL(9,H130:H130)</f>
        <v>0</v>
      </c>
      <c r="J130" s="66"/>
      <c r="K130" s="66"/>
      <c r="L130" s="66"/>
      <c r="M130" s="56">
        <f>SUBTOTAL(9,J130:L130)</f>
        <v>0</v>
      </c>
      <c r="N130" s="66"/>
      <c r="O130" s="66"/>
      <c r="P130" s="56">
        <f>SUBTOTAL(9,N130:O130)</f>
        <v>0</v>
      </c>
      <c r="Q130" s="56">
        <f>SUBTOTAL(9,C130:O130)</f>
        <v>110</v>
      </c>
      <c r="R130" s="64">
        <v>1831</v>
      </c>
      <c r="S130" s="66"/>
      <c r="T130" s="68">
        <f>SUBTOTAL(9,S130:S130)</f>
        <v>0</v>
      </c>
      <c r="U130" s="67">
        <f>T130+IF($B126=2,0,U126)</f>
        <v>20</v>
      </c>
      <c r="V130" s="66"/>
      <c r="W130" s="66"/>
      <c r="X130" s="68">
        <f>SUBTOTAL(9,V130:W130)</f>
        <v>0</v>
      </c>
      <c r="Y130" s="67">
        <f>X130+IF($B126=2,0,Y126)</f>
        <v>170</v>
      </c>
      <c r="Z130" s="65">
        <v>7</v>
      </c>
      <c r="AA130" s="65">
        <v>10</v>
      </c>
      <c r="AB130" s="66"/>
      <c r="AC130" s="66"/>
      <c r="AD130" s="66"/>
      <c r="AE130" s="66"/>
      <c r="AF130" s="66"/>
      <c r="AG130" s="66"/>
      <c r="AH130" s="68">
        <f>SUBTOTAL(9,Z130:AG130)</f>
        <v>17</v>
      </c>
      <c r="AI130" s="67">
        <f>AH130+IF($B126=2,0,AI126)</f>
        <v>179.9</v>
      </c>
      <c r="AJ130" s="66"/>
      <c r="AK130" s="66"/>
      <c r="AL130" s="61">
        <f>SUBTOTAL(9,AJ130:AK130)</f>
        <v>0</v>
      </c>
      <c r="AM130" s="65">
        <v>6.1</v>
      </c>
      <c r="AN130" s="66"/>
      <c r="AO130" s="66"/>
      <c r="AP130" s="66"/>
      <c r="AQ130" s="66"/>
      <c r="AR130" s="66"/>
      <c r="AS130" s="66"/>
      <c r="AT130" s="66"/>
      <c r="AU130" s="61">
        <f>SUBTOTAL(9,AM130:AT130)</f>
        <v>6.1</v>
      </c>
      <c r="AV130" s="56">
        <f>SUBTOTAL(9,AJ130:AT130)</f>
        <v>6.1</v>
      </c>
      <c r="AW130" s="64">
        <f>AV130+IF($B126=2,0,AW126)</f>
        <v>504.58240000000001</v>
      </c>
      <c r="AX130" s="63"/>
      <c r="AY130" s="63"/>
      <c r="AZ130" s="62">
        <v>1500</v>
      </c>
      <c r="BA130" s="60">
        <v>4.9000000000000004</v>
      </c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56">
        <f>SUBTOTAL(9,BA130:BU130)</f>
        <v>4.9000000000000004</v>
      </c>
      <c r="BW130" s="61">
        <f>BV130+IF($B126=2,0,BW126)</f>
        <v>690.36379999999997</v>
      </c>
      <c r="BX130" s="66"/>
      <c r="BY130" s="66"/>
      <c r="BZ130" s="66"/>
      <c r="CA130" s="66"/>
      <c r="CB130" s="66"/>
      <c r="CC130" s="66"/>
      <c r="CD130" s="56">
        <f>SUBTOTAL(9,BX130:CC130)</f>
        <v>0</v>
      </c>
      <c r="CE130" s="56">
        <f>CD130+IF($B126=2,0,CE126)</f>
        <v>5.8</v>
      </c>
      <c r="CF130" s="59">
        <v>307.10000000000002</v>
      </c>
      <c r="CG130" s="59">
        <v>307.10000000000002</v>
      </c>
      <c r="CH130" s="58">
        <f>SUMIF($C$5:CG$5,"Накопленный эффект, т/сут",$C130:CG130)+SUMIF($C$5:CG$5,"Нараст.  по потенциалу",$C130:CG130)-SUMIF($C$5:CG$5,"Нараст. по остановкам",$C130:CG130)-SUMIF($C$5:CG$5,"ИТОГО перевод в ППД",$C130:CG130)-SUMIF($C$5:CG$5,"ИТОГО  нерент, по распоряж.",$C130:CG130)-SUMIF($C$5:CG$5,"ИТОГО ост. дебит от ЗБС, Углуб., ПВЛГ/ПНЛГ",$C130:CG130)</f>
        <v>2009.3185999999998</v>
      </c>
      <c r="CI130" s="57"/>
      <c r="CJ130" s="56">
        <v>18.557603189132401</v>
      </c>
      <c r="CK130" s="57"/>
      <c r="CL130" s="57"/>
      <c r="CM130" s="56">
        <f>SUBTOTAL(9,CI130:CL130)</f>
        <v>18.557603189132401</v>
      </c>
      <c r="CN130" s="55" t="s">
        <v>1</v>
      </c>
      <c r="CO130" s="54">
        <f>CO$4+SUMIF($C$5:CM$5,"Нараст. по остановкам",$C130:CM130)-SUMIF($C$5:CM$5,"Нараст.  по потенциалу",$C130:CM130)</f>
        <v>861.88156228627508</v>
      </c>
      <c r="CP130" s="2"/>
    </row>
    <row r="131" spans="1:94" ht="1.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>
        <v>1</v>
      </c>
      <c r="AA131" s="3">
        <v>1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2"/>
    </row>
    <row r="132" spans="1:94" ht="11.25" customHeight="1" x14ac:dyDescent="0.25">
      <c r="A132" s="107">
        <v>45382</v>
      </c>
      <c r="B132" s="106" t="s">
        <v>58</v>
      </c>
      <c r="C132" s="102" t="s">
        <v>57</v>
      </c>
      <c r="D132" s="102" t="s">
        <v>57</v>
      </c>
      <c r="E132" s="103"/>
      <c r="F132" s="103"/>
      <c r="G132" s="100">
        <v>1580</v>
      </c>
      <c r="H132" s="103"/>
      <c r="I132" s="100">
        <v>18</v>
      </c>
      <c r="J132" s="102" t="s">
        <v>47</v>
      </c>
      <c r="K132" s="102" t="s">
        <v>52</v>
      </c>
      <c r="L132" s="103"/>
      <c r="M132" s="100">
        <v>338</v>
      </c>
      <c r="N132" s="103"/>
      <c r="O132" s="103"/>
      <c r="P132" s="100">
        <v>20</v>
      </c>
      <c r="Q132" s="100">
        <v>1956</v>
      </c>
      <c r="R132" s="99"/>
      <c r="S132" s="103"/>
      <c r="T132" s="105"/>
      <c r="U132" s="104"/>
      <c r="V132" s="102" t="s">
        <v>56</v>
      </c>
      <c r="W132" s="103"/>
      <c r="X132" s="105"/>
      <c r="Y132" s="104"/>
      <c r="Z132" s="102" t="s">
        <v>55</v>
      </c>
      <c r="AA132" s="102" t="s">
        <v>55</v>
      </c>
      <c r="AB132" s="102" t="s">
        <v>54</v>
      </c>
      <c r="AC132" s="102" t="s">
        <v>44</v>
      </c>
      <c r="AD132" s="102" t="s">
        <v>51</v>
      </c>
      <c r="AE132" s="102" t="s">
        <v>53</v>
      </c>
      <c r="AF132" s="102" t="s">
        <v>52</v>
      </c>
      <c r="AG132" s="102" t="s">
        <v>51</v>
      </c>
      <c r="AH132" s="105"/>
      <c r="AI132" s="104"/>
      <c r="AJ132" s="103"/>
      <c r="AK132" s="103"/>
      <c r="AL132" s="101">
        <v>23.1</v>
      </c>
      <c r="AM132" s="102" t="s">
        <v>46</v>
      </c>
      <c r="AN132" s="102" t="s">
        <v>45</v>
      </c>
      <c r="AO132" s="102" t="s">
        <v>45</v>
      </c>
      <c r="AP132" s="102" t="s">
        <v>45</v>
      </c>
      <c r="AQ132" s="102" t="s">
        <v>51</v>
      </c>
      <c r="AR132" s="102" t="s">
        <v>44</v>
      </c>
      <c r="AS132" s="102" t="s">
        <v>43</v>
      </c>
      <c r="AT132" s="102"/>
      <c r="AU132" s="101">
        <v>578.08339999999998</v>
      </c>
      <c r="AV132" s="100">
        <v>601.18340000000001</v>
      </c>
      <c r="AW132" s="99"/>
      <c r="AX132" s="98"/>
      <c r="AY132" s="98"/>
      <c r="AZ132" s="97"/>
      <c r="BA132" s="95" t="s">
        <v>46</v>
      </c>
      <c r="BB132" s="95" t="s">
        <v>45</v>
      </c>
      <c r="BC132" s="95" t="s">
        <v>47</v>
      </c>
      <c r="BD132" s="95" t="s">
        <v>47</v>
      </c>
      <c r="BE132" s="95" t="s">
        <v>45</v>
      </c>
      <c r="BF132" s="95" t="s">
        <v>45</v>
      </c>
      <c r="BG132" s="95" t="s">
        <v>50</v>
      </c>
      <c r="BH132" s="95" t="s">
        <v>47</v>
      </c>
      <c r="BI132" s="95" t="s">
        <v>47</v>
      </c>
      <c r="BJ132" s="95" t="s">
        <v>47</v>
      </c>
      <c r="BK132" s="95" t="s">
        <v>49</v>
      </c>
      <c r="BL132" s="95" t="s">
        <v>47</v>
      </c>
      <c r="BM132" s="95" t="s">
        <v>49</v>
      </c>
      <c r="BN132" s="95" t="s">
        <v>48</v>
      </c>
      <c r="BO132" s="95" t="s">
        <v>44</v>
      </c>
      <c r="BP132" s="95" t="s">
        <v>47</v>
      </c>
      <c r="BQ132" s="95" t="s">
        <v>47</v>
      </c>
      <c r="BR132" s="95" t="s">
        <v>47</v>
      </c>
      <c r="BS132" s="95" t="s">
        <v>47</v>
      </c>
      <c r="BT132" s="95" t="s">
        <v>43</v>
      </c>
      <c r="BU132" s="95"/>
      <c r="BV132" s="94"/>
      <c r="BW132" s="96"/>
      <c r="BX132" s="95" t="s">
        <v>46</v>
      </c>
      <c r="BY132" s="95" t="s">
        <v>45</v>
      </c>
      <c r="BZ132" s="95" t="s">
        <v>45</v>
      </c>
      <c r="CA132" s="95" t="s">
        <v>45</v>
      </c>
      <c r="CB132" s="95" t="s">
        <v>44</v>
      </c>
      <c r="CC132" s="95" t="s">
        <v>43</v>
      </c>
      <c r="CD132" s="94"/>
      <c r="CE132" s="94"/>
      <c r="CF132" s="93"/>
      <c r="CG132" s="93"/>
      <c r="CH132" s="92"/>
      <c r="CI132" s="91"/>
      <c r="CJ132" s="91"/>
      <c r="CK132" s="91"/>
      <c r="CL132" s="91"/>
      <c r="CM132" s="90"/>
      <c r="CN132" s="89">
        <f>CN$4+SUMIF($C$5:CM$5,"Нараст. баланс",$C134:CM134)+SUMIF($C$7:CK$7,"Итого (с ВНР)",$C134:CK134)-SUMIF($C$5:CM$5,"Геол. снижение,  т/сут",$C134:CM134)-SUMIF(CL$7:CM$7,"Итого",CL134:CM134)-SUMIF($C$7:CM$7,"Итого (с ВСП)",$C134:CM134)</f>
        <v>30839.8586</v>
      </c>
      <c r="CO132" s="88"/>
      <c r="CP132" s="2"/>
    </row>
    <row r="133" spans="1:94" ht="11.25" customHeight="1" x14ac:dyDescent="0.25">
      <c r="A133" s="55" t="s">
        <v>1</v>
      </c>
      <c r="B133" s="87" t="s">
        <v>42</v>
      </c>
      <c r="C133" s="83" t="s">
        <v>41</v>
      </c>
      <c r="D133" s="83" t="s">
        <v>40</v>
      </c>
      <c r="E133" s="84"/>
      <c r="F133" s="84"/>
      <c r="G133" s="76">
        <v>2</v>
      </c>
      <c r="H133" s="84"/>
      <c r="I133" s="76">
        <v>0</v>
      </c>
      <c r="J133" s="83" t="s">
        <v>39</v>
      </c>
      <c r="K133" s="83" t="s">
        <v>38</v>
      </c>
      <c r="L133" s="84"/>
      <c r="M133" s="76">
        <v>2</v>
      </c>
      <c r="N133" s="84"/>
      <c r="O133" s="84"/>
      <c r="P133" s="76">
        <v>0</v>
      </c>
      <c r="Q133" s="76">
        <v>4</v>
      </c>
      <c r="R133" s="81"/>
      <c r="S133" s="84"/>
      <c r="T133" s="86">
        <f>SUBTOTAL(9,S135:S135)</f>
        <v>0</v>
      </c>
      <c r="U133" s="85"/>
      <c r="V133" s="83"/>
      <c r="W133" s="84"/>
      <c r="X133" s="86">
        <f>SUBTOTAL(9,V135:W135)</f>
        <v>0</v>
      </c>
      <c r="Y133" s="85"/>
      <c r="Z133" s="83" t="s">
        <v>37</v>
      </c>
      <c r="AA133" s="83" t="s">
        <v>36</v>
      </c>
      <c r="AB133" s="83" t="s">
        <v>35</v>
      </c>
      <c r="AC133" s="83" t="s">
        <v>34</v>
      </c>
      <c r="AD133" s="83" t="s">
        <v>33</v>
      </c>
      <c r="AE133" s="83" t="s">
        <v>32</v>
      </c>
      <c r="AF133" s="83" t="s">
        <v>31</v>
      </c>
      <c r="AG133" s="83" t="s">
        <v>30</v>
      </c>
      <c r="AH133" s="86">
        <f>SUBTOTAL(9,Z135:AG135)</f>
        <v>8</v>
      </c>
      <c r="AI133" s="85"/>
      <c r="AJ133" s="84"/>
      <c r="AK133" s="84"/>
      <c r="AL133" s="82">
        <f>SUBTOTAL(9,AJ135:AK135)</f>
        <v>0</v>
      </c>
      <c r="AM133" s="83" t="s">
        <v>14</v>
      </c>
      <c r="AN133" s="83" t="s">
        <v>13</v>
      </c>
      <c r="AO133" s="83" t="s">
        <v>12</v>
      </c>
      <c r="AP133" s="83" t="s">
        <v>11</v>
      </c>
      <c r="AQ133" s="83" t="s">
        <v>29</v>
      </c>
      <c r="AR133" s="83" t="s">
        <v>10</v>
      </c>
      <c r="AS133" s="83" t="s">
        <v>9</v>
      </c>
      <c r="AT133" s="83"/>
      <c r="AU133" s="82">
        <f>SUBTOTAL(9,AM135:AT135)</f>
        <v>7</v>
      </c>
      <c r="AV133" s="76">
        <f>SUBTOTAL(9,AJ135:AT135)</f>
        <v>7</v>
      </c>
      <c r="AW133" s="81"/>
      <c r="AX133" s="80"/>
      <c r="AY133" s="80"/>
      <c r="AZ133" s="79"/>
      <c r="BA133" s="77" t="s">
        <v>14</v>
      </c>
      <c r="BB133" s="77" t="s">
        <v>13</v>
      </c>
      <c r="BC133" s="77" t="s">
        <v>28</v>
      </c>
      <c r="BD133" s="77" t="s">
        <v>27</v>
      </c>
      <c r="BE133" s="77" t="s">
        <v>12</v>
      </c>
      <c r="BF133" s="77" t="s">
        <v>11</v>
      </c>
      <c r="BG133" s="77" t="s">
        <v>26</v>
      </c>
      <c r="BH133" s="77" t="s">
        <v>25</v>
      </c>
      <c r="BI133" s="77" t="s">
        <v>24</v>
      </c>
      <c r="BJ133" s="77" t="s">
        <v>23</v>
      </c>
      <c r="BK133" s="77" t="s">
        <v>22</v>
      </c>
      <c r="BL133" s="77" t="s">
        <v>21</v>
      </c>
      <c r="BM133" s="77" t="s">
        <v>20</v>
      </c>
      <c r="BN133" s="77" t="s">
        <v>19</v>
      </c>
      <c r="BO133" s="77" t="s">
        <v>10</v>
      </c>
      <c r="BP133" s="77" t="s">
        <v>18</v>
      </c>
      <c r="BQ133" s="77" t="s">
        <v>17</v>
      </c>
      <c r="BR133" s="77" t="s">
        <v>16</v>
      </c>
      <c r="BS133" s="77" t="s">
        <v>15</v>
      </c>
      <c r="BT133" s="77" t="s">
        <v>9</v>
      </c>
      <c r="BU133" s="77"/>
      <c r="BV133" s="76">
        <f>SUBTOTAL(9,BA135:BU135)</f>
        <v>20</v>
      </c>
      <c r="BW133" s="78"/>
      <c r="BX133" s="77" t="s">
        <v>14</v>
      </c>
      <c r="BY133" s="77" t="s">
        <v>13</v>
      </c>
      <c r="BZ133" s="77" t="s">
        <v>12</v>
      </c>
      <c r="CA133" s="77" t="s">
        <v>11</v>
      </c>
      <c r="CB133" s="77" t="s">
        <v>10</v>
      </c>
      <c r="CC133" s="77" t="s">
        <v>9</v>
      </c>
      <c r="CD133" s="76">
        <f>SUBTOTAL(3,BX133:CC133)</f>
        <v>6</v>
      </c>
      <c r="CE133" s="75"/>
      <c r="CF133" s="74"/>
      <c r="CG133" s="74"/>
      <c r="CH133" s="73"/>
      <c r="CI133" s="72"/>
      <c r="CJ133" s="72"/>
      <c r="CK133" s="72"/>
      <c r="CL133" s="72"/>
      <c r="CM133" s="71"/>
      <c r="CN133" s="55" t="s">
        <v>1</v>
      </c>
      <c r="CO133" s="70"/>
      <c r="CP133" s="2"/>
    </row>
    <row r="134" spans="1:94" ht="11.25" customHeight="1" x14ac:dyDescent="0.25">
      <c r="A134" s="55" t="s">
        <v>1</v>
      </c>
      <c r="B134" s="69" t="s">
        <v>8</v>
      </c>
      <c r="C134" s="65">
        <v>70</v>
      </c>
      <c r="D134" s="65">
        <v>30</v>
      </c>
      <c r="E134" s="66"/>
      <c r="F134" s="66"/>
      <c r="G134" s="56">
        <f>SUBTOTAL(9,C134:F134)</f>
        <v>100</v>
      </c>
      <c r="H134" s="66"/>
      <c r="I134" s="56">
        <f>SUBTOTAL(9,H134:H134)</f>
        <v>0</v>
      </c>
      <c r="J134" s="65">
        <v>20</v>
      </c>
      <c r="K134" s="65">
        <v>5</v>
      </c>
      <c r="L134" s="66"/>
      <c r="M134" s="56">
        <f>SUBTOTAL(9,J134:L134)</f>
        <v>25</v>
      </c>
      <c r="N134" s="66"/>
      <c r="O134" s="66"/>
      <c r="P134" s="56">
        <f>SUBTOTAL(9,N134:O134)</f>
        <v>0</v>
      </c>
      <c r="Q134" s="56">
        <f>SUBTOTAL(9,C134:O134)</f>
        <v>125</v>
      </c>
      <c r="R134" s="64">
        <v>1956</v>
      </c>
      <c r="S134" s="66"/>
      <c r="T134" s="68">
        <f>SUBTOTAL(9,S134:S134)</f>
        <v>0</v>
      </c>
      <c r="U134" s="67">
        <f>T134+IF($B130=2,0,U130)</f>
        <v>20</v>
      </c>
      <c r="V134" s="65">
        <v>-296</v>
      </c>
      <c r="W134" s="66"/>
      <c r="X134" s="68">
        <f>SUBTOTAL(9,V134:W134)</f>
        <v>-296</v>
      </c>
      <c r="Y134" s="67">
        <f>X134+IF($B130=2,0,Y130)</f>
        <v>-126</v>
      </c>
      <c r="Z134" s="65">
        <v>3</v>
      </c>
      <c r="AA134" s="65">
        <v>3</v>
      </c>
      <c r="AB134" s="65">
        <v>7</v>
      </c>
      <c r="AC134" s="65">
        <v>4</v>
      </c>
      <c r="AD134" s="65">
        <v>6</v>
      </c>
      <c r="AE134" s="65">
        <v>5</v>
      </c>
      <c r="AF134" s="65">
        <v>4</v>
      </c>
      <c r="AG134" s="65">
        <v>3</v>
      </c>
      <c r="AH134" s="68">
        <f>SUBTOTAL(9,Z134:AG134)</f>
        <v>35</v>
      </c>
      <c r="AI134" s="67">
        <f>AH134+IF($B130=2,0,AI130)</f>
        <v>214.9</v>
      </c>
      <c r="AJ134" s="66"/>
      <c r="AK134" s="66"/>
      <c r="AL134" s="61">
        <f>SUBTOTAL(9,AJ134:AK134)</f>
        <v>0</v>
      </c>
      <c r="AM134" s="65">
        <v>9.3000000000000007</v>
      </c>
      <c r="AN134" s="65">
        <v>3.1</v>
      </c>
      <c r="AO134" s="65">
        <v>3.3010000000000002</v>
      </c>
      <c r="AP134" s="65">
        <v>16.899999999999999</v>
      </c>
      <c r="AQ134" s="65">
        <v>6.2</v>
      </c>
      <c r="AR134" s="65">
        <v>1.2</v>
      </c>
      <c r="AS134" s="65">
        <v>2.2999999999999998</v>
      </c>
      <c r="AT134" s="65">
        <v>54.3</v>
      </c>
      <c r="AU134" s="61">
        <f>SUBTOTAL(9,AM134:AT134)</f>
        <v>96.600999999999999</v>
      </c>
      <c r="AV134" s="56">
        <f>SUBTOTAL(9,AJ134:AT134)</f>
        <v>96.600999999999999</v>
      </c>
      <c r="AW134" s="64">
        <f>AV134+IF($B130=2,0,AW130)</f>
        <v>601.18340000000001</v>
      </c>
      <c r="AX134" s="63"/>
      <c r="AY134" s="63"/>
      <c r="AZ134" s="62">
        <v>1550</v>
      </c>
      <c r="BA134" s="60">
        <v>9.3000000000000007</v>
      </c>
      <c r="BB134" s="60">
        <v>3.1</v>
      </c>
      <c r="BC134" s="60">
        <v>1.2</v>
      </c>
      <c r="BD134" s="60">
        <v>5.6</v>
      </c>
      <c r="BE134" s="60">
        <v>3.3010000000000002</v>
      </c>
      <c r="BF134" s="60">
        <v>16.899999999999999</v>
      </c>
      <c r="BG134" s="60">
        <v>1.5</v>
      </c>
      <c r="BH134" s="60">
        <v>2.1</v>
      </c>
      <c r="BI134" s="60">
        <v>4.0999999999999996</v>
      </c>
      <c r="BJ134" s="60">
        <v>15.3</v>
      </c>
      <c r="BK134" s="60">
        <v>3.3</v>
      </c>
      <c r="BL134" s="60">
        <v>4.3</v>
      </c>
      <c r="BM134" s="60">
        <v>4.4000000000000004</v>
      </c>
      <c r="BN134" s="60">
        <v>5.9</v>
      </c>
      <c r="BO134" s="60">
        <v>1.2</v>
      </c>
      <c r="BP134" s="60">
        <v>0.8</v>
      </c>
      <c r="BQ134" s="60">
        <v>3.7</v>
      </c>
      <c r="BR134" s="60">
        <v>1.8</v>
      </c>
      <c r="BS134" s="60">
        <v>1.6</v>
      </c>
      <c r="BT134" s="60">
        <v>2.2999999999999998</v>
      </c>
      <c r="BU134" s="60">
        <v>7.1</v>
      </c>
      <c r="BV134" s="56">
        <f>SUBTOTAL(9,BA134:BU134)</f>
        <v>98.800999999999988</v>
      </c>
      <c r="BW134" s="61">
        <f>BV134+IF($B130=2,0,BW130)</f>
        <v>789.16480000000001</v>
      </c>
      <c r="BX134" s="60">
        <v>9.3000000000000007</v>
      </c>
      <c r="BY134" s="60">
        <v>3.1</v>
      </c>
      <c r="BZ134" s="60">
        <v>3.3010000000000002</v>
      </c>
      <c r="CA134" s="60">
        <v>16.899999999999999</v>
      </c>
      <c r="CB134" s="60">
        <v>1.2</v>
      </c>
      <c r="CC134" s="60">
        <v>2.2999999999999998</v>
      </c>
      <c r="CD134" s="56">
        <f>SUBTOTAL(9,BX134:CC134)</f>
        <v>36.100999999999999</v>
      </c>
      <c r="CE134" s="56">
        <f>CD134+IF($B130=2,0,CE130)</f>
        <v>41.900999999999996</v>
      </c>
      <c r="CF134" s="59"/>
      <c r="CG134" s="59"/>
      <c r="CH134" s="58">
        <f>SUMIF($C$5:CG$5,"Накопленный эффект, т/сут",$C134:CG134)+SUMIF($C$5:CG$5,"Нараст.  по потенциалу",$C134:CG134)-SUMIF($C$5:CG$5,"Нараст. по остановкам",$C134:CG134)-SUMIF($C$5:CG$5,"ИТОГО перевод в ППД",$C134:CG134)-SUMIF($C$5:CG$5,"ИТОГО  нерент, по распоряж.",$C134:CG134)-SUMIF($C$5:CG$5,"ИТОГО ост. дебит от ЗБС, Углуб., ПВЛГ/ПНЛГ",$C134:CG134)</f>
        <v>1835.0175999999999</v>
      </c>
      <c r="CI134" s="57"/>
      <c r="CJ134" s="57"/>
      <c r="CK134" s="57"/>
      <c r="CL134" s="57"/>
      <c r="CM134" s="56">
        <f>SUBTOTAL(9,CI134:CL134)</f>
        <v>0</v>
      </c>
      <c r="CN134" s="55" t="s">
        <v>1</v>
      </c>
      <c r="CO134" s="54">
        <f>CO$4+SUMIF($C$5:CM$5,"Нараст. по остановкам",$C134:CM134)-SUMIF($C$5:CM$5,"Нараст.  по потенциалу",$C134:CM134)</f>
        <v>864.08156228627502</v>
      </c>
      <c r="CP134" s="2"/>
    </row>
    <row r="135" spans="1:94" ht="1.5" customHeight="1" thickBo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>
        <v>1</v>
      </c>
      <c r="AA135" s="3">
        <v>1</v>
      </c>
      <c r="AB135" s="3">
        <v>1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/>
      <c r="AI135" s="3"/>
      <c r="AJ135" s="3"/>
      <c r="AK135" s="3"/>
      <c r="AL135" s="3"/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3"/>
      <c r="AU135" s="3"/>
      <c r="AV135" s="3"/>
      <c r="AW135" s="3"/>
      <c r="AX135" s="3"/>
      <c r="AY135" s="3"/>
      <c r="AZ135" s="3"/>
      <c r="BA135" s="3">
        <v>1</v>
      </c>
      <c r="BB135" s="3">
        <v>1</v>
      </c>
      <c r="BC135" s="3">
        <v>1</v>
      </c>
      <c r="BD135" s="3">
        <v>1</v>
      </c>
      <c r="BE135" s="3">
        <v>1</v>
      </c>
      <c r="BF135" s="3">
        <v>1</v>
      </c>
      <c r="BG135" s="3">
        <v>1</v>
      </c>
      <c r="BH135" s="3">
        <v>1</v>
      </c>
      <c r="BI135" s="3">
        <v>1</v>
      </c>
      <c r="BJ135" s="3">
        <v>1</v>
      </c>
      <c r="BK135" s="3">
        <v>1</v>
      </c>
      <c r="BL135" s="3">
        <v>1</v>
      </c>
      <c r="BM135" s="3">
        <v>1</v>
      </c>
      <c r="BN135" s="3">
        <v>1</v>
      </c>
      <c r="BO135" s="3">
        <v>1</v>
      </c>
      <c r="BP135" s="3">
        <v>1</v>
      </c>
      <c r="BQ135" s="3">
        <v>1</v>
      </c>
      <c r="BR135" s="3">
        <v>1</v>
      </c>
      <c r="BS135" s="3">
        <v>1</v>
      </c>
      <c r="BT135" s="3">
        <v>1</v>
      </c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2"/>
    </row>
    <row r="136" spans="1:94" ht="24" customHeight="1" x14ac:dyDescent="0.25">
      <c r="A136" s="53" t="s">
        <v>7</v>
      </c>
      <c r="B136" s="52" t="s">
        <v>1</v>
      </c>
      <c r="C136" s="48"/>
      <c r="D136" s="48"/>
      <c r="E136" s="48"/>
      <c r="F136" s="48"/>
      <c r="G136" s="47">
        <v>22</v>
      </c>
      <c r="H136" s="48"/>
      <c r="I136" s="47">
        <v>3</v>
      </c>
      <c r="J136" s="48"/>
      <c r="K136" s="48"/>
      <c r="L136" s="48"/>
      <c r="M136" s="47">
        <v>18</v>
      </c>
      <c r="N136" s="48"/>
      <c r="O136" s="48"/>
      <c r="P136" s="47">
        <v>4</v>
      </c>
      <c r="Q136" s="51">
        <v>47</v>
      </c>
      <c r="R136" s="50"/>
      <c r="S136" s="48"/>
      <c r="T136" s="47">
        <v>3</v>
      </c>
      <c r="U136" s="49"/>
      <c r="V136" s="48"/>
      <c r="W136" s="48"/>
      <c r="X136" s="47">
        <v>4</v>
      </c>
      <c r="Y136" s="49"/>
      <c r="Z136" s="48"/>
      <c r="AA136" s="48"/>
      <c r="AB136" s="48"/>
      <c r="AC136" s="48"/>
      <c r="AD136" s="48"/>
      <c r="AE136" s="48"/>
      <c r="AF136" s="48"/>
      <c r="AG136" s="48"/>
      <c r="AH136" s="47">
        <v>39</v>
      </c>
      <c r="AI136" s="49"/>
      <c r="AJ136" s="48"/>
      <c r="AK136" s="48"/>
      <c r="AL136" s="47">
        <v>5</v>
      </c>
      <c r="AM136" s="48"/>
      <c r="AN136" s="48"/>
      <c r="AO136" s="48"/>
      <c r="AP136" s="48"/>
      <c r="AQ136" s="48"/>
      <c r="AR136" s="48"/>
      <c r="AS136" s="48"/>
      <c r="AT136" s="48"/>
      <c r="AU136" s="47">
        <v>20</v>
      </c>
      <c r="AV136" s="44">
        <v>25</v>
      </c>
      <c r="AW136" s="46"/>
      <c r="AX136" s="40" t="s">
        <v>1</v>
      </c>
      <c r="AY136" s="40" t="s">
        <v>1</v>
      </c>
      <c r="AZ136" s="45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4">
        <v>39</v>
      </c>
      <c r="BW136" s="41"/>
      <c r="BX136" s="43"/>
      <c r="BY136" s="43"/>
      <c r="BZ136" s="43"/>
      <c r="CA136" s="43"/>
      <c r="CB136" s="43"/>
      <c r="CC136" s="43"/>
      <c r="CD136" s="42">
        <v>7</v>
      </c>
      <c r="CE136" s="41"/>
      <c r="CF136" s="40"/>
      <c r="CG136" s="40"/>
      <c r="CH136" s="39"/>
      <c r="CI136" s="38"/>
      <c r="CJ136" s="38"/>
      <c r="CK136" s="38"/>
      <c r="CL136" s="38"/>
      <c r="CM136" s="38"/>
      <c r="CN136" s="38"/>
      <c r="CO136" s="37"/>
      <c r="CP136" s="2"/>
    </row>
    <row r="137" spans="1:94" ht="24" customHeight="1" x14ac:dyDescent="0.25">
      <c r="A137" s="25" t="s">
        <v>6</v>
      </c>
      <c r="B137" s="24" t="s">
        <v>1</v>
      </c>
      <c r="C137" s="21"/>
      <c r="D137" s="21"/>
      <c r="E137" s="21"/>
      <c r="F137" s="21"/>
      <c r="G137" s="33">
        <v>1580</v>
      </c>
      <c r="H137" s="21"/>
      <c r="I137" s="33">
        <v>18</v>
      </c>
      <c r="J137" s="21"/>
      <c r="K137" s="21"/>
      <c r="L137" s="21"/>
      <c r="M137" s="33">
        <v>338</v>
      </c>
      <c r="N137" s="21"/>
      <c r="O137" s="21"/>
      <c r="P137" s="33">
        <v>20</v>
      </c>
      <c r="Q137" s="36">
        <v>1956</v>
      </c>
      <c r="R137" s="35"/>
      <c r="S137" s="21"/>
      <c r="T137" s="33">
        <v>20</v>
      </c>
      <c r="U137" s="34"/>
      <c r="V137" s="21"/>
      <c r="W137" s="21"/>
      <c r="X137" s="33">
        <v>-126</v>
      </c>
      <c r="Y137" s="34"/>
      <c r="Z137" s="21"/>
      <c r="AA137" s="21"/>
      <c r="AB137" s="21"/>
      <c r="AC137" s="21"/>
      <c r="AD137" s="21"/>
      <c r="AE137" s="21"/>
      <c r="AF137" s="21"/>
      <c r="AG137" s="21"/>
      <c r="AH137" s="33">
        <v>214.9</v>
      </c>
      <c r="AI137" s="34"/>
      <c r="AJ137" s="21"/>
      <c r="AK137" s="21"/>
      <c r="AL137" s="33">
        <v>23.1</v>
      </c>
      <c r="AM137" s="21"/>
      <c r="AN137" s="21"/>
      <c r="AO137" s="21"/>
      <c r="AP137" s="21"/>
      <c r="AQ137" s="21"/>
      <c r="AR137" s="21"/>
      <c r="AS137" s="21"/>
      <c r="AT137" s="21"/>
      <c r="AU137" s="33">
        <v>578.08339999999998</v>
      </c>
      <c r="AV137" s="10">
        <v>601.18340000000001</v>
      </c>
      <c r="AW137" s="28"/>
      <c r="AX137" s="30"/>
      <c r="AY137" s="30"/>
      <c r="AZ137" s="32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0">
        <v>789.16480000000001</v>
      </c>
      <c r="BW137" s="31"/>
      <c r="BX137" s="16"/>
      <c r="BY137" s="16"/>
      <c r="BZ137" s="16"/>
      <c r="CA137" s="16"/>
      <c r="CB137" s="16"/>
      <c r="CC137" s="16"/>
      <c r="CD137" s="10">
        <v>41.901000000000003</v>
      </c>
      <c r="CE137" s="31"/>
      <c r="CF137" s="30"/>
      <c r="CG137" s="30"/>
      <c r="CH137" s="29"/>
      <c r="CI137" s="28"/>
      <c r="CJ137" s="28"/>
      <c r="CK137" s="28"/>
      <c r="CL137" s="28"/>
      <c r="CM137" s="28"/>
      <c r="CN137" s="27" t="s">
        <v>5</v>
      </c>
      <c r="CO137" s="26"/>
      <c r="CP137" s="2"/>
    </row>
    <row r="138" spans="1:94" ht="24" customHeight="1" x14ac:dyDescent="0.25">
      <c r="A138" s="25" t="s">
        <v>4</v>
      </c>
      <c r="B138" s="24" t="s">
        <v>1</v>
      </c>
      <c r="C138" s="21"/>
      <c r="D138" s="21"/>
      <c r="E138" s="21"/>
      <c r="F138" s="21"/>
      <c r="G138" s="20">
        <v>20600</v>
      </c>
      <c r="H138" s="21"/>
      <c r="I138" s="20">
        <v>252</v>
      </c>
      <c r="J138" s="21"/>
      <c r="K138" s="21"/>
      <c r="L138" s="21"/>
      <c r="M138" s="20">
        <v>4324</v>
      </c>
      <c r="N138" s="21"/>
      <c r="O138" s="21"/>
      <c r="P138" s="20">
        <v>100</v>
      </c>
      <c r="Q138" s="23">
        <v>25276</v>
      </c>
      <c r="R138" s="23">
        <f>SUM(R$12:R134)</f>
        <v>25276</v>
      </c>
      <c r="S138" s="21"/>
      <c r="T138" s="20">
        <f>U138</f>
        <v>308</v>
      </c>
      <c r="U138" s="22">
        <f>SUM(U$12:U134)</f>
        <v>308</v>
      </c>
      <c r="V138" s="21"/>
      <c r="W138" s="21"/>
      <c r="X138" s="20">
        <f>Y138</f>
        <v>4284</v>
      </c>
      <c r="Y138" s="22">
        <f>SUM(Y$12:Y134)</f>
        <v>4284</v>
      </c>
      <c r="Z138" s="21"/>
      <c r="AA138" s="21"/>
      <c r="AB138" s="21"/>
      <c r="AC138" s="21"/>
      <c r="AD138" s="21"/>
      <c r="AE138" s="21"/>
      <c r="AF138" s="21"/>
      <c r="AG138" s="21"/>
      <c r="AH138" s="20">
        <f>AI138</f>
        <v>2068.0000000000005</v>
      </c>
      <c r="AI138" s="22">
        <f>SUM(AI$12:AI134)</f>
        <v>2068.0000000000005</v>
      </c>
      <c r="AJ138" s="21"/>
      <c r="AK138" s="21"/>
      <c r="AL138" s="20">
        <v>241.6</v>
      </c>
      <c r="AM138" s="21"/>
      <c r="AN138" s="21"/>
      <c r="AO138" s="21"/>
      <c r="AP138" s="21"/>
      <c r="AQ138" s="21"/>
      <c r="AR138" s="21"/>
      <c r="AS138" s="21"/>
      <c r="AT138" s="21"/>
      <c r="AU138" s="20">
        <v>10250.1662</v>
      </c>
      <c r="AV138" s="18">
        <v>10491.7662</v>
      </c>
      <c r="AW138" s="11">
        <f>SUM(AW$12:AW134)</f>
        <v>10491.7662</v>
      </c>
      <c r="AX138" s="14">
        <f>SUM(AX$14:AX134)</f>
        <v>803.9</v>
      </c>
      <c r="AY138" s="14">
        <f>SUM(AY$14:AY134)</f>
        <v>803.9</v>
      </c>
      <c r="AZ138" s="19">
        <f>SUM(AZ$12:AZ134)</f>
        <v>24800</v>
      </c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8">
        <f>BW138</f>
        <v>15154.143599999998</v>
      </c>
      <c r="BW138" s="17">
        <f>SUM(BW$12:BW134)</f>
        <v>15154.143599999998</v>
      </c>
      <c r="BX138" s="16"/>
      <c r="BY138" s="16"/>
      <c r="BZ138" s="16"/>
      <c r="CA138" s="16"/>
      <c r="CB138" s="16"/>
      <c r="CC138" s="16"/>
      <c r="CD138" s="10">
        <f>CE138</f>
        <v>163.70099999999996</v>
      </c>
      <c r="CE138" s="15">
        <f>SUM(CE$12:CE134)</f>
        <v>163.70099999999996</v>
      </c>
      <c r="CF138" s="14">
        <f>SUM(CF$14:CF134)</f>
        <v>3899.33</v>
      </c>
      <c r="CG138" s="14">
        <f>SUM(CG$14:CG134)</f>
        <v>3899.33</v>
      </c>
      <c r="CH138" s="13">
        <f>SUM(CH$12:CH134)</f>
        <v>27109.921600000001</v>
      </c>
      <c r="CI138" s="12">
        <f>SUBTOTAL(9,CI$14:CI134)</f>
        <v>267.39999999999998</v>
      </c>
      <c r="CJ138" s="12">
        <f>SUBTOTAL(9,CJ$14:CJ134)</f>
        <v>2485.9978938143822</v>
      </c>
      <c r="CK138" s="12">
        <f>SUBTOTAL(9,CK$14:CK134)</f>
        <v>1632.1102288499781</v>
      </c>
      <c r="CL138" s="12">
        <f>SUBTOTAL(9,CL$14:CL134)</f>
        <v>223.95143656689848</v>
      </c>
      <c r="CM138" s="12">
        <f>SUM(CM$12:CM134)</f>
        <v>4609.4595592312589</v>
      </c>
      <c r="CN138" s="11">
        <f>CN$4*DAY($A132)+SUMIF($C$5:CM$5,"Нараст. баланс",$C138:CM138)+SUMIF($C$7:CK$7,"Итого (с ВНР)",$C138:CK138)-SUMIF($C$5:CM$5,"Геол. снижение,  т/сут",$C138:CM138)-SUMIF(CL$7:CM$7,"Итого",CL138:CM138)-SUMIF($C$7:CM$7,"Итого (с ВСП)",$C138:CM138)</f>
        <v>941805.10304076876</v>
      </c>
      <c r="CO138" s="10">
        <f>SUBTOTAL(1,CO$12:CO134)</f>
        <v>826.49943325401682</v>
      </c>
      <c r="CP138" s="2"/>
    </row>
    <row r="139" spans="1:94" ht="26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9"/>
      <c r="AG139" s="4"/>
      <c r="AH139" s="3"/>
      <c r="AI139" s="3"/>
      <c r="AJ139" s="8" t="s">
        <v>3</v>
      </c>
      <c r="AK139" s="6" t="s">
        <v>1</v>
      </c>
      <c r="AL139" s="6" t="s">
        <v>1</v>
      </c>
      <c r="AM139" s="6" t="s">
        <v>1</v>
      </c>
      <c r="AN139" s="6" t="s">
        <v>1</v>
      </c>
      <c r="AO139" s="6" t="s">
        <v>1</v>
      </c>
      <c r="AP139" s="6" t="s">
        <v>1</v>
      </c>
      <c r="AQ139" s="6" t="s">
        <v>1</v>
      </c>
      <c r="AR139" s="6" t="s">
        <v>1</v>
      </c>
      <c r="AS139" s="6" t="s">
        <v>1</v>
      </c>
      <c r="AT139" s="6" t="s">
        <v>1</v>
      </c>
      <c r="AU139" s="6" t="s">
        <v>1</v>
      </c>
      <c r="AV139" s="6" t="s">
        <v>1</v>
      </c>
      <c r="AW139" s="6" t="s">
        <v>1</v>
      </c>
      <c r="AX139" s="3"/>
      <c r="AY139" s="3"/>
      <c r="AZ139" s="7" t="s">
        <v>2</v>
      </c>
      <c r="BA139" s="6" t="s">
        <v>1</v>
      </c>
      <c r="BB139" s="6" t="s">
        <v>1</v>
      </c>
      <c r="BC139" s="6" t="s">
        <v>1</v>
      </c>
      <c r="BD139" s="6" t="s">
        <v>1</v>
      </c>
      <c r="BE139" s="6" t="s">
        <v>1</v>
      </c>
      <c r="BF139" s="6" t="s">
        <v>1</v>
      </c>
      <c r="BG139" s="6" t="s">
        <v>1</v>
      </c>
      <c r="BH139" s="6" t="s">
        <v>1</v>
      </c>
      <c r="BI139" s="6" t="s">
        <v>1</v>
      </c>
      <c r="BJ139" s="6" t="s">
        <v>1</v>
      </c>
      <c r="BK139" s="6" t="s">
        <v>1</v>
      </c>
      <c r="BL139" s="6" t="s">
        <v>1</v>
      </c>
      <c r="BM139" s="6" t="s">
        <v>1</v>
      </c>
      <c r="BN139" s="6" t="s">
        <v>1</v>
      </c>
      <c r="BO139" s="6" t="s">
        <v>1</v>
      </c>
      <c r="BP139" s="6" t="s">
        <v>1</v>
      </c>
      <c r="BQ139" s="6" t="s">
        <v>1</v>
      </c>
      <c r="BR139" s="6" t="s">
        <v>1</v>
      </c>
      <c r="BS139" s="6" t="s">
        <v>1</v>
      </c>
      <c r="BT139" s="6" t="s">
        <v>1</v>
      </c>
      <c r="BU139" s="6" t="s">
        <v>1</v>
      </c>
      <c r="BV139" s="6" t="s">
        <v>1</v>
      </c>
      <c r="BW139" s="6" t="s">
        <v>1</v>
      </c>
      <c r="BX139" s="6" t="s">
        <v>1</v>
      </c>
      <c r="BY139" s="6" t="s">
        <v>1</v>
      </c>
      <c r="BZ139" s="6" t="s">
        <v>1</v>
      </c>
      <c r="CA139" s="6" t="s">
        <v>1</v>
      </c>
      <c r="CB139" s="6" t="s">
        <v>1</v>
      </c>
      <c r="CC139" s="6" t="s">
        <v>1</v>
      </c>
      <c r="CD139" s="6" t="s">
        <v>1</v>
      </c>
      <c r="CE139" s="6" t="s">
        <v>1</v>
      </c>
      <c r="CF139" s="6" t="s">
        <v>1</v>
      </c>
      <c r="CG139" s="6" t="s">
        <v>1</v>
      </c>
      <c r="CH139" s="6" t="s">
        <v>1</v>
      </c>
      <c r="CI139" s="6" t="s">
        <v>1</v>
      </c>
      <c r="CJ139" s="6" t="s">
        <v>1</v>
      </c>
      <c r="CK139" s="6" t="s">
        <v>1</v>
      </c>
      <c r="CL139" s="3"/>
      <c r="CM139" s="3"/>
      <c r="CN139" s="5">
        <f>CN132-SUMIF($C$7:CK$7,"Итого (с ВНР)",$C134:CK134)+SUMIF($C$7:CM$7,"Итого (с ВСП)",$C134:CM134)+SUMIF(CL$7:CM$7,"Итого",CL134:CM134)</f>
        <v>30839.8586</v>
      </c>
      <c r="CO139" s="4" t="s">
        <v>0</v>
      </c>
      <c r="CP139" s="2"/>
    </row>
    <row r="140" spans="1:94" ht="15" customHeight="1" x14ac:dyDescent="0.25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</row>
    <row r="141" spans="1:94" ht="15" customHeight="1" x14ac:dyDescent="0.25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</row>
    <row r="142" spans="1:94" ht="15" customHeight="1" x14ac:dyDescent="0.25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</row>
  </sheetData>
  <mergeCells count="124">
    <mergeCell ref="A128:A130"/>
    <mergeCell ref="CN128:CN130"/>
    <mergeCell ref="A132:A134"/>
    <mergeCell ref="CN132:CN134"/>
    <mergeCell ref="A136:B136"/>
    <mergeCell ref="A137:B137"/>
    <mergeCell ref="A138:B138"/>
    <mergeCell ref="AJ139:AW139"/>
    <mergeCell ref="AZ139:CK139"/>
    <mergeCell ref="A108:A110"/>
    <mergeCell ref="CN108:CN110"/>
    <mergeCell ref="A112:A114"/>
    <mergeCell ref="CN112:CN114"/>
    <mergeCell ref="A116:A118"/>
    <mergeCell ref="CN116:CN118"/>
    <mergeCell ref="A120:A122"/>
    <mergeCell ref="CN120:CN122"/>
    <mergeCell ref="A124:A126"/>
    <mergeCell ref="CN124:CN126"/>
    <mergeCell ref="A88:A90"/>
    <mergeCell ref="CN88:CN90"/>
    <mergeCell ref="A92:A94"/>
    <mergeCell ref="CN92:CN94"/>
    <mergeCell ref="A96:A98"/>
    <mergeCell ref="CN96:CN98"/>
    <mergeCell ref="A100:A102"/>
    <mergeCell ref="CN100:CN102"/>
    <mergeCell ref="A104:A106"/>
    <mergeCell ref="CN104:CN106"/>
    <mergeCell ref="A68:A70"/>
    <mergeCell ref="CN68:CN70"/>
    <mergeCell ref="A72:A74"/>
    <mergeCell ref="CN72:CN74"/>
    <mergeCell ref="A76:A78"/>
    <mergeCell ref="CN76:CN78"/>
    <mergeCell ref="A80:A82"/>
    <mergeCell ref="CN80:CN82"/>
    <mergeCell ref="A84:A86"/>
    <mergeCell ref="CN84:CN86"/>
    <mergeCell ref="A48:A50"/>
    <mergeCell ref="CN48:CN50"/>
    <mergeCell ref="A52:A54"/>
    <mergeCell ref="CN52:CN54"/>
    <mergeCell ref="A56:A58"/>
    <mergeCell ref="CN56:CN58"/>
    <mergeCell ref="A60:A62"/>
    <mergeCell ref="CN60:CN62"/>
    <mergeCell ref="A64:A66"/>
    <mergeCell ref="CN64:CN66"/>
    <mergeCell ref="A28:A30"/>
    <mergeCell ref="CN28:CN30"/>
    <mergeCell ref="A32:A34"/>
    <mergeCell ref="CN32:CN34"/>
    <mergeCell ref="A36:A38"/>
    <mergeCell ref="CN36:CN38"/>
    <mergeCell ref="A40:A42"/>
    <mergeCell ref="CN40:CN42"/>
    <mergeCell ref="A44:A46"/>
    <mergeCell ref="CN44:CN46"/>
    <mergeCell ref="BA10:BV10"/>
    <mergeCell ref="BX10:CD10"/>
    <mergeCell ref="A12:A14"/>
    <mergeCell ref="CN12:CN14"/>
    <mergeCell ref="A16:A18"/>
    <mergeCell ref="CN16:CN18"/>
    <mergeCell ref="A20:A22"/>
    <mergeCell ref="CN20:CN22"/>
    <mergeCell ref="A24:A26"/>
    <mergeCell ref="CN24:CN26"/>
    <mergeCell ref="C10:G10"/>
    <mergeCell ref="H10:I10"/>
    <mergeCell ref="J10:M10"/>
    <mergeCell ref="N10:P10"/>
    <mergeCell ref="S10:T10"/>
    <mergeCell ref="V10:X10"/>
    <mergeCell ref="Z10:AH10"/>
    <mergeCell ref="AJ10:AL10"/>
    <mergeCell ref="AM10:AU10"/>
    <mergeCell ref="CF5:CG6"/>
    <mergeCell ref="CH5:CH9"/>
    <mergeCell ref="CI5:CM5"/>
    <mergeCell ref="CN5:CN9"/>
    <mergeCell ref="AY7:AY9"/>
    <mergeCell ref="CF7:CF9"/>
    <mergeCell ref="CG7:CG9"/>
    <mergeCell ref="CI7:CI9"/>
    <mergeCell ref="CO5:CO9"/>
    <mergeCell ref="C6:G7"/>
    <mergeCell ref="H6:I7"/>
    <mergeCell ref="J6:M7"/>
    <mergeCell ref="N6:P7"/>
    <mergeCell ref="Q6:Q9"/>
    <mergeCell ref="AJ6:AL7"/>
    <mergeCell ref="AM6:AU7"/>
    <mergeCell ref="AV6:AV9"/>
    <mergeCell ref="AX7:AX9"/>
    <mergeCell ref="CJ7:CJ9"/>
    <mergeCell ref="CK7:CK9"/>
    <mergeCell ref="CL7:CL9"/>
    <mergeCell ref="CM7:CM9"/>
    <mergeCell ref="C1:AC1"/>
    <mergeCell ref="C2:AB2"/>
    <mergeCell ref="C3:K3"/>
    <mergeCell ref="Y5:Y9"/>
    <mergeCell ref="Z5:AH7"/>
    <mergeCell ref="AI5:AI9"/>
    <mergeCell ref="A4:B4"/>
    <mergeCell ref="C4:AY4"/>
    <mergeCell ref="AZ4:CM4"/>
    <mergeCell ref="A5:A9"/>
    <mergeCell ref="B5:B9"/>
    <mergeCell ref="C5:Q5"/>
    <mergeCell ref="R5:R9"/>
    <mergeCell ref="S5:T7"/>
    <mergeCell ref="U5:U9"/>
    <mergeCell ref="V5:X7"/>
    <mergeCell ref="BX5:CD7"/>
    <mergeCell ref="CE5:CE9"/>
    <mergeCell ref="AJ5:AV5"/>
    <mergeCell ref="AW5:AW9"/>
    <mergeCell ref="AX5:AY6"/>
    <mergeCell ref="AZ5:AZ9"/>
    <mergeCell ref="BA5:BV7"/>
    <mergeCell ref="BW5:BW9"/>
  </mergeCells>
  <pageMargins left="0" right="0" top="0" bottom="0" header="0" footer="0"/>
  <pageSetup paperSize="8" scale="75" orientation="landscape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График_Суточной_Добычи_Нефть</vt:lpstr>
      <vt:lpstr>Расч_сут_добычи_итоги</vt:lpstr>
      <vt:lpstr>Расчет_Суточной_Добычи_По_Датам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Марков Александр Сергеевич</dc:creator>
  <cp:lastModifiedBy> </cp:lastModifiedBy>
  <dcterms:created xsi:type="dcterms:W3CDTF">2024-02-29T13:21:15Z</dcterms:created>
  <dcterms:modified xsi:type="dcterms:W3CDTF">2024-02-29T15:07:56Z</dcterms:modified>
</cp:coreProperties>
</file>