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_сут_добычи_итоги" sheetId="1" state="visible" r:id="rId3"/>
    <sheet name="Расчет_Суточной_Добычи_По_Датам" sheetId="2" state="visible" r:id="rId4"/>
    <sheet name="График_Суточной_Добычи_Нефть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<sst xmlns="http://schemas.openxmlformats.org/spreadsheetml/2006/main" count="1087" uniqueCount="379">
  <si>
    <t xml:space="preserve">АО Газпромнефть - ННГ</t>
  </si>
  <si>
    <t xml:space="preserve">v.3</t>
  </si>
  <si>
    <t xml:space="preserve">Расчет суточной добычи нефти и ГТМ (итоги)</t>
  </si>
  <si>
    <t xml:space="preserve">Декабрь  2023</t>
  </si>
  <si>
    <t xml:space="preserve">№
п/п</t>
  </si>
  <si>
    <t xml:space="preserve">Показатели отчетного месяца</t>
  </si>
  <si>
    <t xml:space="preserve">БП</t>
  </si>
  <si>
    <t xml:space="preserve">Суточная добыча</t>
  </si>
  <si>
    <t xml:space="preserve">+/-</t>
  </si>
  <si>
    <t xml:space="preserve">Абсолютная добыча</t>
  </si>
  <si>
    <t xml:space="preserve">Примечание</t>
  </si>
  <si>
    <t xml:space="preserve">График</t>
  </si>
  <si>
    <t xml:space="preserve">Факт</t>
  </si>
  <si>
    <t xml:space="preserve">к БП</t>
  </si>
  <si>
    <t xml:space="preserve">к графику</t>
  </si>
  <si>
    <t xml:space="preserve">БП
(тонн)</t>
  </si>
  <si>
    <t xml:space="preserve">скв.</t>
  </si>
  <si>
    <t xml:space="preserve">т/сут</t>
  </si>
  <si>
    <t xml:space="preserve">м3/сут</t>
  </si>
  <si>
    <t xml:space="preserve">скв</t>
  </si>
  <si>
    <t xml:space="preserve">м3</t>
  </si>
  <si>
    <t xml:space="preserve">тн</t>
  </si>
  <si>
    <t xml:space="preserve">Входная добыча</t>
  </si>
  <si>
    <t xml:space="preserve">0</t>
  </si>
  <si>
    <t xml:space="preserve">Прирост добычи нефти, в том числе:</t>
  </si>
  <si>
    <t xml:space="preserve">2.1</t>
  </si>
  <si>
    <t xml:space="preserve">Основные ГТМ</t>
  </si>
  <si>
    <t xml:space="preserve">2.1.1</t>
  </si>
  <si>
    <t xml:space="preserve">Ввод новых скважин</t>
  </si>
  <si>
    <t xml:space="preserve">2.1.2</t>
  </si>
  <si>
    <t xml:space="preserve">Ввод из других категорий</t>
  </si>
  <si>
    <t xml:space="preserve">2.1.3</t>
  </si>
  <si>
    <t xml:space="preserve">Расконсервация разведочных скважин</t>
  </si>
  <si>
    <t xml:space="preserve">2.1.4</t>
  </si>
  <si>
    <t xml:space="preserve">ГРП</t>
  </si>
  <si>
    <t xml:space="preserve">2.1.5</t>
  </si>
  <si>
    <t xml:space="preserve">Зарезка бокового ствола</t>
  </si>
  <si>
    <t xml:space="preserve">2.1.6</t>
  </si>
  <si>
    <t xml:space="preserve">Углубление</t>
  </si>
  <si>
    <t xml:space="preserve">2.1.7</t>
  </si>
  <si>
    <t xml:space="preserve">Оптимизация (целевая)</t>
  </si>
  <si>
    <t xml:space="preserve">2.1.8</t>
  </si>
  <si>
    <t xml:space="preserve">ОПЗ (целевая)</t>
  </si>
  <si>
    <t xml:space="preserve">2.1.9</t>
  </si>
  <si>
    <t xml:space="preserve">Возврат</t>
  </si>
  <si>
    <t xml:space="preserve">2.1.10</t>
  </si>
  <si>
    <t xml:space="preserve">РИР</t>
  </si>
  <si>
    <t xml:space="preserve">2.1.11</t>
  </si>
  <si>
    <t xml:space="preserve">Ликвидация аварий</t>
  </si>
  <si>
    <t xml:space="preserve">2.1.12</t>
  </si>
  <si>
    <t xml:space="preserve">ЛНЭК</t>
  </si>
  <si>
    <t xml:space="preserve">2.1.13</t>
  </si>
  <si>
    <t xml:space="preserve">Ввод из БД</t>
  </si>
  <si>
    <t xml:space="preserve">2.2</t>
  </si>
  <si>
    <t xml:space="preserve">Работа с фондом</t>
  </si>
  <si>
    <t xml:space="preserve">2.2.1</t>
  </si>
  <si>
    <t xml:space="preserve">Оптимизация</t>
  </si>
  <si>
    <t xml:space="preserve">2.2.2</t>
  </si>
  <si>
    <t xml:space="preserve">Приросты от мероприятий на базовом фонде</t>
  </si>
  <si>
    <t xml:space="preserve">2.2.3</t>
  </si>
  <si>
    <t xml:space="preserve">Работа с переходящим фондом</t>
  </si>
  <si>
    <t xml:space="preserve">2.2.4</t>
  </si>
  <si>
    <t xml:space="preserve">Ввод из БД ТГ (без инвест.), в т.ч.:</t>
  </si>
  <si>
    <t xml:space="preserve">ограничение добычи (ОПЕК)</t>
  </si>
  <si>
    <t xml:space="preserve">2.3.</t>
  </si>
  <si>
    <t xml:space="preserve">Сокращение потенциала простоя</t>
  </si>
  <si>
    <t xml:space="preserve">2.4.</t>
  </si>
  <si>
    <t xml:space="preserve">Прочая добыча (отраб.скв, амбары, стравливание…)</t>
  </si>
  <si>
    <t xml:space="preserve">Потери добычи нефти, в том числе:</t>
  </si>
  <si>
    <t xml:space="preserve">3.1</t>
  </si>
  <si>
    <t xml:space="preserve">Падение по базовому фонду, ГТМ</t>
  </si>
  <si>
    <t xml:space="preserve">3.1.1</t>
  </si>
  <si>
    <t xml:space="preserve">От среднесложившегося падения, в т.ч:</t>
  </si>
  <si>
    <t xml:space="preserve">3.1.1.1</t>
  </si>
  <si>
    <t xml:space="preserve">среднесложившееся падение по базовому фонду</t>
  </si>
  <si>
    <t xml:space="preserve">11 т/сут</t>
  </si>
  <si>
    <t xml:space="preserve">3.1.1.2</t>
  </si>
  <si>
    <t xml:space="preserve">среднесложившееся падение по фонду ГТМ</t>
  </si>
  <si>
    <t xml:space="preserve">39 т/сут</t>
  </si>
  <si>
    <t xml:space="preserve">3.1.2</t>
  </si>
  <si>
    <t xml:space="preserve">От сверхнормативного снижения, в т.ч:</t>
  </si>
  <si>
    <t xml:space="preserve">3.1.2.1</t>
  </si>
  <si>
    <t xml:space="preserve">сверхнормативное снижение по базовому фонду</t>
  </si>
  <si>
    <t xml:space="preserve">3.1.2.2</t>
  </si>
  <si>
    <t xml:space="preserve">сверхнормативное снижение по фонду ГТМ</t>
  </si>
  <si>
    <t xml:space="preserve">3.1.3</t>
  </si>
  <si>
    <t xml:space="preserve">Потери по  ГТМ отчетного месяца</t>
  </si>
  <si>
    <t xml:space="preserve">3.1.3.1</t>
  </si>
  <si>
    <t xml:space="preserve">по снижению дебита на последнее число</t>
  </si>
  <si>
    <t xml:space="preserve">3.2.</t>
  </si>
  <si>
    <t xml:space="preserve">От технологических причин, в т.ч:</t>
  </si>
  <si>
    <t xml:space="preserve">3.2.1</t>
  </si>
  <si>
    <t xml:space="preserve">Рост потенциала простоя</t>
  </si>
  <si>
    <t xml:space="preserve">3.2.1.1</t>
  </si>
  <si>
    <t xml:space="preserve">Потери по отказу скважин</t>
  </si>
  <si>
    <t xml:space="preserve">3.2.1.2</t>
  </si>
  <si>
    <t xml:space="preserve">Остановка  под КРС для выполнения ГТМ</t>
  </si>
  <si>
    <t xml:space="preserve">3.2.2</t>
  </si>
  <si>
    <t xml:space="preserve">Ост. дебит от ЗБС, Углуб., ПВЛГ/ПНЛГ</t>
  </si>
  <si>
    <t xml:space="preserve">3.2.3</t>
  </si>
  <si>
    <t xml:space="preserve">Остановка по распоряжению, в т.ч.:</t>
  </si>
  <si>
    <t xml:space="preserve">3.2.4</t>
  </si>
  <si>
    <t xml:space="preserve">Остановка нерентабельного фонда</t>
  </si>
  <si>
    <t xml:space="preserve">3.2.5</t>
  </si>
  <si>
    <t xml:space="preserve">Остановка для перевода в ППД</t>
  </si>
  <si>
    <t xml:space="preserve">3.2.6</t>
  </si>
  <si>
    <t xml:space="preserve">Прочие потери</t>
  </si>
  <si>
    <t xml:space="preserve">3.2.7</t>
  </si>
  <si>
    <t xml:space="preserve">Потери нефти по ОТМ</t>
  </si>
  <si>
    <t xml:space="preserve">3.2.7.1</t>
  </si>
  <si>
    <t xml:space="preserve">Потери из-за исследования скважин</t>
  </si>
  <si>
    <t xml:space="preserve">3.2.7.2</t>
  </si>
  <si>
    <t xml:space="preserve">Потери при работе на трубопроводах</t>
  </si>
  <si>
    <t xml:space="preserve">плановые потери при ОТМ</t>
  </si>
  <si>
    <t xml:space="preserve">аварийные потери от порывов</t>
  </si>
  <si>
    <t xml:space="preserve">3.2.7.3</t>
  </si>
  <si>
    <t xml:space="preserve">Отключение электроэнергии, в т.ч:</t>
  </si>
  <si>
    <t xml:space="preserve">плановое отключение</t>
  </si>
  <si>
    <t xml:space="preserve">аварийное отключение</t>
  </si>
  <si>
    <t xml:space="preserve">3.2.7.4</t>
  </si>
  <si>
    <t xml:space="preserve">Потери ОТМ УДНГ</t>
  </si>
  <si>
    <t xml:space="preserve">Выходная добыча</t>
  </si>
  <si>
    <t xml:space="preserve">среднесуточная</t>
  </si>
  <si>
    <t xml:space="preserve">+/- к бизнес-плану</t>
  </si>
  <si>
    <t xml:space="preserve">Ож. простой на 0 дату (граф)</t>
  </si>
  <si>
    <t xml:space="preserve">Ср. слож простой (3 мес.)</t>
  </si>
  <si>
    <t xml:space="preserve">Прост на 0 дату (факт)</t>
  </si>
  <si>
    <t xml:space="preserve">0.1</t>
  </si>
  <si>
    <t xml:space="preserve">Потенциал простоя (возвратные потери)</t>
  </si>
  <si>
    <t xml:space="preserve">0.2</t>
  </si>
  <si>
    <t xml:space="preserve">Остановка по распоряжению</t>
  </si>
  <si>
    <t xml:space="preserve">0.3</t>
  </si>
  <si>
    <t xml:space="preserve">Итого простаивающий фонд</t>
  </si>
  <si>
    <t xml:space="preserve">Январь   2024</t>
  </si>
  <si>
    <t xml:space="preserve">1</t>
  </si>
  <si>
    <t xml:space="preserve">50 т/сут</t>
  </si>
  <si>
    <t xml:space="preserve">0 т/сут</t>
  </si>
  <si>
    <t xml:space="preserve">v.2</t>
  </si>
  <si>
    <t xml:space="preserve">Расчет суточной добычи нефти по датам</t>
  </si>
  <si>
    <t xml:space="preserve">50 тн/сут</t>
  </si>
  <si>
    <t xml:space="preserve">Прирост добычи нефти</t>
  </si>
  <si>
    <t xml:space="preserve">Потери добычи нефти</t>
  </si>
  <si>
    <t xml:space="preserve">День месяца</t>
  </si>
  <si>
    <t xml:space="preserve">Наименование</t>
  </si>
  <si>
    <t xml:space="preserve">ГЕОЛОГО - ТЕХНИЧЕСКИЕ МЕРОПРИЯТИЯ</t>
  </si>
  <si>
    <t xml:space="preserve">Накопленный эффект, т/сут</t>
  </si>
  <si>
    <t xml:space="preserve">Ввод из БД ТГ (без инвест.)</t>
  </si>
  <si>
    <t xml:space="preserve">Восстановление потенциала простоя</t>
  </si>
  <si>
    <t xml:space="preserve">Нараст.  по потенциалу</t>
  </si>
  <si>
    <t xml:space="preserve">Прочая добыча</t>
  </si>
  <si>
    <t xml:space="preserve">Геол. снижение,  т/сут</t>
  </si>
  <si>
    <t xml:space="preserve">Рост потенциала простоя (в т.ч.остановки скв. для ГТМ, оптимизацию, нерентабельный фонд, по распоряжению)</t>
  </si>
  <si>
    <t xml:space="preserve">Нараст. по остановкам</t>
  </si>
  <si>
    <t xml:space="preserve">Перевод скважин в ППД</t>
  </si>
  <si>
    <t xml:space="preserve">ИТОГО перевод в ППД</t>
  </si>
  <si>
    <t xml:space="preserve">Нараст. баланс</t>
  </si>
  <si>
    <t xml:space="preserve">Расчетный график добычи, т/сут</t>
  </si>
  <si>
    <t xml:space="preserve">Потенциал по графику</t>
  </si>
  <si>
    <t xml:space="preserve">Итого</t>
  </si>
  <si>
    <t xml:space="preserve">Базовый дебит ГТМ и Оптимизация скважин</t>
  </si>
  <si>
    <t xml:space="preserve">Текущий простой</t>
  </si>
  <si>
    <t xml:space="preserve">ВНР</t>
  </si>
  <si>
    <t xml:space="preserve">Итого (с ВНР)</t>
  </si>
  <si>
    <t xml:space="preserve">ВСП</t>
  </si>
  <si>
    <t xml:space="preserve">Итого (с ВСП)</t>
  </si>
  <si>
    <t xml:space="preserve">Исследования, т/сут</t>
  </si>
  <si>
    <t xml:space="preserve">Откл. Эл.Эн., т/сут</t>
  </si>
  <si>
    <t xml:space="preserve">УЭТ, т/сут</t>
  </si>
  <si>
    <t xml:space="preserve">УДНГ, т/сут</t>
  </si>
  <si>
    <t xml:space="preserve">№</t>
  </si>
  <si>
    <t xml:space="preserve">Скв.</t>
  </si>
  <si>
    <t xml:space="preserve">Cкв.</t>
  </si>
  <si>
    <t xml:space="preserve">Эффект</t>
  </si>
  <si>
    <t xml:space="preserve">Местор.</t>
  </si>
  <si>
    <t xml:space="preserve">N,N скважин</t>
  </si>
  <si>
    <t xml:space="preserve">Вынгапур</t>
  </si>
  <si>
    <t xml:space="preserve">Спор</t>
  </si>
  <si>
    <t xml:space="preserve">Сут</t>
  </si>
  <si>
    <t xml:space="preserve">1585</t>
  </si>
  <si>
    <t xml:space="preserve">332</t>
  </si>
  <si>
    <t xml:space="preserve">5638</t>
  </si>
  <si>
    <t xml:space="preserve">Вынгаях</t>
  </si>
  <si>
    <t xml:space="preserve">3040</t>
  </si>
  <si>
    <t xml:space="preserve">2278</t>
  </si>
  <si>
    <t xml:space="preserve">Карам</t>
  </si>
  <si>
    <t xml:space="preserve">1033</t>
  </si>
  <si>
    <t xml:space="preserve">844</t>
  </si>
  <si>
    <t xml:space="preserve">5394</t>
  </si>
  <si>
    <t xml:space="preserve">4752</t>
  </si>
  <si>
    <t xml:space="preserve">Яр</t>
  </si>
  <si>
    <t xml:space="preserve">Еты-П</t>
  </si>
  <si>
    <t xml:space="preserve">Сугм</t>
  </si>
  <si>
    <t xml:space="preserve">Холм</t>
  </si>
  <si>
    <t xml:space="preserve">804</t>
  </si>
  <si>
    <t xml:space="preserve">575Г</t>
  </si>
  <si>
    <t xml:space="preserve">901Г</t>
  </si>
  <si>
    <t xml:space="preserve">1942</t>
  </si>
  <si>
    <t xml:space="preserve">1690</t>
  </si>
  <si>
    <t xml:space="preserve">2180</t>
  </si>
  <si>
    <t xml:space="preserve">819</t>
  </si>
  <si>
    <t xml:space="preserve">6389</t>
  </si>
  <si>
    <t xml:space="preserve">6026</t>
  </si>
  <si>
    <t xml:space="preserve">2438</t>
  </si>
  <si>
    <t xml:space="preserve">4207</t>
  </si>
  <si>
    <t xml:space="preserve">17</t>
  </si>
  <si>
    <t xml:space="preserve">Край</t>
  </si>
  <si>
    <t xml:space="preserve">173</t>
  </si>
  <si>
    <t xml:space="preserve">5432</t>
  </si>
  <si>
    <t xml:space="preserve">6088</t>
  </si>
  <si>
    <t xml:space="preserve">364</t>
  </si>
  <si>
    <t xml:space="preserve">2619</t>
  </si>
  <si>
    <t xml:space="preserve">2065</t>
  </si>
  <si>
    <t xml:space="preserve">8238</t>
  </si>
  <si>
    <t xml:space="preserve">1386</t>
  </si>
  <si>
    <t xml:space="preserve">Погр</t>
  </si>
  <si>
    <t xml:space="preserve">556</t>
  </si>
  <si>
    <t xml:space="preserve">1505</t>
  </si>
  <si>
    <t xml:space="preserve">334</t>
  </si>
  <si>
    <t xml:space="preserve">6456</t>
  </si>
  <si>
    <t xml:space="preserve">Ром</t>
  </si>
  <si>
    <t xml:space="preserve">Нов</t>
  </si>
  <si>
    <t xml:space="preserve">1130</t>
  </si>
  <si>
    <t xml:space="preserve">2100</t>
  </si>
  <si>
    <t xml:space="preserve">5154</t>
  </si>
  <si>
    <t xml:space="preserve">821</t>
  </si>
  <si>
    <t xml:space="preserve">525</t>
  </si>
  <si>
    <t xml:space="preserve">6631</t>
  </si>
  <si>
    <t xml:space="preserve">6808</t>
  </si>
  <si>
    <t xml:space="preserve">1541</t>
  </si>
  <si>
    <t xml:space="preserve">1966</t>
  </si>
  <si>
    <t xml:space="preserve">8247</t>
  </si>
  <si>
    <t xml:space="preserve">4917</t>
  </si>
  <si>
    <t xml:space="preserve">3869</t>
  </si>
  <si>
    <t xml:space="preserve">9314</t>
  </si>
  <si>
    <t xml:space="preserve">6192</t>
  </si>
  <si>
    <t xml:space="preserve">746</t>
  </si>
  <si>
    <t xml:space="preserve">2931</t>
  </si>
  <si>
    <t xml:space="preserve">3081</t>
  </si>
  <si>
    <t xml:space="preserve">8700</t>
  </si>
  <si>
    <t xml:space="preserve">6244</t>
  </si>
  <si>
    <t xml:space="preserve">9404</t>
  </si>
  <si>
    <t xml:space="preserve">Ср-Итур</t>
  </si>
  <si>
    <t xml:space="preserve">5313</t>
  </si>
  <si>
    <t xml:space="preserve">8356</t>
  </si>
  <si>
    <t xml:space="preserve">403</t>
  </si>
  <si>
    <t xml:space="preserve">891</t>
  </si>
  <si>
    <t xml:space="preserve">1573</t>
  </si>
  <si>
    <t xml:space="preserve">6027</t>
  </si>
  <si>
    <t xml:space="preserve">7523</t>
  </si>
  <si>
    <t xml:space="preserve">Западно-Чатылькинское</t>
  </si>
  <si>
    <t xml:space="preserve">508</t>
  </si>
  <si>
    <t xml:space="preserve">127</t>
  </si>
  <si>
    <t xml:space="preserve">2411</t>
  </si>
  <si>
    <t xml:space="preserve">614</t>
  </si>
  <si>
    <t xml:space="preserve">Новогоднее</t>
  </si>
  <si>
    <t xml:space="preserve">2944</t>
  </si>
  <si>
    <t xml:space="preserve">6733</t>
  </si>
  <si>
    <t xml:space="preserve">916</t>
  </si>
  <si>
    <t xml:space="preserve">693</t>
  </si>
  <si>
    <t xml:space="preserve">Крайнее</t>
  </si>
  <si>
    <t xml:space="preserve">5407</t>
  </si>
  <si>
    <t xml:space="preserve">6090</t>
  </si>
  <si>
    <t xml:space="preserve">2242</t>
  </si>
  <si>
    <t xml:space="preserve">361</t>
  </si>
  <si>
    <t xml:space="preserve">7080</t>
  </si>
  <si>
    <t xml:space="preserve">8418</t>
  </si>
  <si>
    <t xml:space="preserve">1402</t>
  </si>
  <si>
    <t xml:space="preserve">387</t>
  </si>
  <si>
    <t xml:space="preserve">Валын</t>
  </si>
  <si>
    <t xml:space="preserve">2247</t>
  </si>
  <si>
    <t xml:space="preserve">4521</t>
  </si>
  <si>
    <t xml:space="preserve">4123</t>
  </si>
  <si>
    <t xml:space="preserve">500</t>
  </si>
  <si>
    <t xml:space="preserve">2338</t>
  </si>
  <si>
    <t xml:space="preserve">174</t>
  </si>
  <si>
    <t xml:space="preserve">1941</t>
  </si>
  <si>
    <t xml:space="preserve">451</t>
  </si>
  <si>
    <t xml:space="preserve">2309</t>
  </si>
  <si>
    <t xml:space="preserve">566</t>
  </si>
  <si>
    <t xml:space="preserve">6397</t>
  </si>
  <si>
    <t xml:space="preserve">4395</t>
  </si>
  <si>
    <t xml:space="preserve">1523</t>
  </si>
  <si>
    <t xml:space="preserve">6636</t>
  </si>
  <si>
    <t xml:space="preserve">706</t>
  </si>
  <si>
    <t xml:space="preserve">6509</t>
  </si>
  <si>
    <t xml:space="preserve">2260</t>
  </si>
  <si>
    <t xml:space="preserve">5383</t>
  </si>
  <si>
    <t xml:space="preserve">1727</t>
  </si>
  <si>
    <t xml:space="preserve">519Z</t>
  </si>
  <si>
    <t xml:space="preserve">Еты-Пуровское</t>
  </si>
  <si>
    <t xml:space="preserve">Спорышевское</t>
  </si>
  <si>
    <t xml:space="preserve">1943</t>
  </si>
  <si>
    <t xml:space="preserve">557</t>
  </si>
  <si>
    <t xml:space="preserve">3133</t>
  </si>
  <si>
    <t xml:space="preserve">Умс</t>
  </si>
  <si>
    <t xml:space="preserve">462</t>
  </si>
  <si>
    <t xml:space="preserve">524</t>
  </si>
  <si>
    <t xml:space="preserve">6354</t>
  </si>
  <si>
    <t xml:space="preserve">707</t>
  </si>
  <si>
    <t xml:space="preserve">2270</t>
  </si>
  <si>
    <t xml:space="preserve">441</t>
  </si>
  <si>
    <t xml:space="preserve">1091</t>
  </si>
  <si>
    <t xml:space="preserve">3099</t>
  </si>
  <si>
    <t xml:space="preserve">5217</t>
  </si>
  <si>
    <t xml:space="preserve">1038</t>
  </si>
  <si>
    <t xml:space="preserve">2840</t>
  </si>
  <si>
    <t xml:space="preserve">853</t>
  </si>
  <si>
    <t xml:space="preserve">2698</t>
  </si>
  <si>
    <t xml:space="preserve">2791</t>
  </si>
  <si>
    <t xml:space="preserve">618</t>
  </si>
  <si>
    <t xml:space="preserve">2071Г</t>
  </si>
  <si>
    <t xml:space="preserve">2135</t>
  </si>
  <si>
    <t xml:space="preserve">2307</t>
  </si>
  <si>
    <t xml:space="preserve">241</t>
  </si>
  <si>
    <t xml:space="preserve">2460</t>
  </si>
  <si>
    <t xml:space="preserve">506</t>
  </si>
  <si>
    <t xml:space="preserve">593</t>
  </si>
  <si>
    <t xml:space="preserve">995</t>
  </si>
  <si>
    <t xml:space="preserve">ИТОГО: мер-тий</t>
  </si>
  <si>
    <t xml:space="preserve">Сум.прир. деб.тн/сут.</t>
  </si>
  <si>
    <t xml:space="preserve">Итого:</t>
  </si>
  <si>
    <t xml:space="preserve">Накопленная добыча,тн.</t>
  </si>
  <si>
    <t xml:space="preserve">Изменение потенциала простоя, +,- к 1 числу</t>
  </si>
  <si>
    <t xml:space="preserve">Входная на Февраль</t>
  </si>
  <si>
    <t xml:space="preserve">График суточной добычи нефти</t>
  </si>
  <si>
    <t xml:space="preserve">Подразделение:</t>
  </si>
  <si>
    <t xml:space="preserve">Дата:</t>
  </si>
  <si>
    <t xml:space="preserve">Показатели</t>
  </si>
  <si>
    <t xml:space="preserve">Ед.изм</t>
  </si>
  <si>
    <t xml:space="preserve">РИТС-1</t>
  </si>
  <si>
    <t xml:space="preserve">РИТС-2</t>
  </si>
  <si>
    <t xml:space="preserve">ЦДНГ-1</t>
  </si>
  <si>
    <t xml:space="preserve">ЦДНГ-7</t>
  </si>
  <si>
    <t xml:space="preserve">ЦДНГ-9</t>
  </si>
  <si>
    <t xml:space="preserve">ЦДНГ-2</t>
  </si>
  <si>
    <t xml:space="preserve">ЦДНГ-3</t>
  </si>
  <si>
    <t xml:space="preserve">ЦДНГ-10</t>
  </si>
  <si>
    <t xml:space="preserve">Источное</t>
  </si>
  <si>
    <t xml:space="preserve">Карамовское</t>
  </si>
  <si>
    <t xml:space="preserve">Отдельное</t>
  </si>
  <si>
    <t xml:space="preserve">Пограничное</t>
  </si>
  <si>
    <t xml:space="preserve">Северо-Карамовское</t>
  </si>
  <si>
    <t xml:space="preserve">Средне-Итурское</t>
  </si>
  <si>
    <t xml:space="preserve">Холмогорское</t>
  </si>
  <si>
    <t xml:space="preserve">Южно-Ноябрьское</t>
  </si>
  <si>
    <t xml:space="preserve">Вынгапуровское</t>
  </si>
  <si>
    <t xml:space="preserve">Ярайнерское</t>
  </si>
  <si>
    <t xml:space="preserve">Воргенское</t>
  </si>
  <si>
    <t xml:space="preserve">Равнинное</t>
  </si>
  <si>
    <t xml:space="preserve">Холмистое</t>
  </si>
  <si>
    <t xml:space="preserve">Чатылькинское</t>
  </si>
  <si>
    <t xml:space="preserve">Южно-Удмуртское</t>
  </si>
  <si>
    <t xml:space="preserve">Восточно-Пякутинское</t>
  </si>
  <si>
    <t xml:space="preserve">Новое</t>
  </si>
  <si>
    <t xml:space="preserve">Средне-Итурское (Сев-Карам лиц. уч.)</t>
  </si>
  <si>
    <t xml:space="preserve">Суторминское</t>
  </si>
  <si>
    <t xml:space="preserve">Южно-Пякутинское</t>
  </si>
  <si>
    <t xml:space="preserve">Верхне-Надымское</t>
  </si>
  <si>
    <t xml:space="preserve">Восточно-Саимлорское</t>
  </si>
  <si>
    <t xml:space="preserve">Мало-Пякутинское</t>
  </si>
  <si>
    <t xml:space="preserve">Муравленковское</t>
  </si>
  <si>
    <t xml:space="preserve">Пякутинское</t>
  </si>
  <si>
    <t xml:space="preserve">Романовское</t>
  </si>
  <si>
    <t xml:space="preserve">Саимлорское</t>
  </si>
  <si>
    <t xml:space="preserve">Северо-Пякутинское</t>
  </si>
  <si>
    <t xml:space="preserve">Северо-Пямалияхское</t>
  </si>
  <si>
    <t xml:space="preserve">Северо-Янгтинское</t>
  </si>
  <si>
    <t xml:space="preserve">Сугмутское</t>
  </si>
  <si>
    <t xml:space="preserve">Умсейское + Южно-Пурпейское</t>
  </si>
  <si>
    <t xml:space="preserve">Ямпинское</t>
  </si>
  <si>
    <t xml:space="preserve">Валынтойское</t>
  </si>
  <si>
    <t xml:space="preserve">Вынгаяхинское</t>
  </si>
  <si>
    <t xml:space="preserve">ИТОГО по графику:</t>
  </si>
  <si>
    <t xml:space="preserve">тыс.тн</t>
  </si>
  <si>
    <t xml:space="preserve">Бизнес план</t>
  </si>
  <si>
    <t xml:space="preserve">+ -</t>
  </si>
  <si>
    <t xml:space="preserve">Падение по обвод.</t>
  </si>
  <si>
    <t xml:space="preserve">тн/сут</t>
  </si>
  <si>
    <t xml:space="preserve">График суточной добычи нефти АО Газпромнефть - ННГ на ЯНВАРЬ   2024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</si>
</sst>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#,##0"/>
    <numFmt numFmtId="166" formatCode="0;\-0;;@"/>
    <numFmt numFmtId="167" formatCode="0"/>
    <numFmt numFmtId="168" formatCode="#,##0_ ;[RED]\-#,##0\ "/>
    <numFmt numFmtId="169" formatCode="#,##0.0"/>
    <numFmt numFmtId="170" formatCode="0.0"/>
    <numFmt numFmtId="171" formatCode="@"/>
    <numFmt numFmtId="172" formatCode="dd"/>
    <numFmt numFmtId="173" formatCode="#,##0.0;\-#,##0.0;;@"/>
    <numFmt numFmtId="174" formatCode="0.0;\-0.0;;@"/>
    <numFmt numFmtId="175" formatCode="mmmm\ yyyy"/>
    <numFmt numFmtId="176" formatCode="0.000;\-0.000;;@"/>
    <numFmt numFmtId="177" formatCode="#,##0.000"/>
  </numFmts>
  <fonts count="62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2"/>
      <color rgb="FF000000"/>
      <name val="FreeSetCTT"/>
      <family val="0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2"/>
      <color rgb="FF0000FF"/>
      <name val="Arial"/>
      <family val="2"/>
      <charset val="204"/>
    </font>
    <font>
      <b val="true"/>
      <sz val="12"/>
      <color rgb="FF800000"/>
      <name val="Arial"/>
      <family val="2"/>
      <charset val="204"/>
    </font>
    <font>
      <b val="true"/>
      <sz val="12"/>
      <color rgb="FFFF0000"/>
      <name val="Arial"/>
      <family val="2"/>
      <charset val="204"/>
    </font>
    <font>
      <b val="true"/>
      <i val="true"/>
      <sz val="10"/>
      <color rgb="FF000000"/>
      <name val="Arial"/>
      <family val="2"/>
      <charset val="204"/>
    </font>
    <font>
      <b val="true"/>
      <u val="singl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0"/>
      <color rgb="FF800000"/>
      <name val="Arial"/>
      <family val="2"/>
      <charset val="204"/>
    </font>
    <font>
      <i val="true"/>
      <sz val="10"/>
      <color rgb="FF00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rgb="FF80000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i val="true"/>
      <u val="single"/>
      <sz val="10"/>
      <color rgb="FF000000"/>
      <name val="Arial"/>
      <family val="2"/>
      <charset val="204"/>
    </font>
    <font>
      <i val="true"/>
      <sz val="10"/>
      <color rgb="FFFFFFFF"/>
      <name val="Arial"/>
      <family val="2"/>
      <charset val="204"/>
    </font>
    <font>
      <b val="true"/>
      <i val="true"/>
      <sz val="10"/>
      <color rgb="FF000000"/>
      <name val="FreeSetCTT"/>
      <family val="0"/>
      <charset val="204"/>
    </font>
    <font>
      <b val="true"/>
      <u val="single"/>
      <sz val="10"/>
      <color rgb="FF000000"/>
      <name val="FreeSetCTT"/>
      <family val="0"/>
      <charset val="204"/>
    </font>
    <font>
      <b val="true"/>
      <sz val="12"/>
      <color rgb="FF000000"/>
      <name val="FreeSetCTT"/>
      <family val="0"/>
      <charset val="204"/>
    </font>
    <font>
      <sz val="11"/>
      <color theme="0" tint="-0.05"/>
      <name val="Calibri"/>
      <family val="2"/>
      <charset val="204"/>
    </font>
    <font>
      <b val="true"/>
      <sz val="10"/>
      <color rgb="FFFFFF99"/>
      <name val="FreeSetCTT"/>
      <family val="0"/>
      <charset val="204"/>
    </font>
    <font>
      <b val="true"/>
      <sz val="10"/>
      <color rgb="FF000000"/>
      <name val="FreeSetCTT"/>
      <family val="0"/>
      <charset val="204"/>
    </font>
    <font>
      <sz val="10"/>
      <color rgb="FF000000"/>
      <name val="FreeSetCTT"/>
      <family val="0"/>
      <charset val="204"/>
    </font>
    <font>
      <b val="true"/>
      <sz val="10"/>
      <color rgb="FFFF0000"/>
      <name val="FreeSetCTT"/>
      <family val="0"/>
      <charset val="204"/>
    </font>
    <font>
      <sz val="10"/>
      <color rgb="FFFFFFFF"/>
      <name val="FreeSetCTT"/>
      <family val="0"/>
      <charset val="204"/>
    </font>
    <font>
      <i val="true"/>
      <sz val="10"/>
      <color rgb="FF000000"/>
      <name val="FreeSetCTT"/>
      <family val="0"/>
      <charset val="204"/>
    </font>
    <font>
      <sz val="10"/>
      <color rgb="FF333399"/>
      <name val="FreeSetCTT"/>
      <family val="0"/>
      <charset val="204"/>
    </font>
    <font>
      <b val="true"/>
      <sz val="10"/>
      <color rgb="FF800000"/>
      <name val="FreeSetCTT"/>
      <family val="0"/>
      <charset val="204"/>
    </font>
    <font>
      <b val="true"/>
      <sz val="11"/>
      <color rgb="FF000000"/>
      <name val="Arial"/>
      <family val="2"/>
      <charset val="204"/>
    </font>
    <font>
      <b val="true"/>
      <sz val="16"/>
      <color rgb="FF800000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b val="true"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b val="true"/>
      <sz val="9"/>
      <color rgb="FFCCFFCC"/>
      <name val="Arial"/>
      <family val="2"/>
      <charset val="204"/>
    </font>
    <font>
      <b val="true"/>
      <sz val="9"/>
      <color rgb="FFCCFFFF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14"/>
      <color rgb="FF00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2"/>
      <color rgb="FFEC111F"/>
      <name val="Calibri"/>
      <family val="2"/>
      <charset val="204"/>
    </font>
    <font>
      <b val="true"/>
      <sz val="12"/>
      <color rgb="FF0000FF"/>
      <name val="Times New Roman"/>
      <family val="1"/>
      <charset val="204"/>
    </font>
    <font>
      <sz val="9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9"/>
      <color rgb="FFFF0000"/>
      <name val="Calibri"/>
      <family val="2"/>
      <charset val="204"/>
    </font>
    <font>
      <sz val="10"/>
      <color rgb="FFFF0000"/>
      <name val="Calibri"/>
      <family val="2"/>
      <charset val="204"/>
    </font>
    <font>
      <b val="true"/>
      <sz val="10"/>
      <color rgb="FFFF0000"/>
      <name val="Calibri"/>
      <family val="2"/>
      <charset val="204"/>
    </font>
    <font>
      <sz val="9"/>
      <color rgb="FFFFFFFF"/>
      <name val="Calibri"/>
      <family val="2"/>
      <charset val="204"/>
    </font>
    <font>
      <sz val="10"/>
      <color rgb="FFFFFFFF"/>
      <name val="Calibri"/>
      <family val="2"/>
      <charset val="204"/>
    </font>
    <font>
      <b val="true"/>
      <i val="true"/>
      <sz val="10"/>
      <color rgb="FF000000"/>
      <name val="Calibri"/>
      <family val="2"/>
      <charset val="204"/>
    </font>
    <font>
      <b val="true"/>
      <sz val="10"/>
      <color rgb="FF000000"/>
      <name val="Arial Cyr"/>
      <family val="0"/>
      <charset val="1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ACD"/>
        <bgColor rgb="FFFFF8DC"/>
      </patternFill>
    </fill>
    <fill>
      <patternFill patternType="solid">
        <fgColor rgb="FFFFDEAD"/>
        <bgColor rgb="FFFAEBD7"/>
      </patternFill>
    </fill>
    <fill>
      <patternFill patternType="solid">
        <fgColor rgb="FFCCFFCC"/>
        <bgColor rgb="FFCCFFFF"/>
      </patternFill>
    </fill>
    <fill>
      <patternFill patternType="solid">
        <fgColor rgb="FF808080"/>
        <bgColor rgb="FF8B8B8B"/>
      </patternFill>
    </fill>
    <fill>
      <patternFill patternType="solid">
        <fgColor rgb="FFFFC0CB"/>
        <bgColor rgb="FFFFDEAD"/>
      </patternFill>
    </fill>
    <fill>
      <patternFill patternType="solid">
        <fgColor rgb="FFCCFFFF"/>
        <bgColor rgb="FFE0FFFF"/>
      </patternFill>
    </fill>
    <fill>
      <patternFill patternType="solid">
        <fgColor rgb="FFFFE4E1"/>
        <bgColor rgb="FFFAEBD7"/>
      </patternFill>
    </fill>
    <fill>
      <patternFill patternType="solid">
        <fgColor rgb="FFFFF8DC"/>
        <bgColor rgb="FFFFFACD"/>
      </patternFill>
    </fill>
    <fill>
      <patternFill patternType="solid">
        <fgColor rgb="FFE0FFFF"/>
        <bgColor rgb="FFF0FFF0"/>
      </patternFill>
    </fill>
    <fill>
      <patternFill patternType="solid">
        <fgColor rgb="FFAFEEEE"/>
        <bgColor rgb="FFCCFFFF"/>
      </patternFill>
    </fill>
    <fill>
      <patternFill patternType="solid">
        <fgColor rgb="FFFAEBD7"/>
        <bgColor rgb="FFFFE4E1"/>
      </patternFill>
    </fill>
    <fill>
      <patternFill patternType="solid">
        <fgColor rgb="FFE6E6FA"/>
        <bgColor rgb="FFF2F2F2"/>
      </patternFill>
    </fill>
    <fill>
      <patternFill patternType="solid">
        <fgColor rgb="FFF0FFF0"/>
        <bgColor rgb="FFFFFFFF"/>
      </patternFill>
    </fill>
    <fill>
      <patternFill patternType="solid">
        <fgColor rgb="FFFFFF99"/>
        <bgColor rgb="FFFFFACD"/>
      </patternFill>
    </fill>
    <fill>
      <patternFill patternType="solid">
        <fgColor rgb="FFFFFF00"/>
        <bgColor rgb="FFFFFF99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AFEEEE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2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0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5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5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5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6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6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6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6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6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6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2" borderId="1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2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7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7" borderId="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7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7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9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7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29" fillId="7" borderId="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7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1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9" fillId="7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0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30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9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3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4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5" fillId="7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3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3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0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1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1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4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3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4" fillId="1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1" fillId="11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3" fillId="4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1" fillId="1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5" fillId="1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8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1" fillId="11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5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5" fillId="4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5" fillId="13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6" fillId="4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4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4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2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2" fillId="1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1" fillId="11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2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1" fillId="1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1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8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1" fillId="11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1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2" fillId="4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2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42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1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11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4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1" fillId="1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1" fillId="11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1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42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4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1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2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2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1" fillId="4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1" fillId="11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2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8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1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2" fillId="11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4" fontId="42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13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1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1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42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2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11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8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1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2" fillId="11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42" fillId="1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2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11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2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2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2" fillId="1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4" fontId="42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9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4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7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9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50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7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7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7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7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5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55" fillId="0" borderId="2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56" fillId="0" borderId="24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8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3" fillId="0" borderId="17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59" fillId="4" borderId="1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59" fillId="4" borderId="1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59" fillId="4" borderId="13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7" fontId="7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9" fillId="16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9" fillId="16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59" fillId="16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0" fillId="16" borderId="2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0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9" fillId="17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9" fillId="17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6" fontId="59" fillId="17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9" fillId="18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9" fillId="18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0" fillId="18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59" fillId="18" borderId="2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2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FEEEE"/>
      <rgbColor rgb="FF993366"/>
      <rgbColor rgb="FFFFFACD"/>
      <rgbColor rgb="FFCCFFFF"/>
      <rgbColor rgb="FF660066"/>
      <rgbColor rgb="FFF2F2F2"/>
      <rgbColor rgb="FF0066CC"/>
      <rgbColor rgb="FFD9D9D9"/>
      <rgbColor rgb="FF000080"/>
      <rgbColor rgb="FFFF00FF"/>
      <rgbColor rgb="FFFAEBD7"/>
      <rgbColor rgb="FF00FFFF"/>
      <rgbColor rgb="FF800080"/>
      <rgbColor rgb="FF800000"/>
      <rgbColor rgb="FF008080"/>
      <rgbColor rgb="FF0000FF"/>
      <rgbColor rgb="FF00CCFF"/>
      <rgbColor rgb="FFE0FFFF"/>
      <rgbColor rgb="FFCCFFCC"/>
      <rgbColor rgb="FFFFFF99"/>
      <rgbColor rgb="FF99CCFF"/>
      <rgbColor rgb="FFFFC0CB"/>
      <rgbColor rgb="FFE6E6FA"/>
      <rgbColor rgb="FFFFDEAD"/>
      <rgbColor rgb="FF3366FF"/>
      <rgbColor rgb="FFF0FFF0"/>
      <rgbColor rgb="FFFFF8DC"/>
      <rgbColor rgb="FFFFE4E1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EC11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"Итого"</c:f>
              <c:strCache>
                <c:ptCount val="1"/>
                <c:pt idx="0">
                  <c:v>Итого</c:v>
                </c:pt>
              </c:strCache>
            </c:strRef>
          </c:tx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numFmt formatCode="0;\-0;;@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График_Суточной_Добычи_Нефть!$B$9:$B$40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График_Суточной_Добычи_Нефть!$AT$9:$AT$40</c:f>
              <c:numCache>
                <c:formatCode>General</c:formatCode>
                <c:ptCount val="32"/>
                <c:pt idx="0">
                  <c:v>-1</c:v>
                </c:pt>
                <c:pt idx="1">
                  <c:v>10439.48</c:v>
                </c:pt>
                <c:pt idx="2">
                  <c:v>10408.366</c:v>
                </c:pt>
                <c:pt idx="3">
                  <c:v>10416.017</c:v>
                </c:pt>
                <c:pt idx="4">
                  <c:v>10418.889</c:v>
                </c:pt>
                <c:pt idx="5">
                  <c:v>10430.971</c:v>
                </c:pt>
                <c:pt idx="6">
                  <c:v>10426.292</c:v>
                </c:pt>
                <c:pt idx="7">
                  <c:v>10420.564</c:v>
                </c:pt>
                <c:pt idx="8">
                  <c:v>10435.303</c:v>
                </c:pt>
                <c:pt idx="9">
                  <c:v>10414.553</c:v>
                </c:pt>
                <c:pt idx="10">
                  <c:v>10388.4</c:v>
                </c:pt>
                <c:pt idx="11">
                  <c:v>10444.312</c:v>
                </c:pt>
                <c:pt idx="12">
                  <c:v>10398.275</c:v>
                </c:pt>
                <c:pt idx="13">
                  <c:v>10442.218</c:v>
                </c:pt>
                <c:pt idx="14">
                  <c:v>10442.363</c:v>
                </c:pt>
                <c:pt idx="15">
                  <c:v>10403.724</c:v>
                </c:pt>
                <c:pt idx="16">
                  <c:v>10323.921</c:v>
                </c:pt>
                <c:pt idx="17">
                  <c:v>10404.56</c:v>
                </c:pt>
                <c:pt idx="18">
                  <c:v>10404.008</c:v>
                </c:pt>
                <c:pt idx="19">
                  <c:v>10344.083</c:v>
                </c:pt>
                <c:pt idx="20">
                  <c:v>10415.659</c:v>
                </c:pt>
                <c:pt idx="21">
                  <c:v>10428.386</c:v>
                </c:pt>
                <c:pt idx="22">
                  <c:v>10447.64</c:v>
                </c:pt>
                <c:pt idx="23">
                  <c:v>10396.753</c:v>
                </c:pt>
                <c:pt idx="24">
                  <c:v>10395.625</c:v>
                </c:pt>
                <c:pt idx="25">
                  <c:v>10519.259</c:v>
                </c:pt>
                <c:pt idx="26">
                  <c:v>10531.936</c:v>
                </c:pt>
                <c:pt idx="27">
                  <c:v>10530.468</c:v>
                </c:pt>
                <c:pt idx="28">
                  <c:v>10528.218</c:v>
                </c:pt>
                <c:pt idx="29">
                  <c:v>10547.637</c:v>
                </c:pt>
                <c:pt idx="30">
                  <c:v>10586.673</c:v>
                </c:pt>
                <c:pt idx="31">
                  <c:v>10645.554</c:v>
                </c:pt>
              </c:numCache>
            </c:numRef>
          </c:yVal>
          <c:smooth val="0"/>
        </c:ser>
        <c:axId val="23109098"/>
        <c:axId val="19201850"/>
      </c:scatterChart>
      <c:valAx>
        <c:axId val="23109098"/>
        <c:scaling>
          <c:orientation val="minMax"/>
          <c:max val="31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01850"/>
        <c:crosses val="autoZero"/>
        <c:crossBetween val="midCat"/>
        <c:majorUnit val="1"/>
      </c:valAx>
      <c:valAx>
        <c:axId val="19201850"/>
        <c:scaling>
          <c:orientation val="minMax"/>
          <c:max val="33846"/>
          <c:min val="30516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10909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158400</xdr:colOff>
      <xdr:row>63</xdr:row>
      <xdr:rowOff>12600</xdr:rowOff>
    </xdr:from>
    <xdr:to>
      <xdr:col>46</xdr:col>
      <xdr:colOff>158040</xdr:colOff>
      <xdr:row>83</xdr:row>
      <xdr:rowOff>12240</xdr:rowOff>
    </xdr:to>
    <xdr:graphicFrame>
      <xdr:nvGraphicFramePr>
        <xdr:cNvPr id="0" name="Chart 1"/>
        <xdr:cNvGraphicFramePr/>
      </xdr:nvGraphicFramePr>
      <xdr:xfrm>
        <a:off x="2565000" y="12233160"/>
        <a:ext cx="4030452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4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56.15"/>
    <col collapsed="false" customWidth="true" hidden="false" outlineLevel="0" max="3" min="3" style="1" width="5.86"/>
    <col collapsed="false" customWidth="true" hidden="false" outlineLevel="0" max="4" min="4" style="1" width="9.86"/>
    <col collapsed="false" customWidth="true" hidden="false" outlineLevel="0" max="7" min="5" style="1" width="10.85"/>
    <col collapsed="false" customWidth="true" hidden="false" outlineLevel="0" max="10" min="8" style="1" width="10.42"/>
    <col collapsed="false" customWidth="true" hidden="false" outlineLevel="0" max="12" min="11" style="1" width="9.71"/>
    <col collapsed="false" customWidth="true" hidden="false" outlineLevel="0" max="17" min="13" style="1" width="11.57"/>
    <col collapsed="false" customWidth="true" hidden="false" outlineLevel="0" max="19" min="18" style="1" width="12.15"/>
    <col collapsed="false" customWidth="true" hidden="false" outlineLevel="0" max="20" min="20" style="1" width="26.42"/>
    <col collapsed="false" customWidth="true" hidden="false" outlineLevel="0" max="21" min="21" style="1" width="0.42"/>
    <col collapsed="false" customWidth="true" hidden="false" outlineLevel="0" max="24" min="22" style="1" width="0.57"/>
    <col collapsed="false" customWidth="false" hidden="false" outlineLevel="0" max="16384" min="25" style="1" width="9.14"/>
  </cols>
  <sheetData>
    <row r="1" customFormat="false" ht="22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1</v>
      </c>
      <c r="U1" s="4"/>
      <c r="V1" s="4"/>
      <c r="W1" s="4"/>
      <c r="X1" s="4"/>
    </row>
    <row r="2" customFormat="false" ht="21" hidden="false" customHeight="true" outlineLevel="0" collapsed="false">
      <c r="A2" s="5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  <c r="U2" s="4"/>
      <c r="V2" s="4"/>
      <c r="W2" s="4"/>
      <c r="X2" s="4"/>
    </row>
    <row r="3" customFormat="false" ht="27.75" hidden="false" customHeight="true" outlineLevel="0" collapsed="false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4"/>
      <c r="W3" s="4"/>
      <c r="X3" s="4"/>
    </row>
    <row r="4" customFormat="false" ht="15" hidden="false" customHeight="true" outlineLevel="0" collapsed="false">
      <c r="A4" s="7" t="s">
        <v>4</v>
      </c>
      <c r="B4" s="8" t="s">
        <v>5</v>
      </c>
      <c r="C4" s="8" t="s">
        <v>6</v>
      </c>
      <c r="D4" s="8"/>
      <c r="E4" s="9" t="s">
        <v>7</v>
      </c>
      <c r="F4" s="9"/>
      <c r="G4" s="9"/>
      <c r="H4" s="9"/>
      <c r="I4" s="9"/>
      <c r="J4" s="9"/>
      <c r="K4" s="8" t="s">
        <v>8</v>
      </c>
      <c r="L4" s="8"/>
      <c r="M4" s="9" t="s">
        <v>9</v>
      </c>
      <c r="N4" s="9"/>
      <c r="O4" s="9"/>
      <c r="P4" s="9"/>
      <c r="Q4" s="9"/>
      <c r="R4" s="8" t="s">
        <v>8</v>
      </c>
      <c r="S4" s="8"/>
      <c r="T4" s="9" t="s">
        <v>10</v>
      </c>
      <c r="U4" s="6"/>
      <c r="V4" s="4"/>
      <c r="W4" s="4"/>
      <c r="X4" s="4"/>
    </row>
    <row r="5" customFormat="false" ht="15" hidden="false" customHeight="true" outlineLevel="0" collapsed="false">
      <c r="A5" s="7"/>
      <c r="B5" s="8"/>
      <c r="C5" s="8"/>
      <c r="D5" s="8"/>
      <c r="E5" s="10" t="s">
        <v>11</v>
      </c>
      <c r="F5" s="10"/>
      <c r="G5" s="10"/>
      <c r="H5" s="11" t="s">
        <v>12</v>
      </c>
      <c r="I5" s="11"/>
      <c r="J5" s="11"/>
      <c r="K5" s="11" t="s">
        <v>13</v>
      </c>
      <c r="L5" s="11" t="s">
        <v>14</v>
      </c>
      <c r="M5" s="10" t="s">
        <v>15</v>
      </c>
      <c r="N5" s="11" t="s">
        <v>11</v>
      </c>
      <c r="O5" s="11"/>
      <c r="P5" s="11" t="s">
        <v>12</v>
      </c>
      <c r="Q5" s="11"/>
      <c r="R5" s="11" t="s">
        <v>13</v>
      </c>
      <c r="S5" s="11" t="s">
        <v>14</v>
      </c>
      <c r="T5" s="9"/>
      <c r="U5" s="6"/>
      <c r="V5" s="4"/>
      <c r="W5" s="4"/>
      <c r="X5" s="4"/>
    </row>
    <row r="6" customFormat="false" ht="15" hidden="false" customHeight="true" outlineLevel="0" collapsed="false">
      <c r="A6" s="7"/>
      <c r="B6" s="8"/>
      <c r="C6" s="11" t="s">
        <v>16</v>
      </c>
      <c r="D6" s="11" t="s">
        <v>17</v>
      </c>
      <c r="E6" s="10" t="s">
        <v>16</v>
      </c>
      <c r="F6" s="11" t="s">
        <v>18</v>
      </c>
      <c r="G6" s="11" t="s">
        <v>17</v>
      </c>
      <c r="H6" s="11" t="s">
        <v>19</v>
      </c>
      <c r="I6" s="11" t="s">
        <v>18</v>
      </c>
      <c r="J6" s="11" t="s">
        <v>17</v>
      </c>
      <c r="K6" s="11" t="s">
        <v>17</v>
      </c>
      <c r="L6" s="11" t="s">
        <v>17</v>
      </c>
      <c r="M6" s="10"/>
      <c r="N6" s="11" t="s">
        <v>20</v>
      </c>
      <c r="O6" s="11" t="s">
        <v>21</v>
      </c>
      <c r="P6" s="11" t="s">
        <v>20</v>
      </c>
      <c r="Q6" s="11" t="s">
        <v>21</v>
      </c>
      <c r="R6" s="11" t="s">
        <v>21</v>
      </c>
      <c r="S6" s="11" t="s">
        <v>21</v>
      </c>
      <c r="T6" s="9"/>
      <c r="U6" s="6"/>
      <c r="V6" s="4"/>
      <c r="W6" s="4"/>
      <c r="X6" s="4"/>
    </row>
    <row r="7" customFormat="false" ht="15" hidden="false" customHeight="true" outlineLevel="0" collapsed="false">
      <c r="A7" s="12" t="n">
        <v>1</v>
      </c>
      <c r="B7" s="13" t="s">
        <v>22</v>
      </c>
      <c r="C7" s="14"/>
      <c r="D7" s="15" t="n">
        <v>32729.5</v>
      </c>
      <c r="E7" s="16"/>
      <c r="F7" s="17" t="n">
        <v>398527.132</v>
      </c>
      <c r="G7" s="18" t="n">
        <v>32090.015</v>
      </c>
      <c r="H7" s="14"/>
      <c r="I7" s="17" t="n">
        <v>401225.832</v>
      </c>
      <c r="J7" s="18" t="n">
        <f aca="false">G7</f>
        <v>32090.015</v>
      </c>
      <c r="K7" s="19" t="n">
        <f aca="false">IF(U7="0",(IF(D7="",(IF(J7&lt;&gt;"",J7,"")),(IF(J7="",0-D7,J7-D7)))),"")</f>
        <v>-639.485000000001</v>
      </c>
      <c r="L7" s="15" t="n">
        <f aca="false">IF(U7="0",(IF(G7="",(IF(J7&lt;&gt;"",J7,"")),(IF(J7="",0-G7,J7-G7)))),"")</f>
        <v>0</v>
      </c>
      <c r="M7" s="20" t="n">
        <v>1014614.5</v>
      </c>
      <c r="N7" s="17" t="n">
        <v>12354341.09</v>
      </c>
      <c r="O7" s="18" t="n">
        <v>994790.465</v>
      </c>
      <c r="P7" s="17" t="n">
        <v>12438000.79</v>
      </c>
      <c r="Q7" s="18" t="n">
        <f aca="false">O7</f>
        <v>994790.465</v>
      </c>
      <c r="R7" s="19" t="n">
        <f aca="false">IF(U7="0",(IF(M7="",(IF(Q7&lt;&gt;"",Q7,"")),(IF(Q7="",0-M7,Q7-M7)))),"")</f>
        <v>-19824.035</v>
      </c>
      <c r="S7" s="15" t="n">
        <f aca="false">IF(U7="0",(IF(O7="",(IF(Q7&lt;&gt;"",Q7,"")),(IF(Q7="",O7,Q7-O7)))),"")</f>
        <v>0</v>
      </c>
      <c r="T7" s="21"/>
      <c r="U7" s="3" t="s">
        <v>23</v>
      </c>
      <c r="V7" s="4"/>
      <c r="W7" s="4"/>
      <c r="X7" s="4"/>
    </row>
    <row r="8" customFormat="false" ht="15" hidden="false" customHeight="true" outlineLevel="0" collapsed="false">
      <c r="A8" s="22" t="n">
        <v>2</v>
      </c>
      <c r="B8" s="23" t="s">
        <v>24</v>
      </c>
      <c r="C8" s="24" t="n">
        <f aca="false">SUMIF(B9:B30,"Основные ГТМ",C9:C30)+SUMIF(B9:B30,"Работа с фондом",C9:C30)+SUMIF(B9:B30,"Сокращение потенциала простоя",C9:C30)+SUMIF(B9:B30,"Прочая добыча (отраб.скв, амбары, стравливание…)",C9:C30)</f>
        <v>39</v>
      </c>
      <c r="D8" s="24" t="n">
        <f aca="false">SUMIF(B9:B30,"Основные ГТМ",D9:D30)+SUMIF(B9:B30,"Работа с фондом",D9:D30)+SUMIF(B9:B30,"Сокращение потенциала простоя",D9:D30)+SUMIF(B9:B30,"Прочая добыча (отраб.скв, амбары, стравливание…)",D9:D30)</f>
        <v>1031.93</v>
      </c>
      <c r="E8" s="25" t="n">
        <f aca="false">SUMIF(B9:B30,"Основные ГТМ",E9:E30)+SUMIF(B9:B30,"Работа с фондом",E9:E30)+SUMIF(B9:B30,"Сокращение потенциала простоя",E9:E30)+SUMIF(B9:B30,"Прочая добыча (отраб.скв, амбары, стравливание…)",E9:E30)</f>
        <v>101</v>
      </c>
      <c r="F8" s="26" t="n">
        <f aca="false">SUMIF(B9:B30,"Основные ГТМ",F9:F30)+SUMIF(B9:B30,"Работа с фондом",F9:F30)+SUMIF(B9:B30,"Сокращение потенциала простоя",F9:F30)+SUMIF(B9:B30,"Прочая добыча (отраб.скв, амбары, стравливание…)",F9:F30)</f>
        <v>11831</v>
      </c>
      <c r="G8" s="27" t="n">
        <f aca="false">SUMIF(B9:B30,"Основные ГТМ",G9:G30)+SUMIF(B9:B30,"Работа с фондом",G9:G30)+SUMIF(B9:B30,"Сокращение потенциала простоя",G9:G30)+SUMIF(B9:B30,"Прочая добыча (отраб.скв, амбары, стравливание…)",G9:G30)</f>
        <v>1823.8</v>
      </c>
      <c r="H8" s="24" t="n">
        <f aca="false">IF(U8="0",(SUMIF(B9:B30,"Основные ГТМ",H9:H30)+SUMIF(B9:B30,"Работа с фондом",H9:H30)+SUMIF(B9:B30,"Сокращение потенциала простоя",H9:H30)+SUMIF(B9:B30,"Прочая добыча (отраб.скв, амбары, стравливание…)",H9:H30)),"")</f>
        <v>145</v>
      </c>
      <c r="I8" s="26" t="n">
        <f aca="false">IF(U8="0",(SUMIF(B9:B30,"Основные ГТМ",I9:I30)+SUMIF(B9:B30,"Работа с фондом",I9:I30)+SUMIF(B9:B30,"Сокращение потенциала простоя",I9:I30)+SUMIF(B9:B30,"Прочая добыча (отраб.скв, амбары, стравливание…)",I9:I30)),"")</f>
        <v>9093.513</v>
      </c>
      <c r="J8" s="27" t="n">
        <f aca="false">IF(U8="0",(SUMIF(B9:B30,"Основные ГТМ",J9:J30)+SUMIF(B9:B30,"Работа с фондом",J9:J30)+SUMIF(B9:B30,"Сокращение потенциала простоя",J9:J30)+SUMIF(B9:B30,"Прочая добыча (отраб.скв, амбары, стравливание…)",J9:J30)),"")</f>
        <v>653.626</v>
      </c>
      <c r="K8" s="24" t="n">
        <f aca="false">IF(U8="0",(SUMIF(B9:B30,"Основные ГТМ",K9:K30)+SUMIF(B9:B30,"Работа с фондом",K9:K30)+SUMIF(B9:B30,"Сокращение потенциала простоя",K9:K30)+SUMIF(B9:B30,"Прочая добыча (отраб.скв, амбары, стравливание…)",K9:K30)),"")</f>
        <v>-378.304</v>
      </c>
      <c r="L8" s="28" t="n">
        <f aca="false">IF(U8="0",(SUMIF(B9:B30,"Основные ГТМ",L9:L12)+SUMIF(B9:B30,"Работа с фондом",L9:L30)+SUMIF(B9:B30,"Сокращение потенциала простоя",L9:L30)+SUMIF(B9:B30,"Прочая добыча (отраб.скв, амбары, стравливание…)",L9:L30)),"")</f>
        <v>-1170.174</v>
      </c>
      <c r="M8" s="25" t="n">
        <f aca="false">SUMIF(B9:B30,"Основные ГТМ",M9:M30)+SUMIF(B9:B30,"Работа с фондом",M9:M30)+SUMIF(B9:B30,"Сокращение потенциала простоя",M9:M30)+SUMIF(B9:B30,"Прочая добыча (отраб.скв, амбары, стравливание…)",M9:M30)</f>
        <v>8259.527</v>
      </c>
      <c r="N8" s="26" t="n">
        <f aca="false">SUMIF(B9:B30,"Основные ГТМ",N9:N30)+SUMIF(B9:B30,"Работа с фондом",N9:N30)+SUMIF(B9:B30,"Сокращение потенциала простоя",N9:N30)+SUMIF(B9:B30,"Прочая добыча (отраб.скв, амбары, стравливание…)",N9:N30)</f>
        <v>145336</v>
      </c>
      <c r="O8" s="27" t="n">
        <f aca="false">SUMIF(B9:B30,"Основные ГТМ",O9:O30)+SUMIF(B9:B30,"Работа с фондом",O9:O30)+SUMIF(B9:B30,"Сокращение потенциала простоя",O9:O30)+SUMIF(B9:B30,"Прочая добыча (отраб.скв, амбары, стравливание…)",O9:O30)</f>
        <v>28795.388</v>
      </c>
      <c r="P8" s="26" t="n">
        <f aca="false">IF(U8="0",(SUMIF(B9:B30,"Основные ГТМ",P9:P30)+SUMIF(B9:B30,"Работа с фондом",P9:P30)+SUMIF(B9:B30,"Сокращение потенциала простоя",P9:P30)+SUMIF(B9:B30,"Прочая добыча (отраб.скв, амбары, стравливание…)",P9:P30)),"")</f>
        <v>89735.082</v>
      </c>
      <c r="Q8" s="27" t="n">
        <f aca="false">IF(U8="0",(SUMIF(B9:B30,"Основные ГТМ",Q9:Q30)+SUMIF(B9:B30,"Работа с фондом",Q9:Q30)+SUMIF(B9:B30,"Сокращение потенциала простоя",Q9:Q30)+SUMIF(B9:B30,"Прочая добыча (отраб.скв, амбары, стравливание…)",Q9:Q30)),"")</f>
        <v>17258.605</v>
      </c>
      <c r="R8" s="24" t="n">
        <f aca="false">IF(U8="0",(SUMIF(B9:B30,"Основные ГТМ",R9:R30)+SUMIF(B9:B30,"Работа с фондом",R9:R30)+SUMIF(B9:B30,"Сокращение потенциала простоя",R9:R30)+SUMIF(B9:B30,"Прочая добыча (отраб.скв, амбары, стравливание…)",R9:R30)),"")</f>
        <v>8080.078</v>
      </c>
      <c r="S8" s="24" t="n">
        <f aca="false">IF(U8="0",(SUMIF(B9:B30,"Основные ГТМ",S9:S30)+SUMIF(B9:B30,"Работа с фондом",S9:S30)+SUMIF(B9:B30,"Сокращение потенциала простоя",S9:S30)+SUMIF(B9:B30,"Прочая добыча (отраб.скв, амбары, стравливание…)",S9:S30)),"")</f>
        <v>-11536.783</v>
      </c>
      <c r="T8" s="29"/>
      <c r="U8" s="3" t="s">
        <v>23</v>
      </c>
      <c r="V8" s="4"/>
      <c r="W8" s="4"/>
      <c r="X8" s="4"/>
    </row>
    <row r="9" customFormat="false" ht="15" hidden="false" customHeight="true" outlineLevel="0" collapsed="false">
      <c r="A9" s="30" t="s">
        <v>25</v>
      </c>
      <c r="B9" s="31" t="s">
        <v>26</v>
      </c>
      <c r="C9" s="32" t="n">
        <f aca="false">SUBTOTAL(9,C10:C22)-IF(B9="Работа с фондом",SUMIF(B10:B22,"      ограничение добычи (ОПЕК)",C10:C22),0)</f>
        <v>39</v>
      </c>
      <c r="D9" s="32" t="n">
        <f aca="false">SUBTOTAL(9,D10:D22)-IF(B9="Работа с фондом",SUMIF(B10:B22,"      ограничение добычи (ОПЕК)",D10:D22),0)</f>
        <v>1031.93</v>
      </c>
      <c r="E9" s="33" t="n">
        <f aca="false">SUBTOTAL(9,E10:E22)-IF(B9="Работа с фондом",SUMIF(B10:B22,"      ограничение добычи (ОПЕК)",E10:E22),0)</f>
        <v>50</v>
      </c>
      <c r="F9" s="34" t="n">
        <f aca="false">SUBTOTAL(9,F10:F22)-IF(B9="Работа с фондом",SUMIF(B10:B22,"      ограничение добычи (ОПЕК)",F10:F22),0)</f>
        <v>8055</v>
      </c>
      <c r="G9" s="35" t="n">
        <f aca="false">SUBTOTAL(9,G10:G22)-IF(B9="Работа с фондом",SUMIF(B10:B22,"      ограничение добычи (ОПЕК)",G10:G22),0)</f>
        <v>1851</v>
      </c>
      <c r="H9" s="32" t="n">
        <f aca="false">IF(U9="0",(SUBTOTAL(9,H10:H22)-IF(B9="Работа с фондом",SUMIF(B10:B22,"      ограничение добычи (ОПЕК)",H10:H22),0)),"")</f>
        <v>42</v>
      </c>
      <c r="I9" s="34" t="n">
        <f aca="false">IF(U9="0",(SUBTOTAL(9,I10:I22)-IF(B9="Работа с фондом",SUMIF(B10:B22,"      ограничение добычи (ОПЕК)",I10:I22),0)),"")</f>
        <v>5628.863</v>
      </c>
      <c r="J9" s="35" t="n">
        <f aca="false">IF(U9="0",(SUBTOTAL(9,J10:J22)-IF(B9="Работа с фондом",SUMIF(B10:B22,"      ограничение добычи (ОПЕК)",J10:J22),0)),"")</f>
        <v>1267</v>
      </c>
      <c r="K9" s="32" t="n">
        <f aca="false">IF(U9="0",(SUBTOTAL(9,K10:K22)-IF(B9="Работа с фондом",SUMIF(B10:B22,"      ограничение добычи (ОПЕК)",K10:K22),0)),"")</f>
        <v>235.07</v>
      </c>
      <c r="L9" s="32" t="n">
        <f aca="false">IF(U9="0",(SUBTOTAL(9,L10:L22)-IF(B9="Работа с фондом",SUMIF(B10:B22,"      ограничение добычи (ОПЕК)",L10:L22),0)),"")</f>
        <v>-584</v>
      </c>
      <c r="M9" s="33" t="n">
        <f aca="false">SUBTOTAL(9,M10:M22)-IF(B9="Работа с фондом",SUMIF(B10:B22,"      ограничение добычи (ОПЕК)",M10:M22),0)</f>
        <v>8259.527</v>
      </c>
      <c r="N9" s="34" t="n">
        <f aca="false">SUBTOTAL(9,N10:N22)-IF(B9="Работа с фондом",SUMIF(B10:B22,"      ограничение добычи (ОПЕК)",N10:N22),0)</f>
        <v>93499</v>
      </c>
      <c r="O9" s="35" t="n">
        <f aca="false">SUBTOTAL(9,O10:O22)-IF(B9="Работа с фондом",SUMIF(B10:B22,"      ограничение добычи (ОПЕК)",O10:O22),0)</f>
        <v>24732</v>
      </c>
      <c r="P9" s="34" t="n">
        <f aca="false">IF(U9="0",(SUBTOTAL(9,P10:P22)-IF(B9="Работа с фондом",SUMIF(B10:B22,"      ограничение добычи (ОПЕК)",P10:P22),0)),"")</f>
        <v>50838.836</v>
      </c>
      <c r="Q9" s="35" t="n">
        <f aca="false">IF(U9="0",(SUBTOTAL(9,Q10:Q22)-IF(B9="Работа с фондом",SUMIF(B10:B22,"      ограничение добычи (ОПЕК)",Q10:Q22),0)),"")</f>
        <v>13167</v>
      </c>
      <c r="R9" s="32" t="n">
        <f aca="false">IF(U9="0",(SUBTOTAL(9,R10:R22)-IF(B9="Работа с фондом",SUMIF(B10:B22,"      ограничение добычи (ОПЕК)",R10:R22),0)),"")</f>
        <v>4907.473</v>
      </c>
      <c r="S9" s="32" t="n">
        <f aca="false">IF(U9="0",(SUBTOTAL(9,S10:S22)-IF(B9="Работа с фондом",SUMIF(B10:B22,"      ограничение добычи (ОПЕК)",S10:S22),0)),"")</f>
        <v>-11565</v>
      </c>
      <c r="T9" s="36"/>
      <c r="U9" s="3" t="s">
        <v>23</v>
      </c>
      <c r="V9" s="4"/>
      <c r="W9" s="4"/>
      <c r="X9" s="4"/>
    </row>
    <row r="10" customFormat="false" ht="13.5" hidden="false" customHeight="true" outlineLevel="0" collapsed="false">
      <c r="A10" s="37" t="s">
        <v>27</v>
      </c>
      <c r="B10" s="38" t="s">
        <v>28</v>
      </c>
      <c r="C10" s="39" t="n">
        <v>20</v>
      </c>
      <c r="D10" s="39" t="n">
        <v>731.45</v>
      </c>
      <c r="E10" s="40" t="n">
        <v>21</v>
      </c>
      <c r="F10" s="41" t="n">
        <v>4792</v>
      </c>
      <c r="G10" s="42" t="n">
        <v>1350</v>
      </c>
      <c r="H10" s="39" t="n">
        <v>19</v>
      </c>
      <c r="I10" s="41" t="n">
        <v>3895</v>
      </c>
      <c r="J10" s="42" t="n">
        <v>900</v>
      </c>
      <c r="K10" s="39" t="n">
        <f aca="false">IF(U10="0",(IF(D10="",(IF(J10&lt;&gt;"",J10,"")),(IF(J10="",0-D10,J10-D10)))),"")</f>
        <v>168.55</v>
      </c>
      <c r="L10" s="43" t="n">
        <f aca="false">IF(U10="0",(IF(G10="",(IF(J10&lt;&gt;"",J10,"")),(IF(J10="",0-G10,J10-G10)))),"")</f>
        <v>-450</v>
      </c>
      <c r="M10" s="40" t="n">
        <v>5572.103</v>
      </c>
      <c r="N10" s="41" t="n">
        <v>60304</v>
      </c>
      <c r="O10" s="42" t="n">
        <v>19480</v>
      </c>
      <c r="P10" s="41" t="n">
        <v>32615</v>
      </c>
      <c r="Q10" s="42" t="n">
        <v>8710</v>
      </c>
      <c r="R10" s="39" t="n">
        <f aca="false">IF(U10="0",(IF(M10="",(IF(Q10&lt;&gt;"",Q10,"")),(IF(Q10="",0-M10,Q10-M10)))),"")</f>
        <v>3137.897</v>
      </c>
      <c r="S10" s="39" t="n">
        <f aca="false">IF(U10="0",(IF(O10="",(IF(Q10&lt;&gt;"",Q10,"")),(IF(Q10="",0-O10,Q10-O10)))),"")</f>
        <v>-10770</v>
      </c>
      <c r="T10" s="44"/>
      <c r="U10" s="3" t="s">
        <v>23</v>
      </c>
      <c r="V10" s="4"/>
      <c r="W10" s="4"/>
      <c r="X10" s="4"/>
    </row>
    <row r="11" customFormat="false" ht="13.5" hidden="false" customHeight="true" outlineLevel="0" collapsed="false">
      <c r="A11" s="37" t="s">
        <v>29</v>
      </c>
      <c r="B11" s="38" t="s">
        <v>30</v>
      </c>
      <c r="C11" s="39"/>
      <c r="D11" s="39"/>
      <c r="E11" s="40"/>
      <c r="F11" s="41"/>
      <c r="G11" s="42"/>
      <c r="H11" s="39"/>
      <c r="I11" s="41"/>
      <c r="J11" s="42"/>
      <c r="K11" s="39" t="str">
        <f aca="false">IF(U11="0",(IF(D11="",(IF(J11&lt;&gt;"",J11,"")),(IF(J11="",0-D11,J11-D11)))),"")</f>
        <v/>
      </c>
      <c r="L11" s="39" t="str">
        <f aca="false">IF(U11="0",(IF(G11="",(IF(J11&lt;&gt;"",J11,"")),(IF(J11="",0-G11,J11-G11)))),"")</f>
        <v/>
      </c>
      <c r="M11" s="40"/>
      <c r="N11" s="41"/>
      <c r="O11" s="42"/>
      <c r="P11" s="41"/>
      <c r="Q11" s="42"/>
      <c r="R11" s="39" t="str">
        <f aca="false">IF(U11="0",(IF(M11="",(IF(Q11&lt;&gt;"",Q11,"")),(IF(Q11="",0-M11,Q11-M11)))),"")</f>
        <v/>
      </c>
      <c r="S11" s="39" t="str">
        <f aca="false">IF(U11="0",(IF(O11="",(IF(Q11&lt;&gt;"",Q11,"")),(IF(Q11="",0-O11,Q11-O11)))),"")</f>
        <v/>
      </c>
      <c r="T11" s="44"/>
      <c r="U11" s="3" t="s">
        <v>23</v>
      </c>
      <c r="V11" s="4"/>
      <c r="W11" s="4"/>
      <c r="X11" s="4"/>
    </row>
    <row r="12" customFormat="false" ht="13.5" hidden="false" customHeight="true" outlineLevel="0" collapsed="false">
      <c r="A12" s="37" t="s">
        <v>31</v>
      </c>
      <c r="B12" s="38" t="s">
        <v>32</v>
      </c>
      <c r="C12" s="39"/>
      <c r="D12" s="39"/>
      <c r="E12" s="40"/>
      <c r="F12" s="41"/>
      <c r="G12" s="42"/>
      <c r="H12" s="39"/>
      <c r="I12" s="41"/>
      <c r="J12" s="42"/>
      <c r="K12" s="39" t="str">
        <f aca="false">IF(U12="0",(IF(D12="",(IF(J12&lt;&gt;"",J12,"")),(IF(J12="",0-D12,J12-D12)))),"")</f>
        <v/>
      </c>
      <c r="L12" s="39" t="str">
        <f aca="false">IF(U12="0",(IF(G12="",(IF(J12&lt;&gt;"",J12,"")),(IF(J12="",0-G12,J12-G12)))),"")</f>
        <v/>
      </c>
      <c r="M12" s="40"/>
      <c r="N12" s="41"/>
      <c r="O12" s="42"/>
      <c r="P12" s="41"/>
      <c r="Q12" s="42"/>
      <c r="R12" s="39" t="str">
        <f aca="false">IF(U12="0",(IF(M12="",(IF(Q12&lt;&gt;"",Q12,"")),(IF(Q12="",0-M12,Q12-M12)))),"")</f>
        <v/>
      </c>
      <c r="S12" s="39" t="str">
        <f aca="false">IF(U12="0",(IF(O12="",(IF(Q12&lt;&gt;"",Q12,"")),(IF(Q12="",0-O12,Q12-O12)))),"")</f>
        <v/>
      </c>
      <c r="T12" s="44"/>
      <c r="U12" s="3" t="s">
        <v>23</v>
      </c>
      <c r="V12" s="4"/>
      <c r="W12" s="4"/>
      <c r="X12" s="4"/>
    </row>
    <row r="13" customFormat="false" ht="13.5" hidden="false" customHeight="true" outlineLevel="0" collapsed="false">
      <c r="A13" s="37" t="s">
        <v>33</v>
      </c>
      <c r="B13" s="38" t="s">
        <v>34</v>
      </c>
      <c r="C13" s="39" t="n">
        <v>4</v>
      </c>
      <c r="D13" s="39" t="n">
        <v>23.7</v>
      </c>
      <c r="E13" s="40"/>
      <c r="F13" s="41"/>
      <c r="G13" s="42"/>
      <c r="H13" s="39"/>
      <c r="I13" s="41"/>
      <c r="J13" s="42"/>
      <c r="K13" s="43" t="n">
        <f aca="false">IF(U13="0",(IF(D13="",(IF(J13&lt;&gt;"",J13,"")),(IF(J13="",0-D13,J13-D13)))),"")</f>
        <v>-23.7</v>
      </c>
      <c r="L13" s="39" t="str">
        <f aca="false">IF(U13="0",(IF(G13="",(IF(J13&lt;&gt;"",J13,"")),(IF(J13="",0-G13,J13-G13)))),"")</f>
        <v/>
      </c>
      <c r="M13" s="40" t="n">
        <v>231.96</v>
      </c>
      <c r="N13" s="41"/>
      <c r="O13" s="42"/>
      <c r="P13" s="41"/>
      <c r="Q13" s="42"/>
      <c r="R13" s="43" t="n">
        <f aca="false">IF(U13="0",(IF(M13="",(IF(Q13&lt;&gt;"",Q13,"")),(IF(Q13="",0-M13,Q13-M13)))),"")</f>
        <v>-231.96</v>
      </c>
      <c r="S13" s="39" t="str">
        <f aca="false">IF(U13="0",(IF(O13="",(IF(Q13&lt;&gt;"",Q13,"")),(IF(Q13="",0-O13,Q13-O13)))),"")</f>
        <v/>
      </c>
      <c r="T13" s="44"/>
      <c r="U13" s="3" t="s">
        <v>23</v>
      </c>
      <c r="V13" s="4"/>
      <c r="W13" s="4"/>
      <c r="X13" s="4"/>
    </row>
    <row r="14" customFormat="false" ht="13.5" hidden="false" customHeight="true" outlineLevel="0" collapsed="false">
      <c r="A14" s="37" t="s">
        <v>35</v>
      </c>
      <c r="B14" s="38" t="s">
        <v>36</v>
      </c>
      <c r="C14" s="39" t="n">
        <v>13</v>
      </c>
      <c r="D14" s="39" t="n">
        <v>268.78</v>
      </c>
      <c r="E14" s="40" t="n">
        <v>26</v>
      </c>
      <c r="F14" s="41" t="n">
        <v>3120</v>
      </c>
      <c r="G14" s="42" t="n">
        <v>486</v>
      </c>
      <c r="H14" s="39" t="n">
        <v>23</v>
      </c>
      <c r="I14" s="41" t="n">
        <v>1733.863</v>
      </c>
      <c r="J14" s="42" t="n">
        <v>367</v>
      </c>
      <c r="K14" s="39" t="n">
        <f aca="false">IF(U14="0",(IF(D14="",(IF(J14&lt;&gt;"",J14,"")),(IF(J14="",0-D14,J14-D14)))),"")</f>
        <v>98.22</v>
      </c>
      <c r="L14" s="39" t="n">
        <f aca="false">IF(U14="0",(IF(G14="",(IF(J14&lt;&gt;"",J14,"")),(IF(J14="",0-G14,J14-G14)))),"")</f>
        <v>-119</v>
      </c>
      <c r="M14" s="40" t="n">
        <v>2376.992</v>
      </c>
      <c r="N14" s="41" t="n">
        <v>32106</v>
      </c>
      <c r="O14" s="42" t="n">
        <v>5097</v>
      </c>
      <c r="P14" s="41" t="n">
        <v>18223.836</v>
      </c>
      <c r="Q14" s="42" t="n">
        <v>4457</v>
      </c>
      <c r="R14" s="39" t="n">
        <f aca="false">IF(U14="0",(IF(M14="",(IF(Q14&lt;&gt;"",Q14,"")),(IF(Q14="",0-M14,Q14-M14)))),"")</f>
        <v>2080.008</v>
      </c>
      <c r="S14" s="39" t="n">
        <f aca="false">IF(U14="0",(IF(O14="",(IF(Q14&lt;&gt;"",Q14,"")),(IF(Q14="",0-O14,Q14-O14)))),"")</f>
        <v>-640</v>
      </c>
      <c r="T14" s="44"/>
      <c r="U14" s="3" t="s">
        <v>23</v>
      </c>
      <c r="V14" s="4"/>
      <c r="W14" s="4"/>
      <c r="X14" s="4"/>
    </row>
    <row r="15" customFormat="false" ht="13.5" hidden="false" customHeight="true" outlineLevel="0" collapsed="false">
      <c r="A15" s="37" t="s">
        <v>37</v>
      </c>
      <c r="B15" s="38" t="s">
        <v>38</v>
      </c>
      <c r="C15" s="39"/>
      <c r="D15" s="39"/>
      <c r="E15" s="40"/>
      <c r="F15" s="41"/>
      <c r="G15" s="42"/>
      <c r="H15" s="39"/>
      <c r="I15" s="41"/>
      <c r="J15" s="42"/>
      <c r="K15" s="39" t="str">
        <f aca="false">IF(U15="0",(IF(D15="",(IF(J15&lt;&gt;"",J15,"")),(IF(J15="",0-D15,J15-D15)))),"")</f>
        <v/>
      </c>
      <c r="L15" s="39" t="str">
        <f aca="false">IF(U15="0",(IF(G15="",(IF(J15&lt;&gt;"",J15,"")),(IF(J15="",0-G15,J15-G15)))),"")</f>
        <v/>
      </c>
      <c r="M15" s="40"/>
      <c r="N15" s="41"/>
      <c r="O15" s="42"/>
      <c r="P15" s="41"/>
      <c r="Q15" s="42"/>
      <c r="R15" s="39" t="str">
        <f aca="false">IF(U15="0",(IF(M15="",(IF(Q15&lt;&gt;"",Q15,"")),(IF(Q15="",0-M15,Q15-M15)))),"")</f>
        <v/>
      </c>
      <c r="S15" s="39" t="str">
        <f aca="false">IF(U15="0",(IF(O15="",(IF(Q15&lt;&gt;"",Q15,"")),(IF(Q15="",0-O15,Q15-O15)))),"")</f>
        <v/>
      </c>
      <c r="T15" s="44"/>
      <c r="U15" s="3" t="s">
        <v>23</v>
      </c>
      <c r="V15" s="4"/>
      <c r="W15" s="4"/>
      <c r="X15" s="4"/>
    </row>
    <row r="16" customFormat="false" ht="13.5" hidden="false" customHeight="true" outlineLevel="0" collapsed="false">
      <c r="A16" s="37" t="s">
        <v>39</v>
      </c>
      <c r="B16" s="38" t="s">
        <v>40</v>
      </c>
      <c r="C16" s="39"/>
      <c r="D16" s="39"/>
      <c r="E16" s="40"/>
      <c r="F16" s="41"/>
      <c r="G16" s="42"/>
      <c r="H16" s="39"/>
      <c r="I16" s="41"/>
      <c r="J16" s="42"/>
      <c r="K16" s="39" t="str">
        <f aca="false">IF(U16="0",(IF(D16="",(IF(J16&lt;&gt;"",J16,"")),(IF(J16="",0-D16,J16-D16)))),"")</f>
        <v/>
      </c>
      <c r="L16" s="39" t="str">
        <f aca="false">IF(U16="0",(IF(G16="",(IF(J16&lt;&gt;"",J16,"")),(IF(J16="",0-G16,J16-G16)))),"")</f>
        <v/>
      </c>
      <c r="M16" s="40"/>
      <c r="N16" s="41"/>
      <c r="O16" s="42"/>
      <c r="P16" s="41"/>
      <c r="Q16" s="42"/>
      <c r="R16" s="39" t="str">
        <f aca="false">IF(U16="0",(IF(M16="",(IF(Q16&lt;&gt;"",Q16,"")),(IF(Q16="",0-M16,Q16-M16)))),"")</f>
        <v/>
      </c>
      <c r="S16" s="39" t="str">
        <f aca="false">IF(U16="0",(IF(O16="",(IF(Q16&lt;&gt;"",Q16,"")),(IF(Q16="",0-O16,Q16-O16)))),"")</f>
        <v/>
      </c>
      <c r="T16" s="44"/>
      <c r="U16" s="3" t="s">
        <v>23</v>
      </c>
      <c r="V16" s="4"/>
      <c r="W16" s="4"/>
      <c r="X16" s="4"/>
    </row>
    <row r="17" customFormat="false" ht="13.5" hidden="false" customHeight="true" outlineLevel="0" collapsed="false">
      <c r="A17" s="37" t="s">
        <v>41</v>
      </c>
      <c r="B17" s="38" t="s">
        <v>42</v>
      </c>
      <c r="C17" s="39"/>
      <c r="D17" s="39"/>
      <c r="E17" s="40"/>
      <c r="F17" s="41"/>
      <c r="G17" s="42"/>
      <c r="H17" s="39"/>
      <c r="I17" s="41"/>
      <c r="J17" s="42"/>
      <c r="K17" s="39" t="str">
        <f aca="false">IF(U17="0",(IF(D17="",(IF(J17&lt;&gt;"",J17,"")),(IF(J17="",0-D17,J17-D17)))),"")</f>
        <v/>
      </c>
      <c r="L17" s="39" t="str">
        <f aca="false">IF(U17="0",(IF(G17="",(IF(J17&lt;&gt;"",J17,"")),(IF(J17="",0-G17,J17-G17)))),"")</f>
        <v/>
      </c>
      <c r="M17" s="40"/>
      <c r="N17" s="41"/>
      <c r="O17" s="42"/>
      <c r="P17" s="41"/>
      <c r="Q17" s="42"/>
      <c r="R17" s="39" t="str">
        <f aca="false">IF(U17="0",(IF(M17="",(IF(Q17&lt;&gt;"",Q17,"")),(IF(Q17="",0-M17,Q17-M17)))),"")</f>
        <v/>
      </c>
      <c r="S17" s="39" t="str">
        <f aca="false">IF(U17="0",(IF(O17="",(IF(Q17&lt;&gt;"",Q17,"")),(IF(Q17="",0-O17,Q17-O17)))),"")</f>
        <v/>
      </c>
      <c r="T17" s="44"/>
      <c r="U17" s="3" t="s">
        <v>23</v>
      </c>
      <c r="V17" s="4"/>
      <c r="W17" s="4"/>
      <c r="X17" s="4"/>
    </row>
    <row r="18" customFormat="false" ht="13.5" hidden="false" customHeight="true" outlineLevel="0" collapsed="false">
      <c r="A18" s="37" t="s">
        <v>43</v>
      </c>
      <c r="B18" s="38" t="s">
        <v>44</v>
      </c>
      <c r="C18" s="39" t="n">
        <v>2</v>
      </c>
      <c r="D18" s="39" t="n">
        <v>8</v>
      </c>
      <c r="E18" s="40" t="n">
        <v>3</v>
      </c>
      <c r="F18" s="41" t="n">
        <v>143</v>
      </c>
      <c r="G18" s="42" t="n">
        <v>15</v>
      </c>
      <c r="H18" s="39"/>
      <c r="I18" s="41"/>
      <c r="J18" s="42"/>
      <c r="K18" s="43" t="n">
        <f aca="false">IF(U18="0",(IF(D18="",(IF(J18&lt;&gt;"",J18,"")),(IF(J18="",0-D18,J18-D18)))),"")</f>
        <v>-8</v>
      </c>
      <c r="L18" s="39" t="n">
        <f aca="false">IF(U18="0",(IF(G18="",(IF(J18&lt;&gt;"",J18,"")),(IF(J18="",0-G18,J18-G18)))),"")</f>
        <v>-15</v>
      </c>
      <c r="M18" s="40" t="n">
        <v>78.472</v>
      </c>
      <c r="N18" s="41" t="n">
        <v>1089</v>
      </c>
      <c r="O18" s="42" t="n">
        <v>155</v>
      </c>
      <c r="P18" s="41"/>
      <c r="Q18" s="42"/>
      <c r="R18" s="43" t="n">
        <f aca="false">IF(U18="0",(IF(M18="",(IF(Q18&lt;&gt;"",Q18,"")),(IF(Q18="",0-M18,Q18-M18)))),"")</f>
        <v>-78.472</v>
      </c>
      <c r="S18" s="39" t="n">
        <f aca="false">IF(U18="0",(IF(O18="",(IF(Q18&lt;&gt;"",Q18,"")),(IF(Q18="",0-O18,Q18-O18)))),"")</f>
        <v>-155</v>
      </c>
      <c r="T18" s="44"/>
      <c r="U18" s="3" t="s">
        <v>23</v>
      </c>
      <c r="V18" s="4"/>
      <c r="W18" s="4"/>
      <c r="X18" s="4"/>
    </row>
    <row r="19" customFormat="false" ht="13.5" hidden="false" customHeight="true" outlineLevel="0" collapsed="false">
      <c r="A19" s="37" t="s">
        <v>45</v>
      </c>
      <c r="B19" s="38" t="s">
        <v>46</v>
      </c>
      <c r="C19" s="39"/>
      <c r="D19" s="39"/>
      <c r="E19" s="40"/>
      <c r="F19" s="41"/>
      <c r="G19" s="42"/>
      <c r="H19" s="39"/>
      <c r="I19" s="41"/>
      <c r="J19" s="42"/>
      <c r="K19" s="39" t="str">
        <f aca="false">IF(U19="0",(IF(D19="",(IF(J19&lt;&gt;"",J19,"")),(IF(J19="",0-D19,J19-D19)))),"")</f>
        <v/>
      </c>
      <c r="L19" s="39" t="str">
        <f aca="false">IF(U19="0",(IF(G19="",(IF(J19&lt;&gt;"",J19,"")),(IF(J19="",0-G19,J19-G19)))),"")</f>
        <v/>
      </c>
      <c r="M19" s="40"/>
      <c r="N19" s="41"/>
      <c r="O19" s="42"/>
      <c r="P19" s="41"/>
      <c r="Q19" s="42"/>
      <c r="R19" s="39" t="str">
        <f aca="false">IF(U19="0",(IF(M19="",(IF(Q19&lt;&gt;"",Q19,"")),(IF(Q19="",0-M19,Q19-M19)))),"")</f>
        <v/>
      </c>
      <c r="S19" s="39" t="str">
        <f aca="false">IF(U19="0",(IF(O19="",(IF(Q19&lt;&gt;"",Q19,"")),(IF(Q19="",0-O19,Q19-O19)))),"")</f>
        <v/>
      </c>
      <c r="T19" s="44"/>
      <c r="U19" s="3" t="s">
        <v>23</v>
      </c>
      <c r="V19" s="4"/>
      <c r="W19" s="4"/>
      <c r="X19" s="4"/>
    </row>
    <row r="20" customFormat="false" ht="13.5" hidden="false" customHeight="true" outlineLevel="0" collapsed="false">
      <c r="A20" s="37" t="s">
        <v>47</v>
      </c>
      <c r="B20" s="38" t="s">
        <v>48</v>
      </c>
      <c r="C20" s="39"/>
      <c r="D20" s="39"/>
      <c r="E20" s="40"/>
      <c r="F20" s="41"/>
      <c r="G20" s="42"/>
      <c r="H20" s="39"/>
      <c r="I20" s="41"/>
      <c r="J20" s="42"/>
      <c r="K20" s="39" t="str">
        <f aca="false">IF(U20="0",(IF(D20="",(IF(J20&lt;&gt;"",J20,"")),(IF(J20="",0-D20,J20-D20)))),"")</f>
        <v/>
      </c>
      <c r="L20" s="39" t="str">
        <f aca="false">IF(U20="0",(IF(G20="",(IF(J20&lt;&gt;"",J20,"")),(IF(J20="",0-G20,J20-G20)))),"")</f>
        <v/>
      </c>
      <c r="M20" s="40"/>
      <c r="N20" s="41"/>
      <c r="O20" s="42"/>
      <c r="P20" s="41"/>
      <c r="Q20" s="42"/>
      <c r="R20" s="39" t="str">
        <f aca="false">IF(U20="0",(IF(M20="",(IF(Q20&lt;&gt;"",Q20,"")),(IF(Q20="",0-M20,Q20-M20)))),"")</f>
        <v/>
      </c>
      <c r="S20" s="39" t="str">
        <f aca="false">IF(U20="0",(IF(O20="",(IF(Q20&lt;&gt;"",Q20,"")),(IF(Q20="",0-O20,Q20-O20)))),"")</f>
        <v/>
      </c>
      <c r="T20" s="44"/>
      <c r="U20" s="3" t="s">
        <v>23</v>
      </c>
      <c r="V20" s="4"/>
      <c r="W20" s="4"/>
      <c r="X20" s="4"/>
    </row>
    <row r="21" customFormat="false" ht="13.5" hidden="false" customHeight="true" outlineLevel="0" collapsed="false">
      <c r="A21" s="37" t="s">
        <v>49</v>
      </c>
      <c r="B21" s="38" t="s">
        <v>50</v>
      </c>
      <c r="C21" s="39"/>
      <c r="D21" s="39"/>
      <c r="E21" s="40"/>
      <c r="F21" s="41"/>
      <c r="G21" s="42"/>
      <c r="H21" s="39"/>
      <c r="I21" s="41"/>
      <c r="J21" s="42"/>
      <c r="K21" s="39" t="str">
        <f aca="false">IF(U21="0",(IF(D21="",(IF(J21&lt;&gt;"",J21,"")),(IF(J21="",0-D21,J21-D21)))),"")</f>
        <v/>
      </c>
      <c r="L21" s="39" t="str">
        <f aca="false">IF(U21="0",(IF(G21="",(IF(J21&lt;&gt;"",J21,"")),(IF(J21="",0-G21,J21-G21)))),"")</f>
        <v/>
      </c>
      <c r="M21" s="40"/>
      <c r="N21" s="41"/>
      <c r="O21" s="42"/>
      <c r="P21" s="41"/>
      <c r="Q21" s="42"/>
      <c r="R21" s="39" t="str">
        <f aca="false">IF(U21="0",(IF(M21="",(IF(Q21&lt;&gt;"",Q21,"")),(IF(Q21="",0-M21,Q21-M21)))),"")</f>
        <v/>
      </c>
      <c r="S21" s="39" t="str">
        <f aca="false">IF(U21="0",(IF(O21="",(IF(Q21&lt;&gt;"",Q21,"")),(IF(Q21="",0-O21,Q21-O21)))),"")</f>
        <v/>
      </c>
      <c r="T21" s="44"/>
      <c r="U21" s="3" t="s">
        <v>23</v>
      </c>
      <c r="V21" s="4"/>
      <c r="W21" s="4"/>
      <c r="X21" s="4"/>
    </row>
    <row r="22" customFormat="false" ht="13.5" hidden="false" customHeight="true" outlineLevel="0" collapsed="false">
      <c r="A22" s="37" t="s">
        <v>51</v>
      </c>
      <c r="B22" s="38" t="s">
        <v>52</v>
      </c>
      <c r="C22" s="39"/>
      <c r="D22" s="39"/>
      <c r="E22" s="40"/>
      <c r="F22" s="41"/>
      <c r="G22" s="42"/>
      <c r="H22" s="39"/>
      <c r="I22" s="41"/>
      <c r="J22" s="42"/>
      <c r="K22" s="39" t="str">
        <f aca="false">IF(U22="0",(IF(D22="",(IF(J22&lt;&gt;"",J22,"")),(IF(J22="",0-D22,J22-D22)))),"")</f>
        <v/>
      </c>
      <c r="L22" s="39" t="str">
        <f aca="false">IF(U22="0",(IF(G22="",(IF(J22&lt;&gt;"",J22,"")),(IF(J22="",0-G22,J22-G22)))),"")</f>
        <v/>
      </c>
      <c r="M22" s="40"/>
      <c r="N22" s="41"/>
      <c r="O22" s="42"/>
      <c r="P22" s="41"/>
      <c r="Q22" s="42"/>
      <c r="R22" s="39" t="str">
        <f aca="false">IF(U22="0",(IF(M22="",(IF(Q22&lt;&gt;"",Q22,"")),(IF(Q22="",0-M22,Q22-M22)))),"")</f>
        <v/>
      </c>
      <c r="S22" s="39" t="str">
        <f aca="false">IF(U22="0",(IF(O22="",(IF(Q22&lt;&gt;"",Q22,"")),(IF(Q22="",0-O22,Q22-O22)))),"")</f>
        <v/>
      </c>
      <c r="T22" s="44"/>
      <c r="U22" s="3" t="s">
        <v>23</v>
      </c>
      <c r="V22" s="4"/>
      <c r="W22" s="4"/>
      <c r="X22" s="4"/>
    </row>
    <row r="23" customFormat="false" ht="15" hidden="false" customHeight="true" outlineLevel="0" collapsed="false">
      <c r="A23" s="30" t="s">
        <v>53</v>
      </c>
      <c r="B23" s="31" t="s">
        <v>54</v>
      </c>
      <c r="C23" s="32" t="n">
        <f aca="false">SUBTOTAL(9,C24:C28)-IF(B23="Работа с фондом",SUMIF(B24:B28,"      ограничение добычи (ОПЕК)",C24:C28),0)</f>
        <v>0</v>
      </c>
      <c r="D23" s="32" t="n">
        <f aca="false">SUBTOTAL(9,D24:D28)-IF(B23="Работа с фондом",SUMIF(B24:B28,"      ограничение добычи (ОПЕК)",D24:D28),0)</f>
        <v>0</v>
      </c>
      <c r="E23" s="33" t="n">
        <f aca="false">SUBTOTAL(9,E24:E28)-IF(B23="Работа с фондом",SUMIF(B24:B28,"      ограничение добычи (ОПЕК)",E24:E28),0)</f>
        <v>51</v>
      </c>
      <c r="F23" s="34" t="n">
        <f aca="false">SUBTOTAL(9,F24:F28)-IF(B23="Работа с фондом",SUMIF(B24:B28,"      ограничение добычи (ОПЕК)",F24:F28),0)</f>
        <v>3776</v>
      </c>
      <c r="G23" s="35" t="n">
        <f aca="false">SUBTOTAL(9,G24:G28)-IF(B23="Работа с фондом",SUMIF(B24:B28,"      ограничение добычи (ОПЕК)",G24:G28),0)</f>
        <v>-27.2</v>
      </c>
      <c r="H23" s="32" t="n">
        <f aca="false">IF(U23="0",(SUBTOTAL(9,H24:H28)-IF(B23="Работа с фондом",SUMIF(B24:B28,"      ограничение добычи (ОПЕК)",H24:H28),0)),"")</f>
        <v>103</v>
      </c>
      <c r="I23" s="34" t="n">
        <f aca="false">IF(U23="0",(SUBTOTAL(9,I24:I28)-IF(B23="Работа с фондом",SUMIF(B24:B28,"      ограничение добычи (ОПЕК)",I24:I28),0)),"")</f>
        <v>3464.65</v>
      </c>
      <c r="J23" s="35" t="n">
        <f aca="false">IF(U23="0",(SUBTOTAL(9,J24:J28)-IF(B23="Работа с фондом",SUMIF(B24:B28,"      ограничение добычи (ОПЕК)",J24:J28),0)),"")</f>
        <v>-613.374</v>
      </c>
      <c r="K23" s="32" t="n">
        <f aca="false">IF(U23="0",(SUBTOTAL(9,K24:K28)-IF(B23="Работа с фондом",SUMIF(B24:B28,"      ограничение добычи (ОПЕК)",K24:K28),0)),"")</f>
        <v>-613.374</v>
      </c>
      <c r="L23" s="45" t="n">
        <f aca="false">IF(U23="0",(SUBTOTAL(9,L24:L28)-IF(B23="Работа с фондом",SUMIF(B24:B28,"      ограничение добычи (ОПЕК)",L24:L28),0)),"")</f>
        <v>-586.174</v>
      </c>
      <c r="M23" s="33" t="n">
        <f aca="false">SUBTOTAL(9,M24:M28)-IF(B23="Работа с фондом",SUMIF(B24:B28,"      ограничение добычи (ОПЕК)",M24:M28),0)</f>
        <v>0</v>
      </c>
      <c r="N23" s="34" t="n">
        <f aca="false">SUBTOTAL(9,N24:N28)-IF(B23="Работа с фондом",SUMIF(B24:B28,"      ограничение добычи (ОПЕК)",N24:N28),0)</f>
        <v>51837</v>
      </c>
      <c r="O23" s="35" t="n">
        <f aca="false">SUBTOTAL(9,O24:O28)-IF(B23="Работа с фондом",SUMIF(B24:B28,"      ограничение добычи (ОПЕК)",O24:O28),0)</f>
        <v>3070.2</v>
      </c>
      <c r="P23" s="34" t="n">
        <f aca="false">IF(U23="0",(SUBTOTAL(9,P24:P28)-IF(B23="Работа с фондом",SUMIF(B24:B28,"      ограничение добычи (ОПЕК)",P24:P28),0)),"")</f>
        <v>38896.246</v>
      </c>
      <c r="Q23" s="35" t="n">
        <f aca="false">IF(U23="0",(SUBTOTAL(9,Q24:Q28)-IF(B23="Работа с фондом",SUMIF(B24:B28,"      ограничение добычи (ОПЕК)",Q24:Q28),0)),"")</f>
        <v>3172.605</v>
      </c>
      <c r="R23" s="32" t="n">
        <f aca="false">IF(U23="0",(SUBTOTAL(9,R24:R28)-IF(B23="Работа с фондом",SUMIF(B24:B28,"      ограничение добычи (ОПЕК)",R24:R28),0)),"")</f>
        <v>3172.605</v>
      </c>
      <c r="S23" s="32" t="n">
        <f aca="false">IF(U23="0",(SUBTOTAL(9,S24:S28)-IF(B23="Работа с фондом",SUMIF(B24:B28,"      ограничение добычи (ОПЕК)",S24:S28),0)),"")</f>
        <v>102.405</v>
      </c>
      <c r="T23" s="36"/>
      <c r="U23" s="3" t="s">
        <v>23</v>
      </c>
      <c r="V23" s="4"/>
      <c r="W23" s="4"/>
      <c r="X23" s="4"/>
    </row>
    <row r="24" customFormat="false" ht="13.5" hidden="false" customHeight="true" outlineLevel="0" collapsed="false">
      <c r="A24" s="37" t="s">
        <v>55</v>
      </c>
      <c r="B24" s="38" t="s">
        <v>56</v>
      </c>
      <c r="C24" s="39"/>
      <c r="D24" s="39"/>
      <c r="E24" s="40" t="n">
        <v>4</v>
      </c>
      <c r="F24" s="41" t="n">
        <v>319</v>
      </c>
      <c r="G24" s="42" t="n">
        <v>40.2</v>
      </c>
      <c r="H24" s="39" t="n">
        <v>5</v>
      </c>
      <c r="I24" s="41" t="n">
        <v>385.402</v>
      </c>
      <c r="J24" s="42" t="n">
        <v>55.3</v>
      </c>
      <c r="K24" s="39" t="n">
        <f aca="false">IF(U24="0",(IF(D24="",(IF(J24&lt;&gt;"",J24,"")),(IF(J24="",0-D24,J24-D24)))),"")</f>
        <v>55.3</v>
      </c>
      <c r="L24" s="39" t="n">
        <f aca="false">IF(U24="0",(IF(G24="",(IF(J24&lt;&gt;"",J24,"")),(IF(J24="",0-G24,J24-G24)))),"")</f>
        <v>15.1</v>
      </c>
      <c r="M24" s="40"/>
      <c r="N24" s="41" t="n">
        <v>3458</v>
      </c>
      <c r="O24" s="42" t="n">
        <v>638.6</v>
      </c>
      <c r="P24" s="41" t="n">
        <v>4041.085</v>
      </c>
      <c r="Q24" s="42" t="n">
        <v>595</v>
      </c>
      <c r="R24" s="39" t="n">
        <f aca="false">IF(U24="0",(IF(M24="",(IF(Q24&lt;&gt;"",Q24,"")),(IF(Q24="",0-M24,Q24-M24)))),"")</f>
        <v>595</v>
      </c>
      <c r="S24" s="39" t="n">
        <f aca="false">IF(U24="0",(IF(O24="",(IF(Q24&lt;&gt;"",Q24,"")),(IF(Q24="",0-O24,Q24-O24)))),"")</f>
        <v>-43.6</v>
      </c>
      <c r="T24" s="44"/>
      <c r="U24" s="3" t="s">
        <v>23</v>
      </c>
      <c r="V24" s="4"/>
      <c r="W24" s="4"/>
      <c r="X24" s="4"/>
    </row>
    <row r="25" customFormat="false" ht="13.5" hidden="false" customHeight="true" outlineLevel="0" collapsed="false">
      <c r="A25" s="37" t="s">
        <v>57</v>
      </c>
      <c r="B25" s="38" t="s">
        <v>58</v>
      </c>
      <c r="C25" s="39"/>
      <c r="D25" s="39"/>
      <c r="E25" s="40"/>
      <c r="F25" s="41"/>
      <c r="G25" s="42"/>
      <c r="H25" s="39"/>
      <c r="I25" s="41"/>
      <c r="J25" s="42"/>
      <c r="K25" s="39" t="str">
        <f aca="false">IF(U25="0",(IF(D25="",(IF(J25&lt;&gt;"",J25,"")),(IF(J25="",0-D25,J25-D25)))),"")</f>
        <v/>
      </c>
      <c r="L25" s="39" t="str">
        <f aca="false">IF(U25="0",(IF(G25="",(IF(J25&lt;&gt;"",J25,"")),(IF(J25="",0-G25,J25-G25)))),"")</f>
        <v/>
      </c>
      <c r="M25" s="40"/>
      <c r="N25" s="41"/>
      <c r="O25" s="42"/>
      <c r="P25" s="41"/>
      <c r="Q25" s="42"/>
      <c r="R25" s="39" t="str">
        <f aca="false">IF(U25="0",(IF(M25="",(IF(Q25&lt;&gt;"",Q25,"")),(IF(Q25="",0-M25,Q25-M25)))),"")</f>
        <v/>
      </c>
      <c r="S25" s="39" t="str">
        <f aca="false">IF(U25="0",(IF(O25="",(IF(Q25&lt;&gt;"",Q25,"")),(IF(Q25="",0-O25,Q25-O25)))),"")</f>
        <v/>
      </c>
      <c r="T25" s="44"/>
      <c r="U25" s="3" t="s">
        <v>23</v>
      </c>
      <c r="V25" s="4"/>
      <c r="W25" s="4"/>
      <c r="X25" s="4"/>
    </row>
    <row r="26" customFormat="false" ht="13.5" hidden="false" customHeight="true" outlineLevel="0" collapsed="false">
      <c r="A26" s="37" t="s">
        <v>59</v>
      </c>
      <c r="B26" s="38" t="s">
        <v>60</v>
      </c>
      <c r="C26" s="39"/>
      <c r="D26" s="39"/>
      <c r="E26" s="40" t="n">
        <v>0</v>
      </c>
      <c r="F26" s="41" t="n">
        <v>0</v>
      </c>
      <c r="G26" s="42" t="n">
        <f aca="false">-286-1.4</f>
        <v>-287.4</v>
      </c>
      <c r="H26" s="39" t="n">
        <v>60</v>
      </c>
      <c r="I26" s="41" t="n">
        <v>0</v>
      </c>
      <c r="J26" s="42" t="n">
        <f aca="false">-153.9-700</f>
        <v>-853.9</v>
      </c>
      <c r="K26" s="43" t="n">
        <f aca="false">IF(U26="0",(IF(D26="",(IF(J26&lt;&gt;"",J26,"")),(IF(J26="",0-D26,J26-D26)))),"")</f>
        <v>-853.9</v>
      </c>
      <c r="L26" s="43" t="n">
        <f aca="false">IF(U26="0",(IF(G26="",(IF(J26&lt;&gt;"",J26,"")),(IF(J26="",0-G26,J26-G26)))),"")</f>
        <v>-566.5</v>
      </c>
      <c r="M26" s="40"/>
      <c r="N26" s="41" t="n">
        <v>0</v>
      </c>
      <c r="O26" s="42" t="n">
        <f aca="false">-286-1.4</f>
        <v>-287.4</v>
      </c>
      <c r="P26" s="41" t="n">
        <v>0</v>
      </c>
      <c r="Q26" s="42" t="n">
        <v>11</v>
      </c>
      <c r="R26" s="39" t="n">
        <f aca="false">IF(U26="0",(IF(M26="",(IF(Q26&lt;&gt;"",Q26,"")),(IF(Q26="",0-M26,Q26-M26)))),"")</f>
        <v>11</v>
      </c>
      <c r="S26" s="43" t="n">
        <f aca="false">IF(U26="0",(IF(O26="",(IF(Q26&lt;&gt;"",Q26,"")),(IF(Q26="",0-O26,Q26-O26)))),"")</f>
        <v>298.4</v>
      </c>
      <c r="T26" s="44"/>
      <c r="U26" s="3" t="s">
        <v>23</v>
      </c>
      <c r="V26" s="4"/>
      <c r="W26" s="4"/>
      <c r="X26" s="4"/>
    </row>
    <row r="27" customFormat="false" ht="13.5" hidden="false" customHeight="true" outlineLevel="0" collapsed="false">
      <c r="A27" s="37" t="s">
        <v>61</v>
      </c>
      <c r="B27" s="38" t="s">
        <v>62</v>
      </c>
      <c r="C27" s="39"/>
      <c r="D27" s="39"/>
      <c r="E27" s="40" t="n">
        <v>47</v>
      </c>
      <c r="F27" s="41" t="n">
        <v>3457</v>
      </c>
      <c r="G27" s="42" t="n">
        <v>220</v>
      </c>
      <c r="H27" s="39" t="n">
        <v>38</v>
      </c>
      <c r="I27" s="41" t="n">
        <v>3079.248</v>
      </c>
      <c r="J27" s="42" t="n">
        <f aca="false">180.782+4.444</f>
        <v>185.226</v>
      </c>
      <c r="K27" s="39" t="n">
        <f aca="false">IF(U27="0",(IF(D27="",(IF(J27&lt;&gt;"",J27,"")),(IF(J27="",0-D27,J27-D27)))),"")</f>
        <v>185.226</v>
      </c>
      <c r="L27" s="43" t="n">
        <f aca="false">IF(U27="0",(IF(G27="",(IF(J27&lt;&gt;"",J27,"")),(IF(J27="",0-G27,J27-G27)))),"")</f>
        <v>-34.774</v>
      </c>
      <c r="M27" s="40"/>
      <c r="N27" s="41" t="n">
        <v>48379</v>
      </c>
      <c r="O27" s="42" t="n">
        <v>2719</v>
      </c>
      <c r="P27" s="41" t="n">
        <v>34855.161</v>
      </c>
      <c r="Q27" s="42" t="n">
        <v>2566.605</v>
      </c>
      <c r="R27" s="39" t="n">
        <f aca="false">IF(U27="0",(IF(M27="",(IF(Q27&lt;&gt;"",Q27,"")),(IF(Q27="",0-M27,Q27-M27)))),"")</f>
        <v>2566.605</v>
      </c>
      <c r="S27" s="39" t="n">
        <f aca="false">IF(U27="0",(IF(O27="",(IF(Q27&lt;&gt;"",Q27,"")),(IF(Q27="",0-O27,Q27-O27)))),"")</f>
        <v>-152.395</v>
      </c>
      <c r="T27" s="44"/>
      <c r="U27" s="3" t="s">
        <v>23</v>
      </c>
      <c r="V27" s="4"/>
      <c r="W27" s="4"/>
      <c r="X27" s="4"/>
    </row>
    <row r="28" customFormat="false" ht="13.5" hidden="false" customHeight="true" outlineLevel="0" collapsed="false">
      <c r="A28" s="37"/>
      <c r="B28" s="38" t="s">
        <v>63</v>
      </c>
      <c r="C28" s="39"/>
      <c r="D28" s="39"/>
      <c r="E28" s="40"/>
      <c r="F28" s="41"/>
      <c r="G28" s="42"/>
      <c r="H28" s="39"/>
      <c r="I28" s="41"/>
      <c r="J28" s="42"/>
      <c r="K28" s="39" t="str">
        <f aca="false">IF(U28="0",(IF(D28="",(IF(J28&lt;&gt;"",J28,"")),(IF(J28="",0-D28,J28-D28)))),"")</f>
        <v/>
      </c>
      <c r="L28" s="39" t="str">
        <f aca="false">IF(U28="0",(IF(G28="",(IF(J28&lt;&gt;"",J28,"")),(IF(J28="",0-G28,J28-G28)))),"")</f>
        <v/>
      </c>
      <c r="M28" s="40"/>
      <c r="N28" s="41"/>
      <c r="O28" s="42"/>
      <c r="P28" s="41"/>
      <c r="Q28" s="42"/>
      <c r="R28" s="39" t="str">
        <f aca="false">IF(U28="0",(IF(M28="",(IF(Q28&lt;&gt;"",Q28,"")),(IF(Q28="",0-M28,Q28-M28)))),"")</f>
        <v/>
      </c>
      <c r="S28" s="39" t="str">
        <f aca="false">IF(U28="0",(IF(O28="",(IF(Q28&lt;&gt;"",Q28,"")),(IF(Q28="",0-O28,Q28-O28)))),"")</f>
        <v/>
      </c>
      <c r="T28" s="44"/>
      <c r="U28" s="3" t="s">
        <v>23</v>
      </c>
      <c r="V28" s="4"/>
      <c r="W28" s="4"/>
      <c r="X28" s="4"/>
    </row>
    <row r="29" customFormat="false" ht="15" hidden="false" customHeight="true" outlineLevel="0" collapsed="false">
      <c r="A29" s="46" t="s">
        <v>64</v>
      </c>
      <c r="B29" s="47" t="s">
        <v>65</v>
      </c>
      <c r="C29" s="48"/>
      <c r="D29" s="48"/>
      <c r="E29" s="49" t="n">
        <v>0</v>
      </c>
      <c r="F29" s="50" t="n">
        <v>0</v>
      </c>
      <c r="G29" s="51" t="n">
        <v>0</v>
      </c>
      <c r="H29" s="48" t="n">
        <v>0</v>
      </c>
      <c r="I29" s="50" t="n">
        <v>0</v>
      </c>
      <c r="J29" s="51" t="n">
        <v>0</v>
      </c>
      <c r="K29" s="52"/>
      <c r="L29" s="48" t="n">
        <f aca="false">IF(U29="0",(IF(G29="",(IF(J29&lt;&gt;"",J29,"")),(IF(J29="",0-G29,J29-G29)))),"")</f>
        <v>0</v>
      </c>
      <c r="M29" s="49"/>
      <c r="N29" s="50" t="n">
        <v>0</v>
      </c>
      <c r="O29" s="51" t="n">
        <v>993.188</v>
      </c>
      <c r="P29" s="50" t="n">
        <v>0</v>
      </c>
      <c r="Q29" s="51" t="n">
        <v>919</v>
      </c>
      <c r="R29" s="48"/>
      <c r="S29" s="53" t="n">
        <f aca="false">IF(U29="0",(IF(O29="",(IF(Q29&lt;&gt;"",Q29,"")),(IF(Q29="",0-O29,Q29-O29)))),"")</f>
        <v>-74.188</v>
      </c>
      <c r="T29" s="54"/>
      <c r="U29" s="3" t="s">
        <v>23</v>
      </c>
      <c r="V29" s="4"/>
      <c r="W29" s="4"/>
      <c r="X29" s="4"/>
    </row>
    <row r="30" customFormat="false" ht="13.5" hidden="false" customHeight="true" outlineLevel="0" collapsed="false">
      <c r="A30" s="46" t="s">
        <v>66</v>
      </c>
      <c r="B30" s="47" t="s">
        <v>67</v>
      </c>
      <c r="C30" s="55"/>
      <c r="D30" s="55"/>
      <c r="E30" s="56"/>
      <c r="F30" s="55"/>
      <c r="G30" s="55"/>
      <c r="H30" s="55"/>
      <c r="I30" s="55"/>
      <c r="J30" s="55"/>
      <c r="K30" s="55"/>
      <c r="L30" s="55"/>
      <c r="M30" s="56"/>
      <c r="N30" s="34" t="n">
        <v>0</v>
      </c>
      <c r="O30" s="35"/>
      <c r="P30" s="34" t="n">
        <v>0</v>
      </c>
      <c r="Q30" s="35"/>
      <c r="R30" s="32"/>
      <c r="S30" s="32" t="str">
        <f aca="false">IF(U30="0",(IF(O30="",(IF(Q30&lt;&gt;"",Q30,"")),(IF(Q30="",0-O30,Q30-O30)))),"")</f>
        <v/>
      </c>
      <c r="T30" s="36"/>
      <c r="U30" s="3" t="s">
        <v>23</v>
      </c>
      <c r="V30" s="4"/>
      <c r="W30" s="4"/>
      <c r="X30" s="4"/>
    </row>
    <row r="31" customFormat="false" ht="13.5" hidden="false" customHeight="true" outlineLevel="0" collapsed="false">
      <c r="A31" s="57"/>
      <c r="B31" s="58"/>
      <c r="C31" s="59"/>
      <c r="D31" s="59"/>
      <c r="E31" s="60"/>
      <c r="F31" s="61"/>
      <c r="G31" s="61"/>
      <c r="H31" s="61"/>
      <c r="I31" s="61"/>
      <c r="J31" s="61"/>
      <c r="K31" s="61"/>
      <c r="L31" s="61"/>
      <c r="M31" s="60"/>
      <c r="N31" s="61"/>
      <c r="O31" s="61"/>
      <c r="P31" s="61"/>
      <c r="Q31" s="61"/>
      <c r="R31" s="61"/>
      <c r="S31" s="61"/>
      <c r="T31" s="60"/>
      <c r="U31" s="6"/>
      <c r="V31" s="4"/>
      <c r="W31" s="4"/>
      <c r="X31" s="4"/>
    </row>
    <row r="32" customFormat="false" ht="13.5" hidden="false" customHeight="tru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4"/>
      <c r="W32" s="4"/>
      <c r="X32" s="4"/>
    </row>
    <row r="33" customFormat="false" ht="15" hidden="false" customHeight="true" outlineLevel="0" collapsed="false">
      <c r="A33" s="62" t="n">
        <v>3</v>
      </c>
      <c r="B33" s="63" t="s">
        <v>68</v>
      </c>
      <c r="C33" s="64"/>
      <c r="D33" s="64"/>
      <c r="E33" s="65" t="n">
        <f aca="false">SUMIF(B34:B59,"Падение по базовому фонду, ГТМ",E34:E59)+SUMIF(B34:B59,"От технологических причин, в т.ч:",E34:E59)</f>
        <v>49</v>
      </c>
      <c r="F33" s="66" t="n">
        <f aca="false">SUMIF(B34:B59,"Падение по базовому фонду, ГТМ",F34:F59)+SUMIF(B34:B59,"От технологических причин, в т.ч:",F34:F59)</f>
        <v>3787.48</v>
      </c>
      <c r="G33" s="67" t="n">
        <f aca="false">SUMIF(B34:B59,"Падение по базовому фонду, ГТМ",G34:G59)+SUMIF(B34:B59,"От технологических причин, в т.ч:",G34:G59)</f>
        <v>1647.365</v>
      </c>
      <c r="H33" s="68" t="n">
        <f aca="false">IF(U33="0",(SUMIF(B34:B59,"Падение по базовому фонду, ГТМ",H34:H59)+SUMIF(B34:B59,"От технологических причин, в т.ч:",H34:H59)),"")</f>
        <v>25</v>
      </c>
      <c r="I33" s="66" t="n">
        <f aca="false">IF(U33="0",(SUMIF(B34:B59,"Падение по базовому фонду, ГТМ",I34:I59)+SUMIF(B34:B59,"От технологических причин, в т.ч:",I34:I59)),"")</f>
        <v>5074.517</v>
      </c>
      <c r="J33" s="67" t="n">
        <f aca="false">IF(U33="0",(SUMIF(B34:B59,"Падение по базовому фонду, ГТМ",J34:J59)+SUMIF(B34:B59,"От технологических причин, в т.ч:",J34:J59)),"")</f>
        <v>1592.968</v>
      </c>
      <c r="K33" s="64"/>
      <c r="L33" s="69" t="n">
        <f aca="false">IF(U33="0",(SUMIF(B34:B59,"Падение по базовому фонду, ГТМ",L34:L59)+SUMIF(B34:B59,"От технологических причин, в т.ч:",L34:L59)),"")</f>
        <v>-54.397</v>
      </c>
      <c r="M33" s="70" t="n">
        <v>435.492</v>
      </c>
      <c r="N33" s="66" t="n">
        <f aca="false">SUMIF(B34:B61,"Падение по базовому фонду, ГТМ",N34:N61)+SUMIF(B34:B61,"От технологических причин, в т.ч:",N34:N61)</f>
        <v>110419.996</v>
      </c>
      <c r="O33" s="67" t="n">
        <f aca="false">SUMIF(B34:B61,"Падение по базовому фонду, ГТМ",O34:O61)+SUMIF(B34:B61,"От технологических причин, в т.ч:",O34:O61)</f>
        <v>33858.112</v>
      </c>
      <c r="P33" s="66" t="n">
        <f aca="false">IF(U33="0",(SUMIF(B34:B61,"Падение по базовому фонду, ГТМ",P34:P61)+SUMIF(B34:B61,"От технологических причин, в т.ч:",P34:P61)),"")</f>
        <v>150740.276</v>
      </c>
      <c r="Q33" s="67" t="n">
        <f aca="false">IF(U33="0",(SUMIF(B34:B61,"Падение по базовому фонду, ГТМ",Q34:Q61)+SUMIF(B34:B61,"От технологических причин, в т.ч:",Q34:Q61)),"")</f>
        <v>47225.142</v>
      </c>
      <c r="R33" s="68"/>
      <c r="S33" s="69" t="n">
        <f aca="false">IF(U33="0",(SUMIF(B34:B61,"Падение по базовому фонду, ГТМ",S34:S61)+SUMIF(B34:B61,"От технологических причин, в т.ч:",S34:S61)),"")</f>
        <v>13367.03</v>
      </c>
      <c r="T33" s="71"/>
      <c r="U33" s="3" t="s">
        <v>23</v>
      </c>
      <c r="V33" s="4"/>
      <c r="W33" s="4"/>
      <c r="X33" s="4"/>
    </row>
    <row r="34" customFormat="false" ht="15" hidden="false" customHeight="true" outlineLevel="0" collapsed="false">
      <c r="A34" s="30" t="s">
        <v>69</v>
      </c>
      <c r="B34" s="31" t="s">
        <v>70</v>
      </c>
      <c r="C34" s="55"/>
      <c r="D34" s="55"/>
      <c r="E34" s="56"/>
      <c r="F34" s="34" t="n">
        <f aca="false">SUBTOTAL(9,F35:F42)</f>
        <v>0</v>
      </c>
      <c r="G34" s="35" t="n">
        <f aca="false">SUBTOTAL(9,G35:G42)</f>
        <v>1550</v>
      </c>
      <c r="H34" s="55"/>
      <c r="I34" s="34" t="n">
        <f aca="false">IF(U34="0",(SUBTOTAL(9,I35:I42)),"")</f>
        <v>0</v>
      </c>
      <c r="J34" s="35" t="n">
        <f aca="false">IF(U34="0",(SUBTOTAL(9,J35:J42)),"")</f>
        <v>1550</v>
      </c>
      <c r="K34" s="55"/>
      <c r="L34" s="45" t="n">
        <f aca="false">IF(U34="0",(SUBTOTAL(9,L35:L42)),"")</f>
        <v>0</v>
      </c>
      <c r="M34" s="56" t="n">
        <v>0</v>
      </c>
      <c r="N34" s="34" t="n">
        <f aca="false">SUBTOTAL(9,N35:N42)</f>
        <v>0</v>
      </c>
      <c r="O34" s="35" t="n">
        <f aca="false">SUBTOTAL(9,O35:O42)</f>
        <v>24800</v>
      </c>
      <c r="P34" s="34" t="n">
        <f aca="false">IF(U34="0",(SUBTOTAL(9,P35:P42)),"")</f>
        <v>0</v>
      </c>
      <c r="Q34" s="35" t="n">
        <f aca="false">IF(U34="0",(SUBTOTAL(9,Q35:Q42)),"")</f>
        <v>24800</v>
      </c>
      <c r="R34" s="32"/>
      <c r="S34" s="32" t="n">
        <f aca="false">IF(U34="0",(SUBTOTAL(9,S35:S42)),"")</f>
        <v>0</v>
      </c>
      <c r="T34" s="36"/>
      <c r="U34" s="3" t="s">
        <v>23</v>
      </c>
      <c r="V34" s="4"/>
      <c r="W34" s="4"/>
      <c r="X34" s="4"/>
    </row>
    <row r="35" customFormat="false" ht="15" hidden="false" customHeight="true" outlineLevel="0" collapsed="false">
      <c r="A35" s="37" t="s">
        <v>71</v>
      </c>
      <c r="B35" s="38" t="s">
        <v>72</v>
      </c>
      <c r="C35" s="72"/>
      <c r="D35" s="72"/>
      <c r="E35" s="73"/>
      <c r="F35" s="74" t="n">
        <f aca="false">SUBTOTAL(9,F36:F37)</f>
        <v>0</v>
      </c>
      <c r="G35" s="75" t="n">
        <f aca="false">SUBTOTAL(9,G36:G37)</f>
        <v>1550</v>
      </c>
      <c r="H35" s="76"/>
      <c r="I35" s="74" t="n">
        <f aca="false">IF(U35="0",(SUBTOTAL(9,I36:I37)),"")</f>
        <v>0</v>
      </c>
      <c r="J35" s="75" t="n">
        <f aca="false">IF(U35="0",(SUBTOTAL(9,J36:J37)),"")</f>
        <v>1550</v>
      </c>
      <c r="K35" s="76"/>
      <c r="L35" s="77" t="n">
        <f aca="false">IF(U35="0",(SUBTOTAL(9,L36:L37)),"")</f>
        <v>0</v>
      </c>
      <c r="M35" s="73" t="n">
        <v>0</v>
      </c>
      <c r="N35" s="74" t="n">
        <f aca="false">SUBTOTAL(9,N36:N37)</f>
        <v>0</v>
      </c>
      <c r="O35" s="75" t="n">
        <f aca="false">SUBTOTAL(9,O36:O37)</f>
        <v>24800</v>
      </c>
      <c r="P35" s="74" t="n">
        <f aca="false">IF(U35="0",(SUBTOTAL(9,P36:P37)),"")</f>
        <v>0</v>
      </c>
      <c r="Q35" s="75" t="n">
        <f aca="false">IF(U35="0",(SUBTOTAL(9,Q36:Q37)),"")</f>
        <v>24800</v>
      </c>
      <c r="R35" s="77"/>
      <c r="S35" s="77" t="n">
        <f aca="false">IF(U35="0",(SUBTOTAL(9,S36:S37)),"")</f>
        <v>0</v>
      </c>
      <c r="T35" s="78"/>
      <c r="U35" s="3" t="s">
        <v>23</v>
      </c>
      <c r="V35" s="4"/>
      <c r="W35" s="4"/>
      <c r="X35" s="4"/>
    </row>
    <row r="36" customFormat="false" ht="15" hidden="false" customHeight="true" outlineLevel="0" collapsed="false">
      <c r="A36" s="37" t="s">
        <v>73</v>
      </c>
      <c r="B36" s="79" t="s">
        <v>74</v>
      </c>
      <c r="C36" s="72"/>
      <c r="D36" s="72"/>
      <c r="E36" s="80" t="s">
        <v>75</v>
      </c>
      <c r="F36" s="41" t="n">
        <v>0</v>
      </c>
      <c r="G36" s="42" t="n">
        <v>332.816</v>
      </c>
      <c r="H36" s="81" t="s">
        <v>75</v>
      </c>
      <c r="I36" s="41" t="n">
        <v>0</v>
      </c>
      <c r="J36" s="42" t="n">
        <v>332.816</v>
      </c>
      <c r="K36" s="72"/>
      <c r="L36" s="39" t="n">
        <f aca="false">IF(U36="0",(IF(G36="",(IF(J36&lt;&gt;"",J36,"")),(IF(J36="",0-G36,J36-G36)))),"")</f>
        <v>0</v>
      </c>
      <c r="M36" s="82"/>
      <c r="N36" s="41" t="n">
        <v>0</v>
      </c>
      <c r="O36" s="42" t="n">
        <v>5325.056</v>
      </c>
      <c r="P36" s="41" t="n">
        <v>0</v>
      </c>
      <c r="Q36" s="42" t="n">
        <v>5325.056</v>
      </c>
      <c r="R36" s="39"/>
      <c r="S36" s="39" t="n">
        <f aca="false">IF(U36="0",(IF(O36="",(IF(Q36&lt;&gt;"",Q36,"")),(IF(Q36="",0-O36,Q36-O36)))),"")</f>
        <v>0</v>
      </c>
      <c r="T36" s="44"/>
      <c r="U36" s="3" t="s">
        <v>23</v>
      </c>
      <c r="V36" s="4"/>
      <c r="W36" s="4"/>
      <c r="X36" s="4"/>
    </row>
    <row r="37" customFormat="false" ht="15" hidden="false" customHeight="true" outlineLevel="0" collapsed="false">
      <c r="A37" s="37" t="s">
        <v>76</v>
      </c>
      <c r="B37" s="79" t="s">
        <v>77</v>
      </c>
      <c r="C37" s="72"/>
      <c r="D37" s="72"/>
      <c r="E37" s="80" t="s">
        <v>78</v>
      </c>
      <c r="F37" s="41" t="n">
        <v>0</v>
      </c>
      <c r="G37" s="42" t="n">
        <v>1217.184</v>
      </c>
      <c r="H37" s="81" t="s">
        <v>78</v>
      </c>
      <c r="I37" s="41" t="n">
        <v>0</v>
      </c>
      <c r="J37" s="42" t="n">
        <v>1217.184</v>
      </c>
      <c r="K37" s="72"/>
      <c r="L37" s="39" t="n">
        <f aca="false">IF(U37="0",(IF(G37="",(IF(J37&lt;&gt;"",J37,"")),(IF(J37="",0-G37,J37-G37)))),"")</f>
        <v>0</v>
      </c>
      <c r="M37" s="82"/>
      <c r="N37" s="41" t="n">
        <v>0</v>
      </c>
      <c r="O37" s="42" t="n">
        <v>19474.944</v>
      </c>
      <c r="P37" s="41" t="n">
        <v>0</v>
      </c>
      <c r="Q37" s="42" t="n">
        <v>19474.944</v>
      </c>
      <c r="R37" s="39"/>
      <c r="S37" s="39" t="n">
        <f aca="false">IF(U37="0",(IF(O37="",(IF(Q37&lt;&gt;"",Q37,"")),(IF(Q37="",0-O37,Q37-O37)))),"")</f>
        <v>0</v>
      </c>
      <c r="T37" s="44"/>
      <c r="U37" s="3" t="s">
        <v>23</v>
      </c>
      <c r="V37" s="4"/>
      <c r="W37" s="4"/>
      <c r="X37" s="4"/>
    </row>
    <row r="38" customFormat="false" ht="15" hidden="false" customHeight="true" outlineLevel="0" collapsed="false">
      <c r="A38" s="37" t="s">
        <v>79</v>
      </c>
      <c r="B38" s="38" t="s">
        <v>80</v>
      </c>
      <c r="C38" s="72"/>
      <c r="D38" s="72"/>
      <c r="E38" s="73"/>
      <c r="F38" s="74" t="n">
        <f aca="false">SUBTOTAL(9,F39:F40)</f>
        <v>0</v>
      </c>
      <c r="G38" s="75" t="n">
        <f aca="false">SUBTOTAL(9,G39:G40)</f>
        <v>0</v>
      </c>
      <c r="H38" s="76"/>
      <c r="I38" s="74" t="n">
        <f aca="false">IF(U38="0",(SUBTOTAL(9,I39:I40)),"")</f>
        <v>0</v>
      </c>
      <c r="J38" s="75" t="n">
        <f aca="false">IF(U38="0",(SUBTOTAL(9,J39:J40)),"")</f>
        <v>0</v>
      </c>
      <c r="K38" s="76"/>
      <c r="L38" s="77" t="n">
        <f aca="false">IF(U38="0",(SUBTOTAL(9,L39:L40)),"")</f>
        <v>0</v>
      </c>
      <c r="M38" s="73" t="n">
        <v>0</v>
      </c>
      <c r="N38" s="74" t="n">
        <f aca="false">SUBTOTAL(9,N39:N40)</f>
        <v>0</v>
      </c>
      <c r="O38" s="75" t="n">
        <f aca="false">SUBTOTAL(9,O39:O40)</f>
        <v>0</v>
      </c>
      <c r="P38" s="74" t="n">
        <f aca="false">IF(U38="0",(SUBTOTAL(9,P39:P40)),"")</f>
        <v>0</v>
      </c>
      <c r="Q38" s="75" t="n">
        <f aca="false">IF(U38="0",(SUBTOTAL(9,Q39:Q40)),"")</f>
        <v>0</v>
      </c>
      <c r="R38" s="77"/>
      <c r="S38" s="77" t="n">
        <f aca="false">IF(U38="0",(SUBTOTAL(9,S39:S40)),"")</f>
        <v>0</v>
      </c>
      <c r="T38" s="78"/>
      <c r="U38" s="3" t="s">
        <v>23</v>
      </c>
      <c r="V38" s="4"/>
      <c r="W38" s="4"/>
      <c r="X38" s="4"/>
    </row>
    <row r="39" customFormat="false" ht="15" hidden="false" customHeight="true" outlineLevel="0" collapsed="false">
      <c r="A39" s="37" t="s">
        <v>81</v>
      </c>
      <c r="B39" s="79" t="s">
        <v>82</v>
      </c>
      <c r="C39" s="72"/>
      <c r="D39" s="72"/>
      <c r="E39" s="82"/>
      <c r="F39" s="41"/>
      <c r="G39" s="42"/>
      <c r="H39" s="72"/>
      <c r="I39" s="41"/>
      <c r="J39" s="42"/>
      <c r="K39" s="72"/>
      <c r="L39" s="39" t="str">
        <f aca="false">IF(U39="0",(IF(G39="",(IF(J39&lt;&gt;"",J39,"")),(IF(J39="",0-G39,J39-G39)))),"")</f>
        <v/>
      </c>
      <c r="M39" s="82"/>
      <c r="N39" s="41"/>
      <c r="O39" s="42"/>
      <c r="P39" s="41"/>
      <c r="Q39" s="42"/>
      <c r="R39" s="39"/>
      <c r="S39" s="39" t="str">
        <f aca="false">IF(U39="0",(IF(O39="",(IF(Q39&lt;&gt;"",Q39,"")),(IF(Q39="",0-O39,Q39-O39)))),"")</f>
        <v/>
      </c>
      <c r="T39" s="44"/>
      <c r="U39" s="3" t="s">
        <v>23</v>
      </c>
      <c r="V39" s="4"/>
      <c r="W39" s="4"/>
      <c r="X39" s="4"/>
    </row>
    <row r="40" customFormat="false" ht="15" hidden="false" customHeight="true" outlineLevel="0" collapsed="false">
      <c r="A40" s="37" t="s">
        <v>83</v>
      </c>
      <c r="B40" s="79" t="s">
        <v>84</v>
      </c>
      <c r="C40" s="72"/>
      <c r="D40" s="72"/>
      <c r="E40" s="82"/>
      <c r="F40" s="41"/>
      <c r="G40" s="42"/>
      <c r="H40" s="72"/>
      <c r="I40" s="41"/>
      <c r="J40" s="42"/>
      <c r="K40" s="72"/>
      <c r="L40" s="39" t="str">
        <f aca="false">IF(U40="0",(IF(G40="",(IF(J40&lt;&gt;"",J40,"")),(IF(J40="",0-G40,J40-G40)))),"")</f>
        <v/>
      </c>
      <c r="M40" s="82"/>
      <c r="N40" s="41"/>
      <c r="O40" s="42"/>
      <c r="P40" s="41"/>
      <c r="Q40" s="42"/>
      <c r="R40" s="39"/>
      <c r="S40" s="39" t="str">
        <f aca="false">IF(U40="0",(IF(O40="",(IF(Q40&lt;&gt;"",Q40,"")),(IF(Q40="",0-O40,Q40-O40)))),"")</f>
        <v/>
      </c>
      <c r="T40" s="44"/>
      <c r="U40" s="3" t="s">
        <v>23</v>
      </c>
      <c r="V40" s="4"/>
      <c r="W40" s="4"/>
      <c r="X40" s="4"/>
    </row>
    <row r="41" customFormat="false" ht="15" hidden="false" customHeight="true" outlineLevel="0" collapsed="false">
      <c r="A41" s="37" t="s">
        <v>85</v>
      </c>
      <c r="B41" s="38" t="s">
        <v>86</v>
      </c>
      <c r="C41" s="72"/>
      <c r="D41" s="72"/>
      <c r="E41" s="73"/>
      <c r="F41" s="74" t="n">
        <f aca="false">SUBTOTAL(9,F42:F42)</f>
        <v>0</v>
      </c>
      <c r="G41" s="75" t="n">
        <f aca="false">SUBTOTAL(9,G42:G42)</f>
        <v>0</v>
      </c>
      <c r="H41" s="76"/>
      <c r="I41" s="74" t="n">
        <f aca="false">IF(U41="0",(SUBTOTAL(9,I42:I42)),"")</f>
        <v>0</v>
      </c>
      <c r="J41" s="75" t="n">
        <f aca="false">IF(U41="0",(SUBTOTAL(9,J42:J42)),"")</f>
        <v>0</v>
      </c>
      <c r="K41" s="76"/>
      <c r="L41" s="83" t="n">
        <f aca="false">IF(U41="0",(SUBTOTAL(9,L42:L42)),"")</f>
        <v>0</v>
      </c>
      <c r="M41" s="73" t="n">
        <v>0</v>
      </c>
      <c r="N41" s="74" t="n">
        <f aca="false">SUBTOTAL(9,N42:N42)</f>
        <v>0</v>
      </c>
      <c r="O41" s="75" t="n">
        <f aca="false">SUBTOTAL(9,O42:O42)</f>
        <v>0</v>
      </c>
      <c r="P41" s="74" t="n">
        <f aca="false">IF(U41="0",(SUBTOTAL(9,P42:P42)),"")</f>
        <v>0</v>
      </c>
      <c r="Q41" s="75" t="n">
        <f aca="false">IF(U41="0",(SUBTOTAL(9,Q42:Q42)),"")</f>
        <v>0</v>
      </c>
      <c r="R41" s="77"/>
      <c r="S41" s="77" t="n">
        <f aca="false">IF(U41="0",(SUBTOTAL(9,S42:S42)),"")</f>
        <v>0</v>
      </c>
      <c r="T41" s="78"/>
      <c r="U41" s="3" t="s">
        <v>23</v>
      </c>
      <c r="V41" s="4"/>
      <c r="W41" s="4"/>
      <c r="X41" s="4"/>
    </row>
    <row r="42" customFormat="false" ht="15" hidden="false" customHeight="true" outlineLevel="0" collapsed="false">
      <c r="A42" s="37" t="s">
        <v>87</v>
      </c>
      <c r="B42" s="79" t="s">
        <v>88</v>
      </c>
      <c r="C42" s="72"/>
      <c r="D42" s="72"/>
      <c r="E42" s="82"/>
      <c r="F42" s="41"/>
      <c r="G42" s="42"/>
      <c r="H42" s="72"/>
      <c r="I42" s="41"/>
      <c r="J42" s="42"/>
      <c r="K42" s="72"/>
      <c r="L42" s="43" t="str">
        <f aca="false">IF(U42="0",(IF(G42="",(IF(J42&lt;&gt;"",J42,"")),(IF(J42="",0-G42,J42-G42)))),"")</f>
        <v/>
      </c>
      <c r="M42" s="82"/>
      <c r="N42" s="41"/>
      <c r="O42" s="42"/>
      <c r="P42" s="41"/>
      <c r="Q42" s="42"/>
      <c r="R42" s="39"/>
      <c r="S42" s="39" t="str">
        <f aca="false">IF(U42="0",(IF(O42="",(IF(Q42&lt;&gt;"",Q42,"")),(IF(Q42="",0-O42,Q42-O42)))),"")</f>
        <v/>
      </c>
      <c r="T42" s="44"/>
      <c r="U42" s="3" t="s">
        <v>23</v>
      </c>
      <c r="V42" s="4"/>
      <c r="W42" s="4"/>
      <c r="X42" s="4"/>
    </row>
    <row r="43" customFormat="false" ht="15" hidden="false" customHeight="true" outlineLevel="0" collapsed="false">
      <c r="A43" s="84" t="s">
        <v>89</v>
      </c>
      <c r="B43" s="85" t="s">
        <v>90</v>
      </c>
      <c r="C43" s="55"/>
      <c r="D43" s="55"/>
      <c r="E43" s="33" t="n">
        <f aca="false">SUMIF(B44:B59,"Рост потенциала простоя",E44:E59)+SUMIF(B44:B59,"Остановка по распоряжению, в т.ч.:",E44:E59)+SUMIF(B44:B59,"Остановка нерентабельного фонда",E44:E59)+SUMIF(B44:B59,"Остановка для перевода в ППД",E44:E59)+SUMIF(B44:B59,"Прочие потери",E44:E59)+SUMIF(B44:B59,"Потери нефти по ОТМ",E44:E59)+SUMIF(B44:B59,"Ост. дебит от ЗБС, Углуб., ПВЛГ/ПНЛГ",E44:E59)</f>
        <v>49</v>
      </c>
      <c r="F43" s="34" t="n">
        <f aca="false">SUMIF(B44:B59,"Рост потенциала простоя",F44:F59)+SUMIF(B44:B59,"Остановка по распоряжению, в т.ч.:",F44:F59)+SUMIF(B44:B59,"Остановка нерентабельного фонда",F44:F59)+SUMIF(B44:B59,"Остановка для перевода в ППД",F44:F59)+SUMIF(B44:B59,"Прочие потери",F44:F59)+SUMIF(B44:B59,"Потери нефти по ОТМ",F44:F59)+SUMIF(B44:B59,"Ост. дебит от ЗБС, Углуб., ПВЛГ/ПНЛГ",F44:F59)</f>
        <v>3787.48</v>
      </c>
      <c r="G43" s="35" t="n">
        <f aca="false">SUMIF(B44:B59,"Рост потенциала простоя",G44:G59)+SUMIF(B44:B59,"Остановка по распоряжению, в т.ч.:",G44:G59)+SUMIF(B44:B59,"Остановка нерентабельного фонда",G44:G59)+SUMIF(B44:B59,"Остановка для перевода в ППД",G44:G59)+SUMIF(B44:B59,"Прочие потери",G44:G59)+SUMIF(B44:B59,"Потери нефти по ОТМ",G44:G59)+SUMIF(B44:B59,"Ост. дебит от ЗБС, Углуб., ПВЛГ/ПНЛГ",G44:G59)</f>
        <v>97.365</v>
      </c>
      <c r="H43" s="32" t="n">
        <f aca="false">IF(U43="0",(SUMIF(B44:B59,"Рост потенциала простоя",H44:H59)+SUMIF(B44:B59,"Остановка по распоряжению, в т.ч.:",H44:H59)+SUMIF(B44:B59,"Остановка нерентабельного фонда",H44:H59)+SUMIF(B44:B59,"Остановка для перевода в ППД",H44:H59)+SUMIF(B44:B59,"Прочие потери",H44:H59)+SUMIF(B44:B59,"Потери нефти по ОТМ",H44:H59)+SUMIF(B44:B59,"Ост. дебит от ЗБС, Углуб., ПВЛГ/ПНЛГ",H44:H59)),"")</f>
        <v>25</v>
      </c>
      <c r="I43" s="34" t="n">
        <f aca="false">IF(U43="0",(SUMIF(B44:B59,"Рост потенциала простоя",I44:I59)+SUMIF(B44:B59,"Остановка по распоряжению, в т.ч.:",I44:I59)+SUMIF(B44:B59,"Остановка нерентабельного фонда",I44:I59)+SUMIF(B44:B59,"Остановка для перевода в ППД",I44:I59)+SUMIF(B44:B59,"Прочие потери",I44:I59)+SUMIF(B44:B59,"Потери нефти по ОТМ",I44:I59)+SUMIF(B44:B59,"Ост. дебит от ЗБС, Углуб., ПВЛГ/ПНЛГ",I44:I59)),"")</f>
        <v>5074.517</v>
      </c>
      <c r="J43" s="35" t="n">
        <f aca="false">IF(U43="0",(SUMIF(B44:B59,"Рост потенциала простоя",J44:J59)+SUMIF(B44:B59,"Остановка по распоряжению, в т.ч.:",J44:J59)+SUMIF(B44:B59,"Остановка нерентабельного фонда",J44:J59)+SUMIF(B44:B59,"Остановка для перевода в ППД",J44:J59)+SUMIF(B44:B59,"Прочие потери",J44:J59)+SUMIF(B44:B59,"Потери нефти по ОТМ",J44:J59)+SUMIF(B44:B59,"Ост. дебит от ЗБС, Углуб., ПВЛГ/ПНЛГ",J44:J59)),"")</f>
        <v>42.968</v>
      </c>
      <c r="K43" s="55"/>
      <c r="L43" s="45" t="n">
        <f aca="false">IF(U43="0",(SUMIF(B44:B59,"Рост потенциала простоя",L44:L59)+SUMIF(B44:B59,"Остановка по распоряжению, в т.ч.:",L44:L59)+SUMIF(B44:B59,"Остановка нерентабельного фонда",L44:L59)+SUMIF(B44:B59,"Остановка для перевода в ППД",L44:L59)+SUMIF(B44:B59,"Прочие потери",L44:L59)+SUMIF(B44:B59,"Потери нефти по ОТМ",L44:L59)+SUMIF(B44:B59,"Ост. дебит от ЗБС, Углуб., ПВЛГ/ПНЛГ",L44:L59)),"")</f>
        <v>-54.397</v>
      </c>
      <c r="M43" s="56" t="n">
        <v>435.492</v>
      </c>
      <c r="N43" s="34" t="n">
        <f aca="false">SUMIF(B44:B61,"Рост потенциала простоя",N44:N61)+SUMIF(B44:B61,"Остановка по распоряжению, в т.ч.:",N44:N61)+SUMIF(B44:B61,"Остановка нерентабельного фонда",N44:N61)+SUMIF(B44:B61,"Остановка для перевода в ППД",N44:N61)+SUMIF(B44:B61,"Прочие потери",N44:N61)+SUMIF(B44:B61,"Потери нефти по ОТМ",N44:N61)+SUMIF(B44:B61,"Ост. дебит от ЗБС, Углуб., ПВЛГ/ПНЛГ",N44:N61)</f>
        <v>110419.996</v>
      </c>
      <c r="O43" s="35" t="n">
        <f aca="false">SUMIF(B44:B61,"Рост потенциала простоя",O44:O61)+SUMIF(B44:B61,"Остановка по распоряжению, в т.ч.:",O44:O61)+SUMIF(B44:B61,"Остановка нерентабельного фонда",O44:O61)+SUMIF(B44:B61,"Остановка для перевода в ППД",O44:O61)+SUMIF(B44:B61,"Прочие потери",O44:O61)+SUMIF(B44:B61,"Потери нефти по ОТМ",O44:O61)+SUMIF(B44:B61,"Ост. дебит от ЗБС, Углуб., ПВЛГ/ПНЛГ",O44:O61)</f>
        <v>9058.112</v>
      </c>
      <c r="P43" s="34" t="n">
        <f aca="false">IF(U43="0",(SUMIF(B44:B61,"Рост потенциала простоя",P44:P61)+SUMIF(B44:B61,"Остановка по распоряжению, в т.ч.:",P44:P61)+SUMIF(B44:B61,"Остановка нерентабельного фонда",P44:P61)+SUMIF(B44:B61,"Остановка для перевода в ППД",P44:P61)+SUMIF(B44:B61,"Прочие потери",P44:P61)+SUMIF(B44:B61,"Потери нефти по ОТМ",P44:P61)+SUMIF(B44:B61,"Ост. дебит от ЗБС, Углуб., ПВЛГ/ПНЛГ",P44:P61)),"")</f>
        <v>150740.276</v>
      </c>
      <c r="Q43" s="35" t="n">
        <f aca="false">IF(U43="0",(SUMIF(B44:B61,"Рост потенциала простоя",Q44:Q61)+SUMIF(B44:B61,"Остановка по распоряжению, в т.ч.:",Q44:Q61)+SUMIF(B44:B61,"Остановка нерентабельного фонда",Q44:Q61)+SUMIF(B44:B61,"Остановка для перевода в ППД",Q44:Q61)+SUMIF(B44:B61,"Прочие потери",Q44:Q61)+SUMIF(B44:B61,"Потери нефти по ОТМ",Q44:Q61)+SUMIF(B44:B61,"Ост. дебит от ЗБС, Углуб., ПВЛГ/ПНЛГ",Q44:Q61)),"")</f>
        <v>22425.142</v>
      </c>
      <c r="R43" s="32"/>
      <c r="S43" s="45" t="n">
        <f aca="false">IF(U43="0",(SUMIF(B44:B61,"Рост потенциала простоя",S44:S61)+SUMIF(B44:B61,"Остановка по распоряжению, в т.ч.:",S44:S61)+SUMIF(B44:B61,"Остановка нерентабельного фонда",S44:S61)+SUMIF(B44:B61,"Остановка для перевода в ППД",S44:S61)+SUMIF(B44:B61,"Прочие потери",S44:S61)+SUMIF(B44:B61,"Потери нефти по ОТМ",S44:S61)+SUMIF(B44:B61,"Ост. дебит от ЗБС, Углуб., ПВЛГ/ПНЛГ",S44:S61)),"")</f>
        <v>13367.03</v>
      </c>
      <c r="T43" s="36"/>
      <c r="U43" s="3" t="s">
        <v>23</v>
      </c>
      <c r="V43" s="4"/>
      <c r="W43" s="4"/>
      <c r="X43" s="4"/>
    </row>
    <row r="44" customFormat="false" ht="15" hidden="false" customHeight="true" outlineLevel="0" collapsed="false">
      <c r="A44" s="37" t="s">
        <v>91</v>
      </c>
      <c r="B44" s="86" t="s">
        <v>92</v>
      </c>
      <c r="C44" s="72"/>
      <c r="D44" s="72"/>
      <c r="E44" s="87" t="n">
        <v>39</v>
      </c>
      <c r="F44" s="74" t="n">
        <v>3209.964</v>
      </c>
      <c r="G44" s="75" t="n">
        <v>0.05</v>
      </c>
      <c r="H44" s="77" t="n">
        <v>20</v>
      </c>
      <c r="I44" s="74" t="n">
        <v>4636.598</v>
      </c>
      <c r="J44" s="75" t="n">
        <v>0.543</v>
      </c>
      <c r="K44" s="76"/>
      <c r="L44" s="77" t="n">
        <f aca="false">IF(U44="0",(IF(G44="",(IF(J44&lt;&gt;"",J44,"")),(IF(J44="",0-G44,J44-G44)))),"")</f>
        <v>0.493</v>
      </c>
      <c r="M44" s="73"/>
      <c r="N44" s="74" t="n">
        <v>65695.26</v>
      </c>
      <c r="O44" s="75" t="n">
        <v>0</v>
      </c>
      <c r="P44" s="74" t="n">
        <v>101346.072</v>
      </c>
      <c r="Q44" s="75"/>
      <c r="R44" s="77"/>
      <c r="S44" s="77" t="n">
        <f aca="false">IF(U44="0",(IF(O44="",(IF(Q44&lt;&gt;"",Q44,"")),(IF(Q44="",0-O44,Q44-O44)))),"")</f>
        <v>0</v>
      </c>
      <c r="T44" s="78"/>
      <c r="U44" s="3" t="s">
        <v>23</v>
      </c>
      <c r="V44" s="4"/>
      <c r="W44" s="4"/>
      <c r="X44" s="4"/>
    </row>
    <row r="45" customFormat="false" ht="15" hidden="false" customHeight="true" outlineLevel="0" collapsed="false">
      <c r="A45" s="37" t="s">
        <v>93</v>
      </c>
      <c r="B45" s="38" t="s">
        <v>94</v>
      </c>
      <c r="C45" s="72"/>
      <c r="D45" s="72"/>
      <c r="E45" s="40"/>
      <c r="F45" s="41"/>
      <c r="G45" s="42"/>
      <c r="H45" s="39"/>
      <c r="I45" s="41"/>
      <c r="J45" s="42"/>
      <c r="K45" s="72"/>
      <c r="L45" s="39" t="str">
        <f aca="false">IF(U45="0",(IF(G45="",(IF(J45&lt;&gt;"",J45,"")),(IF(J45="",0-G45,J45-G45)))),"")</f>
        <v/>
      </c>
      <c r="M45" s="82"/>
      <c r="N45" s="41"/>
      <c r="O45" s="42"/>
      <c r="P45" s="41"/>
      <c r="Q45" s="42"/>
      <c r="R45" s="39"/>
      <c r="S45" s="39" t="str">
        <f aca="false">IF(U45="0",(IF(O45="",(IF(Q45&lt;&gt;"",Q45,"")),(IF(Q45="",0-O45,Q45-O45)))),"")</f>
        <v/>
      </c>
      <c r="T45" s="44"/>
      <c r="U45" s="3" t="s">
        <v>23</v>
      </c>
      <c r="V45" s="4"/>
      <c r="W45" s="4"/>
      <c r="X45" s="4"/>
    </row>
    <row r="46" customFormat="false" ht="15" hidden="false" customHeight="true" outlineLevel="0" collapsed="false">
      <c r="A46" s="37" t="s">
        <v>95</v>
      </c>
      <c r="B46" s="38" t="s">
        <v>96</v>
      </c>
      <c r="C46" s="72"/>
      <c r="D46" s="72"/>
      <c r="E46" s="40" t="n">
        <v>12</v>
      </c>
      <c r="F46" s="41" t="n">
        <v>1548</v>
      </c>
      <c r="G46" s="42" t="n">
        <v>39.7</v>
      </c>
      <c r="H46" s="39" t="n">
        <v>4</v>
      </c>
      <c r="I46" s="41" t="n">
        <v>1126.218</v>
      </c>
      <c r="J46" s="42" t="n">
        <v>24.522</v>
      </c>
      <c r="K46" s="72"/>
      <c r="L46" s="43" t="n">
        <f aca="false">IF(U46="0",(IF(G46="",(IF(J46&lt;&gt;"",J46,"")),(IF(J46="",0-G46,J46-G46)))),"")</f>
        <v>-15.178</v>
      </c>
      <c r="M46" s="82"/>
      <c r="N46" s="41" t="n">
        <v>27978</v>
      </c>
      <c r="O46" s="42" t="n">
        <v>491.6</v>
      </c>
      <c r="P46" s="41" t="n">
        <v>24561.7</v>
      </c>
      <c r="Q46" s="42" t="n">
        <v>731.577</v>
      </c>
      <c r="R46" s="39"/>
      <c r="S46" s="39" t="n">
        <f aca="false">IF(U46="0",(IF(O46="",(IF(Q46&lt;&gt;"",Q46,"")),(IF(Q46="",0-O46,Q46-O46)))),"")</f>
        <v>239.977</v>
      </c>
      <c r="T46" s="44"/>
      <c r="U46" s="3" t="s">
        <v>23</v>
      </c>
      <c r="V46" s="4"/>
      <c r="W46" s="4"/>
      <c r="X46" s="4"/>
    </row>
    <row r="47" customFormat="false" ht="15" hidden="false" customHeight="true" outlineLevel="0" collapsed="false">
      <c r="A47" s="37" t="s">
        <v>97</v>
      </c>
      <c r="B47" s="38" t="s">
        <v>98</v>
      </c>
      <c r="C47" s="72"/>
      <c r="D47" s="72"/>
      <c r="E47" s="40" t="n">
        <v>1</v>
      </c>
      <c r="F47" s="41" t="n">
        <v>8</v>
      </c>
      <c r="G47" s="42" t="n">
        <v>0.8</v>
      </c>
      <c r="H47" s="39" t="n">
        <v>1</v>
      </c>
      <c r="I47" s="41" t="n">
        <v>80</v>
      </c>
      <c r="J47" s="42" t="n">
        <v>1.3</v>
      </c>
      <c r="K47" s="72"/>
      <c r="L47" s="39" t="n">
        <f aca="false">IF(U47="0",(IF(G47="",(IF(J47&lt;&gt;"",J47,"")),(IF(J47="",0-G47,J47-G47)))),"")</f>
        <v>0.5</v>
      </c>
      <c r="M47" s="82"/>
      <c r="N47" s="41" t="n">
        <v>184</v>
      </c>
      <c r="O47" s="42" t="n">
        <v>18.4</v>
      </c>
      <c r="P47" s="41" t="n">
        <v>80</v>
      </c>
      <c r="Q47" s="42" t="n">
        <v>1.3</v>
      </c>
      <c r="R47" s="39"/>
      <c r="S47" s="39" t="n">
        <f aca="false">IF(U47="0",(IF(O47="",(IF(Q47&lt;&gt;"",Q47,"")),(IF(Q47="",0-O47,Q47-O47)))),"")</f>
        <v>-17.1</v>
      </c>
      <c r="T47" s="44"/>
      <c r="U47" s="3" t="s">
        <v>23</v>
      </c>
      <c r="V47" s="4"/>
      <c r="W47" s="4"/>
      <c r="X47" s="4"/>
    </row>
    <row r="48" customFormat="false" ht="15" hidden="false" customHeight="true" outlineLevel="0" collapsed="false">
      <c r="A48" s="37" t="s">
        <v>99</v>
      </c>
      <c r="B48" s="38" t="s">
        <v>100</v>
      </c>
      <c r="C48" s="72"/>
      <c r="D48" s="72"/>
      <c r="E48" s="40"/>
      <c r="F48" s="41"/>
      <c r="G48" s="42"/>
      <c r="H48" s="39"/>
      <c r="I48" s="41"/>
      <c r="J48" s="42"/>
      <c r="K48" s="72"/>
      <c r="L48" s="39" t="str">
        <f aca="false">IF(U48="0",(IF(G48="",(IF(J48&lt;&gt;"",J48,"")),(IF(J48="",0-G48,J48-G48)))),"")</f>
        <v/>
      </c>
      <c r="M48" s="82"/>
      <c r="N48" s="41"/>
      <c r="O48" s="42"/>
      <c r="P48" s="41"/>
      <c r="Q48" s="42"/>
      <c r="R48" s="39"/>
      <c r="S48" s="39" t="str">
        <f aca="false">IF(U48="0",(IF(O48="",(IF(Q48&lt;&gt;"",Q48,"")),(IF(Q48="",0-O48,Q48-O48)))),"")</f>
        <v/>
      </c>
      <c r="T48" s="44"/>
      <c r="U48" s="3" t="s">
        <v>23</v>
      </c>
      <c r="V48" s="4"/>
      <c r="W48" s="4"/>
      <c r="X48" s="4"/>
    </row>
    <row r="49" customFormat="false" ht="15" hidden="false" customHeight="true" outlineLevel="0" collapsed="false">
      <c r="A49" s="37"/>
      <c r="B49" s="38" t="s">
        <v>63</v>
      </c>
      <c r="C49" s="72"/>
      <c r="D49" s="72"/>
      <c r="E49" s="40"/>
      <c r="F49" s="41"/>
      <c r="G49" s="42"/>
      <c r="H49" s="39"/>
      <c r="I49" s="41"/>
      <c r="J49" s="42"/>
      <c r="K49" s="72"/>
      <c r="L49" s="39" t="str">
        <f aca="false">IF(U49="0",(IF(G49="",(IF(J49&lt;&gt;"",J49,"")),(IF(J49="",0-G49,J49-G49)))),"")</f>
        <v/>
      </c>
      <c r="M49" s="82"/>
      <c r="N49" s="41"/>
      <c r="O49" s="42"/>
      <c r="P49" s="41"/>
      <c r="Q49" s="42"/>
      <c r="R49" s="39"/>
      <c r="S49" s="39" t="str">
        <f aca="false">IF(U49="0",(IF(O49="",(IF(Q49&lt;&gt;"",Q49,"")),(IF(Q49="",0-O49,Q49-O49)))),"")</f>
        <v/>
      </c>
      <c r="T49" s="44"/>
      <c r="U49" s="3" t="s">
        <v>23</v>
      </c>
      <c r="V49" s="4"/>
      <c r="W49" s="4"/>
      <c r="X49" s="4"/>
    </row>
    <row r="50" customFormat="false" ht="15" hidden="false" customHeight="true" outlineLevel="0" collapsed="false">
      <c r="A50" s="37" t="s">
        <v>101</v>
      </c>
      <c r="B50" s="38" t="s">
        <v>102</v>
      </c>
      <c r="C50" s="72"/>
      <c r="D50" s="72"/>
      <c r="E50" s="40"/>
      <c r="F50" s="41"/>
      <c r="G50" s="42"/>
      <c r="H50" s="39"/>
      <c r="I50" s="41"/>
      <c r="J50" s="42"/>
      <c r="K50" s="72"/>
      <c r="L50" s="39" t="str">
        <f aca="false">IF(U50="0",(IF(G50="",(IF(J50&lt;&gt;"",J50,"")),(IF(J50="",0-G50,J50-G50)))),"")</f>
        <v/>
      </c>
      <c r="M50" s="82"/>
      <c r="N50" s="41"/>
      <c r="O50" s="42"/>
      <c r="P50" s="41"/>
      <c r="Q50" s="42"/>
      <c r="R50" s="39"/>
      <c r="S50" s="39" t="str">
        <f aca="false">IF(U50="0",(IF(O50="",(IF(Q50&lt;&gt;"",Q50,"")),(IF(Q50="",0-O50,Q50-O50)))),"")</f>
        <v/>
      </c>
      <c r="T50" s="44"/>
      <c r="U50" s="3" t="s">
        <v>23</v>
      </c>
      <c r="V50" s="4"/>
      <c r="W50" s="4"/>
      <c r="X50" s="4"/>
    </row>
    <row r="51" customFormat="false" ht="15" hidden="false" customHeight="true" outlineLevel="0" collapsed="false">
      <c r="A51" s="37" t="s">
        <v>103</v>
      </c>
      <c r="B51" s="86" t="s">
        <v>104</v>
      </c>
      <c r="C51" s="72"/>
      <c r="D51" s="72"/>
      <c r="E51" s="40" t="n">
        <v>9</v>
      </c>
      <c r="F51" s="41" t="n">
        <v>569.516</v>
      </c>
      <c r="G51" s="42" t="n">
        <v>96.515</v>
      </c>
      <c r="H51" s="39" t="n">
        <v>4</v>
      </c>
      <c r="I51" s="41" t="n">
        <v>357.919</v>
      </c>
      <c r="J51" s="42" t="n">
        <v>41.125</v>
      </c>
      <c r="K51" s="72"/>
      <c r="L51" s="43" t="n">
        <f aca="false">IF(U51="0",(IF(G51="",(IF(J51&lt;&gt;"",J51,"")),(IF(J51="",0-G51,J51-G51)))),"")</f>
        <v>-55.39</v>
      </c>
      <c r="M51" s="82"/>
      <c r="N51" s="41" t="n">
        <v>3915.91</v>
      </c>
      <c r="O51" s="42" t="n">
        <v>606</v>
      </c>
      <c r="P51" s="41" t="n">
        <v>1230.38</v>
      </c>
      <c r="Q51" s="42" t="n">
        <v>224.9</v>
      </c>
      <c r="R51" s="39"/>
      <c r="S51" s="43" t="n">
        <f aca="false">IF(U51="0",(IF(O51="",(IF(Q51&lt;&gt;"",Q51,"")),(IF(Q51="",0-O51,Q51-O51)))),"")</f>
        <v>-381.1</v>
      </c>
      <c r="T51" s="44"/>
      <c r="U51" s="3" t="s">
        <v>23</v>
      </c>
      <c r="V51" s="4"/>
      <c r="W51" s="4"/>
      <c r="X51" s="4"/>
    </row>
    <row r="52" customFormat="false" ht="15" hidden="false" customHeight="true" outlineLevel="0" collapsed="false">
      <c r="A52" s="37" t="s">
        <v>105</v>
      </c>
      <c r="B52" s="86" t="s">
        <v>106</v>
      </c>
      <c r="C52" s="72"/>
      <c r="D52" s="72"/>
      <c r="E52" s="82"/>
      <c r="F52" s="41"/>
      <c r="G52" s="42"/>
      <c r="H52" s="72"/>
      <c r="I52" s="41"/>
      <c r="J52" s="42"/>
      <c r="K52" s="72"/>
      <c r="L52" s="39" t="str">
        <f aca="false">IF(U52="0",(IF(G52="",(IF(J52&lt;&gt;"",J52,"")),(IF(J52="",0-G52,J52-G52)))),"")</f>
        <v/>
      </c>
      <c r="M52" s="82"/>
      <c r="N52" s="41" t="n">
        <v>0</v>
      </c>
      <c r="O52" s="42" t="n">
        <v>4852.81</v>
      </c>
      <c r="P52" s="41" t="n">
        <v>0</v>
      </c>
      <c r="Q52" s="42" t="n">
        <v>18618.04</v>
      </c>
      <c r="R52" s="39"/>
      <c r="S52" s="43" t="n">
        <f aca="false">IF(U52="0",(IF(O52="",(IF(Q52&lt;&gt;"",Q52,"")),(IF(Q52="",0-O52,Q52-O52)))),"")</f>
        <v>13765.23</v>
      </c>
      <c r="T52" s="44"/>
      <c r="U52" s="3" t="s">
        <v>23</v>
      </c>
      <c r="V52" s="4"/>
      <c r="W52" s="4"/>
      <c r="X52" s="4"/>
      <c r="Y52" s="88"/>
    </row>
    <row r="53" customFormat="false" ht="15" hidden="false" customHeight="true" outlineLevel="0" collapsed="false">
      <c r="A53" s="46" t="s">
        <v>107</v>
      </c>
      <c r="B53" s="47" t="s">
        <v>108</v>
      </c>
      <c r="C53" s="55"/>
      <c r="D53" s="55"/>
      <c r="E53" s="56"/>
      <c r="F53" s="55"/>
      <c r="G53" s="55"/>
      <c r="H53" s="55"/>
      <c r="I53" s="55"/>
      <c r="J53" s="55"/>
      <c r="K53" s="55"/>
      <c r="L53" s="55"/>
      <c r="M53" s="56" t="n">
        <v>435.492</v>
      </c>
      <c r="N53" s="34" t="n">
        <f aca="false">SUBTOTAL(9,N54:N60)</f>
        <v>40624.826</v>
      </c>
      <c r="O53" s="35" t="n">
        <f aca="false">SUBTOTAL(9,O54:O61)</f>
        <v>3580.902</v>
      </c>
      <c r="P53" s="34" t="n">
        <f aca="false">IF(U53="0",(SUBTOTAL(9,P54:P61)),"")</f>
        <v>48083.824</v>
      </c>
      <c r="Q53" s="35" t="n">
        <f aca="false">IF(U53="0",(SUBTOTAL(9,Q54:Q61)),"")</f>
        <v>3580.902</v>
      </c>
      <c r="R53" s="32"/>
      <c r="S53" s="32" t="n">
        <f aca="false">IF(U53="0",(SUBTOTAL(9,S54:S61)),"")</f>
        <v>0</v>
      </c>
      <c r="T53" s="36"/>
      <c r="U53" s="3" t="s">
        <v>23</v>
      </c>
      <c r="V53" s="4"/>
      <c r="W53" s="4"/>
      <c r="X53" s="4"/>
    </row>
    <row r="54" customFormat="false" ht="15" hidden="false" customHeight="true" outlineLevel="0" collapsed="false">
      <c r="A54" s="89" t="s">
        <v>109</v>
      </c>
      <c r="B54" s="38" t="s">
        <v>110</v>
      </c>
      <c r="C54" s="72"/>
      <c r="D54" s="72"/>
      <c r="E54" s="82"/>
      <c r="F54" s="90"/>
      <c r="G54" s="91"/>
      <c r="H54" s="72"/>
      <c r="I54" s="90"/>
      <c r="J54" s="91"/>
      <c r="K54" s="72"/>
      <c r="L54" s="72"/>
      <c r="M54" s="82" t="n">
        <v>89.122</v>
      </c>
      <c r="N54" s="41" t="n">
        <v>15795</v>
      </c>
      <c r="O54" s="42" t="n">
        <v>1265</v>
      </c>
      <c r="P54" s="41" t="n">
        <v>15795</v>
      </c>
      <c r="Q54" s="42" t="n">
        <v>1265</v>
      </c>
      <c r="R54" s="39"/>
      <c r="S54" s="43" t="n">
        <f aca="false">IF(U54="0",(IF(O54="",(IF(Q54&lt;&gt;"",Q54,"")),(IF(Q54="",0-O54,Q54-O54)))),"")</f>
        <v>0</v>
      </c>
      <c r="T54" s="44"/>
      <c r="U54" s="3" t="s">
        <v>23</v>
      </c>
      <c r="V54" s="4"/>
      <c r="W54" s="4"/>
      <c r="X54" s="4"/>
    </row>
    <row r="55" customFormat="false" ht="15" hidden="false" customHeight="true" outlineLevel="0" collapsed="false">
      <c r="A55" s="89" t="s">
        <v>111</v>
      </c>
      <c r="B55" s="38" t="s">
        <v>112</v>
      </c>
      <c r="C55" s="72"/>
      <c r="D55" s="72"/>
      <c r="E55" s="82"/>
      <c r="F55" s="72"/>
      <c r="G55" s="72"/>
      <c r="H55" s="72"/>
      <c r="I55" s="72"/>
      <c r="J55" s="72"/>
      <c r="K55" s="72"/>
      <c r="L55" s="72"/>
      <c r="M55" s="82" t="n">
        <v>0</v>
      </c>
      <c r="N55" s="74" t="n">
        <f aca="false">SUBTOTAL(9,N56:N57)</f>
        <v>12315.802</v>
      </c>
      <c r="O55" s="75" t="n">
        <f aca="false">SUBTOTAL(9,O56:O57)</f>
        <v>680.288</v>
      </c>
      <c r="P55" s="74" t="n">
        <f aca="false">SUBTOTAL(9,P56:P57)</f>
        <v>12315.802</v>
      </c>
      <c r="Q55" s="75" t="n">
        <f aca="false">SUBTOTAL(9,Q56:Q57)</f>
        <v>680.288</v>
      </c>
      <c r="R55" s="77"/>
      <c r="S55" s="77" t="n">
        <f aca="false">IF(U55="0",(SUBTOTAL(9,S56:S57)),"")</f>
        <v>0</v>
      </c>
      <c r="T55" s="44"/>
      <c r="U55" s="3" t="s">
        <v>23</v>
      </c>
      <c r="V55" s="4"/>
      <c r="W55" s="4"/>
      <c r="X55" s="4"/>
    </row>
    <row r="56" customFormat="false" ht="15" hidden="false" customHeight="true" outlineLevel="0" collapsed="false">
      <c r="A56" s="89"/>
      <c r="B56" s="79" t="s">
        <v>113</v>
      </c>
      <c r="C56" s="72"/>
      <c r="D56" s="72"/>
      <c r="E56" s="82"/>
      <c r="F56" s="90"/>
      <c r="G56" s="91"/>
      <c r="H56" s="72"/>
      <c r="I56" s="90"/>
      <c r="J56" s="91"/>
      <c r="K56" s="72"/>
      <c r="L56" s="72"/>
      <c r="M56" s="82"/>
      <c r="N56" s="41" t="n">
        <v>12315.802</v>
      </c>
      <c r="O56" s="42" t="n">
        <v>680.288</v>
      </c>
      <c r="P56" s="41" t="n">
        <v>12315.802</v>
      </c>
      <c r="Q56" s="42" t="n">
        <v>680.288</v>
      </c>
      <c r="R56" s="39"/>
      <c r="S56" s="43" t="n">
        <f aca="false">IF(U56="0",(IF(O56="",(IF(Q56&lt;&gt;"",Q56,"")),(IF(Q56="",0-O56,Q56-O56)))),"")</f>
        <v>0</v>
      </c>
      <c r="T56" s="44"/>
      <c r="U56" s="3" t="s">
        <v>23</v>
      </c>
      <c r="V56" s="4"/>
      <c r="W56" s="4"/>
      <c r="X56" s="4"/>
    </row>
    <row r="57" customFormat="false" ht="15" hidden="false" customHeight="true" outlineLevel="0" collapsed="false">
      <c r="A57" s="89"/>
      <c r="B57" s="79" t="s">
        <v>114</v>
      </c>
      <c r="C57" s="72"/>
      <c r="D57" s="72"/>
      <c r="E57" s="82"/>
      <c r="F57" s="90"/>
      <c r="G57" s="91"/>
      <c r="H57" s="72"/>
      <c r="I57" s="90"/>
      <c r="J57" s="91"/>
      <c r="K57" s="72"/>
      <c r="L57" s="72"/>
      <c r="M57" s="82"/>
      <c r="N57" s="41"/>
      <c r="O57" s="42"/>
      <c r="P57" s="41"/>
      <c r="Q57" s="42"/>
      <c r="R57" s="39"/>
      <c r="S57" s="39" t="str">
        <f aca="false">IF(U57="0",(IF(O57="",(IF(Q57&lt;&gt;"",Q57,"")),(IF(Q57="",0-O57,Q57-O57)))),"")</f>
        <v/>
      </c>
      <c r="T57" s="44"/>
      <c r="U57" s="3" t="s">
        <v>23</v>
      </c>
      <c r="V57" s="4"/>
      <c r="W57" s="4"/>
      <c r="X57" s="4"/>
    </row>
    <row r="58" customFormat="false" ht="15" hidden="false" customHeight="true" outlineLevel="0" collapsed="false">
      <c r="A58" s="89" t="s">
        <v>115</v>
      </c>
      <c r="B58" s="38" t="s">
        <v>116</v>
      </c>
      <c r="C58" s="72"/>
      <c r="D58" s="72"/>
      <c r="E58" s="82"/>
      <c r="F58" s="72"/>
      <c r="G58" s="72"/>
      <c r="H58" s="72"/>
      <c r="I58" s="72"/>
      <c r="J58" s="72"/>
      <c r="K58" s="72"/>
      <c r="L58" s="72"/>
      <c r="M58" s="82" t="n">
        <v>346.37</v>
      </c>
      <c r="N58" s="74" t="n">
        <f aca="false">SUBTOTAL(9,N59:N60)</f>
        <v>12514.024</v>
      </c>
      <c r="O58" s="75" t="n">
        <f aca="false">SUBTOTAL(9,O59:O60)</f>
        <v>1049.733</v>
      </c>
      <c r="P58" s="74" t="n">
        <f aca="false">SUBTOTAL(9,P59:P60)</f>
        <v>12514.024</v>
      </c>
      <c r="Q58" s="75" t="n">
        <f aca="false">SUBTOTAL(9,Q59:Q60)</f>
        <v>1049.733</v>
      </c>
      <c r="R58" s="77"/>
      <c r="S58" s="83" t="n">
        <f aca="false">IF(U58="0",(SUBTOTAL(9,S59:S60)),"")</f>
        <v>0</v>
      </c>
      <c r="T58" s="44"/>
      <c r="U58" s="3" t="s">
        <v>23</v>
      </c>
      <c r="V58" s="4"/>
      <c r="W58" s="4"/>
      <c r="X58" s="4"/>
    </row>
    <row r="59" customFormat="false" ht="15" hidden="false" customHeight="true" outlineLevel="0" collapsed="false">
      <c r="A59" s="89"/>
      <c r="B59" s="79" t="s">
        <v>117</v>
      </c>
      <c r="C59" s="72"/>
      <c r="D59" s="72"/>
      <c r="E59" s="82"/>
      <c r="F59" s="90"/>
      <c r="G59" s="91"/>
      <c r="H59" s="72"/>
      <c r="I59" s="90"/>
      <c r="J59" s="91"/>
      <c r="K59" s="72"/>
      <c r="L59" s="72"/>
      <c r="M59" s="82" t="n">
        <v>346.37</v>
      </c>
      <c r="N59" s="41" t="n">
        <v>12514.024</v>
      </c>
      <c r="O59" s="42" t="n">
        <v>1049.733</v>
      </c>
      <c r="P59" s="41" t="n">
        <v>12514.024</v>
      </c>
      <c r="Q59" s="42" t="n">
        <v>1049.733</v>
      </c>
      <c r="R59" s="39"/>
      <c r="S59" s="43" t="n">
        <f aca="false">IF(U59="0",(IF(O59="",(IF(Q59&lt;&gt;"",Q59,"")),(IF(Q59="",0-O59,Q59-O59)))),"")</f>
        <v>0</v>
      </c>
      <c r="T59" s="44"/>
      <c r="U59" s="3" t="s">
        <v>23</v>
      </c>
      <c r="V59" s="4"/>
      <c r="W59" s="4"/>
      <c r="X59" s="4"/>
    </row>
    <row r="60" customFormat="false" ht="15" hidden="false" customHeight="true" outlineLevel="0" collapsed="false">
      <c r="A60" s="89"/>
      <c r="B60" s="79" t="s">
        <v>118</v>
      </c>
      <c r="C60" s="72"/>
      <c r="D60" s="72"/>
      <c r="E60" s="82"/>
      <c r="F60" s="90"/>
      <c r="G60" s="91"/>
      <c r="H60" s="72"/>
      <c r="I60" s="90"/>
      <c r="J60" s="91"/>
      <c r="K60" s="72"/>
      <c r="L60" s="72"/>
      <c r="M60" s="82"/>
      <c r="N60" s="41"/>
      <c r="O60" s="42"/>
      <c r="P60" s="41"/>
      <c r="Q60" s="42"/>
      <c r="R60" s="39"/>
      <c r="S60" s="39" t="str">
        <f aca="false">IF(U60="0",(IF(O60="",(IF(Q60&lt;&gt;"",Q60,"")),(IF(Q60="",0-O60,Q60-O60)))),"")</f>
        <v/>
      </c>
      <c r="T60" s="44"/>
      <c r="U60" s="3" t="s">
        <v>23</v>
      </c>
      <c r="V60" s="4"/>
      <c r="W60" s="4"/>
      <c r="X60" s="4"/>
    </row>
    <row r="61" customFormat="false" ht="15" hidden="false" customHeight="true" outlineLevel="0" collapsed="false">
      <c r="A61" s="89" t="s">
        <v>119</v>
      </c>
      <c r="B61" s="38" t="s">
        <v>120</v>
      </c>
      <c r="C61" s="72"/>
      <c r="D61" s="72"/>
      <c r="E61" s="82"/>
      <c r="F61" s="90"/>
      <c r="G61" s="91"/>
      <c r="H61" s="72"/>
      <c r="I61" s="90"/>
      <c r="J61" s="91"/>
      <c r="K61" s="72"/>
      <c r="L61" s="72"/>
      <c r="M61" s="82"/>
      <c r="N61" s="41" t="n">
        <v>7458.998</v>
      </c>
      <c r="O61" s="42" t="n">
        <v>585.881</v>
      </c>
      <c r="P61" s="41" t="n">
        <v>7458.998</v>
      </c>
      <c r="Q61" s="42" t="n">
        <v>585.881</v>
      </c>
      <c r="R61" s="39"/>
      <c r="S61" s="39" t="n">
        <f aca="false">IF(U61="0",(IF(O61="",(IF(Q61&lt;&gt;"",Q61,"")),(IF(Q61="",0-O61,Q61-O61)))),"")</f>
        <v>0</v>
      </c>
      <c r="T61" s="44"/>
      <c r="U61" s="3" t="s">
        <v>23</v>
      </c>
      <c r="V61" s="4"/>
      <c r="W61" s="4"/>
      <c r="X61" s="4"/>
    </row>
    <row r="62" customFormat="false" ht="15" hidden="false" customHeight="true" outlineLevel="0" collapsed="false">
      <c r="A62" s="92" t="n">
        <v>4</v>
      </c>
      <c r="B62" s="93" t="s">
        <v>121</v>
      </c>
      <c r="C62" s="94"/>
      <c r="D62" s="95" t="n">
        <v>30379.444</v>
      </c>
      <c r="E62" s="96"/>
      <c r="F62" s="97" t="n">
        <f aca="false">F7+SUMIF(B7:B61,"Прирост добычи нефти, в том числе:",F7:F61)-SUMIF(B7:B61,"Потери добычи нефти, в том числе:",F7:F61)</f>
        <v>406570.652</v>
      </c>
      <c r="G62" s="98" t="n">
        <f aca="false">G7+SUMIF(B7:B61,"Прирост добычи нефти, в том числе:",G7:G61)-SUMIF(B7:B61,"Потери добычи нефти, в том числе:",G7:G61)</f>
        <v>32266.45</v>
      </c>
      <c r="H62" s="94"/>
      <c r="I62" s="97" t="n">
        <f aca="false">IF(U61="0",(I7+SUMIF(B7:B61,"Прирост добычи нефти, в том числе:",I7:I61)-SUMIF(B7:B61,"Потери добычи нефти, в том числе:",I7:I61)),"")</f>
        <v>405244.828</v>
      </c>
      <c r="J62" s="98" t="n">
        <f aca="false">IF(U61="0",(J7+SUMIF(B7:B61,"Прирост добычи нефти, в том числе:",J7:J61)-SUMIF(B7:B61,"Потери добычи нефти, в том числе:",J7:J61)),"")</f>
        <v>31150.673</v>
      </c>
      <c r="K62" s="94"/>
      <c r="L62" s="99" t="n">
        <f aca="false">IF(U62="0",(J62-G62),"")</f>
        <v>-1115.777</v>
      </c>
      <c r="M62" s="100" t="n">
        <v>1013917</v>
      </c>
      <c r="N62" s="97" t="n">
        <f aca="false">N7+SUMIF(B7:B61,"Прирост добычи нефти, в том числе:",N7:N61)-SUMIF(B7:B61,"Потери добычи нефти, в том числе:",N7:N61)</f>
        <v>12389257.094</v>
      </c>
      <c r="O62" s="98" t="n">
        <f aca="false">O7+SUMIF(B7:B61,"Прирост добычи нефти, в том числе:",O7:O61)-SUMIF(B7:B61,"Потери добычи нефти, в том числе:",O7:O61)</f>
        <v>989727.741</v>
      </c>
      <c r="P62" s="97" t="n">
        <f aca="false">IF(U62="0",(P7+SUMIF(B7:B61,"Прирост добычи нефти, в том числе:",P7:P61)-SUMIF(B7:B61,"Потери добычи нефти, в том числе:",P7:P61)),"")</f>
        <v>12376995.596</v>
      </c>
      <c r="Q62" s="98" t="n">
        <f aca="false">IF(U62="0",(Q7+SUMIF(B7:B61,"Прирост добычи нефти, в том числе:",Q7:Q61)-SUMIF(B7:B61,"Потери добычи нефти, в том числе:",Q7:Q61)),"")</f>
        <v>964823.928</v>
      </c>
      <c r="R62" s="95"/>
      <c r="S62" s="95" t="n">
        <f aca="false">IF(U62="0",(Q62-O62),"")</f>
        <v>-24903.8130000001</v>
      </c>
      <c r="T62" s="101"/>
      <c r="U62" s="3" t="s">
        <v>23</v>
      </c>
      <c r="V62" s="4"/>
      <c r="W62" s="4"/>
      <c r="X62" s="4"/>
      <c r="Z62" s="102" t="n">
        <v>964823.928</v>
      </c>
    </row>
    <row r="63" customFormat="false" ht="15" hidden="false" customHeight="true" outlineLevel="0" collapsed="false">
      <c r="A63" s="103" t="n">
        <v>31</v>
      </c>
      <c r="B63" s="104" t="s">
        <v>122</v>
      </c>
      <c r="C63" s="105"/>
      <c r="D63" s="106" t="n">
        <v>32707</v>
      </c>
      <c r="E63" s="107"/>
      <c r="F63" s="108" t="n">
        <f aca="false">N62/A63</f>
        <v>399653.454645161</v>
      </c>
      <c r="G63" s="109" t="n">
        <f aca="false">O62/A63</f>
        <v>31926.7013225806</v>
      </c>
      <c r="H63" s="105"/>
      <c r="I63" s="108" t="n">
        <f aca="false">IF(U63="0",(P62/A63),"")</f>
        <v>399257.922451613</v>
      </c>
      <c r="J63" s="109" t="n">
        <f aca="false">IF(U63="0",(Q62/A63),"")</f>
        <v>31123.352516129</v>
      </c>
      <c r="K63" s="105"/>
      <c r="L63" s="106" t="n">
        <f aca="false">IF(U63="0",(J63-G63),"")</f>
        <v>-803.348806451617</v>
      </c>
      <c r="M63" s="107"/>
      <c r="N63" s="110"/>
      <c r="O63" s="111"/>
      <c r="P63" s="110"/>
      <c r="Q63" s="111"/>
      <c r="R63" s="105"/>
      <c r="S63" s="105"/>
      <c r="T63" s="112"/>
      <c r="U63" s="3" t="s">
        <v>23</v>
      </c>
      <c r="V63" s="4"/>
      <c r="W63" s="4"/>
      <c r="X63" s="4"/>
      <c r="Z63" s="113" t="n">
        <f aca="false">Z62-Q62</f>
        <v>0</v>
      </c>
    </row>
    <row r="64" customFormat="false" ht="15" hidden="false" customHeight="true" outlineLevel="0" collapsed="false">
      <c r="A64" s="114"/>
      <c r="B64" s="115"/>
      <c r="C64" s="116"/>
      <c r="D64" s="116"/>
      <c r="E64" s="117"/>
      <c r="F64" s="118"/>
      <c r="G64" s="119"/>
      <c r="H64" s="120"/>
      <c r="I64" s="118"/>
      <c r="J64" s="119"/>
      <c r="K64" s="120"/>
      <c r="L64" s="120"/>
      <c r="M64" s="117"/>
      <c r="N64" s="118"/>
      <c r="O64" s="119"/>
      <c r="P64" s="118"/>
      <c r="Q64" s="119"/>
      <c r="R64" s="120"/>
      <c r="S64" s="120"/>
      <c r="T64" s="121"/>
      <c r="U64" s="3" t="s">
        <v>23</v>
      </c>
      <c r="V64" s="4"/>
      <c r="W64" s="4"/>
      <c r="X64" s="4"/>
      <c r="Z64" s="102"/>
    </row>
    <row r="65" customFormat="false" ht="15" hidden="false" customHeight="true" outlineLevel="0" collapsed="false">
      <c r="A65" s="122"/>
      <c r="B65" s="123" t="s">
        <v>123</v>
      </c>
      <c r="C65" s="124"/>
      <c r="D65" s="124"/>
      <c r="E65" s="125"/>
      <c r="F65" s="126"/>
      <c r="G65" s="127" t="n">
        <f aca="false">G63-D63</f>
        <v>-780.298677419352</v>
      </c>
      <c r="H65" s="126"/>
      <c r="I65" s="126"/>
      <c r="J65" s="127" t="n">
        <f aca="false">IF(U65="0",(J63-D63),"")</f>
        <v>-1583.64748387097</v>
      </c>
      <c r="K65" s="126"/>
      <c r="L65" s="126"/>
      <c r="M65" s="125"/>
      <c r="N65" s="126"/>
      <c r="O65" s="127" t="n">
        <f aca="false">O62-M62</f>
        <v>-24189.259</v>
      </c>
      <c r="P65" s="128"/>
      <c r="Q65" s="127" t="n">
        <f aca="false">IF(U65="0",(Q62-M62),"")</f>
        <v>-49093.072</v>
      </c>
      <c r="R65" s="126"/>
      <c r="S65" s="126"/>
      <c r="T65" s="129"/>
      <c r="U65" s="3" t="s">
        <v>23</v>
      </c>
      <c r="V65" s="4"/>
      <c r="W65" s="4"/>
      <c r="X65" s="4"/>
    </row>
    <row r="66" customFormat="false" ht="15" hidden="false" customHeight="true" outlineLevel="0" collapsed="false">
      <c r="A66" s="130"/>
      <c r="B66" s="131"/>
      <c r="C66" s="132"/>
      <c r="D66" s="132"/>
      <c r="E66" s="133"/>
      <c r="F66" s="6"/>
      <c r="G66" s="6"/>
      <c r="H66" s="6"/>
      <c r="I66" s="6"/>
      <c r="J66" s="134"/>
      <c r="K66" s="6"/>
      <c r="L66" s="134"/>
      <c r="M66" s="135"/>
      <c r="N66" s="6"/>
      <c r="O66" s="136"/>
      <c r="P66" s="6"/>
      <c r="Q66" s="136"/>
      <c r="R66" s="6"/>
      <c r="S66" s="136"/>
      <c r="T66" s="6"/>
      <c r="U66" s="6"/>
      <c r="V66" s="4"/>
      <c r="W66" s="4"/>
      <c r="X66" s="4"/>
    </row>
    <row r="67" customFormat="false" ht="15" hidden="false" customHeight="true" outlineLevel="0" collapsed="false">
      <c r="A67" s="130"/>
      <c r="B67" s="131"/>
      <c r="C67" s="132"/>
      <c r="D67" s="132"/>
      <c r="E67" s="137" t="s">
        <v>124</v>
      </c>
      <c r="F67" s="137"/>
      <c r="G67" s="137"/>
      <c r="H67" s="138" t="s">
        <v>125</v>
      </c>
      <c r="I67" s="138"/>
      <c r="J67" s="138"/>
      <c r="K67" s="6"/>
      <c r="L67" s="132"/>
      <c r="M67" s="135"/>
      <c r="N67" s="6"/>
      <c r="O67" s="137" t="s">
        <v>126</v>
      </c>
      <c r="P67" s="137"/>
      <c r="Q67" s="137"/>
      <c r="R67" s="6"/>
      <c r="S67" s="132"/>
      <c r="T67" s="6"/>
      <c r="U67" s="6"/>
      <c r="V67" s="4"/>
      <c r="W67" s="4"/>
      <c r="X67" s="4"/>
    </row>
    <row r="68" customFormat="false" ht="15" hidden="false" customHeight="true" outlineLevel="0" collapsed="false">
      <c r="A68" s="132"/>
      <c r="B68" s="139"/>
      <c r="C68" s="132"/>
      <c r="D68" s="132"/>
      <c r="E68" s="140" t="s">
        <v>19</v>
      </c>
      <c r="F68" s="141" t="s">
        <v>18</v>
      </c>
      <c r="G68" s="141" t="s">
        <v>17</v>
      </c>
      <c r="H68" s="141" t="s">
        <v>19</v>
      </c>
      <c r="I68" s="141" t="s">
        <v>18</v>
      </c>
      <c r="J68" s="141" t="s">
        <v>17</v>
      </c>
      <c r="K68" s="6"/>
      <c r="L68" s="132"/>
      <c r="M68" s="135"/>
      <c r="N68" s="6"/>
      <c r="O68" s="140" t="s">
        <v>19</v>
      </c>
      <c r="P68" s="141" t="s">
        <v>18</v>
      </c>
      <c r="Q68" s="141" t="s">
        <v>17</v>
      </c>
      <c r="R68" s="6"/>
      <c r="S68" s="132"/>
      <c r="T68" s="6"/>
      <c r="U68" s="6"/>
      <c r="V68" s="4"/>
      <c r="W68" s="4"/>
      <c r="X68" s="4"/>
    </row>
    <row r="69" customFormat="false" ht="15" hidden="false" customHeight="true" outlineLevel="0" collapsed="false">
      <c r="A69" s="142" t="s">
        <v>127</v>
      </c>
      <c r="B69" s="143" t="s">
        <v>128</v>
      </c>
      <c r="C69" s="132"/>
      <c r="D69" s="132"/>
      <c r="E69" s="144" t="n">
        <v>84</v>
      </c>
      <c r="F69" s="39" t="n">
        <v>8150.30974108932</v>
      </c>
      <c r="G69" s="39" t="n">
        <v>884.95508306802</v>
      </c>
      <c r="H69" s="39"/>
      <c r="I69" s="39" t="n">
        <v>11790.7238236215</v>
      </c>
      <c r="J69" s="39" t="n">
        <v>795.954488349057</v>
      </c>
      <c r="K69" s="6"/>
      <c r="L69" s="132"/>
      <c r="M69" s="135"/>
      <c r="N69" s="6"/>
      <c r="O69" s="144" t="n">
        <v>209</v>
      </c>
      <c r="P69" s="39" t="n">
        <v>10695.044669525</v>
      </c>
      <c r="Q69" s="39" t="n">
        <v>879.246621744237</v>
      </c>
      <c r="R69" s="6"/>
      <c r="S69" s="132"/>
      <c r="T69" s="6"/>
      <c r="U69" s="6"/>
      <c r="V69" s="4"/>
      <c r="W69" s="4"/>
      <c r="X69" s="4"/>
    </row>
    <row r="70" customFormat="false" ht="15" hidden="false" customHeight="true" outlineLevel="0" collapsed="false">
      <c r="A70" s="142" t="s">
        <v>129</v>
      </c>
      <c r="B70" s="143" t="s">
        <v>130</v>
      </c>
      <c r="C70" s="130"/>
      <c r="D70" s="130"/>
      <c r="E70" s="145"/>
      <c r="F70" s="72"/>
      <c r="G70" s="72"/>
      <c r="H70" s="72"/>
      <c r="I70" s="72"/>
      <c r="J70" s="72"/>
      <c r="K70" s="6"/>
      <c r="L70" s="132"/>
      <c r="M70" s="135"/>
      <c r="N70" s="6"/>
      <c r="O70" s="145"/>
      <c r="P70" s="72"/>
      <c r="Q70" s="72"/>
      <c r="R70" s="6"/>
      <c r="S70" s="132"/>
      <c r="T70" s="6"/>
      <c r="U70" s="6"/>
      <c r="V70" s="4"/>
      <c r="W70" s="4"/>
      <c r="X70" s="4"/>
    </row>
    <row r="71" customFormat="false" ht="15" hidden="false" customHeight="true" outlineLevel="0" collapsed="false">
      <c r="A71" s="142" t="s">
        <v>131</v>
      </c>
      <c r="B71" s="143" t="s">
        <v>102</v>
      </c>
      <c r="C71" s="133"/>
      <c r="D71" s="146"/>
      <c r="E71" s="145"/>
      <c r="F71" s="72"/>
      <c r="G71" s="72"/>
      <c r="H71" s="72"/>
      <c r="I71" s="72"/>
      <c r="J71" s="72"/>
      <c r="K71" s="6"/>
      <c r="L71" s="132"/>
      <c r="M71" s="134"/>
      <c r="N71" s="6"/>
      <c r="O71" s="145"/>
      <c r="P71" s="72"/>
      <c r="Q71" s="72"/>
      <c r="R71" s="6"/>
      <c r="S71" s="132"/>
      <c r="T71" s="6"/>
      <c r="U71" s="6"/>
      <c r="V71" s="4"/>
      <c r="W71" s="4"/>
      <c r="X71" s="4"/>
    </row>
    <row r="72" customFormat="false" ht="15" hidden="false" customHeight="true" outlineLevel="0" collapsed="false">
      <c r="A72" s="147"/>
      <c r="B72" s="130" t="s">
        <v>132</v>
      </c>
      <c r="C72" s="132"/>
      <c r="D72" s="132"/>
      <c r="E72" s="148" t="n">
        <f aca="false">SUM(E69:E71)</f>
        <v>84</v>
      </c>
      <c r="F72" s="77" t="n">
        <v>8150.30974108932</v>
      </c>
      <c r="G72" s="77" t="n">
        <f aca="false">SUM(G69:G71)</f>
        <v>884.95508306802</v>
      </c>
      <c r="H72" s="77" t="n">
        <f aca="false">SUM(H69:H71)</f>
        <v>0</v>
      </c>
      <c r="I72" s="77" t="n">
        <v>11790.7238236215</v>
      </c>
      <c r="J72" s="77" t="n">
        <f aca="false">SUM(J69:J71)</f>
        <v>795.954488349057</v>
      </c>
      <c r="K72" s="6"/>
      <c r="L72" s="132"/>
      <c r="M72" s="132"/>
      <c r="N72" s="6"/>
      <c r="O72" s="148" t="n">
        <f aca="false">SUM(O69:O71)</f>
        <v>209</v>
      </c>
      <c r="P72" s="77" t="n">
        <v>10695.044669525</v>
      </c>
      <c r="Q72" s="77" t="n">
        <f aca="false">SUM(Q69:Q71)</f>
        <v>879.246621744237</v>
      </c>
      <c r="R72" s="6"/>
      <c r="S72" s="132"/>
      <c r="T72" s="6"/>
      <c r="U72" s="6"/>
      <c r="V72" s="4"/>
      <c r="W72" s="4"/>
      <c r="X72" s="4"/>
    </row>
    <row r="73" customFormat="false" ht="15" hidden="false" customHeight="true" outlineLevel="0" collapsed="false">
      <c r="A73" s="147"/>
      <c r="B73" s="130"/>
      <c r="C73" s="132"/>
      <c r="D73" s="132"/>
      <c r="E73" s="134"/>
      <c r="F73" s="6"/>
      <c r="G73" s="134"/>
      <c r="H73" s="134"/>
      <c r="I73" s="6"/>
      <c r="J73" s="134"/>
      <c r="K73" s="6"/>
      <c r="L73" s="132"/>
      <c r="M73" s="132"/>
      <c r="N73" s="6"/>
      <c r="O73" s="134"/>
      <c r="P73" s="6"/>
      <c r="Q73" s="134"/>
      <c r="R73" s="6"/>
      <c r="S73" s="132"/>
      <c r="T73" s="6"/>
      <c r="U73" s="6"/>
      <c r="V73" s="4"/>
      <c r="W73" s="4"/>
      <c r="X73" s="4"/>
    </row>
    <row r="74" customFormat="false" ht="27.75" hidden="false" customHeight="true" outlineLevel="0" collapsed="false">
      <c r="A74" s="5" t="s">
        <v>133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6"/>
      <c r="U74" s="6"/>
      <c r="V74" s="4"/>
      <c r="W74" s="4"/>
      <c r="X74" s="4"/>
    </row>
    <row r="75" customFormat="false" ht="15" hidden="false" customHeight="true" outlineLevel="0" collapsed="false">
      <c r="A75" s="7" t="s">
        <v>4</v>
      </c>
      <c r="B75" s="8" t="s">
        <v>5</v>
      </c>
      <c r="C75" s="8" t="s">
        <v>6</v>
      </c>
      <c r="D75" s="8"/>
      <c r="E75" s="9" t="s">
        <v>7</v>
      </c>
      <c r="F75" s="9"/>
      <c r="G75" s="9"/>
      <c r="H75" s="9"/>
      <c r="I75" s="9"/>
      <c r="J75" s="9"/>
      <c r="K75" s="8" t="s">
        <v>8</v>
      </c>
      <c r="L75" s="8"/>
      <c r="M75" s="9" t="s">
        <v>9</v>
      </c>
      <c r="N75" s="9"/>
      <c r="O75" s="9"/>
      <c r="P75" s="9"/>
      <c r="Q75" s="9"/>
      <c r="R75" s="8" t="s">
        <v>8</v>
      </c>
      <c r="S75" s="8"/>
      <c r="T75" s="9" t="s">
        <v>10</v>
      </c>
      <c r="U75" s="6"/>
      <c r="V75" s="4"/>
      <c r="W75" s="4"/>
      <c r="X75" s="4"/>
    </row>
    <row r="76" customFormat="false" ht="15" hidden="false" customHeight="true" outlineLevel="0" collapsed="false">
      <c r="A76" s="7"/>
      <c r="B76" s="8"/>
      <c r="C76" s="8"/>
      <c r="D76" s="8"/>
      <c r="E76" s="10" t="s">
        <v>11</v>
      </c>
      <c r="F76" s="10"/>
      <c r="G76" s="10"/>
      <c r="H76" s="11" t="s">
        <v>12</v>
      </c>
      <c r="I76" s="11"/>
      <c r="J76" s="11"/>
      <c r="K76" s="11" t="s">
        <v>13</v>
      </c>
      <c r="L76" s="11" t="s">
        <v>14</v>
      </c>
      <c r="M76" s="10" t="s">
        <v>15</v>
      </c>
      <c r="N76" s="11" t="s">
        <v>11</v>
      </c>
      <c r="O76" s="11"/>
      <c r="P76" s="11" t="s">
        <v>12</v>
      </c>
      <c r="Q76" s="11"/>
      <c r="R76" s="11" t="s">
        <v>13</v>
      </c>
      <c r="S76" s="11" t="s">
        <v>14</v>
      </c>
      <c r="T76" s="9"/>
      <c r="U76" s="6"/>
      <c r="V76" s="4"/>
      <c r="W76" s="4"/>
      <c r="X76" s="4"/>
    </row>
    <row r="77" customFormat="false" ht="15" hidden="false" customHeight="true" outlineLevel="0" collapsed="false">
      <c r="A77" s="7"/>
      <c r="B77" s="8"/>
      <c r="C77" s="11" t="s">
        <v>16</v>
      </c>
      <c r="D77" s="11" t="s">
        <v>17</v>
      </c>
      <c r="E77" s="10" t="s">
        <v>16</v>
      </c>
      <c r="F77" s="11" t="s">
        <v>18</v>
      </c>
      <c r="G77" s="11" t="s">
        <v>17</v>
      </c>
      <c r="H77" s="11" t="s">
        <v>19</v>
      </c>
      <c r="I77" s="11" t="s">
        <v>18</v>
      </c>
      <c r="J77" s="11" t="s">
        <v>17</v>
      </c>
      <c r="K77" s="11" t="s">
        <v>17</v>
      </c>
      <c r="L77" s="11" t="s">
        <v>17</v>
      </c>
      <c r="M77" s="10"/>
      <c r="N77" s="11" t="s">
        <v>20</v>
      </c>
      <c r="O77" s="11" t="s">
        <v>21</v>
      </c>
      <c r="P77" s="11" t="s">
        <v>20</v>
      </c>
      <c r="Q77" s="11" t="s">
        <v>21</v>
      </c>
      <c r="R77" s="11" t="s">
        <v>21</v>
      </c>
      <c r="S77" s="11" t="s">
        <v>21</v>
      </c>
      <c r="T77" s="9"/>
      <c r="U77" s="6"/>
      <c r="V77" s="4"/>
      <c r="W77" s="4"/>
      <c r="X77" s="4"/>
    </row>
    <row r="78" customFormat="false" ht="15" hidden="false" customHeight="true" outlineLevel="0" collapsed="false">
      <c r="A78" s="12" t="n">
        <v>1</v>
      </c>
      <c r="B78" s="13" t="s">
        <v>22</v>
      </c>
      <c r="C78" s="14"/>
      <c r="D78" s="15" t="n">
        <v>30379.444</v>
      </c>
      <c r="E78" s="16"/>
      <c r="F78" s="17" t="n">
        <v>405253.717</v>
      </c>
      <c r="G78" s="18" t="n">
        <v>31150.958</v>
      </c>
      <c r="H78" s="14"/>
      <c r="I78" s="17"/>
      <c r="J78" s="18"/>
      <c r="K78" s="15"/>
      <c r="L78" s="15"/>
      <c r="M78" s="20" t="n">
        <v>941762.779</v>
      </c>
      <c r="N78" s="17" t="n">
        <v>12562865.223</v>
      </c>
      <c r="O78" s="18" t="n">
        <v>965679.687</v>
      </c>
      <c r="P78" s="17"/>
      <c r="Q78" s="18"/>
      <c r="R78" s="15"/>
      <c r="S78" s="15"/>
      <c r="T78" s="21"/>
      <c r="U78" s="3" t="s">
        <v>134</v>
      </c>
      <c r="V78" s="4"/>
      <c r="W78" s="4"/>
      <c r="X78" s="4"/>
    </row>
    <row r="79" customFormat="false" ht="15" hidden="false" customHeight="true" outlineLevel="0" collapsed="false">
      <c r="A79" s="22" t="n">
        <v>2</v>
      </c>
      <c r="B79" s="23" t="s">
        <v>24</v>
      </c>
      <c r="C79" s="24" t="n">
        <f aca="false">SUMIF(B80:B101,"Основные ГТМ",C80:C101)+SUMIF(B80:B101,"Работа с фондом",C80:C101)+SUMIF(B80:B101,"Сокращение потенциала простоя",C80:C101)+SUMIF(B80:B101,"Прочая добыча (отраб.скв, амбары, стравливание…)",C80:C101)</f>
        <v>26</v>
      </c>
      <c r="D79" s="24" t="n">
        <f aca="false">SUMIF(B80:B101,"Основные ГТМ",D80:D101)+SUMIF(B80:B101,"Работа с фондом",D80:D101)+SUMIF(B80:B101,"Сокращение потенциала простоя",D80:D101)+SUMIF(B80:B101,"Прочая добыча (отраб.скв, амбары, стравливание…)",D80:D101)</f>
        <v>1049.24</v>
      </c>
      <c r="E79" s="25" t="n">
        <f aca="false">SUMIF(B80:B101,"Основные ГТМ",E80:E101)+SUMIF(B80:B101,"Работа с фондом",E80:E101)+SUMIF(B80:B101,"Сокращение потенциала простоя",E80:E101)+SUMIF(B80:B101,"Прочая добыча (отраб.скв, амбары, стравливание…)",E80:E101)</f>
        <v>93</v>
      </c>
      <c r="F79" s="26" t="n">
        <f aca="false">SUMIF(B80:B101,"Основные ГТМ",F80:F101)+SUMIF(B80:B101,"Работа с фондом",F80:F101)+SUMIF(B80:B101,"Сокращение потенциала простоя",F80:F101)+SUMIF(B80:B101,"Прочая добыча (отраб.скв, амбары, стравливание…)",F80:F101)</f>
        <v>9398</v>
      </c>
      <c r="G79" s="27" t="n">
        <f aca="false">SUMIF(B80:B101,"Основные ГТМ",G80:G101)+SUMIF(B80:B101,"Работа с фондом",G80:G101)+SUMIF(B80:B101,"Сокращение потенциала простоя",G80:G101)+SUMIF(B80:B101,"Прочая добыча (отраб.скв, амбары, стравливание…)",G80:G101)</f>
        <v>2022.1</v>
      </c>
      <c r="H79" s="24" t="str">
        <f aca="false">IF(U79="0",(SUMIF(B80:B101,"Основные ГТМ",H80:H101)+SUMIF(B80:B101,"Работа с фондом",H80:H101)+SUMIF(B80:B101,"Сокращение потенциала простоя",H80:H101)+SUMIF(B80:B101,"Прочая добыча (отраб.скв, амбары, стравливание…)",H80:H101)),"")</f>
        <v/>
      </c>
      <c r="I79" s="26" t="str">
        <f aca="false">IF(U79="0",(SUMIF(B80:B101,"Основные ГТМ",I80:I101)+SUMIF(B80:B101,"Работа с фондом",I80:I101)+SUMIF(B80:B101,"Сокращение потенциала простоя",I80:I101)+SUMIF(B80:B101,"Прочая добыча (отраб.скв, амбары, стравливание…)",I80:I101)),"")</f>
        <v/>
      </c>
      <c r="J79" s="27" t="str">
        <f aca="false">IF(U79="0",(SUMIF(B80:B101,"Основные ГТМ",J80:J101)+SUMIF(B80:B101,"Работа с фондом",J80:J101)+SUMIF(B80:B101,"Сокращение потенциала простоя",J80:J101)+SUMIF(B80:B101,"Прочая добыча (отраб.скв, амбары, стравливание…)",J80:J101)),"")</f>
        <v/>
      </c>
      <c r="K79" s="24" t="str">
        <f aca="false">IF(U79="0",(SUMIF(B80:B101,"Основные ГТМ",K80:K101)+SUMIF(B80:B101,"Работа с фондом",K80:K101)+SUMIF(B80:B101,"Сокращение потенциала простоя",K80:K101)+SUMIF(B80:B101,"Прочая добыча (отраб.скв, амбары, стравливание…)",K80:K101)),"")</f>
        <v/>
      </c>
      <c r="L79" s="24" t="str">
        <f aca="false">IF(U79="0",(SUMIF(B80:B101,"Основные ГТМ",L80:L83)+SUMIF(B80:B101,"Работа с фондом",L80:L101)+SUMIF(B80:B101,"Сокращение потенциала простоя",L80:L101)+SUMIF(B80:B101,"Прочая добыча (отраб.скв, амбары, стравливание…)",L80:L101)),"")</f>
        <v/>
      </c>
      <c r="M79" s="25" t="n">
        <f aca="false">SUMIF(B80:B101,"Основные ГТМ",M80:M101)+SUMIF(B80:B101,"Работа с фондом",M80:M101)+SUMIF(B80:B101,"Сокращение потенциала простоя",M80:M101)+SUMIF(B80:B101,"Прочая добыча (отраб.скв, амбары, стравливание…)",M80:M101)</f>
        <v>9725.753</v>
      </c>
      <c r="N79" s="26" t="n">
        <f aca="false">SUMIF(B80:B101,"Основные ГТМ",N80:N101)+SUMIF(B80:B101,"Работа с фондом",N80:N101)+SUMIF(B80:B101,"Сокращение потенциала простоя",N80:N101)+SUMIF(B80:B101,"Прочая добыча (отраб.скв, амбары, стравливание…)",N80:N101)</f>
        <v>108247</v>
      </c>
      <c r="O79" s="27" t="n">
        <f aca="false">SUMIF(B80:B101,"Основные ГТМ",O80:O101)+SUMIF(B80:B101,"Работа с фондом",O80:O101)+SUMIF(B80:B101,"Сокращение потенциала простоя",O80:O101)+SUMIF(B80:B101,"Прочая добыча (отраб.скв, амбары, стравливание…)",O80:O101)</f>
        <v>28411.2</v>
      </c>
      <c r="P79" s="26" t="str">
        <f aca="false">IF(U79="0",(SUMIF(B80:B101,"Основные ГТМ",P80:P101)+SUMIF(B80:B101,"Работа с фондом",P80:P101)+SUMIF(B80:B101,"Сокращение потенциала простоя",P80:P101)+SUMIF(B80:B101,"Прочая добыча (отраб.скв, амбары, стравливание…)",P80:P101)),"")</f>
        <v/>
      </c>
      <c r="Q79" s="27" t="str">
        <f aca="false">IF(U79="0",(SUMIF(B80:B101,"Основные ГТМ",Q80:Q101)+SUMIF(B80:B101,"Работа с фондом",Q80:Q101)+SUMIF(B80:B101,"Сокращение потенциала простоя",Q80:Q101)+SUMIF(B80:B101,"Прочая добыча (отраб.скв, амбары, стравливание…)",Q80:Q101)),"")</f>
        <v/>
      </c>
      <c r="R79" s="24" t="str">
        <f aca="false">IF(U79="0",(SUMIF(B80:B101,"Основные ГТМ",R80:R101)+SUMIF(B80:B101,"Работа с фондом",R80:R101)+SUMIF(B80:B101,"Сокращение потенциала простоя",R80:R101)+SUMIF(B80:B101,"Прочая добыча (отраб.скв, амбары, стравливание…)",R80:R101)),"")</f>
        <v/>
      </c>
      <c r="S79" s="24" t="str">
        <f aca="false">IF(U79="0",(SUMIF(B80:B101,"Основные ГТМ",S80:S101)+SUMIF(B80:B101,"Работа с фондом",S80:S101)+SUMIF(B80:B101,"Сокращение потенциала простоя",S80:S101)+SUMIF(B80:B101,"Прочая добыча (отраб.скв, амбары, стравливание…)",S80:S101)),"")</f>
        <v/>
      </c>
      <c r="T79" s="29"/>
      <c r="U79" s="3" t="s">
        <v>134</v>
      </c>
      <c r="V79" s="4"/>
      <c r="W79" s="4"/>
      <c r="X79" s="4"/>
    </row>
    <row r="80" customFormat="false" ht="15" hidden="false" customHeight="true" outlineLevel="0" collapsed="false">
      <c r="A80" s="30" t="s">
        <v>25</v>
      </c>
      <c r="B80" s="31" t="s">
        <v>26</v>
      </c>
      <c r="C80" s="32" t="n">
        <f aca="false">SUBTOTAL(9,C81:C93)-IF(B80="Работа с фондом",SUMIF(B81:B93,"      ограничение добычи (ОПЕК)",C81:C93),0)</f>
        <v>26</v>
      </c>
      <c r="D80" s="32" t="n">
        <f aca="false">SUBTOTAL(9,D81:D93)-IF(B80="Работа с фондом",SUMIF(B81:B93,"      ограничение добычи (ОПЕК)",D81:D93),0)</f>
        <v>1049.24</v>
      </c>
      <c r="E80" s="33" t="n">
        <f aca="false">SUBTOTAL(9,E81:E93)-IF(B80="Работа с фондом",SUMIF(B81:B93,"      ограничение добычи (ОПЕК)",E81:E93),0)</f>
        <v>41</v>
      </c>
      <c r="F80" s="34" t="n">
        <f aca="false">SUBTOTAL(9,F81:F93)-IF(B80="Работа с фондом",SUMIF(B81:B93,"      ограничение добычи (ОПЕК)",F81:F93),0)</f>
        <v>6294</v>
      </c>
      <c r="G80" s="35" t="n">
        <f aca="false">SUBTOTAL(9,G81:G93)-IF(B80="Работа с фондом",SUMIF(B81:B93,"      ограничение добычи (ОПЕК)",G81:G93),0)</f>
        <v>1534</v>
      </c>
      <c r="H80" s="32"/>
      <c r="I80" s="34"/>
      <c r="J80" s="35"/>
      <c r="K80" s="32"/>
      <c r="L80" s="32"/>
      <c r="M80" s="33" t="n">
        <f aca="false">SUBTOTAL(9,M81:M93)-IF(B80="Работа с фондом",SUMIF(B81:B93,"      ограничение добычи (ОПЕК)",M81:M93),0)</f>
        <v>9725.753</v>
      </c>
      <c r="N80" s="34" t="n">
        <f aca="false">SUBTOTAL(9,N81:N93)-IF(B80="Работа с фондом",SUMIF(B81:B93,"      ограничение добычи (ОПЕК)",N81:N93),0)</f>
        <v>58449</v>
      </c>
      <c r="O80" s="35" t="n">
        <f aca="false">SUBTOTAL(9,O81:O93)-IF(B80="Работа с фондом",SUMIF(B81:B93,"      ограничение добычи (ОПЕК)",O81:O93),0)</f>
        <v>15726</v>
      </c>
      <c r="P80" s="34"/>
      <c r="Q80" s="35"/>
      <c r="R80" s="32"/>
      <c r="S80" s="32"/>
      <c r="T80" s="36"/>
      <c r="U80" s="3" t="s">
        <v>134</v>
      </c>
      <c r="V80" s="4"/>
      <c r="W80" s="4"/>
      <c r="X80" s="4"/>
    </row>
    <row r="81" customFormat="false" ht="13.5" hidden="false" customHeight="true" outlineLevel="0" collapsed="false">
      <c r="A81" s="37" t="s">
        <v>27</v>
      </c>
      <c r="B81" s="38" t="s">
        <v>28</v>
      </c>
      <c r="C81" s="39" t="n">
        <v>14</v>
      </c>
      <c r="D81" s="39" t="n">
        <v>804</v>
      </c>
      <c r="E81" s="40" t="n">
        <v>18</v>
      </c>
      <c r="F81" s="41" t="n">
        <v>3592</v>
      </c>
      <c r="G81" s="42" t="n">
        <v>1070</v>
      </c>
      <c r="H81" s="39"/>
      <c r="I81" s="41"/>
      <c r="J81" s="42"/>
      <c r="K81" s="39"/>
      <c r="L81" s="39"/>
      <c r="M81" s="40" t="n">
        <v>7574.903</v>
      </c>
      <c r="N81" s="41" t="n">
        <v>34612</v>
      </c>
      <c r="O81" s="42" t="n">
        <v>11460</v>
      </c>
      <c r="P81" s="41"/>
      <c r="Q81" s="42"/>
      <c r="R81" s="39"/>
      <c r="S81" s="39"/>
      <c r="T81" s="44"/>
      <c r="U81" s="3" t="s">
        <v>134</v>
      </c>
      <c r="V81" s="4"/>
      <c r="W81" s="4"/>
      <c r="X81" s="4"/>
    </row>
    <row r="82" customFormat="false" ht="13.5" hidden="false" customHeight="true" outlineLevel="0" collapsed="false">
      <c r="A82" s="37" t="s">
        <v>29</v>
      </c>
      <c r="B82" s="38" t="s">
        <v>30</v>
      </c>
      <c r="C82" s="39"/>
      <c r="D82" s="39"/>
      <c r="E82" s="40"/>
      <c r="F82" s="41"/>
      <c r="G82" s="42"/>
      <c r="H82" s="39"/>
      <c r="I82" s="41"/>
      <c r="J82" s="42"/>
      <c r="K82" s="39"/>
      <c r="L82" s="39"/>
      <c r="M82" s="40"/>
      <c r="N82" s="41"/>
      <c r="O82" s="42"/>
      <c r="P82" s="41"/>
      <c r="Q82" s="42"/>
      <c r="R82" s="39"/>
      <c r="S82" s="39"/>
      <c r="T82" s="44"/>
      <c r="U82" s="3" t="s">
        <v>134</v>
      </c>
      <c r="V82" s="4"/>
      <c r="W82" s="4"/>
      <c r="X82" s="4"/>
    </row>
    <row r="83" customFormat="false" ht="13.5" hidden="false" customHeight="true" outlineLevel="0" collapsed="false">
      <c r="A83" s="37" t="s">
        <v>31</v>
      </c>
      <c r="B83" s="38" t="s">
        <v>32</v>
      </c>
      <c r="C83" s="39"/>
      <c r="D83" s="39"/>
      <c r="E83" s="40"/>
      <c r="F83" s="41"/>
      <c r="G83" s="42"/>
      <c r="H83" s="39"/>
      <c r="I83" s="41"/>
      <c r="J83" s="42"/>
      <c r="K83" s="39"/>
      <c r="L83" s="39"/>
      <c r="M83" s="40"/>
      <c r="N83" s="41"/>
      <c r="O83" s="42"/>
      <c r="P83" s="41"/>
      <c r="Q83" s="42"/>
      <c r="R83" s="39"/>
      <c r="S83" s="39"/>
      <c r="T83" s="44"/>
      <c r="U83" s="3" t="s">
        <v>134</v>
      </c>
      <c r="V83" s="4"/>
      <c r="W83" s="4"/>
      <c r="X83" s="4"/>
    </row>
    <row r="84" customFormat="false" ht="13.5" hidden="false" customHeight="true" outlineLevel="0" collapsed="false">
      <c r="A84" s="37" t="s">
        <v>33</v>
      </c>
      <c r="B84" s="38" t="s">
        <v>34</v>
      </c>
      <c r="C84" s="39"/>
      <c r="D84" s="39"/>
      <c r="E84" s="40"/>
      <c r="F84" s="41"/>
      <c r="G84" s="42"/>
      <c r="H84" s="39"/>
      <c r="I84" s="41"/>
      <c r="J84" s="42"/>
      <c r="K84" s="39"/>
      <c r="L84" s="39"/>
      <c r="M84" s="40"/>
      <c r="N84" s="41"/>
      <c r="O84" s="42"/>
      <c r="P84" s="41"/>
      <c r="Q84" s="42"/>
      <c r="R84" s="39"/>
      <c r="S84" s="39"/>
      <c r="T84" s="44"/>
      <c r="U84" s="3" t="s">
        <v>134</v>
      </c>
      <c r="V84" s="4"/>
      <c r="W84" s="4"/>
      <c r="X84" s="4"/>
    </row>
    <row r="85" customFormat="false" ht="13.5" hidden="false" customHeight="true" outlineLevel="0" collapsed="false">
      <c r="A85" s="37" t="s">
        <v>35</v>
      </c>
      <c r="B85" s="38" t="s">
        <v>36</v>
      </c>
      <c r="C85" s="39" t="n">
        <v>12</v>
      </c>
      <c r="D85" s="39" t="n">
        <v>245.24</v>
      </c>
      <c r="E85" s="40" t="n">
        <v>23</v>
      </c>
      <c r="F85" s="41" t="n">
        <v>2702</v>
      </c>
      <c r="G85" s="42" t="n">
        <v>464</v>
      </c>
      <c r="H85" s="39"/>
      <c r="I85" s="41"/>
      <c r="J85" s="42"/>
      <c r="K85" s="39"/>
      <c r="L85" s="39"/>
      <c r="M85" s="40" t="n">
        <v>2150.85</v>
      </c>
      <c r="N85" s="41" t="n">
        <v>23837</v>
      </c>
      <c r="O85" s="42" t="n">
        <v>4266</v>
      </c>
      <c r="P85" s="41"/>
      <c r="Q85" s="42"/>
      <c r="R85" s="39"/>
      <c r="S85" s="39"/>
      <c r="T85" s="44"/>
      <c r="U85" s="3" t="s">
        <v>134</v>
      </c>
      <c r="V85" s="4"/>
      <c r="W85" s="4"/>
      <c r="X85" s="4"/>
    </row>
    <row r="86" customFormat="false" ht="13.5" hidden="false" customHeight="true" outlineLevel="0" collapsed="false">
      <c r="A86" s="37" t="s">
        <v>37</v>
      </c>
      <c r="B86" s="38" t="s">
        <v>38</v>
      </c>
      <c r="C86" s="39"/>
      <c r="D86" s="39"/>
      <c r="E86" s="40"/>
      <c r="F86" s="41"/>
      <c r="G86" s="42"/>
      <c r="H86" s="39"/>
      <c r="I86" s="41"/>
      <c r="J86" s="42"/>
      <c r="K86" s="39"/>
      <c r="L86" s="39"/>
      <c r="M86" s="40"/>
      <c r="N86" s="41"/>
      <c r="O86" s="42"/>
      <c r="P86" s="41"/>
      <c r="Q86" s="42"/>
      <c r="R86" s="39"/>
      <c r="S86" s="39"/>
      <c r="T86" s="44"/>
      <c r="U86" s="3" t="s">
        <v>134</v>
      </c>
      <c r="V86" s="4"/>
      <c r="W86" s="4"/>
      <c r="X86" s="4"/>
    </row>
    <row r="87" customFormat="false" ht="13.5" hidden="false" customHeight="true" outlineLevel="0" collapsed="false">
      <c r="A87" s="37" t="s">
        <v>39</v>
      </c>
      <c r="B87" s="38" t="s">
        <v>40</v>
      </c>
      <c r="C87" s="39"/>
      <c r="D87" s="39"/>
      <c r="E87" s="40"/>
      <c r="F87" s="41"/>
      <c r="G87" s="42"/>
      <c r="H87" s="39"/>
      <c r="I87" s="41"/>
      <c r="J87" s="42"/>
      <c r="K87" s="39"/>
      <c r="L87" s="39"/>
      <c r="M87" s="40"/>
      <c r="N87" s="41"/>
      <c r="O87" s="42"/>
      <c r="P87" s="41"/>
      <c r="Q87" s="42"/>
      <c r="R87" s="39"/>
      <c r="S87" s="39"/>
      <c r="T87" s="44"/>
      <c r="U87" s="3" t="s">
        <v>134</v>
      </c>
      <c r="V87" s="4"/>
      <c r="W87" s="4"/>
      <c r="X87" s="4"/>
    </row>
    <row r="88" customFormat="false" ht="13.5" hidden="false" customHeight="true" outlineLevel="0" collapsed="false">
      <c r="A88" s="37" t="s">
        <v>41</v>
      </c>
      <c r="B88" s="38" t="s">
        <v>42</v>
      </c>
      <c r="C88" s="39"/>
      <c r="D88" s="39"/>
      <c r="E88" s="40"/>
      <c r="F88" s="41"/>
      <c r="G88" s="42"/>
      <c r="H88" s="39"/>
      <c r="I88" s="41"/>
      <c r="J88" s="42"/>
      <c r="K88" s="39"/>
      <c r="L88" s="39"/>
      <c r="M88" s="40"/>
      <c r="N88" s="41"/>
      <c r="O88" s="42"/>
      <c r="P88" s="41"/>
      <c r="Q88" s="42"/>
      <c r="R88" s="39"/>
      <c r="S88" s="39"/>
      <c r="T88" s="44"/>
      <c r="U88" s="3" t="s">
        <v>134</v>
      </c>
      <c r="V88" s="4"/>
      <c r="W88" s="4"/>
      <c r="X88" s="4"/>
    </row>
    <row r="89" customFormat="false" ht="13.5" hidden="false" customHeight="true" outlineLevel="0" collapsed="false">
      <c r="A89" s="37" t="s">
        <v>43</v>
      </c>
      <c r="B89" s="38" t="s">
        <v>44</v>
      </c>
      <c r="C89" s="39"/>
      <c r="D89" s="39" t="n">
        <v>0</v>
      </c>
      <c r="E89" s="40"/>
      <c r="F89" s="41"/>
      <c r="G89" s="42"/>
      <c r="H89" s="39"/>
      <c r="I89" s="41"/>
      <c r="J89" s="42"/>
      <c r="K89" s="39"/>
      <c r="L89" s="39"/>
      <c r="M89" s="40"/>
      <c r="N89" s="41"/>
      <c r="O89" s="42"/>
      <c r="P89" s="41"/>
      <c r="Q89" s="42"/>
      <c r="R89" s="39"/>
      <c r="S89" s="39"/>
      <c r="T89" s="44"/>
      <c r="U89" s="3" t="s">
        <v>134</v>
      </c>
      <c r="V89" s="4"/>
      <c r="W89" s="4"/>
      <c r="X89" s="4"/>
    </row>
    <row r="90" customFormat="false" ht="13.5" hidden="false" customHeight="true" outlineLevel="0" collapsed="false">
      <c r="A90" s="37" t="s">
        <v>45</v>
      </c>
      <c r="B90" s="38" t="s">
        <v>46</v>
      </c>
      <c r="C90" s="39"/>
      <c r="D90" s="39"/>
      <c r="E90" s="40"/>
      <c r="F90" s="41"/>
      <c r="G90" s="42"/>
      <c r="H90" s="39"/>
      <c r="I90" s="41"/>
      <c r="J90" s="42"/>
      <c r="K90" s="39"/>
      <c r="L90" s="39"/>
      <c r="M90" s="40"/>
      <c r="N90" s="41"/>
      <c r="O90" s="42"/>
      <c r="P90" s="41"/>
      <c r="Q90" s="42"/>
      <c r="R90" s="39"/>
      <c r="S90" s="39"/>
      <c r="T90" s="44"/>
      <c r="U90" s="3" t="s">
        <v>134</v>
      </c>
      <c r="V90" s="4"/>
      <c r="W90" s="4"/>
      <c r="X90" s="4"/>
    </row>
    <row r="91" customFormat="false" ht="13.5" hidden="false" customHeight="true" outlineLevel="0" collapsed="false">
      <c r="A91" s="37" t="s">
        <v>47</v>
      </c>
      <c r="B91" s="38" t="s">
        <v>48</v>
      </c>
      <c r="C91" s="39"/>
      <c r="D91" s="39"/>
      <c r="E91" s="40"/>
      <c r="F91" s="41"/>
      <c r="G91" s="42"/>
      <c r="H91" s="39"/>
      <c r="I91" s="41"/>
      <c r="J91" s="42"/>
      <c r="K91" s="39"/>
      <c r="L91" s="39"/>
      <c r="M91" s="40"/>
      <c r="N91" s="41"/>
      <c r="O91" s="42"/>
      <c r="P91" s="41"/>
      <c r="Q91" s="42"/>
      <c r="R91" s="39"/>
      <c r="S91" s="39"/>
      <c r="T91" s="44"/>
      <c r="U91" s="3" t="s">
        <v>134</v>
      </c>
      <c r="V91" s="4"/>
      <c r="W91" s="4"/>
      <c r="X91" s="4"/>
    </row>
    <row r="92" customFormat="false" ht="13.5" hidden="false" customHeight="true" outlineLevel="0" collapsed="false">
      <c r="A92" s="37" t="s">
        <v>49</v>
      </c>
      <c r="B92" s="38" t="s">
        <v>50</v>
      </c>
      <c r="C92" s="39"/>
      <c r="D92" s="39"/>
      <c r="E92" s="40"/>
      <c r="F92" s="41"/>
      <c r="G92" s="42"/>
      <c r="H92" s="39"/>
      <c r="I92" s="41"/>
      <c r="J92" s="42"/>
      <c r="K92" s="39"/>
      <c r="L92" s="39"/>
      <c r="M92" s="40"/>
      <c r="N92" s="41"/>
      <c r="O92" s="42"/>
      <c r="P92" s="41"/>
      <c r="Q92" s="42"/>
      <c r="R92" s="39"/>
      <c r="S92" s="39"/>
      <c r="T92" s="44"/>
      <c r="U92" s="3" t="s">
        <v>134</v>
      </c>
      <c r="V92" s="4"/>
      <c r="W92" s="4"/>
      <c r="X92" s="4"/>
    </row>
    <row r="93" customFormat="false" ht="13.5" hidden="false" customHeight="true" outlineLevel="0" collapsed="false">
      <c r="A93" s="37" t="s">
        <v>51</v>
      </c>
      <c r="B93" s="38" t="s">
        <v>52</v>
      </c>
      <c r="C93" s="39"/>
      <c r="D93" s="39"/>
      <c r="E93" s="40"/>
      <c r="F93" s="41"/>
      <c r="G93" s="42"/>
      <c r="H93" s="39"/>
      <c r="I93" s="41"/>
      <c r="J93" s="42"/>
      <c r="K93" s="39"/>
      <c r="L93" s="39"/>
      <c r="M93" s="40"/>
      <c r="N93" s="41"/>
      <c r="O93" s="42"/>
      <c r="P93" s="41"/>
      <c r="Q93" s="42"/>
      <c r="R93" s="39"/>
      <c r="S93" s="39"/>
      <c r="T93" s="44"/>
      <c r="U93" s="3" t="s">
        <v>134</v>
      </c>
      <c r="V93" s="4"/>
      <c r="W93" s="4"/>
      <c r="X93" s="4"/>
    </row>
    <row r="94" customFormat="false" ht="15" hidden="false" customHeight="true" outlineLevel="0" collapsed="false">
      <c r="A94" s="30" t="s">
        <v>53</v>
      </c>
      <c r="B94" s="31" t="s">
        <v>54</v>
      </c>
      <c r="C94" s="32" t="n">
        <f aca="false">SUBTOTAL(9,C95:C99)-IF(B94="Работа с фондом",SUMIF(B95:B99,"      ограничение добычи (ОПЕК)",C95:C99),0)</f>
        <v>0</v>
      </c>
      <c r="D94" s="32" t="n">
        <f aca="false">SUBTOTAL(9,D95:D99)-IF(B94="Работа с фондом",SUMIF(B95:B99,"      ограничение добычи (ОПЕК)",D95:D99),0)</f>
        <v>0</v>
      </c>
      <c r="E94" s="33" t="n">
        <f aca="false">SUBTOTAL(9,E95:E99)-IF(B94="Работа с фондом",SUMIF(B95:B99,"      ограничение добычи (ОПЕК)",E95:E99),0)</f>
        <v>52</v>
      </c>
      <c r="F94" s="34" t="n">
        <f aca="false">SUBTOTAL(9,F95:F99)-IF(B94="Работа с фондом",SUMIF(B95:B99,"      ограничение добычи (ОПЕК)",F95:F99),0)</f>
        <v>3104</v>
      </c>
      <c r="G94" s="35" t="n">
        <f aca="false">SUBTOTAL(9,G95:G99)-IF(B94="Работа с фондом",SUMIF(B95:B99,"      ограничение добычи (ОПЕК)",G95:G99),0)</f>
        <v>488.1</v>
      </c>
      <c r="H94" s="32"/>
      <c r="I94" s="34"/>
      <c r="J94" s="35"/>
      <c r="K94" s="32"/>
      <c r="L94" s="32"/>
      <c r="M94" s="33" t="n">
        <f aca="false">SUBTOTAL(9,M95:M99)-IF(B94="Работа с фондом",SUMIF(B95:B99,"      ограничение добычи (ОПЕК)",M95:M99),0)</f>
        <v>0</v>
      </c>
      <c r="N94" s="34" t="n">
        <f aca="false">SUBTOTAL(9,N95:N99)-IF(B94="Работа с фондом",SUMIF(B95:B99,"      ограничение добычи (ОПЕК)",N95:N99),0)</f>
        <v>49798</v>
      </c>
      <c r="O94" s="35" t="n">
        <f aca="false">SUBTOTAL(9,O95:O99)-IF(B94="Работа с фондом",SUMIF(B95:B99,"      ограничение добычи (ОПЕК)",O95:O99),0)</f>
        <v>8876.4</v>
      </c>
      <c r="P94" s="34"/>
      <c r="Q94" s="35"/>
      <c r="R94" s="32"/>
      <c r="S94" s="32"/>
      <c r="T94" s="36"/>
      <c r="U94" s="3" t="s">
        <v>134</v>
      </c>
      <c r="V94" s="4"/>
      <c r="W94" s="4"/>
      <c r="X94" s="4"/>
    </row>
    <row r="95" customFormat="false" ht="13.5" hidden="false" customHeight="true" outlineLevel="0" collapsed="false">
      <c r="A95" s="37" t="s">
        <v>55</v>
      </c>
      <c r="B95" s="38" t="s">
        <v>56</v>
      </c>
      <c r="C95" s="39"/>
      <c r="D95" s="39"/>
      <c r="E95" s="40" t="n">
        <v>4</v>
      </c>
      <c r="F95" s="41" t="n">
        <v>734</v>
      </c>
      <c r="G95" s="42" t="n">
        <v>31.1</v>
      </c>
      <c r="H95" s="39"/>
      <c r="I95" s="41"/>
      <c r="J95" s="42"/>
      <c r="K95" s="39"/>
      <c r="L95" s="39"/>
      <c r="M95" s="40"/>
      <c r="N95" s="41" t="n">
        <v>13977</v>
      </c>
      <c r="O95" s="42" t="n">
        <v>512.4</v>
      </c>
      <c r="P95" s="41"/>
      <c r="Q95" s="42"/>
      <c r="R95" s="39"/>
      <c r="S95" s="39"/>
      <c r="T95" s="44"/>
      <c r="U95" s="3" t="s">
        <v>134</v>
      </c>
      <c r="V95" s="4"/>
      <c r="W95" s="4"/>
      <c r="X95" s="4"/>
    </row>
    <row r="96" customFormat="false" ht="13.5" hidden="false" customHeight="true" outlineLevel="0" collapsed="false">
      <c r="A96" s="37" t="s">
        <v>57</v>
      </c>
      <c r="B96" s="38" t="s">
        <v>58</v>
      </c>
      <c r="C96" s="39"/>
      <c r="D96" s="39"/>
      <c r="E96" s="40"/>
      <c r="F96" s="41"/>
      <c r="G96" s="42"/>
      <c r="H96" s="39"/>
      <c r="I96" s="41"/>
      <c r="J96" s="42"/>
      <c r="K96" s="39"/>
      <c r="L96" s="39"/>
      <c r="M96" s="40"/>
      <c r="N96" s="41"/>
      <c r="O96" s="42"/>
      <c r="P96" s="41"/>
      <c r="Q96" s="42"/>
      <c r="R96" s="39"/>
      <c r="S96" s="39"/>
      <c r="T96" s="44"/>
      <c r="U96" s="3" t="s">
        <v>134</v>
      </c>
      <c r="V96" s="4"/>
      <c r="W96" s="4"/>
      <c r="X96" s="4"/>
    </row>
    <row r="97" customFormat="false" ht="13.5" hidden="false" customHeight="true" outlineLevel="0" collapsed="false">
      <c r="A97" s="37" t="s">
        <v>59</v>
      </c>
      <c r="B97" s="38" t="s">
        <v>60</v>
      </c>
      <c r="C97" s="39"/>
      <c r="D97" s="39"/>
      <c r="E97" s="40" t="n">
        <v>7</v>
      </c>
      <c r="F97" s="41" t="n">
        <v>0</v>
      </c>
      <c r="G97" s="42" t="n">
        <v>255</v>
      </c>
      <c r="H97" s="39"/>
      <c r="I97" s="41"/>
      <c r="J97" s="42"/>
      <c r="K97" s="39"/>
      <c r="L97" s="39"/>
      <c r="M97" s="40"/>
      <c r="N97" s="41" t="n">
        <v>0</v>
      </c>
      <c r="O97" s="42" t="n">
        <v>5575</v>
      </c>
      <c r="P97" s="41"/>
      <c r="Q97" s="42"/>
      <c r="R97" s="39"/>
      <c r="S97" s="39"/>
      <c r="T97" s="44"/>
      <c r="U97" s="3" t="s">
        <v>134</v>
      </c>
      <c r="V97" s="4"/>
      <c r="W97" s="4"/>
      <c r="X97" s="4"/>
    </row>
    <row r="98" customFormat="false" ht="13.5" hidden="false" customHeight="true" outlineLevel="0" collapsed="false">
      <c r="A98" s="37" t="s">
        <v>61</v>
      </c>
      <c r="B98" s="38" t="s">
        <v>62</v>
      </c>
      <c r="C98" s="39"/>
      <c r="D98" s="39"/>
      <c r="E98" s="40" t="n">
        <v>41</v>
      </c>
      <c r="F98" s="41" t="n">
        <v>2370</v>
      </c>
      <c r="G98" s="42" t="n">
        <v>202</v>
      </c>
      <c r="H98" s="39"/>
      <c r="I98" s="41"/>
      <c r="J98" s="42"/>
      <c r="K98" s="39"/>
      <c r="L98" s="39"/>
      <c r="M98" s="40"/>
      <c r="N98" s="41" t="n">
        <v>35821</v>
      </c>
      <c r="O98" s="42" t="n">
        <v>2789</v>
      </c>
      <c r="P98" s="41"/>
      <c r="Q98" s="42"/>
      <c r="R98" s="39"/>
      <c r="S98" s="39"/>
      <c r="T98" s="44"/>
      <c r="U98" s="3" t="s">
        <v>134</v>
      </c>
      <c r="V98" s="4"/>
      <c r="W98" s="4"/>
      <c r="X98" s="4"/>
    </row>
    <row r="99" customFormat="false" ht="13.5" hidden="false" customHeight="true" outlineLevel="0" collapsed="false">
      <c r="A99" s="37"/>
      <c r="B99" s="38" t="s">
        <v>63</v>
      </c>
      <c r="C99" s="39"/>
      <c r="D99" s="39"/>
      <c r="E99" s="40"/>
      <c r="F99" s="41"/>
      <c r="G99" s="42"/>
      <c r="H99" s="39"/>
      <c r="I99" s="41"/>
      <c r="J99" s="42"/>
      <c r="K99" s="39"/>
      <c r="L99" s="39"/>
      <c r="M99" s="40"/>
      <c r="N99" s="41"/>
      <c r="O99" s="42"/>
      <c r="P99" s="41"/>
      <c r="Q99" s="42"/>
      <c r="R99" s="39"/>
      <c r="S99" s="39"/>
      <c r="T99" s="44"/>
      <c r="U99" s="3" t="s">
        <v>134</v>
      </c>
      <c r="V99" s="4"/>
      <c r="W99" s="4"/>
      <c r="X99" s="4"/>
    </row>
    <row r="100" customFormat="false" ht="15" hidden="false" customHeight="true" outlineLevel="0" collapsed="false">
      <c r="A100" s="46" t="s">
        <v>64</v>
      </c>
      <c r="B100" s="47" t="s">
        <v>65</v>
      </c>
      <c r="C100" s="48"/>
      <c r="D100" s="48"/>
      <c r="E100" s="49" t="n">
        <v>0</v>
      </c>
      <c r="F100" s="50" t="n">
        <v>0</v>
      </c>
      <c r="G100" s="51" t="n">
        <v>0</v>
      </c>
      <c r="H100" s="48"/>
      <c r="I100" s="50"/>
      <c r="J100" s="51"/>
      <c r="K100" s="52"/>
      <c r="L100" s="48"/>
      <c r="M100" s="49"/>
      <c r="N100" s="50" t="n">
        <v>0</v>
      </c>
      <c r="O100" s="51" t="n">
        <v>0</v>
      </c>
      <c r="P100" s="50"/>
      <c r="Q100" s="51"/>
      <c r="R100" s="48"/>
      <c r="S100" s="48"/>
      <c r="T100" s="54"/>
      <c r="U100" s="3" t="s">
        <v>134</v>
      </c>
      <c r="V100" s="4"/>
      <c r="W100" s="4"/>
      <c r="X100" s="4"/>
    </row>
    <row r="101" customFormat="false" ht="13.5" hidden="false" customHeight="true" outlineLevel="0" collapsed="false">
      <c r="A101" s="46" t="s">
        <v>66</v>
      </c>
      <c r="B101" s="47" t="s">
        <v>67</v>
      </c>
      <c r="C101" s="55"/>
      <c r="D101" s="55"/>
      <c r="E101" s="56"/>
      <c r="F101" s="55"/>
      <c r="G101" s="55"/>
      <c r="H101" s="55"/>
      <c r="I101" s="55"/>
      <c r="J101" s="55"/>
      <c r="K101" s="55"/>
      <c r="L101" s="55"/>
      <c r="M101" s="56"/>
      <c r="N101" s="34" t="n">
        <v>0</v>
      </c>
      <c r="O101" s="35" t="n">
        <v>3808.8</v>
      </c>
      <c r="P101" s="34"/>
      <c r="Q101" s="35"/>
      <c r="R101" s="32"/>
      <c r="S101" s="32"/>
      <c r="T101" s="36"/>
      <c r="U101" s="3" t="s">
        <v>134</v>
      </c>
      <c r="V101" s="4"/>
      <c r="W101" s="4"/>
      <c r="X101" s="4"/>
    </row>
    <row r="102" customFormat="false" ht="13.5" hidden="false" customHeight="true" outlineLevel="0" collapsed="false">
      <c r="A102" s="57"/>
      <c r="B102" s="58"/>
      <c r="C102" s="59"/>
      <c r="D102" s="59"/>
      <c r="E102" s="60"/>
      <c r="F102" s="61"/>
      <c r="G102" s="61"/>
      <c r="H102" s="61"/>
      <c r="I102" s="61"/>
      <c r="J102" s="61"/>
      <c r="K102" s="61"/>
      <c r="L102" s="61"/>
      <c r="M102" s="60"/>
      <c r="N102" s="61"/>
      <c r="O102" s="61"/>
      <c r="P102" s="61"/>
      <c r="Q102" s="61"/>
      <c r="R102" s="61"/>
      <c r="S102" s="61"/>
      <c r="T102" s="60"/>
      <c r="U102" s="6"/>
      <c r="V102" s="4"/>
      <c r="W102" s="4"/>
      <c r="X102" s="4"/>
    </row>
    <row r="103" customFormat="false" ht="13.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4"/>
      <c r="W103" s="4"/>
      <c r="X103" s="4"/>
    </row>
    <row r="104" customFormat="false" ht="15" hidden="false" customHeight="true" outlineLevel="0" collapsed="false">
      <c r="A104" s="62" t="n">
        <v>3</v>
      </c>
      <c r="B104" s="63" t="s">
        <v>68</v>
      </c>
      <c r="C104" s="64"/>
      <c r="D104" s="64"/>
      <c r="E104" s="65" t="n">
        <f aca="false">SUMIF(B105:B130,"Падение по базовому фонду, ГТМ",E105:E130)+SUMIF(B105:B130,"От технологических причин, в т.ч:",E105:E130)</f>
        <v>41</v>
      </c>
      <c r="F104" s="66" t="n">
        <f aca="false">SUMIF(B105:B130,"Падение по базовому фонду, ГТМ",F105:F130)+SUMIF(B105:B130,"От технологических причин, в т.ч:",F105:F130)</f>
        <v>2309.948</v>
      </c>
      <c r="G104" s="67" t="n">
        <f aca="false">SUMIF(B105:B130,"Падение по базовому фонду, ГТМ",G105:G130)+SUMIF(B105:B130,"От технологических причин, в т.ч:",G105:G130)</f>
        <v>1868.397</v>
      </c>
      <c r="H104" s="68"/>
      <c r="I104" s="66"/>
      <c r="J104" s="67"/>
      <c r="K104" s="64"/>
      <c r="L104" s="68"/>
      <c r="M104" s="70" t="n">
        <v>3348.163</v>
      </c>
      <c r="N104" s="66" t="n">
        <f aca="false">SUMIF(B105:B132,"Падение по базовому фонду, ГТМ",N105:N132)+SUMIF(B105:B132,"От технологических причин, в т.ч:",N105:N132)</f>
        <v>85089.336</v>
      </c>
      <c r="O104" s="67" t="n">
        <f aca="false">SUMIF(B105:B132,"Падение по базовому фонду, ГТМ",O105:O132)+SUMIF(B105:B132,"От технологических причин, в т.ч:",O105:O132)</f>
        <v>35545.315</v>
      </c>
      <c r="P104" s="66"/>
      <c r="Q104" s="67"/>
      <c r="R104" s="68"/>
      <c r="S104" s="68"/>
      <c r="T104" s="71"/>
      <c r="U104" s="3" t="s">
        <v>134</v>
      </c>
      <c r="V104" s="4"/>
      <c r="W104" s="4"/>
      <c r="X104" s="4"/>
    </row>
    <row r="105" customFormat="false" ht="15" hidden="false" customHeight="true" outlineLevel="0" collapsed="false">
      <c r="A105" s="30" t="s">
        <v>69</v>
      </c>
      <c r="B105" s="31" t="s">
        <v>70</v>
      </c>
      <c r="C105" s="55"/>
      <c r="D105" s="55"/>
      <c r="E105" s="56"/>
      <c r="F105" s="34" t="n">
        <f aca="false">SUBTOTAL(9,F106:F113)</f>
        <v>0</v>
      </c>
      <c r="G105" s="35" t="n">
        <f aca="false">SUBTOTAL(9,G106:G113)</f>
        <v>1550</v>
      </c>
      <c r="H105" s="55"/>
      <c r="I105" s="34"/>
      <c r="J105" s="35"/>
      <c r="K105" s="55"/>
      <c r="L105" s="32"/>
      <c r="M105" s="56" t="n">
        <v>0</v>
      </c>
      <c r="N105" s="34" t="n">
        <f aca="false">SUBTOTAL(9,N106:N113)</f>
        <v>0</v>
      </c>
      <c r="O105" s="35" t="n">
        <f aca="false">SUBTOTAL(9,O106:O113)</f>
        <v>24800</v>
      </c>
      <c r="P105" s="34"/>
      <c r="Q105" s="35"/>
      <c r="R105" s="32"/>
      <c r="S105" s="32"/>
      <c r="T105" s="36"/>
      <c r="U105" s="3" t="s">
        <v>134</v>
      </c>
      <c r="V105" s="4"/>
      <c r="W105" s="4"/>
      <c r="X105" s="4"/>
    </row>
    <row r="106" customFormat="false" ht="15" hidden="false" customHeight="true" outlineLevel="0" collapsed="false">
      <c r="A106" s="37" t="s">
        <v>71</v>
      </c>
      <c r="B106" s="38" t="s">
        <v>72</v>
      </c>
      <c r="C106" s="72"/>
      <c r="D106" s="72"/>
      <c r="E106" s="73"/>
      <c r="F106" s="74" t="n">
        <f aca="false">SUBTOTAL(9,F107:F108)</f>
        <v>0</v>
      </c>
      <c r="G106" s="75" t="n">
        <f aca="false">SUBTOTAL(9,G107:G108)</f>
        <v>1550</v>
      </c>
      <c r="H106" s="76"/>
      <c r="I106" s="74"/>
      <c r="J106" s="75"/>
      <c r="K106" s="76"/>
      <c r="L106" s="77"/>
      <c r="M106" s="73" t="n">
        <v>0</v>
      </c>
      <c r="N106" s="74" t="n">
        <f aca="false">SUBTOTAL(9,N107:N108)</f>
        <v>0</v>
      </c>
      <c r="O106" s="75" t="n">
        <f aca="false">SUBTOTAL(9,O107:O108)</f>
        <v>24800</v>
      </c>
      <c r="P106" s="74"/>
      <c r="Q106" s="75"/>
      <c r="R106" s="77"/>
      <c r="S106" s="77"/>
      <c r="T106" s="78"/>
      <c r="U106" s="3" t="s">
        <v>134</v>
      </c>
      <c r="V106" s="4"/>
      <c r="W106" s="4"/>
      <c r="X106" s="4"/>
    </row>
    <row r="107" customFormat="false" ht="15" hidden="false" customHeight="true" outlineLevel="0" collapsed="false">
      <c r="A107" s="37" t="s">
        <v>73</v>
      </c>
      <c r="B107" s="79" t="s">
        <v>74</v>
      </c>
      <c r="C107" s="72"/>
      <c r="D107" s="72"/>
      <c r="E107" s="80" t="s">
        <v>135</v>
      </c>
      <c r="F107" s="41" t="n">
        <v>0</v>
      </c>
      <c r="G107" s="42" t="n">
        <v>1550</v>
      </c>
      <c r="H107" s="81"/>
      <c r="I107" s="41"/>
      <c r="J107" s="42"/>
      <c r="K107" s="72"/>
      <c r="L107" s="39"/>
      <c r="M107" s="82"/>
      <c r="N107" s="41" t="n">
        <v>0</v>
      </c>
      <c r="O107" s="42" t="n">
        <v>24800</v>
      </c>
      <c r="P107" s="41"/>
      <c r="Q107" s="42"/>
      <c r="R107" s="39"/>
      <c r="S107" s="39"/>
      <c r="T107" s="44"/>
      <c r="U107" s="3" t="s">
        <v>134</v>
      </c>
      <c r="V107" s="4"/>
      <c r="W107" s="4"/>
      <c r="X107" s="4"/>
    </row>
    <row r="108" customFormat="false" ht="15" hidden="false" customHeight="true" outlineLevel="0" collapsed="false">
      <c r="A108" s="37" t="s">
        <v>76</v>
      </c>
      <c r="B108" s="79" t="s">
        <v>77</v>
      </c>
      <c r="C108" s="72"/>
      <c r="D108" s="72"/>
      <c r="E108" s="80" t="s">
        <v>136</v>
      </c>
      <c r="F108" s="41" t="n">
        <v>0</v>
      </c>
      <c r="G108" s="42" t="n">
        <v>0</v>
      </c>
      <c r="H108" s="81"/>
      <c r="I108" s="41"/>
      <c r="J108" s="42"/>
      <c r="K108" s="72"/>
      <c r="L108" s="39"/>
      <c r="M108" s="82"/>
      <c r="N108" s="41" t="n">
        <v>0</v>
      </c>
      <c r="O108" s="42" t="n">
        <v>0</v>
      </c>
      <c r="P108" s="41"/>
      <c r="Q108" s="42"/>
      <c r="R108" s="39"/>
      <c r="S108" s="39"/>
      <c r="T108" s="44"/>
      <c r="U108" s="3" t="s">
        <v>134</v>
      </c>
      <c r="V108" s="4"/>
      <c r="W108" s="4"/>
      <c r="X108" s="4"/>
    </row>
    <row r="109" customFormat="false" ht="15" hidden="false" customHeight="true" outlineLevel="0" collapsed="false">
      <c r="A109" s="37" t="s">
        <v>79</v>
      </c>
      <c r="B109" s="38" t="s">
        <v>80</v>
      </c>
      <c r="C109" s="72"/>
      <c r="D109" s="72"/>
      <c r="E109" s="73"/>
      <c r="F109" s="74" t="n">
        <f aca="false">SUBTOTAL(9,F110:F111)</f>
        <v>0</v>
      </c>
      <c r="G109" s="75" t="n">
        <f aca="false">SUBTOTAL(9,G110:G111)</f>
        <v>0</v>
      </c>
      <c r="H109" s="76"/>
      <c r="I109" s="74"/>
      <c r="J109" s="75"/>
      <c r="K109" s="76"/>
      <c r="L109" s="77"/>
      <c r="M109" s="73" t="n">
        <v>0</v>
      </c>
      <c r="N109" s="74" t="n">
        <f aca="false">SUBTOTAL(9,N110:N111)</f>
        <v>0</v>
      </c>
      <c r="O109" s="75" t="n">
        <f aca="false">SUBTOTAL(9,O110:O111)</f>
        <v>0</v>
      </c>
      <c r="P109" s="74"/>
      <c r="Q109" s="75"/>
      <c r="R109" s="77"/>
      <c r="S109" s="77"/>
      <c r="T109" s="78"/>
      <c r="U109" s="3" t="s">
        <v>134</v>
      </c>
      <c r="V109" s="4"/>
      <c r="W109" s="4"/>
      <c r="X109" s="4"/>
    </row>
    <row r="110" customFormat="false" ht="15" hidden="false" customHeight="true" outlineLevel="0" collapsed="false">
      <c r="A110" s="37" t="s">
        <v>81</v>
      </c>
      <c r="B110" s="79" t="s">
        <v>82</v>
      </c>
      <c r="C110" s="72"/>
      <c r="D110" s="72"/>
      <c r="E110" s="82"/>
      <c r="F110" s="41"/>
      <c r="G110" s="42"/>
      <c r="H110" s="72"/>
      <c r="I110" s="41"/>
      <c r="J110" s="42"/>
      <c r="K110" s="72"/>
      <c r="L110" s="39"/>
      <c r="M110" s="82"/>
      <c r="N110" s="41"/>
      <c r="O110" s="42"/>
      <c r="P110" s="41"/>
      <c r="Q110" s="42"/>
      <c r="R110" s="39"/>
      <c r="S110" s="39"/>
      <c r="T110" s="44"/>
      <c r="U110" s="3" t="s">
        <v>134</v>
      </c>
      <c r="V110" s="4"/>
      <c r="W110" s="4"/>
      <c r="X110" s="4"/>
    </row>
    <row r="111" customFormat="false" ht="15" hidden="false" customHeight="true" outlineLevel="0" collapsed="false">
      <c r="A111" s="37" t="s">
        <v>83</v>
      </c>
      <c r="B111" s="79" t="s">
        <v>84</v>
      </c>
      <c r="C111" s="72"/>
      <c r="D111" s="72"/>
      <c r="E111" s="82"/>
      <c r="F111" s="41"/>
      <c r="G111" s="42"/>
      <c r="H111" s="72"/>
      <c r="I111" s="41"/>
      <c r="J111" s="42"/>
      <c r="K111" s="72"/>
      <c r="L111" s="39"/>
      <c r="M111" s="82"/>
      <c r="N111" s="41"/>
      <c r="O111" s="42"/>
      <c r="P111" s="41"/>
      <c r="Q111" s="42"/>
      <c r="R111" s="39"/>
      <c r="S111" s="39"/>
      <c r="T111" s="44"/>
      <c r="U111" s="3" t="s">
        <v>134</v>
      </c>
      <c r="V111" s="4"/>
      <c r="W111" s="4"/>
      <c r="X111" s="4"/>
    </row>
    <row r="112" customFormat="false" ht="15" hidden="false" customHeight="true" outlineLevel="0" collapsed="false">
      <c r="A112" s="37" t="s">
        <v>85</v>
      </c>
      <c r="B112" s="38" t="s">
        <v>86</v>
      </c>
      <c r="C112" s="72"/>
      <c r="D112" s="72"/>
      <c r="E112" s="73"/>
      <c r="F112" s="74" t="n">
        <f aca="false">SUBTOTAL(9,F113:F113)</f>
        <v>0</v>
      </c>
      <c r="G112" s="75" t="n">
        <f aca="false">SUBTOTAL(9,G113:G113)</f>
        <v>0</v>
      </c>
      <c r="H112" s="76"/>
      <c r="I112" s="74"/>
      <c r="J112" s="75"/>
      <c r="K112" s="76"/>
      <c r="L112" s="77"/>
      <c r="M112" s="73" t="n">
        <v>0</v>
      </c>
      <c r="N112" s="74" t="n">
        <f aca="false">SUBTOTAL(9,N113:N113)</f>
        <v>0</v>
      </c>
      <c r="O112" s="75" t="n">
        <f aca="false">SUBTOTAL(9,O113:O113)</f>
        <v>0</v>
      </c>
      <c r="P112" s="74"/>
      <c r="Q112" s="75"/>
      <c r="R112" s="77"/>
      <c r="S112" s="77"/>
      <c r="T112" s="78"/>
      <c r="U112" s="3" t="s">
        <v>134</v>
      </c>
      <c r="V112" s="4"/>
      <c r="W112" s="4"/>
      <c r="X112" s="4"/>
    </row>
    <row r="113" customFormat="false" ht="15" hidden="false" customHeight="true" outlineLevel="0" collapsed="false">
      <c r="A113" s="37" t="s">
        <v>87</v>
      </c>
      <c r="B113" s="79" t="s">
        <v>88</v>
      </c>
      <c r="C113" s="72"/>
      <c r="D113" s="72"/>
      <c r="E113" s="82"/>
      <c r="F113" s="41"/>
      <c r="G113" s="42"/>
      <c r="H113" s="72"/>
      <c r="I113" s="41"/>
      <c r="J113" s="42"/>
      <c r="K113" s="72"/>
      <c r="L113" s="39"/>
      <c r="M113" s="82"/>
      <c r="N113" s="41"/>
      <c r="O113" s="42"/>
      <c r="P113" s="41"/>
      <c r="Q113" s="42"/>
      <c r="R113" s="39"/>
      <c r="S113" s="39"/>
      <c r="T113" s="44"/>
      <c r="U113" s="3" t="s">
        <v>134</v>
      </c>
      <c r="V113" s="4"/>
      <c r="W113" s="4"/>
      <c r="X113" s="4"/>
    </row>
    <row r="114" customFormat="false" ht="15" hidden="false" customHeight="true" outlineLevel="0" collapsed="false">
      <c r="A114" s="84" t="s">
        <v>89</v>
      </c>
      <c r="B114" s="85" t="s">
        <v>90</v>
      </c>
      <c r="C114" s="55"/>
      <c r="D114" s="55"/>
      <c r="E114" s="33" t="n">
        <f aca="false">SUMIF(B115:B130,"Рост потенциала простоя",E115:E130)+SUMIF(B115:B130,"Остановка по распоряжению, в т.ч.:",E115:E130)+SUMIF(B115:B130,"Остановка нерентабельного фонда",E115:E130)+SUMIF(B115:B130,"Остановка для перевода в ППД",E115:E130)+SUMIF(B115:B130,"Прочие потери",E115:E130)+SUMIF(B115:B130,"Потери нефти по ОТМ",E115:E130)+SUMIF(B115:B130,"Ост. дебит от ЗБС, Углуб., ПВЛГ/ПНЛГ",E115:E130)</f>
        <v>41</v>
      </c>
      <c r="F114" s="34" t="n">
        <f aca="false">SUMIF(B115:B130,"Рост потенциала простоя",F115:F130)+SUMIF(B115:B130,"Остановка по распоряжению, в т.ч.:",F115:F130)+SUMIF(B115:B130,"Остановка нерентабельного фонда",F115:F130)+SUMIF(B115:B130,"Остановка для перевода в ППД",F115:F130)+SUMIF(B115:B130,"Прочие потери",F115:F130)+SUMIF(B115:B130,"Потери нефти по ОТМ",F115:F130)+SUMIF(B115:B130,"Ост. дебит от ЗБС, Углуб., ПВЛГ/ПНЛГ",F115:F130)</f>
        <v>2309.948</v>
      </c>
      <c r="G114" s="35" t="n">
        <f aca="false">SUMIF(B115:B130,"Рост потенциала простоя",G115:G130)+SUMIF(B115:B130,"Остановка по распоряжению, в т.ч.:",G115:G130)+SUMIF(B115:B130,"Остановка нерентабельного фонда",G115:G130)+SUMIF(B115:B130,"Остановка для перевода в ППД",G115:G130)+SUMIF(B115:B130,"Прочие потери",G115:G130)+SUMIF(B115:B130,"Потери нефти по ОТМ",G115:G130)+SUMIF(B115:B130,"Ост. дебит от ЗБС, Углуб., ПВЛГ/ПНЛГ",G115:G130)</f>
        <v>318.397</v>
      </c>
      <c r="H114" s="32"/>
      <c r="I114" s="34"/>
      <c r="J114" s="35"/>
      <c r="K114" s="55"/>
      <c r="L114" s="32"/>
      <c r="M114" s="56" t="n">
        <v>3348.163</v>
      </c>
      <c r="N114" s="34" t="n">
        <f aca="false">SUMIF(B115:B132,"Рост потенциала простоя",N115:N132)+SUMIF(B115:B132,"Остановка по распоряжению, в т.ч.:",N115:N132)+SUMIF(B115:B132,"Остановка нерентабельного фонда",N115:N132)+SUMIF(B115:B132,"Остановка для перевода в ППД",N115:N132)+SUMIF(B115:B132,"Прочие потери",N115:N132)+SUMIF(B115:B132,"Потери нефти по ОТМ",N115:N132)+SUMIF(B115:B132,"Ост. дебит от ЗБС, Углуб., ПВЛГ/ПНЛГ",N115:N132)</f>
        <v>85089.336</v>
      </c>
      <c r="O114" s="35" t="n">
        <f aca="false">SUMIF(B115:B132,"Рост потенциала простоя",O115:O132)+SUMIF(B115:B132,"Остановка по распоряжению, в т.ч.:",O115:O132)+SUMIF(B115:B132,"Остановка нерентабельного фонда",O115:O132)+SUMIF(B115:B132,"Остановка для перевода в ППД",O115:O132)+SUMIF(B115:B132,"Прочие потери",O115:O132)+SUMIF(B115:B132,"Потери нефти по ОТМ",O115:O132)+SUMIF(B115:B132,"Ост. дебит от ЗБС, Углуб., ПВЛГ/ПНЛГ",O115:O132)</f>
        <v>10745.315</v>
      </c>
      <c r="P114" s="34"/>
      <c r="Q114" s="35"/>
      <c r="R114" s="32"/>
      <c r="S114" s="32"/>
      <c r="T114" s="36"/>
      <c r="U114" s="3" t="s">
        <v>134</v>
      </c>
      <c r="V114" s="4"/>
      <c r="W114" s="4"/>
      <c r="X114" s="4"/>
    </row>
    <row r="115" customFormat="false" ht="15" hidden="false" customHeight="true" outlineLevel="0" collapsed="false">
      <c r="A115" s="37" t="s">
        <v>91</v>
      </c>
      <c r="B115" s="86" t="s">
        <v>92</v>
      </c>
      <c r="C115" s="72"/>
      <c r="D115" s="72"/>
      <c r="E115" s="87" t="n">
        <v>35</v>
      </c>
      <c r="F115" s="74" t="n">
        <v>2213.948</v>
      </c>
      <c r="G115" s="75" t="n">
        <v>297.297</v>
      </c>
      <c r="H115" s="77"/>
      <c r="I115" s="74"/>
      <c r="J115" s="75"/>
      <c r="K115" s="76"/>
      <c r="L115" s="77"/>
      <c r="M115" s="73"/>
      <c r="N115" s="74" t="n">
        <v>47182.523</v>
      </c>
      <c r="O115" s="75" t="n">
        <v>7843.774</v>
      </c>
      <c r="P115" s="74"/>
      <c r="Q115" s="75"/>
      <c r="R115" s="77"/>
      <c r="S115" s="77"/>
      <c r="T115" s="78"/>
      <c r="U115" s="3" t="s">
        <v>134</v>
      </c>
      <c r="V115" s="4"/>
      <c r="W115" s="4"/>
      <c r="X115" s="4"/>
    </row>
    <row r="116" customFormat="false" ht="15" hidden="false" customHeight="true" outlineLevel="0" collapsed="false">
      <c r="A116" s="37" t="s">
        <v>93</v>
      </c>
      <c r="B116" s="38" t="s">
        <v>94</v>
      </c>
      <c r="C116" s="72"/>
      <c r="D116" s="72"/>
      <c r="E116" s="40"/>
      <c r="F116" s="41"/>
      <c r="G116" s="42"/>
      <c r="H116" s="39"/>
      <c r="I116" s="41"/>
      <c r="J116" s="42"/>
      <c r="K116" s="72"/>
      <c r="L116" s="39"/>
      <c r="M116" s="82"/>
      <c r="N116" s="41"/>
      <c r="O116" s="42"/>
      <c r="P116" s="41"/>
      <c r="Q116" s="42"/>
      <c r="R116" s="39"/>
      <c r="S116" s="39"/>
      <c r="T116" s="44"/>
      <c r="U116" s="3" t="s">
        <v>134</v>
      </c>
      <c r="V116" s="4"/>
      <c r="W116" s="4"/>
      <c r="X116" s="4"/>
    </row>
    <row r="117" customFormat="false" ht="15" hidden="false" customHeight="true" outlineLevel="0" collapsed="false">
      <c r="A117" s="37" t="s">
        <v>95</v>
      </c>
      <c r="B117" s="38" t="s">
        <v>96</v>
      </c>
      <c r="C117" s="72"/>
      <c r="D117" s="72"/>
      <c r="E117" s="40" t="n">
        <v>10</v>
      </c>
      <c r="F117" s="41" t="n">
        <v>880</v>
      </c>
      <c r="G117" s="42" t="n">
        <v>33.3</v>
      </c>
      <c r="H117" s="39"/>
      <c r="I117" s="41"/>
      <c r="J117" s="42"/>
      <c r="K117" s="72"/>
      <c r="L117" s="39"/>
      <c r="M117" s="82"/>
      <c r="N117" s="41" t="n">
        <v>8866</v>
      </c>
      <c r="O117" s="42" t="n">
        <v>323.9</v>
      </c>
      <c r="P117" s="41"/>
      <c r="Q117" s="42"/>
      <c r="R117" s="39"/>
      <c r="S117" s="39"/>
      <c r="T117" s="44"/>
      <c r="U117" s="3" t="s">
        <v>134</v>
      </c>
      <c r="V117" s="4"/>
      <c r="W117" s="4"/>
      <c r="X117" s="4"/>
    </row>
    <row r="118" customFormat="false" ht="15" hidden="false" customHeight="true" outlineLevel="0" collapsed="false">
      <c r="A118" s="37" t="s">
        <v>97</v>
      </c>
      <c r="B118" s="38" t="s">
        <v>98</v>
      </c>
      <c r="C118" s="72"/>
      <c r="D118" s="72"/>
      <c r="E118" s="40"/>
      <c r="F118" s="41"/>
      <c r="G118" s="42"/>
      <c r="H118" s="39"/>
      <c r="I118" s="41"/>
      <c r="J118" s="42"/>
      <c r="K118" s="72"/>
      <c r="L118" s="39"/>
      <c r="M118" s="82"/>
      <c r="N118" s="41"/>
      <c r="O118" s="42"/>
      <c r="P118" s="41"/>
      <c r="Q118" s="42"/>
      <c r="R118" s="39"/>
      <c r="S118" s="39"/>
      <c r="T118" s="44"/>
      <c r="U118" s="3" t="s">
        <v>134</v>
      </c>
      <c r="V118" s="4"/>
      <c r="W118" s="4"/>
      <c r="X118" s="4"/>
    </row>
    <row r="119" customFormat="false" ht="15" hidden="false" customHeight="true" outlineLevel="0" collapsed="false">
      <c r="A119" s="37" t="s">
        <v>99</v>
      </c>
      <c r="B119" s="38" t="s">
        <v>100</v>
      </c>
      <c r="C119" s="72"/>
      <c r="D119" s="72"/>
      <c r="E119" s="40"/>
      <c r="F119" s="41"/>
      <c r="G119" s="42"/>
      <c r="H119" s="39"/>
      <c r="I119" s="41"/>
      <c r="J119" s="42"/>
      <c r="K119" s="72"/>
      <c r="L119" s="39"/>
      <c r="M119" s="82"/>
      <c r="N119" s="41"/>
      <c r="O119" s="42"/>
      <c r="P119" s="41"/>
      <c r="Q119" s="42"/>
      <c r="R119" s="39"/>
      <c r="S119" s="39"/>
      <c r="T119" s="44"/>
      <c r="U119" s="3" t="s">
        <v>134</v>
      </c>
      <c r="V119" s="4"/>
      <c r="W119" s="4"/>
      <c r="X119" s="4"/>
    </row>
    <row r="120" customFormat="false" ht="15" hidden="false" customHeight="true" outlineLevel="0" collapsed="false">
      <c r="A120" s="37"/>
      <c r="B120" s="38" t="s">
        <v>63</v>
      </c>
      <c r="C120" s="72"/>
      <c r="D120" s="72"/>
      <c r="E120" s="40"/>
      <c r="F120" s="41"/>
      <c r="G120" s="42"/>
      <c r="H120" s="39"/>
      <c r="I120" s="41"/>
      <c r="J120" s="42"/>
      <c r="K120" s="72"/>
      <c r="L120" s="39"/>
      <c r="M120" s="82"/>
      <c r="N120" s="41"/>
      <c r="O120" s="42"/>
      <c r="P120" s="41"/>
      <c r="Q120" s="42"/>
      <c r="R120" s="39"/>
      <c r="S120" s="39"/>
      <c r="T120" s="44"/>
      <c r="U120" s="3" t="s">
        <v>134</v>
      </c>
      <c r="V120" s="4"/>
      <c r="W120" s="4"/>
      <c r="X120" s="4"/>
    </row>
    <row r="121" customFormat="false" ht="15" hidden="false" customHeight="true" outlineLevel="0" collapsed="false">
      <c r="A121" s="37" t="s">
        <v>101</v>
      </c>
      <c r="B121" s="38" t="s">
        <v>102</v>
      </c>
      <c r="C121" s="72"/>
      <c r="D121" s="72"/>
      <c r="E121" s="40"/>
      <c r="F121" s="41"/>
      <c r="G121" s="42"/>
      <c r="H121" s="39"/>
      <c r="I121" s="41"/>
      <c r="J121" s="42"/>
      <c r="K121" s="72"/>
      <c r="L121" s="39"/>
      <c r="M121" s="82"/>
      <c r="N121" s="41"/>
      <c r="O121" s="42"/>
      <c r="P121" s="41"/>
      <c r="Q121" s="42"/>
      <c r="R121" s="39"/>
      <c r="S121" s="39"/>
      <c r="T121" s="44"/>
      <c r="U121" s="3" t="s">
        <v>134</v>
      </c>
      <c r="V121" s="4"/>
      <c r="W121" s="4"/>
      <c r="X121" s="4"/>
    </row>
    <row r="122" customFormat="false" ht="15" hidden="false" customHeight="true" outlineLevel="0" collapsed="false">
      <c r="A122" s="37" t="s">
        <v>103</v>
      </c>
      <c r="B122" s="86" t="s">
        <v>104</v>
      </c>
      <c r="C122" s="72"/>
      <c r="D122" s="72"/>
      <c r="E122" s="40" t="n">
        <v>6</v>
      </c>
      <c r="F122" s="41" t="n">
        <v>96</v>
      </c>
      <c r="G122" s="42" t="n">
        <v>21.1</v>
      </c>
      <c r="H122" s="39"/>
      <c r="I122" s="41"/>
      <c r="J122" s="42"/>
      <c r="K122" s="72"/>
      <c r="L122" s="39"/>
      <c r="M122" s="82"/>
      <c r="N122" s="41" t="n">
        <v>1599</v>
      </c>
      <c r="O122" s="42" t="n">
        <v>359.3</v>
      </c>
      <c r="P122" s="41"/>
      <c r="Q122" s="42"/>
      <c r="R122" s="39"/>
      <c r="S122" s="39"/>
      <c r="T122" s="44"/>
      <c r="U122" s="3" t="s">
        <v>134</v>
      </c>
      <c r="V122" s="4"/>
      <c r="W122" s="4"/>
      <c r="X122" s="4"/>
    </row>
    <row r="123" customFormat="false" ht="15" hidden="false" customHeight="true" outlineLevel="0" collapsed="false">
      <c r="A123" s="37" t="s">
        <v>105</v>
      </c>
      <c r="B123" s="86" t="s">
        <v>106</v>
      </c>
      <c r="C123" s="72"/>
      <c r="D123" s="72"/>
      <c r="E123" s="82"/>
      <c r="F123" s="41"/>
      <c r="G123" s="42"/>
      <c r="H123" s="72"/>
      <c r="I123" s="41"/>
      <c r="J123" s="42"/>
      <c r="K123" s="72"/>
      <c r="L123" s="39"/>
      <c r="M123" s="82"/>
      <c r="N123" s="41" t="n">
        <v>0</v>
      </c>
      <c r="O123" s="42" t="n">
        <v>156.6</v>
      </c>
      <c r="P123" s="41"/>
      <c r="Q123" s="42"/>
      <c r="R123" s="39"/>
      <c r="S123" s="39"/>
      <c r="T123" s="44"/>
      <c r="U123" s="3" t="s">
        <v>134</v>
      </c>
      <c r="V123" s="4"/>
      <c r="W123" s="4"/>
      <c r="X123" s="4"/>
    </row>
    <row r="124" customFormat="false" ht="15" hidden="false" customHeight="true" outlineLevel="0" collapsed="false">
      <c r="A124" s="46" t="s">
        <v>107</v>
      </c>
      <c r="B124" s="47" t="s">
        <v>108</v>
      </c>
      <c r="C124" s="55"/>
      <c r="D124" s="55"/>
      <c r="E124" s="56"/>
      <c r="F124" s="55"/>
      <c r="G124" s="55"/>
      <c r="H124" s="55"/>
      <c r="I124" s="55"/>
      <c r="J124" s="55"/>
      <c r="K124" s="55"/>
      <c r="L124" s="55"/>
      <c r="M124" s="56" t="n">
        <v>3348.163</v>
      </c>
      <c r="N124" s="34" t="n">
        <f aca="false">SUBTOTAL(9,N125:N131)</f>
        <v>36307.813</v>
      </c>
      <c r="O124" s="35" t="n">
        <f aca="false">SUBTOTAL(9,O125:O132)</f>
        <v>2385.641</v>
      </c>
      <c r="P124" s="34"/>
      <c r="Q124" s="35"/>
      <c r="R124" s="32"/>
      <c r="S124" s="32"/>
      <c r="T124" s="36"/>
      <c r="U124" s="3" t="s">
        <v>134</v>
      </c>
      <c r="V124" s="4"/>
      <c r="W124" s="4"/>
      <c r="X124" s="4"/>
    </row>
    <row r="125" customFormat="false" ht="15" hidden="false" customHeight="true" outlineLevel="0" collapsed="false">
      <c r="A125" s="89" t="s">
        <v>109</v>
      </c>
      <c r="B125" s="38" t="s">
        <v>110</v>
      </c>
      <c r="C125" s="72"/>
      <c r="D125" s="72"/>
      <c r="E125" s="82"/>
      <c r="F125" s="90"/>
      <c r="G125" s="91"/>
      <c r="H125" s="72"/>
      <c r="I125" s="90"/>
      <c r="J125" s="91"/>
      <c r="K125" s="72"/>
      <c r="L125" s="72"/>
      <c r="M125" s="82" t="n">
        <v>261.259</v>
      </c>
      <c r="N125" s="41" t="n">
        <v>12451</v>
      </c>
      <c r="O125" s="42" t="n">
        <v>854.3</v>
      </c>
      <c r="P125" s="41"/>
      <c r="Q125" s="42"/>
      <c r="R125" s="39"/>
      <c r="S125" s="39"/>
      <c r="T125" s="44"/>
      <c r="U125" s="3" t="s">
        <v>134</v>
      </c>
      <c r="V125" s="4"/>
      <c r="W125" s="4"/>
      <c r="X125" s="4"/>
    </row>
    <row r="126" customFormat="false" ht="15" hidden="false" customHeight="true" outlineLevel="0" collapsed="false">
      <c r="A126" s="89" t="s">
        <v>111</v>
      </c>
      <c r="B126" s="38" t="s">
        <v>112</v>
      </c>
      <c r="C126" s="72"/>
      <c r="D126" s="72"/>
      <c r="E126" s="82"/>
      <c r="F126" s="72"/>
      <c r="G126" s="72"/>
      <c r="H126" s="72"/>
      <c r="I126" s="72"/>
      <c r="J126" s="72"/>
      <c r="K126" s="72"/>
      <c r="L126" s="72"/>
      <c r="M126" s="82" t="n">
        <v>135.634</v>
      </c>
      <c r="N126" s="74" t="n">
        <f aca="false">SUBTOTAL(9,N127:N128)</f>
        <v>16806.919</v>
      </c>
      <c r="O126" s="75" t="n">
        <f aca="false">SUBTOTAL(9,O127:O128)</f>
        <v>612.597</v>
      </c>
      <c r="P126" s="74"/>
      <c r="Q126" s="75"/>
      <c r="R126" s="77"/>
      <c r="S126" s="77"/>
      <c r="T126" s="44"/>
      <c r="U126" s="3" t="s">
        <v>134</v>
      </c>
      <c r="V126" s="4"/>
      <c r="W126" s="4"/>
      <c r="X126" s="4"/>
    </row>
    <row r="127" customFormat="false" ht="15" hidden="false" customHeight="true" outlineLevel="0" collapsed="false">
      <c r="A127" s="89"/>
      <c r="B127" s="79" t="s">
        <v>113</v>
      </c>
      <c r="C127" s="72"/>
      <c r="D127" s="72"/>
      <c r="E127" s="82"/>
      <c r="F127" s="90"/>
      <c r="G127" s="91"/>
      <c r="H127" s="72"/>
      <c r="I127" s="90"/>
      <c r="J127" s="91"/>
      <c r="K127" s="72"/>
      <c r="L127" s="72"/>
      <c r="M127" s="82" t="n">
        <v>135.634</v>
      </c>
      <c r="N127" s="41" t="n">
        <v>16806.919</v>
      </c>
      <c r="O127" s="42" t="n">
        <v>612.597</v>
      </c>
      <c r="P127" s="41"/>
      <c r="Q127" s="42"/>
      <c r="R127" s="39"/>
      <c r="S127" s="39"/>
      <c r="T127" s="44"/>
      <c r="U127" s="3" t="s">
        <v>134</v>
      </c>
      <c r="V127" s="4"/>
      <c r="W127" s="4"/>
      <c r="X127" s="4"/>
    </row>
    <row r="128" customFormat="false" ht="15" hidden="false" customHeight="true" outlineLevel="0" collapsed="false">
      <c r="A128" s="89"/>
      <c r="B128" s="79" t="s">
        <v>114</v>
      </c>
      <c r="C128" s="72"/>
      <c r="D128" s="72"/>
      <c r="E128" s="82"/>
      <c r="F128" s="90"/>
      <c r="G128" s="91"/>
      <c r="H128" s="72"/>
      <c r="I128" s="90"/>
      <c r="J128" s="91"/>
      <c r="K128" s="72"/>
      <c r="L128" s="72"/>
      <c r="M128" s="82"/>
      <c r="N128" s="41"/>
      <c r="O128" s="42"/>
      <c r="P128" s="41"/>
      <c r="Q128" s="42"/>
      <c r="R128" s="39"/>
      <c r="S128" s="39"/>
      <c r="T128" s="44"/>
      <c r="U128" s="3" t="s">
        <v>134</v>
      </c>
      <c r="V128" s="4"/>
      <c r="W128" s="4"/>
      <c r="X128" s="4"/>
    </row>
    <row r="129" customFormat="false" ht="15" hidden="false" customHeight="true" outlineLevel="0" collapsed="false">
      <c r="A129" s="89" t="s">
        <v>115</v>
      </c>
      <c r="B129" s="38" t="s">
        <v>116</v>
      </c>
      <c r="C129" s="72"/>
      <c r="D129" s="72"/>
      <c r="E129" s="82"/>
      <c r="F129" s="72"/>
      <c r="G129" s="72"/>
      <c r="H129" s="72"/>
      <c r="I129" s="72"/>
      <c r="J129" s="72"/>
      <c r="K129" s="72"/>
      <c r="L129" s="72"/>
      <c r="M129" s="82" t="n">
        <v>508.689</v>
      </c>
      <c r="N129" s="74" t="n">
        <f aca="false">SUBTOTAL(9,N130:N131)</f>
        <v>7049.894</v>
      </c>
      <c r="O129" s="75" t="n">
        <f aca="false">SUBTOTAL(9,O130:O131)</f>
        <v>660.246</v>
      </c>
      <c r="P129" s="74"/>
      <c r="Q129" s="75"/>
      <c r="R129" s="77"/>
      <c r="S129" s="77"/>
      <c r="T129" s="44"/>
      <c r="U129" s="3" t="s">
        <v>134</v>
      </c>
      <c r="V129" s="4"/>
      <c r="W129" s="4"/>
      <c r="X129" s="4"/>
    </row>
    <row r="130" customFormat="false" ht="15" hidden="false" customHeight="true" outlineLevel="0" collapsed="false">
      <c r="A130" s="89"/>
      <c r="B130" s="79" t="s">
        <v>117</v>
      </c>
      <c r="C130" s="72"/>
      <c r="D130" s="72"/>
      <c r="E130" s="82"/>
      <c r="F130" s="90"/>
      <c r="G130" s="91"/>
      <c r="H130" s="72"/>
      <c r="I130" s="90"/>
      <c r="J130" s="91"/>
      <c r="K130" s="72"/>
      <c r="L130" s="72"/>
      <c r="M130" s="82" t="n">
        <v>508.689</v>
      </c>
      <c r="N130" s="41" t="n">
        <v>7049.894</v>
      </c>
      <c r="O130" s="42" t="n">
        <v>660.246</v>
      </c>
      <c r="P130" s="41"/>
      <c r="Q130" s="42"/>
      <c r="R130" s="39"/>
      <c r="S130" s="39"/>
      <c r="T130" s="44"/>
      <c r="U130" s="3" t="s">
        <v>134</v>
      </c>
      <c r="V130" s="4"/>
      <c r="W130" s="4"/>
      <c r="X130" s="4"/>
    </row>
    <row r="131" customFormat="false" ht="15" hidden="false" customHeight="true" outlineLevel="0" collapsed="false">
      <c r="A131" s="89"/>
      <c r="B131" s="79" t="s">
        <v>118</v>
      </c>
      <c r="C131" s="72"/>
      <c r="D131" s="72"/>
      <c r="E131" s="82"/>
      <c r="F131" s="90"/>
      <c r="G131" s="91"/>
      <c r="H131" s="72"/>
      <c r="I131" s="90"/>
      <c r="J131" s="91"/>
      <c r="K131" s="72"/>
      <c r="L131" s="72"/>
      <c r="M131" s="82"/>
      <c r="N131" s="41"/>
      <c r="O131" s="42"/>
      <c r="P131" s="41"/>
      <c r="Q131" s="42"/>
      <c r="R131" s="39"/>
      <c r="S131" s="39"/>
      <c r="T131" s="44"/>
      <c r="U131" s="3" t="s">
        <v>134</v>
      </c>
      <c r="V131" s="4"/>
      <c r="W131" s="4"/>
      <c r="X131" s="4"/>
    </row>
    <row r="132" customFormat="false" ht="15" hidden="false" customHeight="true" outlineLevel="0" collapsed="false">
      <c r="A132" s="89" t="s">
        <v>119</v>
      </c>
      <c r="B132" s="38" t="s">
        <v>120</v>
      </c>
      <c r="C132" s="72"/>
      <c r="D132" s="72"/>
      <c r="E132" s="82"/>
      <c r="F132" s="90"/>
      <c r="G132" s="91"/>
      <c r="H132" s="72"/>
      <c r="I132" s="90"/>
      <c r="J132" s="91"/>
      <c r="K132" s="72"/>
      <c r="L132" s="72"/>
      <c r="M132" s="82" t="n">
        <v>2442.581</v>
      </c>
      <c r="N132" s="41" t="n">
        <v>1797.668</v>
      </c>
      <c r="O132" s="42" t="n">
        <v>258.498</v>
      </c>
      <c r="P132" s="41"/>
      <c r="Q132" s="42"/>
      <c r="R132" s="39"/>
      <c r="S132" s="39" t="str">
        <f aca="false">IF(U132="0",(IF(O132="",(IF(Q132&lt;&gt;"",Q132,"")),(IF(Q132="",0-O132,Q132-O132)))),"")</f>
        <v/>
      </c>
      <c r="T132" s="44"/>
      <c r="U132" s="3" t="s">
        <v>134</v>
      </c>
      <c r="V132" s="4"/>
      <c r="W132" s="4"/>
      <c r="X132" s="4"/>
    </row>
    <row r="133" customFormat="false" ht="15" hidden="false" customHeight="true" outlineLevel="0" collapsed="false">
      <c r="A133" s="92" t="n">
        <v>4</v>
      </c>
      <c r="B133" s="93" t="s">
        <v>121</v>
      </c>
      <c r="C133" s="94"/>
      <c r="D133" s="95" t="n">
        <v>27694.828</v>
      </c>
      <c r="E133" s="96"/>
      <c r="F133" s="97" t="n">
        <f aca="false">F78+SUMIF(B78:B132,"Прирост добычи нефти, в том числе:",F78:F132)-SUMIF(B78:B132,"Потери добычи нефти, в том числе:",F78:F132)</f>
        <v>412341.769</v>
      </c>
      <c r="G133" s="98" t="n">
        <f aca="false">G78+SUMIF(B78:B132,"Прирост добычи нефти, в том числе:",G78:G132)-SUMIF(B78:B132,"Потери добычи нефти, в том числе:",G78:G132)</f>
        <v>31304.661</v>
      </c>
      <c r="H133" s="94"/>
      <c r="I133" s="97"/>
      <c r="J133" s="98"/>
      <c r="K133" s="94"/>
      <c r="L133" s="95"/>
      <c r="M133" s="100" t="n">
        <v>895766.043</v>
      </c>
      <c r="N133" s="97" t="n">
        <f aca="false">N78+SUMIF(B78:B132,"Прирост добычи нефти, в том числе:",N78:N132)-SUMIF(B78:B132,"Потери добычи нефти, в том числе:",N78:N132)</f>
        <v>12586022.887</v>
      </c>
      <c r="O133" s="98" t="n">
        <f aca="false">O78+SUMIF(B78:B132,"Прирост добычи нефти, в том числе:",O78:O132)-SUMIF(B78:B132,"Потери добычи нефти, в том числе:",O78:O132)</f>
        <v>958545.572</v>
      </c>
      <c r="P133" s="97"/>
      <c r="Q133" s="98"/>
      <c r="R133" s="95"/>
      <c r="S133" s="95"/>
      <c r="T133" s="101"/>
      <c r="U133" s="3" t="s">
        <v>134</v>
      </c>
      <c r="V133" s="4"/>
      <c r="W133" s="4"/>
      <c r="X133" s="4"/>
    </row>
    <row r="134" customFormat="false" ht="15" hidden="false" customHeight="true" outlineLevel="0" collapsed="false">
      <c r="A134" s="103" t="n">
        <v>31</v>
      </c>
      <c r="B134" s="104" t="s">
        <v>122</v>
      </c>
      <c r="C134" s="105"/>
      <c r="D134" s="106" t="n">
        <v>28895.679</v>
      </c>
      <c r="E134" s="107"/>
      <c r="F134" s="108" t="n">
        <f aca="false">N133/A134</f>
        <v>406000.738290323</v>
      </c>
      <c r="G134" s="109" t="n">
        <f aca="false">O133/A134</f>
        <v>30920.8249032258</v>
      </c>
      <c r="H134" s="105"/>
      <c r="I134" s="108"/>
      <c r="J134" s="109"/>
      <c r="K134" s="105"/>
      <c r="L134" s="106"/>
      <c r="M134" s="107"/>
      <c r="N134" s="110"/>
      <c r="O134" s="111"/>
      <c r="P134" s="110"/>
      <c r="Q134" s="111"/>
      <c r="R134" s="105"/>
      <c r="S134" s="105"/>
      <c r="T134" s="112"/>
      <c r="U134" s="3" t="s">
        <v>134</v>
      </c>
      <c r="V134" s="4"/>
      <c r="W134" s="4"/>
      <c r="X134" s="4"/>
    </row>
    <row r="135" customFormat="false" ht="15" hidden="false" customHeight="true" outlineLevel="0" collapsed="false">
      <c r="A135" s="114"/>
      <c r="B135" s="115"/>
      <c r="C135" s="116"/>
      <c r="D135" s="116"/>
      <c r="E135" s="117"/>
      <c r="F135" s="118"/>
      <c r="G135" s="119"/>
      <c r="H135" s="120"/>
      <c r="I135" s="118"/>
      <c r="J135" s="119"/>
      <c r="K135" s="120"/>
      <c r="L135" s="120"/>
      <c r="M135" s="117"/>
      <c r="N135" s="118"/>
      <c r="O135" s="119"/>
      <c r="P135" s="118"/>
      <c r="Q135" s="119"/>
      <c r="R135" s="120"/>
      <c r="S135" s="120"/>
      <c r="T135" s="121"/>
      <c r="U135" s="3" t="s">
        <v>134</v>
      </c>
      <c r="V135" s="4"/>
      <c r="W135" s="4"/>
      <c r="X135" s="4"/>
    </row>
    <row r="136" customFormat="false" ht="15" hidden="false" customHeight="true" outlineLevel="0" collapsed="false">
      <c r="A136" s="122"/>
      <c r="B136" s="123" t="s">
        <v>123</v>
      </c>
      <c r="C136" s="124"/>
      <c r="D136" s="124"/>
      <c r="E136" s="125"/>
      <c r="F136" s="126"/>
      <c r="G136" s="149" t="n">
        <f aca="false">G134-D134</f>
        <v>2025.1459032258</v>
      </c>
      <c r="H136" s="126"/>
      <c r="I136" s="126"/>
      <c r="J136" s="149"/>
      <c r="K136" s="126"/>
      <c r="L136" s="126"/>
      <c r="M136" s="125"/>
      <c r="N136" s="126"/>
      <c r="O136" s="149" t="n">
        <f aca="false">O133-M133</f>
        <v>62779.529</v>
      </c>
      <c r="P136" s="128"/>
      <c r="Q136" s="149"/>
      <c r="R136" s="126"/>
      <c r="S136" s="126"/>
      <c r="T136" s="129"/>
      <c r="U136" s="3" t="s">
        <v>134</v>
      </c>
      <c r="V136" s="4"/>
      <c r="W136" s="4"/>
      <c r="X136" s="4"/>
    </row>
    <row r="137" customFormat="false" ht="15" hidden="false" customHeight="true" outlineLevel="0" collapsed="false">
      <c r="A137" s="130"/>
      <c r="B137" s="131"/>
      <c r="C137" s="132"/>
      <c r="D137" s="132"/>
      <c r="E137" s="133"/>
      <c r="F137" s="6"/>
      <c r="G137" s="6"/>
      <c r="H137" s="6"/>
      <c r="I137" s="6"/>
      <c r="J137" s="134"/>
      <c r="K137" s="6"/>
      <c r="L137" s="134"/>
      <c r="M137" s="135"/>
      <c r="N137" s="6"/>
      <c r="O137" s="136"/>
      <c r="P137" s="6"/>
      <c r="Q137" s="136"/>
      <c r="R137" s="6"/>
      <c r="S137" s="136"/>
      <c r="T137" s="6"/>
      <c r="U137" s="6"/>
      <c r="V137" s="4"/>
      <c r="W137" s="4"/>
      <c r="X137" s="4"/>
    </row>
    <row r="138" customFormat="false" ht="15" hidden="false" customHeight="true" outlineLevel="0" collapsed="false">
      <c r="A138" s="130"/>
      <c r="B138" s="131"/>
      <c r="C138" s="132"/>
      <c r="D138" s="132"/>
      <c r="E138" s="137" t="s">
        <v>124</v>
      </c>
      <c r="F138" s="137"/>
      <c r="G138" s="137"/>
      <c r="H138" s="138" t="s">
        <v>125</v>
      </c>
      <c r="I138" s="138"/>
      <c r="J138" s="138"/>
      <c r="K138" s="6"/>
      <c r="L138" s="132"/>
      <c r="M138" s="135"/>
      <c r="N138" s="6"/>
      <c r="O138" s="137" t="s">
        <v>126</v>
      </c>
      <c r="P138" s="137"/>
      <c r="Q138" s="137"/>
      <c r="R138" s="6"/>
      <c r="S138" s="132"/>
      <c r="T138" s="6"/>
      <c r="U138" s="6"/>
      <c r="V138" s="4"/>
      <c r="W138" s="4"/>
      <c r="X138" s="4"/>
    </row>
    <row r="139" customFormat="false" ht="15" hidden="false" customHeight="true" outlineLevel="0" collapsed="false">
      <c r="A139" s="132"/>
      <c r="B139" s="139"/>
      <c r="C139" s="132"/>
      <c r="D139" s="132"/>
      <c r="E139" s="140" t="s">
        <v>19</v>
      </c>
      <c r="F139" s="141" t="s">
        <v>18</v>
      </c>
      <c r="G139" s="141" t="s">
        <v>17</v>
      </c>
      <c r="H139" s="141" t="s">
        <v>19</v>
      </c>
      <c r="I139" s="141" t="s">
        <v>18</v>
      </c>
      <c r="J139" s="141" t="s">
        <v>17</v>
      </c>
      <c r="K139" s="6"/>
      <c r="L139" s="132"/>
      <c r="M139" s="135"/>
      <c r="N139" s="6"/>
      <c r="O139" s="140" t="s">
        <v>19</v>
      </c>
      <c r="P139" s="141" t="s">
        <v>18</v>
      </c>
      <c r="Q139" s="141" t="s">
        <v>17</v>
      </c>
      <c r="R139" s="6"/>
      <c r="S139" s="132"/>
      <c r="T139" s="6"/>
      <c r="U139" s="6"/>
      <c r="V139" s="4"/>
      <c r="W139" s="4"/>
      <c r="X139" s="4"/>
    </row>
    <row r="140" customFormat="false" ht="15" hidden="false" customHeight="true" outlineLevel="0" collapsed="false">
      <c r="A140" s="142" t="s">
        <v>127</v>
      </c>
      <c r="B140" s="143" t="s">
        <v>128</v>
      </c>
      <c r="C140" s="132"/>
      <c r="D140" s="132"/>
      <c r="E140" s="144" t="n">
        <v>74</v>
      </c>
      <c r="F140" s="39" t="n">
        <v>9357.68174164649</v>
      </c>
      <c r="G140" s="39" t="n">
        <v>567.304733388491</v>
      </c>
      <c r="H140" s="39"/>
      <c r="I140" s="39" t="n">
        <v>10697.8397754021</v>
      </c>
      <c r="J140" s="39" t="n">
        <v>837.706575152774</v>
      </c>
      <c r="K140" s="6"/>
      <c r="L140" s="132"/>
      <c r="M140" s="135"/>
      <c r="N140" s="6"/>
      <c r="O140" s="144"/>
      <c r="P140" s="39"/>
      <c r="Q140" s="39"/>
      <c r="R140" s="6"/>
      <c r="S140" s="132"/>
      <c r="T140" s="6"/>
      <c r="U140" s="6"/>
      <c r="V140" s="4"/>
      <c r="W140" s="4"/>
      <c r="X140" s="4"/>
    </row>
    <row r="141" customFormat="false" ht="15" hidden="false" customHeight="true" outlineLevel="0" collapsed="false">
      <c r="A141" s="142" t="s">
        <v>129</v>
      </c>
      <c r="B141" s="143" t="s">
        <v>130</v>
      </c>
      <c r="C141" s="130"/>
      <c r="D141" s="130"/>
      <c r="E141" s="145"/>
      <c r="F141" s="72"/>
      <c r="G141" s="72"/>
      <c r="H141" s="72"/>
      <c r="I141" s="72"/>
      <c r="J141" s="72"/>
      <c r="K141" s="6"/>
      <c r="L141" s="132"/>
      <c r="M141" s="135"/>
      <c r="N141" s="6"/>
      <c r="O141" s="145"/>
      <c r="P141" s="72"/>
      <c r="Q141" s="72"/>
      <c r="R141" s="6"/>
      <c r="S141" s="132"/>
      <c r="T141" s="6"/>
      <c r="U141" s="6"/>
      <c r="V141" s="4"/>
      <c r="W141" s="4"/>
      <c r="X141" s="4"/>
    </row>
    <row r="142" customFormat="false" ht="15" hidden="false" customHeight="true" outlineLevel="0" collapsed="false">
      <c r="A142" s="142" t="s">
        <v>131</v>
      </c>
      <c r="B142" s="143" t="s">
        <v>102</v>
      </c>
      <c r="C142" s="133"/>
      <c r="D142" s="146"/>
      <c r="E142" s="145"/>
      <c r="F142" s="72"/>
      <c r="G142" s="72"/>
      <c r="H142" s="72"/>
      <c r="I142" s="72"/>
      <c r="J142" s="72"/>
      <c r="K142" s="6"/>
      <c r="L142" s="132"/>
      <c r="M142" s="134"/>
      <c r="N142" s="6"/>
      <c r="O142" s="145"/>
      <c r="P142" s="72"/>
      <c r="Q142" s="72"/>
      <c r="R142" s="6"/>
      <c r="S142" s="132"/>
      <c r="T142" s="6"/>
      <c r="U142" s="6"/>
      <c r="V142" s="4"/>
      <c r="W142" s="4"/>
      <c r="X142" s="4"/>
    </row>
    <row r="143" customFormat="false" ht="15" hidden="false" customHeight="true" outlineLevel="0" collapsed="false">
      <c r="A143" s="147"/>
      <c r="B143" s="130" t="s">
        <v>132</v>
      </c>
      <c r="C143" s="132"/>
      <c r="D143" s="132"/>
      <c r="E143" s="148" t="n">
        <f aca="false">SUM(E140:E142)</f>
        <v>74</v>
      </c>
      <c r="F143" s="77" t="n">
        <v>9357.68174164649</v>
      </c>
      <c r="G143" s="77" t="n">
        <f aca="false">SUM(G140:G142)</f>
        <v>567.304733388491</v>
      </c>
      <c r="H143" s="77" t="n">
        <f aca="false">SUM(H140:H142)</f>
        <v>0</v>
      </c>
      <c r="I143" s="77" t="n">
        <v>10697.8397754021</v>
      </c>
      <c r="J143" s="77" t="n">
        <f aca="false">SUM(J140:J142)</f>
        <v>837.706575152774</v>
      </c>
      <c r="K143" s="6"/>
      <c r="L143" s="132"/>
      <c r="M143" s="132"/>
      <c r="N143" s="6"/>
      <c r="O143" s="148" t="n">
        <f aca="false">SUM(O140:O142)</f>
        <v>0</v>
      </c>
      <c r="P143" s="77" t="n">
        <v>0</v>
      </c>
      <c r="Q143" s="77" t="n">
        <f aca="false">SUM(Q140:Q142)</f>
        <v>0</v>
      </c>
      <c r="R143" s="6"/>
      <c r="S143" s="132"/>
      <c r="T143" s="6"/>
      <c r="U143" s="6"/>
      <c r="V143" s="4"/>
      <c r="W143" s="4"/>
      <c r="X143" s="4"/>
    </row>
    <row r="144" customFormat="false" ht="15" hidden="false" customHeight="true" outlineLevel="0" collapsed="false">
      <c r="A144" s="147"/>
      <c r="B144" s="130"/>
      <c r="C144" s="132"/>
      <c r="D144" s="132"/>
      <c r="E144" s="134"/>
      <c r="F144" s="6"/>
      <c r="G144" s="134"/>
      <c r="H144" s="134"/>
      <c r="I144" s="6"/>
      <c r="J144" s="134"/>
      <c r="K144" s="6"/>
      <c r="L144" s="132"/>
      <c r="M144" s="132"/>
      <c r="N144" s="6"/>
      <c r="O144" s="134"/>
      <c r="P144" s="6"/>
      <c r="Q144" s="134"/>
      <c r="R144" s="6"/>
      <c r="S144" s="132"/>
      <c r="T144" s="6"/>
      <c r="U144" s="6"/>
      <c r="V144" s="4"/>
      <c r="W144" s="4"/>
      <c r="X144" s="4"/>
    </row>
  </sheetData>
  <mergeCells count="36">
    <mergeCell ref="A1:S1"/>
    <mergeCell ref="A2:S2"/>
    <mergeCell ref="A3:S3"/>
    <mergeCell ref="A4:A6"/>
    <mergeCell ref="B4:B6"/>
    <mergeCell ref="C4:D5"/>
    <mergeCell ref="E4:J4"/>
    <mergeCell ref="K4:L4"/>
    <mergeCell ref="M4:Q4"/>
    <mergeCell ref="R4:S4"/>
    <mergeCell ref="T4:T6"/>
    <mergeCell ref="E5:G5"/>
    <mergeCell ref="H5:J5"/>
    <mergeCell ref="M5:M6"/>
    <mergeCell ref="N5:O5"/>
    <mergeCell ref="P5:Q5"/>
    <mergeCell ref="E67:G67"/>
    <mergeCell ref="H67:J67"/>
    <mergeCell ref="O67:Q67"/>
    <mergeCell ref="A74:S74"/>
    <mergeCell ref="A75:A77"/>
    <mergeCell ref="B75:B77"/>
    <mergeCell ref="C75:D76"/>
    <mergeCell ref="E75:J75"/>
    <mergeCell ref="K75:L75"/>
    <mergeCell ref="M75:Q75"/>
    <mergeCell ref="R75:S75"/>
    <mergeCell ref="T75:T77"/>
    <mergeCell ref="E76:G76"/>
    <mergeCell ref="H76:J76"/>
    <mergeCell ref="M76:M77"/>
    <mergeCell ref="N76:O76"/>
    <mergeCell ref="P76:Q76"/>
    <mergeCell ref="E138:G138"/>
    <mergeCell ref="H138:J138"/>
    <mergeCell ref="O138:Q138"/>
  </mergeCells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J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1" topLeftCell="C66" activePane="bottomRight" state="frozen"/>
      <selection pane="topLeft" activeCell="A1" activeCellId="0" sqref="A1"/>
      <selection pane="topRight" activeCell="C1" activeCellId="0" sqref="C1"/>
      <selection pane="bottomLeft" activeCell="A66" activeCellId="0" sqref="A66"/>
      <selection pane="bottomRight" activeCell="W101" activeCellId="0" sqref="W10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4.29"/>
    <col collapsed="false" customWidth="true" hidden="false" outlineLevel="0" max="18" min="3" style="0" width="8.57"/>
    <col collapsed="false" customWidth="true" hidden="false" outlineLevel="0" max="20" min="20" style="0" width="9.14"/>
    <col collapsed="false" customWidth="true" hidden="false" outlineLevel="0" max="21" min="21" style="0" width="9.86"/>
    <col collapsed="false" customWidth="true" hidden="false" outlineLevel="0" max="31" min="22" style="0" width="8.57"/>
    <col collapsed="false" customWidth="true" hidden="false" outlineLevel="0" max="32" min="32" style="0" width="11.29"/>
    <col collapsed="false" customWidth="true" hidden="false" outlineLevel="0" max="33" min="33" style="0" width="9"/>
    <col collapsed="false" customWidth="true" hidden="false" outlineLevel="0" max="59" min="34" style="0" width="8.57"/>
    <col collapsed="false" customWidth="true" hidden="false" outlineLevel="0" max="60" min="60" style="0" width="11.29"/>
    <col collapsed="false" customWidth="true" hidden="false" outlineLevel="0" max="61" min="61" style="0" width="9"/>
    <col collapsed="false" customWidth="true" hidden="false" outlineLevel="0" max="62" min="62" style="0" width="5.71"/>
  </cols>
  <sheetData>
    <row r="1" customFormat="false" ht="18.75" hidden="false" customHeight="true" outlineLevel="0" collapsed="false">
      <c r="A1" s="150" t="s">
        <v>137</v>
      </c>
      <c r="B1" s="151"/>
      <c r="C1" s="152" t="s">
        <v>138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</row>
    <row r="2" customFormat="false" ht="34.5" hidden="false" customHeight="true" outlineLevel="0" collapsed="false">
      <c r="A2" s="151"/>
      <c r="B2" s="151"/>
      <c r="C2" s="153" t="s">
        <v>133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</row>
    <row r="3" customFormat="false" ht="22.5" hidden="false" customHeight="true" outlineLevel="0" collapsed="false">
      <c r="A3" s="151"/>
      <c r="B3" s="154"/>
      <c r="C3" s="155" t="s">
        <v>0</v>
      </c>
      <c r="D3" s="155"/>
      <c r="E3" s="155"/>
      <c r="F3" s="155"/>
      <c r="G3" s="155"/>
      <c r="H3" s="155"/>
      <c r="I3" s="155"/>
      <c r="J3" s="155"/>
      <c r="K3" s="155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6" t="s">
        <v>139</v>
      </c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</row>
    <row r="4" customFormat="false" ht="20.25" hidden="false" customHeight="true" outlineLevel="0" collapsed="false">
      <c r="A4" s="157" t="s">
        <v>22</v>
      </c>
      <c r="B4" s="157"/>
      <c r="C4" s="158" t="s">
        <v>140</v>
      </c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9" t="s">
        <v>141</v>
      </c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60" t="n">
        <v>31150.958</v>
      </c>
      <c r="BI4" s="161" t="n">
        <v>573.782149186939</v>
      </c>
      <c r="BJ4" s="151"/>
    </row>
    <row r="5" customFormat="false" ht="18.75" hidden="false" customHeight="true" outlineLevel="0" collapsed="false">
      <c r="A5" s="162" t="s">
        <v>142</v>
      </c>
      <c r="B5" s="163" t="s">
        <v>143</v>
      </c>
      <c r="C5" s="164" t="s">
        <v>144</v>
      </c>
      <c r="D5" s="164"/>
      <c r="E5" s="164"/>
      <c r="F5" s="164"/>
      <c r="G5" s="164"/>
      <c r="H5" s="164"/>
      <c r="I5" s="164"/>
      <c r="J5" s="164"/>
      <c r="K5" s="164"/>
      <c r="L5" s="164"/>
      <c r="M5" s="165" t="s">
        <v>145</v>
      </c>
      <c r="N5" s="166" t="s">
        <v>56</v>
      </c>
      <c r="O5" s="166"/>
      <c r="P5" s="167" t="s">
        <v>145</v>
      </c>
      <c r="Q5" s="166" t="s">
        <v>60</v>
      </c>
      <c r="R5" s="166"/>
      <c r="S5" s="166"/>
      <c r="T5" s="167" t="s">
        <v>145</v>
      </c>
      <c r="U5" s="166" t="s">
        <v>146</v>
      </c>
      <c r="V5" s="166"/>
      <c r="W5" s="166"/>
      <c r="X5" s="166"/>
      <c r="Y5" s="166"/>
      <c r="Z5" s="167" t="s">
        <v>145</v>
      </c>
      <c r="AA5" s="168" t="s">
        <v>147</v>
      </c>
      <c r="AB5" s="168"/>
      <c r="AC5" s="168"/>
      <c r="AD5" s="168"/>
      <c r="AE5" s="168"/>
      <c r="AF5" s="168"/>
      <c r="AG5" s="168"/>
      <c r="AH5" s="169" t="s">
        <v>148</v>
      </c>
      <c r="AI5" s="170" t="s">
        <v>149</v>
      </c>
      <c r="AJ5" s="170"/>
      <c r="AK5" s="171" t="s">
        <v>150</v>
      </c>
      <c r="AL5" s="169" t="s">
        <v>151</v>
      </c>
      <c r="AM5" s="169"/>
      <c r="AN5" s="169"/>
      <c r="AO5" s="169"/>
      <c r="AP5" s="169"/>
      <c r="AQ5" s="169"/>
      <c r="AR5" s="169"/>
      <c r="AS5" s="169"/>
      <c r="AT5" s="169"/>
      <c r="AU5" s="169"/>
      <c r="AV5" s="169" t="s">
        <v>152</v>
      </c>
      <c r="AW5" s="169" t="s">
        <v>153</v>
      </c>
      <c r="AX5" s="169"/>
      <c r="AY5" s="169" t="s">
        <v>154</v>
      </c>
      <c r="AZ5" s="172" t="s">
        <v>106</v>
      </c>
      <c r="BA5" s="172"/>
      <c r="BB5" s="173" t="s">
        <v>155</v>
      </c>
      <c r="BC5" s="169" t="s">
        <v>108</v>
      </c>
      <c r="BD5" s="169"/>
      <c r="BE5" s="169"/>
      <c r="BF5" s="169"/>
      <c r="BG5" s="169"/>
      <c r="BH5" s="169" t="s">
        <v>156</v>
      </c>
      <c r="BI5" s="169" t="s">
        <v>157</v>
      </c>
      <c r="BJ5" s="151"/>
    </row>
    <row r="6" customFormat="false" ht="14.25" hidden="false" customHeight="true" outlineLevel="0" collapsed="false">
      <c r="A6" s="162"/>
      <c r="B6" s="163"/>
      <c r="C6" s="174" t="s">
        <v>28</v>
      </c>
      <c r="D6" s="174"/>
      <c r="E6" s="174"/>
      <c r="F6" s="174"/>
      <c r="G6" s="174" t="s">
        <v>36</v>
      </c>
      <c r="H6" s="174"/>
      <c r="I6" s="174"/>
      <c r="J6" s="174"/>
      <c r="K6" s="174"/>
      <c r="L6" s="175" t="s">
        <v>158</v>
      </c>
      <c r="M6" s="165"/>
      <c r="N6" s="166"/>
      <c r="O6" s="166"/>
      <c r="P6" s="167"/>
      <c r="Q6" s="166"/>
      <c r="R6" s="166"/>
      <c r="S6" s="166"/>
      <c r="T6" s="167"/>
      <c r="U6" s="166"/>
      <c r="V6" s="166"/>
      <c r="W6" s="166"/>
      <c r="X6" s="166"/>
      <c r="Y6" s="166"/>
      <c r="Z6" s="167"/>
      <c r="AA6" s="174" t="s">
        <v>159</v>
      </c>
      <c r="AB6" s="174"/>
      <c r="AC6" s="174" t="s">
        <v>160</v>
      </c>
      <c r="AD6" s="174"/>
      <c r="AE6" s="174"/>
      <c r="AF6" s="174"/>
      <c r="AG6" s="174" t="s">
        <v>158</v>
      </c>
      <c r="AH6" s="169"/>
      <c r="AI6" s="170"/>
      <c r="AJ6" s="170"/>
      <c r="AK6" s="171"/>
      <c r="AL6" s="171"/>
      <c r="AM6" s="169"/>
      <c r="AN6" s="169"/>
      <c r="AO6" s="169"/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72"/>
      <c r="BB6" s="173"/>
      <c r="BC6" s="176" t="n">
        <f aca="false">SUBTOTAL(9,BC$14:BC$134)</f>
        <v>854.3</v>
      </c>
      <c r="BD6" s="176" t="n">
        <f aca="false">SUBTOTAL(9,BD$14:BD$134)</f>
        <v>660.246356708507</v>
      </c>
      <c r="BE6" s="176" t="n">
        <f aca="false">SUBTOTAL(9,BE$14:BE$134)</f>
        <v>612.597088569529</v>
      </c>
      <c r="BF6" s="176" t="n">
        <f aca="false">SUBTOTAL(9,BF$14:BF$134)</f>
        <v>258.498262578916</v>
      </c>
      <c r="BG6" s="176" t="n">
        <f aca="false">SUM(BC6:BF6)</f>
        <v>2385.64170785695</v>
      </c>
      <c r="BH6" s="169"/>
      <c r="BI6" s="169"/>
      <c r="BJ6" s="151"/>
    </row>
    <row r="7" customFormat="false" ht="11.25" hidden="false" customHeight="true" outlineLevel="0" collapsed="false">
      <c r="A7" s="162"/>
      <c r="B7" s="163"/>
      <c r="C7" s="174"/>
      <c r="D7" s="174"/>
      <c r="E7" s="174"/>
      <c r="F7" s="174"/>
      <c r="G7" s="174"/>
      <c r="H7" s="174"/>
      <c r="I7" s="174"/>
      <c r="J7" s="174"/>
      <c r="K7" s="174"/>
      <c r="L7" s="175"/>
      <c r="M7" s="175"/>
      <c r="N7" s="166"/>
      <c r="O7" s="166"/>
      <c r="P7" s="167"/>
      <c r="Q7" s="166"/>
      <c r="R7" s="166"/>
      <c r="S7" s="166"/>
      <c r="T7" s="167"/>
      <c r="U7" s="166"/>
      <c r="V7" s="166"/>
      <c r="W7" s="166"/>
      <c r="X7" s="166"/>
      <c r="Y7" s="166"/>
      <c r="Z7" s="167"/>
      <c r="AA7" s="174"/>
      <c r="AB7" s="174"/>
      <c r="AC7" s="174"/>
      <c r="AD7" s="174"/>
      <c r="AE7" s="174"/>
      <c r="AF7" s="174"/>
      <c r="AG7" s="174"/>
      <c r="AH7" s="169"/>
      <c r="AI7" s="170" t="s">
        <v>161</v>
      </c>
      <c r="AJ7" s="170" t="s">
        <v>162</v>
      </c>
      <c r="AK7" s="171"/>
      <c r="AL7" s="171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70" t="s">
        <v>163</v>
      </c>
      <c r="BA7" s="170" t="s">
        <v>164</v>
      </c>
      <c r="BB7" s="173"/>
      <c r="BC7" s="174" t="s">
        <v>165</v>
      </c>
      <c r="BD7" s="174" t="s">
        <v>166</v>
      </c>
      <c r="BE7" s="174" t="s">
        <v>167</v>
      </c>
      <c r="BF7" s="174" t="s">
        <v>168</v>
      </c>
      <c r="BG7" s="174" t="s">
        <v>158</v>
      </c>
      <c r="BH7" s="169"/>
      <c r="BI7" s="169"/>
      <c r="BJ7" s="151"/>
    </row>
    <row r="8" customFormat="false" ht="11.25" hidden="false" customHeight="true" outlineLevel="0" collapsed="false">
      <c r="A8" s="162"/>
      <c r="B8" s="163"/>
      <c r="C8" s="177" t="s">
        <v>169</v>
      </c>
      <c r="D8" s="177" t="s">
        <v>169</v>
      </c>
      <c r="E8" s="177" t="s">
        <v>169</v>
      </c>
      <c r="F8" s="177" t="s">
        <v>170</v>
      </c>
      <c r="G8" s="177" t="s">
        <v>169</v>
      </c>
      <c r="H8" s="177" t="s">
        <v>169</v>
      </c>
      <c r="I8" s="177" t="s">
        <v>169</v>
      </c>
      <c r="J8" s="177" t="s">
        <v>169</v>
      </c>
      <c r="K8" s="177" t="s">
        <v>170</v>
      </c>
      <c r="L8" s="175"/>
      <c r="M8" s="175"/>
      <c r="N8" s="178" t="s">
        <v>169</v>
      </c>
      <c r="O8" s="178" t="s">
        <v>170</v>
      </c>
      <c r="P8" s="167"/>
      <c r="Q8" s="178" t="s">
        <v>169</v>
      </c>
      <c r="R8" s="178" t="s">
        <v>169</v>
      </c>
      <c r="S8" s="178" t="s">
        <v>170</v>
      </c>
      <c r="T8" s="167"/>
      <c r="U8" s="178" t="s">
        <v>169</v>
      </c>
      <c r="V8" s="178" t="s">
        <v>169</v>
      </c>
      <c r="W8" s="178" t="s">
        <v>169</v>
      </c>
      <c r="X8" s="178" t="s">
        <v>169</v>
      </c>
      <c r="Y8" s="178" t="s">
        <v>170</v>
      </c>
      <c r="Z8" s="167"/>
      <c r="AA8" s="177" t="s">
        <v>169</v>
      </c>
      <c r="AB8" s="177"/>
      <c r="AC8" s="177" t="s">
        <v>169</v>
      </c>
      <c r="AD8" s="177" t="s">
        <v>169</v>
      </c>
      <c r="AE8" s="177" t="s">
        <v>169</v>
      </c>
      <c r="AF8" s="177"/>
      <c r="AG8" s="174"/>
      <c r="AH8" s="169"/>
      <c r="AI8" s="170"/>
      <c r="AJ8" s="170"/>
      <c r="AK8" s="171"/>
      <c r="AL8" s="177" t="s">
        <v>169</v>
      </c>
      <c r="AM8" s="177" t="s">
        <v>169</v>
      </c>
      <c r="AN8" s="177" t="s">
        <v>169</v>
      </c>
      <c r="AO8" s="177" t="s">
        <v>169</v>
      </c>
      <c r="AP8" s="177" t="s">
        <v>169</v>
      </c>
      <c r="AQ8" s="177" t="s">
        <v>169</v>
      </c>
      <c r="AR8" s="177" t="s">
        <v>169</v>
      </c>
      <c r="AS8" s="177" t="s">
        <v>169</v>
      </c>
      <c r="AT8" s="177" t="s">
        <v>169</v>
      </c>
      <c r="AU8" s="177"/>
      <c r="AV8" s="169"/>
      <c r="AW8" s="177" t="s">
        <v>169</v>
      </c>
      <c r="AX8" s="177"/>
      <c r="AY8" s="169"/>
      <c r="AZ8" s="170"/>
      <c r="BA8" s="170"/>
      <c r="BB8" s="173"/>
      <c r="BC8" s="174"/>
      <c r="BD8" s="174"/>
      <c r="BE8" s="174"/>
      <c r="BF8" s="174"/>
      <c r="BG8" s="174"/>
      <c r="BH8" s="169"/>
      <c r="BI8" s="169"/>
      <c r="BJ8" s="151"/>
    </row>
    <row r="9" customFormat="false" ht="12.75" hidden="false" customHeight="true" outlineLevel="0" collapsed="false">
      <c r="A9" s="162"/>
      <c r="B9" s="163"/>
      <c r="C9" s="179" t="s">
        <v>171</v>
      </c>
      <c r="D9" s="179" t="s">
        <v>171</v>
      </c>
      <c r="E9" s="179" t="s">
        <v>171</v>
      </c>
      <c r="F9" s="179" t="s">
        <v>172</v>
      </c>
      <c r="G9" s="179" t="s">
        <v>171</v>
      </c>
      <c r="H9" s="179" t="s">
        <v>171</v>
      </c>
      <c r="I9" s="179" t="s">
        <v>171</v>
      </c>
      <c r="J9" s="179" t="s">
        <v>171</v>
      </c>
      <c r="K9" s="179" t="s">
        <v>172</v>
      </c>
      <c r="L9" s="175"/>
      <c r="M9" s="175"/>
      <c r="N9" s="180" t="s">
        <v>170</v>
      </c>
      <c r="O9" s="180" t="s">
        <v>172</v>
      </c>
      <c r="P9" s="167"/>
      <c r="Q9" s="180" t="s">
        <v>170</v>
      </c>
      <c r="R9" s="180" t="s">
        <v>170</v>
      </c>
      <c r="S9" s="180" t="s">
        <v>172</v>
      </c>
      <c r="T9" s="167"/>
      <c r="U9" s="180" t="s">
        <v>170</v>
      </c>
      <c r="V9" s="180" t="s">
        <v>170</v>
      </c>
      <c r="W9" s="180" t="s">
        <v>170</v>
      </c>
      <c r="X9" s="180" t="s">
        <v>170</v>
      </c>
      <c r="Y9" s="180" t="s">
        <v>172</v>
      </c>
      <c r="Z9" s="167"/>
      <c r="AA9" s="179" t="s">
        <v>170</v>
      </c>
      <c r="AB9" s="179"/>
      <c r="AC9" s="179" t="s">
        <v>170</v>
      </c>
      <c r="AD9" s="179" t="s">
        <v>170</v>
      </c>
      <c r="AE9" s="179" t="s">
        <v>170</v>
      </c>
      <c r="AF9" s="179"/>
      <c r="AG9" s="174"/>
      <c r="AH9" s="169"/>
      <c r="AI9" s="170"/>
      <c r="AJ9" s="170"/>
      <c r="AK9" s="171"/>
      <c r="AL9" s="179" t="s">
        <v>170</v>
      </c>
      <c r="AM9" s="179" t="s">
        <v>170</v>
      </c>
      <c r="AN9" s="179" t="s">
        <v>170</v>
      </c>
      <c r="AO9" s="179" t="s">
        <v>170</v>
      </c>
      <c r="AP9" s="179" t="s">
        <v>170</v>
      </c>
      <c r="AQ9" s="179" t="s">
        <v>170</v>
      </c>
      <c r="AR9" s="179" t="s">
        <v>170</v>
      </c>
      <c r="AS9" s="179" t="s">
        <v>170</v>
      </c>
      <c r="AT9" s="179" t="s">
        <v>170</v>
      </c>
      <c r="AU9" s="179"/>
      <c r="AV9" s="169"/>
      <c r="AW9" s="179" t="s">
        <v>170</v>
      </c>
      <c r="AX9" s="179"/>
      <c r="AY9" s="169"/>
      <c r="AZ9" s="170"/>
      <c r="BA9" s="170"/>
      <c r="BB9" s="173"/>
      <c r="BC9" s="174"/>
      <c r="BD9" s="174"/>
      <c r="BE9" s="174"/>
      <c r="BF9" s="174"/>
      <c r="BG9" s="174"/>
      <c r="BH9" s="169"/>
      <c r="BI9" s="169"/>
      <c r="BJ9" s="151"/>
    </row>
    <row r="10" customFormat="false" ht="17.25" hidden="false" customHeight="true" outlineLevel="0" collapsed="false">
      <c r="A10" s="181" t="n">
        <v>1</v>
      </c>
      <c r="B10" s="182" t="n">
        <v>2</v>
      </c>
      <c r="C10" s="182" t="n">
        <v>3</v>
      </c>
      <c r="D10" s="182"/>
      <c r="E10" s="182"/>
      <c r="F10" s="182"/>
      <c r="G10" s="182" t="n">
        <v>4</v>
      </c>
      <c r="H10" s="182"/>
      <c r="I10" s="182"/>
      <c r="J10" s="182"/>
      <c r="K10" s="182"/>
      <c r="L10" s="182" t="n">
        <v>5</v>
      </c>
      <c r="M10" s="183" t="n">
        <v>6</v>
      </c>
      <c r="N10" s="182" t="n">
        <v>7</v>
      </c>
      <c r="O10" s="182"/>
      <c r="P10" s="182" t="n">
        <v>8</v>
      </c>
      <c r="Q10" s="182" t="n">
        <v>9</v>
      </c>
      <c r="R10" s="182"/>
      <c r="S10" s="182"/>
      <c r="T10" s="182" t="n">
        <v>10</v>
      </c>
      <c r="U10" s="182" t="n">
        <v>11</v>
      </c>
      <c r="V10" s="182"/>
      <c r="W10" s="182"/>
      <c r="X10" s="182"/>
      <c r="Y10" s="182"/>
      <c r="Z10" s="182" t="n">
        <v>12</v>
      </c>
      <c r="AA10" s="182" t="n">
        <v>13</v>
      </c>
      <c r="AB10" s="182"/>
      <c r="AC10" s="182" t="n">
        <v>14</v>
      </c>
      <c r="AD10" s="182"/>
      <c r="AE10" s="182"/>
      <c r="AF10" s="182"/>
      <c r="AG10" s="184" t="n">
        <v>15</v>
      </c>
      <c r="AH10" s="182" t="n">
        <v>16</v>
      </c>
      <c r="AI10" s="182" t="n">
        <v>17</v>
      </c>
      <c r="AJ10" s="182" t="n">
        <v>18</v>
      </c>
      <c r="AK10" s="182" t="n">
        <v>19</v>
      </c>
      <c r="AL10" s="182" t="n">
        <v>20</v>
      </c>
      <c r="AM10" s="182"/>
      <c r="AN10" s="182"/>
      <c r="AO10" s="182"/>
      <c r="AP10" s="182"/>
      <c r="AQ10" s="182"/>
      <c r="AR10" s="182"/>
      <c r="AS10" s="182"/>
      <c r="AT10" s="182"/>
      <c r="AU10" s="182"/>
      <c r="AV10" s="182" t="n">
        <v>21</v>
      </c>
      <c r="AW10" s="182" t="n">
        <v>21</v>
      </c>
      <c r="AX10" s="182"/>
      <c r="AY10" s="182" t="n">
        <v>22</v>
      </c>
      <c r="AZ10" s="182" t="n">
        <v>23</v>
      </c>
      <c r="BA10" s="182" t="n">
        <v>24</v>
      </c>
      <c r="BB10" s="182" t="n">
        <v>25</v>
      </c>
      <c r="BC10" s="182" t="n">
        <v>26</v>
      </c>
      <c r="BD10" s="182" t="n">
        <v>27</v>
      </c>
      <c r="BE10" s="182" t="n">
        <v>28</v>
      </c>
      <c r="BF10" s="182" t="n">
        <v>29</v>
      </c>
      <c r="BG10" s="182" t="n">
        <v>30</v>
      </c>
      <c r="BH10" s="182" t="n">
        <v>31</v>
      </c>
      <c r="BI10" s="182" t="n">
        <v>32</v>
      </c>
      <c r="BJ10" s="151"/>
    </row>
    <row r="11" customFormat="false" ht="0.75" hidden="false" customHeight="true" outlineLevel="0" collapsed="false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</row>
    <row r="12" customFormat="false" ht="11.25" hidden="false" customHeight="true" outlineLevel="0" collapsed="false">
      <c r="A12" s="186" t="n">
        <v>45292</v>
      </c>
      <c r="B12" s="187" t="s">
        <v>173</v>
      </c>
      <c r="C12" s="188"/>
      <c r="D12" s="188"/>
      <c r="E12" s="188"/>
      <c r="F12" s="189" t="n">
        <v>0</v>
      </c>
      <c r="G12" s="188"/>
      <c r="H12" s="188"/>
      <c r="I12" s="188"/>
      <c r="J12" s="188"/>
      <c r="K12" s="189" t="n">
        <v>0</v>
      </c>
      <c r="L12" s="189" t="n">
        <v>0</v>
      </c>
      <c r="M12" s="190"/>
      <c r="N12" s="188"/>
      <c r="O12" s="191"/>
      <c r="P12" s="192"/>
      <c r="Q12" s="188"/>
      <c r="R12" s="188"/>
      <c r="S12" s="191"/>
      <c r="T12" s="192"/>
      <c r="U12" s="188"/>
      <c r="V12" s="188"/>
      <c r="W12" s="188"/>
      <c r="X12" s="188"/>
      <c r="Y12" s="191"/>
      <c r="Z12" s="192"/>
      <c r="AA12" s="188"/>
      <c r="AB12" s="193" t="n">
        <v>0</v>
      </c>
      <c r="AC12" s="194"/>
      <c r="AD12" s="188"/>
      <c r="AE12" s="188"/>
      <c r="AF12" s="193" t="n">
        <v>0</v>
      </c>
      <c r="AG12" s="189" t="n">
        <v>0</v>
      </c>
      <c r="AH12" s="190"/>
      <c r="AI12" s="195"/>
      <c r="AJ12" s="195"/>
      <c r="AK12" s="196"/>
      <c r="AL12" s="197"/>
      <c r="AM12" s="188"/>
      <c r="AN12" s="188"/>
      <c r="AO12" s="188"/>
      <c r="AP12" s="188"/>
      <c r="AQ12" s="188"/>
      <c r="AR12" s="188"/>
      <c r="AS12" s="188"/>
      <c r="AT12" s="188"/>
      <c r="AU12" s="198"/>
      <c r="AV12" s="199"/>
      <c r="AW12" s="188"/>
      <c r="AX12" s="198"/>
      <c r="AY12" s="198"/>
      <c r="AZ12" s="195"/>
      <c r="BA12" s="195"/>
      <c r="BB12" s="200"/>
      <c r="BC12" s="201"/>
      <c r="BD12" s="202"/>
      <c r="BE12" s="201"/>
      <c r="BF12" s="201"/>
      <c r="BG12" s="202"/>
      <c r="BH12" s="203" t="n">
        <f aca="false">BH$4+SUMIF($C$5:BG$5,"Нараст. баланс",$C14:BG14)+SUMIF($C$7:BE$7,"Итого (с ВНР)",$C14:BE14)-SUMIF($C$5:BG$5,"Геол. снижение,  т/сут",$C14:BG14)-SUMIF(BF$7:BG$7,"Итого",BF14:BG14)-SUMIF($C$7:BG$7,"Итого (с ВСП)",$C14:BG14)</f>
        <v>31110.1493701997</v>
      </c>
      <c r="BI12" s="204"/>
      <c r="BJ12" s="185"/>
    </row>
    <row r="13" customFormat="false" ht="11.25" hidden="false" customHeight="true" outlineLevel="0" collapsed="false">
      <c r="A13" s="186"/>
      <c r="B13" s="205" t="s">
        <v>174</v>
      </c>
      <c r="C13" s="206"/>
      <c r="D13" s="206"/>
      <c r="E13" s="206"/>
      <c r="F13" s="207" t="n">
        <v>0</v>
      </c>
      <c r="G13" s="206"/>
      <c r="H13" s="206"/>
      <c r="I13" s="206"/>
      <c r="J13" s="206"/>
      <c r="K13" s="207" t="n">
        <v>0</v>
      </c>
      <c r="L13" s="207" t="n">
        <v>0</v>
      </c>
      <c r="M13" s="208"/>
      <c r="N13" s="206"/>
      <c r="O13" s="209" t="n">
        <f aca="false">SUBTOTAL(9,N15:N15)</f>
        <v>0</v>
      </c>
      <c r="P13" s="210"/>
      <c r="Q13" s="206"/>
      <c r="R13" s="206"/>
      <c r="S13" s="209" t="n">
        <f aca="false">SUBTOTAL(9,Q15:R15)</f>
        <v>0</v>
      </c>
      <c r="T13" s="210"/>
      <c r="U13" s="206"/>
      <c r="V13" s="206"/>
      <c r="W13" s="206"/>
      <c r="X13" s="206"/>
      <c r="Y13" s="209" t="n">
        <f aca="false">SUBTOTAL(9,U15:X15)</f>
        <v>0</v>
      </c>
      <c r="Z13" s="210"/>
      <c r="AA13" s="206"/>
      <c r="AB13" s="211" t="n">
        <f aca="false">SUBTOTAL(9,AA15:AA15)</f>
        <v>0</v>
      </c>
      <c r="AC13" s="212"/>
      <c r="AD13" s="206"/>
      <c r="AE13" s="206"/>
      <c r="AF13" s="211" t="n">
        <f aca="false">SUBTOTAL(9,AC15:AE15)</f>
        <v>0</v>
      </c>
      <c r="AG13" s="207" t="n">
        <f aca="false">SUBTOTAL(9,AA15:AE15)</f>
        <v>0</v>
      </c>
      <c r="AH13" s="208"/>
      <c r="AI13" s="213"/>
      <c r="AJ13" s="213"/>
      <c r="AK13" s="214"/>
      <c r="AL13" s="215"/>
      <c r="AM13" s="206"/>
      <c r="AN13" s="206"/>
      <c r="AO13" s="206"/>
      <c r="AP13" s="206"/>
      <c r="AQ13" s="206"/>
      <c r="AR13" s="206"/>
      <c r="AS13" s="206"/>
      <c r="AT13" s="206"/>
      <c r="AU13" s="207" t="n">
        <f aca="false">SUBTOTAL(9,AL15:AT15)</f>
        <v>0</v>
      </c>
      <c r="AV13" s="216"/>
      <c r="AW13" s="206"/>
      <c r="AX13" s="207" t="n">
        <f aca="false">SUBTOTAL(3,AW13:AW13)</f>
        <v>0</v>
      </c>
      <c r="AY13" s="217"/>
      <c r="AZ13" s="213"/>
      <c r="BA13" s="213"/>
      <c r="BB13" s="218"/>
      <c r="BC13" s="219"/>
      <c r="BD13" s="220"/>
      <c r="BE13" s="219"/>
      <c r="BF13" s="219"/>
      <c r="BG13" s="220"/>
      <c r="BH13" s="203"/>
      <c r="BI13" s="221"/>
      <c r="BJ13" s="185"/>
    </row>
    <row r="14" customFormat="false" ht="11.25" hidden="false" customHeight="true" outlineLevel="0" collapsed="false">
      <c r="A14" s="186"/>
      <c r="B14" s="222" t="s">
        <v>172</v>
      </c>
      <c r="C14" s="223"/>
      <c r="D14" s="223"/>
      <c r="E14" s="223"/>
      <c r="F14" s="224" t="n">
        <f aca="false">SUBTOTAL(9,C14:E14)</f>
        <v>0</v>
      </c>
      <c r="G14" s="223"/>
      <c r="H14" s="223"/>
      <c r="I14" s="223"/>
      <c r="J14" s="223"/>
      <c r="K14" s="224" t="n">
        <f aca="false">SUBTOTAL(9,G14:J14)</f>
        <v>0</v>
      </c>
      <c r="L14" s="224" t="n">
        <f aca="false">SUBTOTAL(9,C14:J14)</f>
        <v>0</v>
      </c>
      <c r="M14" s="225" t="n">
        <v>0</v>
      </c>
      <c r="N14" s="223"/>
      <c r="O14" s="226" t="n">
        <f aca="false">SUBTOTAL(9,N14:N14)</f>
        <v>0</v>
      </c>
      <c r="P14" s="227" t="n">
        <f aca="false">O14+IF($B10=2,0,P10)</f>
        <v>0</v>
      </c>
      <c r="Q14" s="223"/>
      <c r="R14" s="223"/>
      <c r="S14" s="226" t="n">
        <f aca="false">SUBTOTAL(9,Q14:R14)</f>
        <v>0</v>
      </c>
      <c r="T14" s="227" t="n">
        <f aca="false">S14+IF($B10=2,0,T10)</f>
        <v>0</v>
      </c>
      <c r="U14" s="223"/>
      <c r="V14" s="223"/>
      <c r="W14" s="223"/>
      <c r="X14" s="223"/>
      <c r="Y14" s="226" t="n">
        <f aca="false">SUBTOTAL(9,U14:X14)</f>
        <v>0</v>
      </c>
      <c r="Z14" s="227" t="n">
        <f aca="false">Y14+IF($B10=2,0,Z10)</f>
        <v>0</v>
      </c>
      <c r="AA14" s="223"/>
      <c r="AB14" s="228" t="n">
        <f aca="false">SUBTOTAL(9,AA14:AA14)</f>
        <v>0</v>
      </c>
      <c r="AC14" s="229" t="n">
        <v>0</v>
      </c>
      <c r="AD14" s="223"/>
      <c r="AE14" s="223"/>
      <c r="AF14" s="228" t="n">
        <f aca="false">SUBTOTAL(9,AC14:AE14)</f>
        <v>0</v>
      </c>
      <c r="AG14" s="224" t="n">
        <f aca="false">SUBTOTAL(9,AA14:AE14)</f>
        <v>0</v>
      </c>
      <c r="AH14" s="225" t="n">
        <f aca="false">AG14+IF($B10=2,0,AH10)</f>
        <v>0</v>
      </c>
      <c r="AI14" s="230" t="n">
        <v>11</v>
      </c>
      <c r="AJ14" s="230" t="n">
        <v>11</v>
      </c>
      <c r="AK14" s="231" t="n">
        <v>50</v>
      </c>
      <c r="AL14" s="232" t="n">
        <v>0</v>
      </c>
      <c r="AM14" s="223"/>
      <c r="AN14" s="223"/>
      <c r="AO14" s="223"/>
      <c r="AP14" s="223"/>
      <c r="AQ14" s="223"/>
      <c r="AR14" s="223"/>
      <c r="AS14" s="223"/>
      <c r="AT14" s="223"/>
      <c r="AU14" s="224" t="n">
        <f aca="false">SUBTOTAL(9,AL14:AT14)</f>
        <v>0</v>
      </c>
      <c r="AV14" s="228" t="n">
        <f aca="false">AU14+IF($B10=2,0,AV10)</f>
        <v>0</v>
      </c>
      <c r="AW14" s="223"/>
      <c r="AX14" s="224" t="n">
        <f aca="false">SUBTOTAL(9,AW14:AW14)</f>
        <v>0</v>
      </c>
      <c r="AY14" s="224" t="n">
        <f aca="false">AX14+IF($B10=2,0,AY10)</f>
        <v>0</v>
      </c>
      <c r="AZ14" s="230"/>
      <c r="BA14" s="230"/>
      <c r="BB14" s="233" t="n">
        <f aca="false">SUMIF($C$5:BA$5,"Накопленный эффект, т/сут",$C14:BA14)+SUMIF($C$5:BA$5,"Нараст.  по потенциалу",$C14:BA14)-SUMIF($C$5:BA$5,"Нараст. по остановкам",$C14:BA14)-SUMIF($C$5:BA$5,"ИТОГО перевод в ППД",$C14:BA14)-SUMIF($C$5:BA$5,"ИТОГО  нерент, по распоряж.",$C14:BA14)-SUMIF($C$5:BA$5,"ИТОГО ост. дебит от ЗБС, Углуб., ПВЛГ/ПНЛГ",$C14:BA14)</f>
        <v>0</v>
      </c>
      <c r="BC14" s="234"/>
      <c r="BD14" s="224" t="n">
        <v>1.80862980030722</v>
      </c>
      <c r="BE14" s="234"/>
      <c r="BF14" s="234"/>
      <c r="BG14" s="224" t="n">
        <f aca="false">SUBTOTAL(9,BC14:BF14)</f>
        <v>1.80862980030722</v>
      </c>
      <c r="BH14" s="203"/>
      <c r="BI14" s="235" t="n">
        <f aca="false">BI$4+SUMIF($C$5:BG$5,"Нараст. по остановкам",$C14:BG14)-SUMIF($C$5:BG$5,"Нараст.  по потенциалу",$C14:BG14)</f>
        <v>573.782149186939</v>
      </c>
      <c r="BJ14" s="185"/>
    </row>
    <row r="15" customFormat="false" ht="1.5" hidden="false" customHeight="true" outlineLevel="0" collapsed="false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85"/>
    </row>
    <row r="16" customFormat="false" ht="11.25" hidden="false" customHeight="true" outlineLevel="0" collapsed="false">
      <c r="A16" s="186" t="n">
        <v>45293</v>
      </c>
      <c r="B16" s="187" t="s">
        <v>173</v>
      </c>
      <c r="C16" s="188"/>
      <c r="D16" s="188"/>
      <c r="E16" s="188"/>
      <c r="F16" s="189" t="n">
        <v>0</v>
      </c>
      <c r="G16" s="188"/>
      <c r="H16" s="188"/>
      <c r="I16" s="188"/>
      <c r="J16" s="188"/>
      <c r="K16" s="189" t="n">
        <v>0</v>
      </c>
      <c r="L16" s="189" t="n">
        <v>0</v>
      </c>
      <c r="M16" s="190"/>
      <c r="N16" s="188"/>
      <c r="O16" s="191"/>
      <c r="P16" s="192"/>
      <c r="Q16" s="188"/>
      <c r="R16" s="188"/>
      <c r="S16" s="191"/>
      <c r="T16" s="192"/>
      <c r="U16" s="188"/>
      <c r="V16" s="188"/>
      <c r="W16" s="188"/>
      <c r="X16" s="188"/>
      <c r="Y16" s="191"/>
      <c r="Z16" s="192"/>
      <c r="AA16" s="188"/>
      <c r="AB16" s="193" t="n">
        <v>0</v>
      </c>
      <c r="AC16" s="194"/>
      <c r="AD16" s="188"/>
      <c r="AE16" s="188"/>
      <c r="AF16" s="193" t="n">
        <v>5.5</v>
      </c>
      <c r="AG16" s="189" t="n">
        <v>5.5</v>
      </c>
      <c r="AH16" s="190"/>
      <c r="AI16" s="195"/>
      <c r="AJ16" s="195"/>
      <c r="AK16" s="196"/>
      <c r="AL16" s="197" t="s">
        <v>175</v>
      </c>
      <c r="AM16" s="197" t="s">
        <v>176</v>
      </c>
      <c r="AN16" s="197" t="s">
        <v>177</v>
      </c>
      <c r="AO16" s="197"/>
      <c r="AP16" s="188"/>
      <c r="AQ16" s="188"/>
      <c r="AR16" s="188"/>
      <c r="AS16" s="188"/>
      <c r="AT16" s="188"/>
      <c r="AU16" s="198"/>
      <c r="AV16" s="199"/>
      <c r="AW16" s="188"/>
      <c r="AX16" s="198"/>
      <c r="AY16" s="198"/>
      <c r="AZ16" s="195"/>
      <c r="BA16" s="195"/>
      <c r="BB16" s="200"/>
      <c r="BC16" s="201"/>
      <c r="BD16" s="202"/>
      <c r="BE16" s="201"/>
      <c r="BF16" s="201"/>
      <c r="BG16" s="202"/>
      <c r="BH16" s="203" t="n">
        <f aca="false">BH$4+SUMIF($C$5:BG$5,"Нараст. баланс",$C18:BG18)+SUMIF($C$7:BE$7,"Итого (с ВНР)",$C18:BE18)-SUMIF($C$5:BG$5,"Геол. снижение,  т/сут",$C18:BG18)-SUMIF(BF$7:BG$7,"Итого",BF18:BG18)-SUMIF($C$7:BG$7,"Итого (с ВСП)",$C18:BG18)</f>
        <v>30997.9105853895</v>
      </c>
      <c r="BI16" s="204"/>
      <c r="BJ16" s="185"/>
    </row>
    <row r="17" customFormat="false" ht="11.25" hidden="false" customHeight="true" outlineLevel="0" collapsed="false">
      <c r="A17" s="186"/>
      <c r="B17" s="205" t="s">
        <v>174</v>
      </c>
      <c r="C17" s="206"/>
      <c r="D17" s="206"/>
      <c r="E17" s="206"/>
      <c r="F17" s="207" t="n">
        <v>0</v>
      </c>
      <c r="G17" s="206"/>
      <c r="H17" s="206"/>
      <c r="I17" s="206"/>
      <c r="J17" s="206"/>
      <c r="K17" s="207" t="n">
        <v>0</v>
      </c>
      <c r="L17" s="207" t="n">
        <v>0</v>
      </c>
      <c r="M17" s="208"/>
      <c r="N17" s="206"/>
      <c r="O17" s="209" t="n">
        <f aca="false">SUBTOTAL(9,N19:N19)</f>
        <v>0</v>
      </c>
      <c r="P17" s="210"/>
      <c r="Q17" s="206"/>
      <c r="R17" s="206"/>
      <c r="S17" s="209" t="n">
        <f aca="false">SUBTOTAL(9,Q19:R19)</f>
        <v>0</v>
      </c>
      <c r="T17" s="210"/>
      <c r="U17" s="206"/>
      <c r="V17" s="206"/>
      <c r="W17" s="206"/>
      <c r="X17" s="206"/>
      <c r="Y17" s="209" t="n">
        <f aca="false">SUBTOTAL(9,U19:X19)</f>
        <v>0</v>
      </c>
      <c r="Z17" s="210"/>
      <c r="AA17" s="206"/>
      <c r="AB17" s="211" t="n">
        <f aca="false">SUBTOTAL(9,AA19:AA19)</f>
        <v>0</v>
      </c>
      <c r="AC17" s="212"/>
      <c r="AD17" s="206"/>
      <c r="AE17" s="206"/>
      <c r="AF17" s="211" t="n">
        <f aca="false">SUBTOTAL(9,AC19:AE19)</f>
        <v>0</v>
      </c>
      <c r="AG17" s="207" t="n">
        <f aca="false">SUBTOTAL(9,AA19:AE19)</f>
        <v>0</v>
      </c>
      <c r="AH17" s="208"/>
      <c r="AI17" s="213"/>
      <c r="AJ17" s="213"/>
      <c r="AK17" s="214"/>
      <c r="AL17" s="215" t="s">
        <v>178</v>
      </c>
      <c r="AM17" s="215" t="s">
        <v>179</v>
      </c>
      <c r="AN17" s="215" t="s">
        <v>180</v>
      </c>
      <c r="AO17" s="215"/>
      <c r="AP17" s="206"/>
      <c r="AQ17" s="206"/>
      <c r="AR17" s="206"/>
      <c r="AS17" s="206"/>
      <c r="AT17" s="206"/>
      <c r="AU17" s="207" t="n">
        <f aca="false">SUBTOTAL(9,AL19:AT19)</f>
        <v>3</v>
      </c>
      <c r="AV17" s="216"/>
      <c r="AW17" s="206"/>
      <c r="AX17" s="207" t="n">
        <f aca="false">SUBTOTAL(3,AW17:AW17)</f>
        <v>0</v>
      </c>
      <c r="AY17" s="217"/>
      <c r="AZ17" s="213"/>
      <c r="BA17" s="213"/>
      <c r="BB17" s="218"/>
      <c r="BC17" s="219"/>
      <c r="BD17" s="220"/>
      <c r="BE17" s="219"/>
      <c r="BF17" s="219"/>
      <c r="BG17" s="220"/>
      <c r="BH17" s="203"/>
      <c r="BI17" s="221"/>
      <c r="BJ17" s="185"/>
    </row>
    <row r="18" customFormat="false" ht="11.25" hidden="false" customHeight="true" outlineLevel="0" collapsed="false">
      <c r="A18" s="186"/>
      <c r="B18" s="222" t="s">
        <v>172</v>
      </c>
      <c r="C18" s="223"/>
      <c r="D18" s="223"/>
      <c r="E18" s="223"/>
      <c r="F18" s="224" t="n">
        <f aca="false">SUBTOTAL(9,C18:E18)</f>
        <v>0</v>
      </c>
      <c r="G18" s="223"/>
      <c r="H18" s="223"/>
      <c r="I18" s="223"/>
      <c r="J18" s="223"/>
      <c r="K18" s="224" t="n">
        <f aca="false">SUBTOTAL(9,G18:J18)</f>
        <v>0</v>
      </c>
      <c r="L18" s="224" t="n">
        <f aca="false">SUBTOTAL(9,C18:J18)</f>
        <v>0</v>
      </c>
      <c r="M18" s="225" t="n">
        <v>0</v>
      </c>
      <c r="N18" s="223"/>
      <c r="O18" s="226" t="n">
        <f aca="false">SUBTOTAL(9,N18:N18)</f>
        <v>0</v>
      </c>
      <c r="P18" s="227" t="n">
        <f aca="false">O18+IF($B14=2,0,P14)</f>
        <v>0</v>
      </c>
      <c r="Q18" s="223"/>
      <c r="R18" s="223"/>
      <c r="S18" s="226" t="n">
        <f aca="false">SUBTOTAL(9,Q18:R18)</f>
        <v>0</v>
      </c>
      <c r="T18" s="227" t="n">
        <f aca="false">S18+IF($B14=2,0,T14)</f>
        <v>0</v>
      </c>
      <c r="U18" s="223"/>
      <c r="V18" s="223"/>
      <c r="W18" s="223"/>
      <c r="X18" s="223"/>
      <c r="Y18" s="226" t="n">
        <f aca="false">SUBTOTAL(9,U18:X18)</f>
        <v>0</v>
      </c>
      <c r="Z18" s="227" t="n">
        <f aca="false">Y18+IF($B14=2,0,Z14)</f>
        <v>0</v>
      </c>
      <c r="AA18" s="223"/>
      <c r="AB18" s="228" t="n">
        <f aca="false">SUBTOTAL(9,AA18:AA18)</f>
        <v>0</v>
      </c>
      <c r="AC18" s="229" t="n">
        <v>5.5</v>
      </c>
      <c r="AD18" s="223"/>
      <c r="AE18" s="223"/>
      <c r="AF18" s="228" t="n">
        <f aca="false">SUBTOTAL(9,AC18:AE18)</f>
        <v>5.5</v>
      </c>
      <c r="AG18" s="224" t="n">
        <f aca="false">SUBTOTAL(9,AA18:AE18)</f>
        <v>5.5</v>
      </c>
      <c r="AH18" s="225" t="n">
        <f aca="false">AG18+IF($B14=2,0,AH14)</f>
        <v>5.5</v>
      </c>
      <c r="AI18" s="230" t="n">
        <v>22.1</v>
      </c>
      <c r="AJ18" s="230" t="n">
        <v>22.1</v>
      </c>
      <c r="AK18" s="231" t="n">
        <v>100</v>
      </c>
      <c r="AL18" s="232" t="n">
        <v>0.1</v>
      </c>
      <c r="AM18" s="232" t="n">
        <v>6.1</v>
      </c>
      <c r="AN18" s="232" t="n">
        <v>0.3</v>
      </c>
      <c r="AO18" s="232" t="n">
        <v>64.6751111111</v>
      </c>
      <c r="AP18" s="223"/>
      <c r="AQ18" s="223"/>
      <c r="AR18" s="223"/>
      <c r="AS18" s="223"/>
      <c r="AT18" s="223"/>
      <c r="AU18" s="224" t="n">
        <f aca="false">SUBTOTAL(9,AL18:AT18)</f>
        <v>71.1751111111</v>
      </c>
      <c r="AV18" s="228" t="n">
        <f aca="false">AU18+IF($B14=2,0,AV14)</f>
        <v>71.1751111111</v>
      </c>
      <c r="AW18" s="223"/>
      <c r="AX18" s="224" t="n">
        <f aca="false">SUBTOTAL(9,AW18:AW18)</f>
        <v>0</v>
      </c>
      <c r="AY18" s="224" t="n">
        <f aca="false">AX18+IF($B14=2,0,AY14)</f>
        <v>0</v>
      </c>
      <c r="AZ18" s="230"/>
      <c r="BA18" s="230"/>
      <c r="BB18" s="233" t="n">
        <f aca="false">SUMIF($C$5:BA$5,"Накопленный эффект, т/сут",$C18:BA18)+SUMIF($C$5:BA$5,"Нараст.  по потенциалу",$C18:BA18)-SUMIF($C$5:BA$5,"Нараст. по остановкам",$C18:BA18)-SUMIF($C$5:BA$5,"ИТОГО перевод в ППД",$C18:BA18)-SUMIF($C$5:BA$5,"ИТОГО  нерент, по распоряж.",$C18:BA18)-SUMIF($C$5:BA$5,"ИТОГО ост. дебит от ЗБС, Углуб., ПВЛГ/ПНЛГ",$C18:BA18)</f>
        <v>-65.6751111111</v>
      </c>
      <c r="BC18" s="234"/>
      <c r="BD18" s="224" t="n">
        <v>9.47230349935077</v>
      </c>
      <c r="BE18" s="234"/>
      <c r="BF18" s="234"/>
      <c r="BG18" s="224" t="n">
        <f aca="false">SUBTOTAL(9,BC18:BF18)</f>
        <v>9.47230349935077</v>
      </c>
      <c r="BH18" s="203"/>
      <c r="BI18" s="235" t="n">
        <f aca="false">BI$4+SUMIF($C$5:BG$5,"Нараст. по остановкам",$C18:BG18)-SUMIF($C$5:BG$5,"Нараст.  по потенциалу",$C18:BG18)</f>
        <v>639.457260298039</v>
      </c>
      <c r="BJ18" s="185"/>
    </row>
    <row r="19" customFormat="false" ht="1.5" hidden="false" customHeight="true" outlineLevel="0" collapsed="false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 t="n">
        <v>1</v>
      </c>
      <c r="AM19" s="151" t="n">
        <v>1</v>
      </c>
      <c r="AN19" s="151" t="n">
        <v>1</v>
      </c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85"/>
    </row>
    <row r="20" customFormat="false" ht="11.25" hidden="false" customHeight="true" outlineLevel="0" collapsed="false">
      <c r="A20" s="186" t="n">
        <v>45294</v>
      </c>
      <c r="B20" s="187" t="s">
        <v>173</v>
      </c>
      <c r="C20" s="188"/>
      <c r="D20" s="188"/>
      <c r="E20" s="188"/>
      <c r="F20" s="189" t="n">
        <v>0</v>
      </c>
      <c r="G20" s="188"/>
      <c r="H20" s="188"/>
      <c r="I20" s="188"/>
      <c r="J20" s="188"/>
      <c r="K20" s="189" t="n">
        <v>0</v>
      </c>
      <c r="L20" s="189" t="n">
        <v>0</v>
      </c>
      <c r="M20" s="190"/>
      <c r="N20" s="188"/>
      <c r="O20" s="191"/>
      <c r="P20" s="192"/>
      <c r="Q20" s="194" t="s">
        <v>181</v>
      </c>
      <c r="R20" s="188"/>
      <c r="S20" s="191"/>
      <c r="T20" s="192"/>
      <c r="U20" s="188"/>
      <c r="V20" s="188"/>
      <c r="W20" s="188"/>
      <c r="X20" s="188"/>
      <c r="Y20" s="191"/>
      <c r="Z20" s="192"/>
      <c r="AA20" s="188"/>
      <c r="AB20" s="193" t="n">
        <v>0</v>
      </c>
      <c r="AC20" s="194" t="s">
        <v>181</v>
      </c>
      <c r="AD20" s="188"/>
      <c r="AE20" s="188"/>
      <c r="AF20" s="193" t="n">
        <v>8.1</v>
      </c>
      <c r="AG20" s="189" t="n">
        <v>8.1</v>
      </c>
      <c r="AH20" s="190"/>
      <c r="AI20" s="195"/>
      <c r="AJ20" s="195"/>
      <c r="AK20" s="196"/>
      <c r="AL20" s="197" t="s">
        <v>181</v>
      </c>
      <c r="AM20" s="197"/>
      <c r="AN20" s="188"/>
      <c r="AO20" s="188"/>
      <c r="AP20" s="188"/>
      <c r="AQ20" s="188"/>
      <c r="AR20" s="188"/>
      <c r="AS20" s="188"/>
      <c r="AT20" s="188"/>
      <c r="AU20" s="198"/>
      <c r="AV20" s="199"/>
      <c r="AW20" s="197" t="s">
        <v>181</v>
      </c>
      <c r="AX20" s="198"/>
      <c r="AY20" s="198"/>
      <c r="AZ20" s="195"/>
      <c r="BA20" s="195"/>
      <c r="BB20" s="200"/>
      <c r="BC20" s="201"/>
      <c r="BD20" s="202"/>
      <c r="BE20" s="201"/>
      <c r="BF20" s="201"/>
      <c r="BG20" s="202"/>
      <c r="BH20" s="203" t="n">
        <f aca="false">BH$4+SUMIF($C$5:BG$5,"Нараст. баланс",$C22:BG22)+SUMIF($C$7:BE$7,"Итого (с ВНР)",$C22:BE22)-SUMIF($C$5:BG$5,"Геол. снижение,  т/сут",$C22:BG22)-SUMIF(BF$7:BG$7,"Итого",BF22:BG22)-SUMIF($C$7:BG$7,"Итого (с ВСП)",$C22:BG22)</f>
        <v>30953.3898082437</v>
      </c>
      <c r="BI20" s="204"/>
      <c r="BJ20" s="185"/>
    </row>
    <row r="21" customFormat="false" ht="11.25" hidden="false" customHeight="true" outlineLevel="0" collapsed="false">
      <c r="A21" s="186"/>
      <c r="B21" s="205" t="s">
        <v>174</v>
      </c>
      <c r="C21" s="206"/>
      <c r="D21" s="206"/>
      <c r="E21" s="206"/>
      <c r="F21" s="207" t="n">
        <v>0</v>
      </c>
      <c r="G21" s="206"/>
      <c r="H21" s="206"/>
      <c r="I21" s="206"/>
      <c r="J21" s="206"/>
      <c r="K21" s="207" t="n">
        <v>0</v>
      </c>
      <c r="L21" s="207" t="n">
        <v>0</v>
      </c>
      <c r="M21" s="208"/>
      <c r="N21" s="206"/>
      <c r="O21" s="209" t="n">
        <f aca="false">SUBTOTAL(9,N23:N23)</f>
        <v>0</v>
      </c>
      <c r="P21" s="210"/>
      <c r="Q21" s="212" t="s">
        <v>182</v>
      </c>
      <c r="R21" s="206"/>
      <c r="S21" s="209" t="n">
        <f aca="false">SUBTOTAL(9,Q23:R23)</f>
        <v>1</v>
      </c>
      <c r="T21" s="210"/>
      <c r="U21" s="206"/>
      <c r="V21" s="206"/>
      <c r="W21" s="206"/>
      <c r="X21" s="206"/>
      <c r="Y21" s="209" t="n">
        <f aca="false">SUBTOTAL(9,U23:X23)</f>
        <v>0</v>
      </c>
      <c r="Z21" s="210"/>
      <c r="AA21" s="206"/>
      <c r="AB21" s="211" t="n">
        <f aca="false">SUBTOTAL(9,AA23:AA23)</f>
        <v>0</v>
      </c>
      <c r="AC21" s="212" t="s">
        <v>183</v>
      </c>
      <c r="AD21" s="206"/>
      <c r="AE21" s="206"/>
      <c r="AF21" s="211" t="n">
        <f aca="false">SUBTOTAL(9,AC23:AE23)</f>
        <v>1</v>
      </c>
      <c r="AG21" s="207" t="n">
        <f aca="false">SUBTOTAL(9,AA23:AE23)</f>
        <v>1</v>
      </c>
      <c r="AH21" s="208"/>
      <c r="AI21" s="213"/>
      <c r="AJ21" s="213"/>
      <c r="AK21" s="214"/>
      <c r="AL21" s="215" t="s">
        <v>183</v>
      </c>
      <c r="AM21" s="215"/>
      <c r="AN21" s="206"/>
      <c r="AO21" s="206"/>
      <c r="AP21" s="206"/>
      <c r="AQ21" s="206"/>
      <c r="AR21" s="206"/>
      <c r="AS21" s="206"/>
      <c r="AT21" s="206"/>
      <c r="AU21" s="207" t="n">
        <f aca="false">SUBTOTAL(9,AL23:AT23)</f>
        <v>1</v>
      </c>
      <c r="AV21" s="216"/>
      <c r="AW21" s="215" t="s">
        <v>183</v>
      </c>
      <c r="AX21" s="207" t="n">
        <f aca="false">SUBTOTAL(3,AW21:AW21)</f>
        <v>1</v>
      </c>
      <c r="AY21" s="217"/>
      <c r="AZ21" s="213"/>
      <c r="BA21" s="213"/>
      <c r="BB21" s="218"/>
      <c r="BC21" s="219"/>
      <c r="BD21" s="220"/>
      <c r="BE21" s="219"/>
      <c r="BF21" s="219"/>
      <c r="BG21" s="220"/>
      <c r="BH21" s="203"/>
      <c r="BI21" s="221"/>
      <c r="BJ21" s="185"/>
    </row>
    <row r="22" customFormat="false" ht="11.25" hidden="false" customHeight="true" outlineLevel="0" collapsed="false">
      <c r="A22" s="186"/>
      <c r="B22" s="222" t="s">
        <v>172</v>
      </c>
      <c r="C22" s="223"/>
      <c r="D22" s="223"/>
      <c r="E22" s="223"/>
      <c r="F22" s="224" t="n">
        <f aca="false">SUBTOTAL(9,C22:E22)</f>
        <v>0</v>
      </c>
      <c r="G22" s="223"/>
      <c r="H22" s="223"/>
      <c r="I22" s="223"/>
      <c r="J22" s="223"/>
      <c r="K22" s="224" t="n">
        <f aca="false">SUBTOTAL(9,G22:J22)</f>
        <v>0</v>
      </c>
      <c r="L22" s="224" t="n">
        <f aca="false">SUBTOTAL(9,C22:J22)</f>
        <v>0</v>
      </c>
      <c r="M22" s="225" t="n">
        <v>0</v>
      </c>
      <c r="N22" s="223"/>
      <c r="O22" s="226" t="n">
        <f aca="false">SUBTOTAL(9,N22:N22)</f>
        <v>0</v>
      </c>
      <c r="P22" s="227" t="n">
        <f aca="false">O22+IF($B18=2,0,P18)</f>
        <v>0</v>
      </c>
      <c r="Q22" s="229" t="n">
        <v>40</v>
      </c>
      <c r="R22" s="223"/>
      <c r="S22" s="226" t="n">
        <f aca="false">SUBTOTAL(9,Q22:R22)</f>
        <v>40</v>
      </c>
      <c r="T22" s="227" t="n">
        <f aca="false">S22+IF($B18=2,0,T18)</f>
        <v>40</v>
      </c>
      <c r="U22" s="223"/>
      <c r="V22" s="223"/>
      <c r="W22" s="223"/>
      <c r="X22" s="223"/>
      <c r="Y22" s="226" t="n">
        <f aca="false">SUBTOTAL(9,U22:X22)</f>
        <v>0</v>
      </c>
      <c r="Z22" s="227" t="n">
        <f aca="false">Y22+IF($B18=2,0,Z18)</f>
        <v>0</v>
      </c>
      <c r="AA22" s="223"/>
      <c r="AB22" s="228" t="n">
        <f aca="false">SUBTOTAL(9,AA22:AA22)</f>
        <v>0</v>
      </c>
      <c r="AC22" s="229" t="n">
        <v>2.6</v>
      </c>
      <c r="AD22" s="223"/>
      <c r="AE22" s="223"/>
      <c r="AF22" s="228" t="n">
        <f aca="false">SUBTOTAL(9,AC22:AE22)</f>
        <v>2.6</v>
      </c>
      <c r="AG22" s="224" t="n">
        <f aca="false">SUBTOTAL(9,AA22:AE22)</f>
        <v>2.6</v>
      </c>
      <c r="AH22" s="225" t="n">
        <f aca="false">AG22+IF($B18=2,0,AH18)</f>
        <v>8.1</v>
      </c>
      <c r="AI22" s="230" t="n">
        <v>71.8</v>
      </c>
      <c r="AJ22" s="230" t="n">
        <v>71.8</v>
      </c>
      <c r="AK22" s="231" t="n">
        <v>150</v>
      </c>
      <c r="AL22" s="232" t="n">
        <v>2.6</v>
      </c>
      <c r="AM22" s="232" t="n">
        <v>85.496</v>
      </c>
      <c r="AN22" s="223"/>
      <c r="AO22" s="223"/>
      <c r="AP22" s="223"/>
      <c r="AQ22" s="223"/>
      <c r="AR22" s="223"/>
      <c r="AS22" s="223"/>
      <c r="AT22" s="223"/>
      <c r="AU22" s="224" t="n">
        <f aca="false">SUBTOTAL(9,AL22:AT22)</f>
        <v>88.096</v>
      </c>
      <c r="AV22" s="228" t="n">
        <f aca="false">AU22+IF($B18=2,0,AV18)</f>
        <v>159.2711111111</v>
      </c>
      <c r="AW22" s="232" t="n">
        <v>2.6</v>
      </c>
      <c r="AX22" s="224" t="n">
        <f aca="false">SUBTOTAL(9,AW22:AW22)</f>
        <v>2.6</v>
      </c>
      <c r="AY22" s="224" t="n">
        <f aca="false">AX22+IF($B18=2,0,AY18)</f>
        <v>2.6</v>
      </c>
      <c r="AZ22" s="230"/>
      <c r="BA22" s="230"/>
      <c r="BB22" s="233" t="n">
        <f aca="false">SUMIF($C$5:BA$5,"Накопленный эффект, т/сут",$C22:BA22)+SUMIF($C$5:BA$5,"Нараст.  по потенциалу",$C22:BA22)-SUMIF($C$5:BA$5,"Нараст. по остановкам",$C22:BA22)-SUMIF($C$5:BA$5,"ИТОГО перевод в ППД",$C22:BA22)-SUMIF($C$5:BA$5,"ИТОГО  нерент, по распоряж.",$C22:BA22)-SUMIF($C$5:BA$5,"ИТОГО ост. дебит от ЗБС, Углуб., ПВЛГ/ПНЛГ",$C22:BA22)</f>
        <v>-113.7711111111</v>
      </c>
      <c r="BC22" s="234"/>
      <c r="BD22" s="224" t="n">
        <v>5.59708064516129</v>
      </c>
      <c r="BE22" s="234"/>
      <c r="BF22" s="234"/>
      <c r="BG22" s="224" t="n">
        <f aca="false">SUBTOTAL(9,BC22:BF22)</f>
        <v>5.59708064516129</v>
      </c>
      <c r="BH22" s="203"/>
      <c r="BI22" s="235" t="n">
        <f aca="false">BI$4+SUMIF($C$5:BG$5,"Нараст. по остановкам",$C22:BG22)-SUMIF($C$5:BG$5,"Нараст.  по потенциалу",$C22:BG22)</f>
        <v>724.953260298039</v>
      </c>
      <c r="BJ22" s="185"/>
    </row>
    <row r="23" customFormat="false" ht="1.5" hidden="false" customHeight="true" outlineLevel="0" collapsed="false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 t="n">
        <v>1</v>
      </c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 t="n">
        <v>1</v>
      </c>
      <c r="AD23" s="151"/>
      <c r="AE23" s="151"/>
      <c r="AF23" s="151"/>
      <c r="AG23" s="151"/>
      <c r="AH23" s="151"/>
      <c r="AI23" s="151"/>
      <c r="AJ23" s="151"/>
      <c r="AK23" s="151"/>
      <c r="AL23" s="151" t="n">
        <v>1</v>
      </c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85"/>
    </row>
    <row r="24" customFormat="false" ht="11.25" hidden="false" customHeight="true" outlineLevel="0" collapsed="false">
      <c r="A24" s="186" t="n">
        <v>45295</v>
      </c>
      <c r="B24" s="187" t="s">
        <v>173</v>
      </c>
      <c r="C24" s="188"/>
      <c r="D24" s="188"/>
      <c r="E24" s="188"/>
      <c r="F24" s="189" t="n">
        <v>0</v>
      </c>
      <c r="G24" s="188"/>
      <c r="H24" s="188"/>
      <c r="I24" s="188"/>
      <c r="J24" s="188"/>
      <c r="K24" s="189" t="n">
        <v>0</v>
      </c>
      <c r="L24" s="189" t="n">
        <v>0</v>
      </c>
      <c r="M24" s="190"/>
      <c r="N24" s="188"/>
      <c r="O24" s="191"/>
      <c r="P24" s="192"/>
      <c r="Q24" s="194" t="s">
        <v>181</v>
      </c>
      <c r="R24" s="194" t="s">
        <v>184</v>
      </c>
      <c r="S24" s="191"/>
      <c r="T24" s="192"/>
      <c r="U24" s="194" t="s">
        <v>175</v>
      </c>
      <c r="V24" s="188"/>
      <c r="W24" s="188"/>
      <c r="X24" s="188"/>
      <c r="Y24" s="191"/>
      <c r="Z24" s="192"/>
      <c r="AA24" s="188"/>
      <c r="AB24" s="193" t="n">
        <v>0</v>
      </c>
      <c r="AC24" s="194" t="s">
        <v>175</v>
      </c>
      <c r="AD24" s="194"/>
      <c r="AE24" s="188"/>
      <c r="AF24" s="193" t="n">
        <v>39.7</v>
      </c>
      <c r="AG24" s="189" t="n">
        <v>39.7</v>
      </c>
      <c r="AH24" s="190"/>
      <c r="AI24" s="195"/>
      <c r="AJ24" s="195"/>
      <c r="AK24" s="196"/>
      <c r="AL24" s="197"/>
      <c r="AM24" s="188"/>
      <c r="AN24" s="188"/>
      <c r="AO24" s="188"/>
      <c r="AP24" s="188"/>
      <c r="AQ24" s="188"/>
      <c r="AR24" s="188"/>
      <c r="AS24" s="188"/>
      <c r="AT24" s="188"/>
      <c r="AU24" s="198"/>
      <c r="AV24" s="199"/>
      <c r="AW24" s="188"/>
      <c r="AX24" s="198"/>
      <c r="AY24" s="198"/>
      <c r="AZ24" s="195"/>
      <c r="BA24" s="195"/>
      <c r="BB24" s="200"/>
      <c r="BC24" s="201"/>
      <c r="BD24" s="201"/>
      <c r="BE24" s="201"/>
      <c r="BF24" s="201"/>
      <c r="BG24" s="202"/>
      <c r="BH24" s="203" t="n">
        <f aca="false">BH$4+SUMIF($C$5:BG$5,"Нараст. баланс",$C26:BG26)+SUMIF($C$7:BE$7,"Итого (с ВНР)",$C26:BE26)-SUMIF($C$5:BG$5,"Геол. снижение,  т/сут",$C26:BG26)-SUMIF(BF$7:BG$7,"Итого",BF26:BG26)-SUMIF($C$7:BG$7,"Итого (с ВСП)",$C26:BG26)</f>
        <v>30933.4117777778</v>
      </c>
      <c r="BI24" s="204"/>
      <c r="BJ24" s="185"/>
    </row>
    <row r="25" customFormat="false" ht="11.25" hidden="false" customHeight="true" outlineLevel="0" collapsed="false">
      <c r="A25" s="186"/>
      <c r="B25" s="205" t="s">
        <v>174</v>
      </c>
      <c r="C25" s="206"/>
      <c r="D25" s="206"/>
      <c r="E25" s="206"/>
      <c r="F25" s="207" t="n">
        <v>0</v>
      </c>
      <c r="G25" s="206"/>
      <c r="H25" s="206"/>
      <c r="I25" s="206"/>
      <c r="J25" s="206"/>
      <c r="K25" s="207" t="n">
        <v>0</v>
      </c>
      <c r="L25" s="207" t="n">
        <v>0</v>
      </c>
      <c r="M25" s="208"/>
      <c r="N25" s="206"/>
      <c r="O25" s="209" t="n">
        <f aca="false">SUBTOTAL(9,N27:N27)</f>
        <v>0</v>
      </c>
      <c r="P25" s="210"/>
      <c r="Q25" s="212" t="s">
        <v>185</v>
      </c>
      <c r="R25" s="212" t="s">
        <v>186</v>
      </c>
      <c r="S25" s="209" t="n">
        <f aca="false">SUBTOTAL(9,Q27:R27)</f>
        <v>2</v>
      </c>
      <c r="T25" s="210"/>
      <c r="U25" s="212" t="s">
        <v>187</v>
      </c>
      <c r="V25" s="206"/>
      <c r="W25" s="206"/>
      <c r="X25" s="206"/>
      <c r="Y25" s="209" t="n">
        <f aca="false">SUBTOTAL(9,U27:X27)</f>
        <v>1</v>
      </c>
      <c r="Z25" s="210"/>
      <c r="AA25" s="206"/>
      <c r="AB25" s="211" t="n">
        <f aca="false">SUBTOTAL(9,AA27:AA27)</f>
        <v>0</v>
      </c>
      <c r="AC25" s="212" t="s">
        <v>188</v>
      </c>
      <c r="AD25" s="212"/>
      <c r="AE25" s="206"/>
      <c r="AF25" s="211" t="n">
        <f aca="false">SUBTOTAL(9,AC27:AE27)</f>
        <v>1</v>
      </c>
      <c r="AG25" s="207" t="n">
        <f aca="false">SUBTOTAL(9,AA27:AE27)</f>
        <v>1</v>
      </c>
      <c r="AH25" s="208"/>
      <c r="AI25" s="213"/>
      <c r="AJ25" s="213"/>
      <c r="AK25" s="214"/>
      <c r="AL25" s="215"/>
      <c r="AM25" s="206"/>
      <c r="AN25" s="206"/>
      <c r="AO25" s="206"/>
      <c r="AP25" s="206"/>
      <c r="AQ25" s="206"/>
      <c r="AR25" s="206"/>
      <c r="AS25" s="206"/>
      <c r="AT25" s="206"/>
      <c r="AU25" s="207" t="n">
        <f aca="false">SUBTOTAL(9,AL27:AT27)</f>
        <v>0</v>
      </c>
      <c r="AV25" s="216"/>
      <c r="AW25" s="206"/>
      <c r="AX25" s="207" t="n">
        <f aca="false">SUBTOTAL(3,AW25:AW25)</f>
        <v>0</v>
      </c>
      <c r="AY25" s="217"/>
      <c r="AZ25" s="213"/>
      <c r="BA25" s="213"/>
      <c r="BB25" s="218"/>
      <c r="BC25" s="219"/>
      <c r="BD25" s="219"/>
      <c r="BE25" s="219"/>
      <c r="BF25" s="219"/>
      <c r="BG25" s="220"/>
      <c r="BH25" s="203"/>
      <c r="BI25" s="221"/>
      <c r="BJ25" s="185"/>
    </row>
    <row r="26" customFormat="false" ht="11.25" hidden="false" customHeight="true" outlineLevel="0" collapsed="false">
      <c r="A26" s="186"/>
      <c r="B26" s="222" t="s">
        <v>172</v>
      </c>
      <c r="C26" s="223"/>
      <c r="D26" s="223"/>
      <c r="E26" s="223"/>
      <c r="F26" s="224" t="n">
        <f aca="false">SUBTOTAL(9,C26:E26)</f>
        <v>0</v>
      </c>
      <c r="G26" s="223"/>
      <c r="H26" s="223"/>
      <c r="I26" s="223"/>
      <c r="J26" s="223"/>
      <c r="K26" s="224" t="n">
        <f aca="false">SUBTOTAL(9,G26:J26)</f>
        <v>0</v>
      </c>
      <c r="L26" s="224" t="n">
        <f aca="false">SUBTOTAL(9,C26:J26)</f>
        <v>0</v>
      </c>
      <c r="M26" s="225" t="n">
        <v>0</v>
      </c>
      <c r="N26" s="223"/>
      <c r="O26" s="226" t="n">
        <f aca="false">SUBTOTAL(9,N26:N26)</f>
        <v>0</v>
      </c>
      <c r="P26" s="227" t="n">
        <f aca="false">O26+IF($B22=2,0,P22)</f>
        <v>0</v>
      </c>
      <c r="Q26" s="229" t="n">
        <v>10</v>
      </c>
      <c r="R26" s="229" t="n">
        <v>30</v>
      </c>
      <c r="S26" s="226" t="n">
        <f aca="false">SUBTOTAL(9,Q26:R26)</f>
        <v>40</v>
      </c>
      <c r="T26" s="227" t="n">
        <f aca="false">S26+IF($B22=2,0,T22)</f>
        <v>80</v>
      </c>
      <c r="U26" s="229" t="n">
        <v>4</v>
      </c>
      <c r="V26" s="223"/>
      <c r="W26" s="223"/>
      <c r="X26" s="223"/>
      <c r="Y26" s="226" t="n">
        <f aca="false">SUBTOTAL(9,U26:X26)</f>
        <v>4</v>
      </c>
      <c r="Z26" s="227" t="n">
        <f aca="false">Y26+IF($B22=2,0,Z22)</f>
        <v>4</v>
      </c>
      <c r="AA26" s="223"/>
      <c r="AB26" s="228" t="n">
        <f aca="false">SUBTOTAL(9,AA26:AA26)</f>
        <v>0</v>
      </c>
      <c r="AC26" s="229" t="n">
        <v>27.5</v>
      </c>
      <c r="AD26" s="229" t="n">
        <v>4.1</v>
      </c>
      <c r="AE26" s="223"/>
      <c r="AF26" s="228" t="n">
        <f aca="false">SUBTOTAL(9,AC26:AE26)</f>
        <v>31.6</v>
      </c>
      <c r="AG26" s="224" t="n">
        <f aca="false">SUBTOTAL(9,AA26:AE26)</f>
        <v>31.6</v>
      </c>
      <c r="AH26" s="225" t="n">
        <f aca="false">AG26+IF($B22=2,0,AH22)</f>
        <v>39.7</v>
      </c>
      <c r="AI26" s="230" t="n">
        <v>82.8</v>
      </c>
      <c r="AJ26" s="230" t="n">
        <v>82.8</v>
      </c>
      <c r="AK26" s="231" t="n">
        <v>200</v>
      </c>
      <c r="AL26" s="232" t="n">
        <v>62.1751111111</v>
      </c>
      <c r="AM26" s="223"/>
      <c r="AN26" s="223"/>
      <c r="AO26" s="223"/>
      <c r="AP26" s="223"/>
      <c r="AQ26" s="223"/>
      <c r="AR26" s="223"/>
      <c r="AS26" s="223"/>
      <c r="AT26" s="223"/>
      <c r="AU26" s="224" t="n">
        <f aca="false">SUBTOTAL(9,AL26:AT26)</f>
        <v>62.1751111111</v>
      </c>
      <c r="AV26" s="228" t="n">
        <f aca="false">AU26+IF($B22=2,0,AV22)</f>
        <v>221.4462222222</v>
      </c>
      <c r="AW26" s="223"/>
      <c r="AX26" s="224" t="n">
        <f aca="false">SUBTOTAL(9,AW26:AW26)</f>
        <v>0</v>
      </c>
      <c r="AY26" s="224" t="n">
        <f aca="false">AX26+IF($B22=2,0,AY22)</f>
        <v>2.6</v>
      </c>
      <c r="AZ26" s="230"/>
      <c r="BA26" s="230"/>
      <c r="BB26" s="233" t="n">
        <f aca="false">SUMIF($C$5:BA$5,"Накопленный эффект, т/сут",$C26:BA26)+SUMIF($C$5:BA$5,"Нараст.  по потенциалу",$C26:BA26)-SUMIF($C$5:BA$5,"Нараст. по остановкам",$C26:BA26)-SUMIF($C$5:BA$5,"ИТОГО перевод в ППД",$C26:BA26)-SUMIF($C$5:BA$5,"ИТОГО  нерент, по распоряж.",$C26:BA26)-SUMIF($C$5:BA$5,"ИТОГО ост. дебит от ЗБС, Углуб., ПВЛГ/ПНЛГ",$C26:BA26)</f>
        <v>-100.3462222222</v>
      </c>
      <c r="BC26" s="234"/>
      <c r="BD26" s="234"/>
      <c r="BE26" s="234"/>
      <c r="BF26" s="234"/>
      <c r="BG26" s="224" t="n">
        <f aca="false">SUBTOTAL(9,BC26:BF26)</f>
        <v>0</v>
      </c>
      <c r="BH26" s="203"/>
      <c r="BI26" s="235" t="n">
        <f aca="false">BI$4+SUMIF($C$5:BG$5,"Нараст. по остановкам",$C26:BG26)-SUMIF($C$5:BG$5,"Нараст.  по потенциалу",$C26:BG26)</f>
        <v>755.528371409139</v>
      </c>
      <c r="BJ26" s="185"/>
    </row>
    <row r="27" customFormat="false" ht="1.5" hidden="false" customHeight="true" outlineLevel="0" collapsed="false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 t="n">
        <v>1</v>
      </c>
      <c r="R27" s="151" t="n">
        <v>1</v>
      </c>
      <c r="S27" s="151"/>
      <c r="T27" s="151"/>
      <c r="U27" s="151" t="n">
        <v>1</v>
      </c>
      <c r="V27" s="151"/>
      <c r="W27" s="151"/>
      <c r="X27" s="151"/>
      <c r="Y27" s="151"/>
      <c r="Z27" s="151"/>
      <c r="AA27" s="151"/>
      <c r="AB27" s="151"/>
      <c r="AC27" s="151" t="n">
        <v>1</v>
      </c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85"/>
    </row>
    <row r="28" customFormat="false" ht="11.25" hidden="false" customHeight="true" outlineLevel="0" collapsed="false">
      <c r="A28" s="186" t="n">
        <v>45296</v>
      </c>
      <c r="B28" s="187" t="s">
        <v>173</v>
      </c>
      <c r="C28" s="194" t="s">
        <v>184</v>
      </c>
      <c r="D28" s="188"/>
      <c r="E28" s="188"/>
      <c r="F28" s="189" t="n">
        <v>50</v>
      </c>
      <c r="G28" s="194" t="s">
        <v>184</v>
      </c>
      <c r="H28" s="194" t="s">
        <v>189</v>
      </c>
      <c r="I28" s="188"/>
      <c r="J28" s="188"/>
      <c r="K28" s="189" t="n">
        <v>41</v>
      </c>
      <c r="L28" s="189" t="n">
        <v>91</v>
      </c>
      <c r="M28" s="190"/>
      <c r="N28" s="194" t="s">
        <v>176</v>
      </c>
      <c r="O28" s="191"/>
      <c r="P28" s="192"/>
      <c r="Q28" s="194" t="s">
        <v>190</v>
      </c>
      <c r="R28" s="188"/>
      <c r="S28" s="191"/>
      <c r="T28" s="192"/>
      <c r="U28" s="194" t="s">
        <v>191</v>
      </c>
      <c r="V28" s="188"/>
      <c r="W28" s="188"/>
      <c r="X28" s="188"/>
      <c r="Y28" s="191"/>
      <c r="Z28" s="192"/>
      <c r="AA28" s="194" t="s">
        <v>176</v>
      </c>
      <c r="AB28" s="193" t="n">
        <v>6.1</v>
      </c>
      <c r="AC28" s="194"/>
      <c r="AD28" s="188"/>
      <c r="AE28" s="188"/>
      <c r="AF28" s="193" t="n">
        <v>47</v>
      </c>
      <c r="AG28" s="189" t="n">
        <v>53.1</v>
      </c>
      <c r="AH28" s="190"/>
      <c r="AI28" s="195"/>
      <c r="AJ28" s="195"/>
      <c r="AK28" s="196"/>
      <c r="AL28" s="197" t="s">
        <v>192</v>
      </c>
      <c r="AM28" s="197"/>
      <c r="AN28" s="188"/>
      <c r="AO28" s="188"/>
      <c r="AP28" s="188"/>
      <c r="AQ28" s="188"/>
      <c r="AR28" s="188"/>
      <c r="AS28" s="188"/>
      <c r="AT28" s="188"/>
      <c r="AU28" s="198"/>
      <c r="AV28" s="199"/>
      <c r="AW28" s="188"/>
      <c r="AX28" s="198"/>
      <c r="AY28" s="198"/>
      <c r="AZ28" s="195"/>
      <c r="BA28" s="195"/>
      <c r="BB28" s="200"/>
      <c r="BC28" s="201"/>
      <c r="BD28" s="202"/>
      <c r="BE28" s="201"/>
      <c r="BF28" s="202"/>
      <c r="BG28" s="202"/>
      <c r="BH28" s="203" t="n">
        <f aca="false">BH$4+SUMIF($C$5:BG$5,"Нараст. баланс",$C30:BG30)+SUMIF($C$7:BE$7,"Итого (с ВНР)",$C30:BE30)-SUMIF($C$5:BG$5,"Геол. снижение,  т/сут",$C30:BG30)-SUMIF(BF$7:BG$7,"Итого",BF30:BG30)-SUMIF($C$7:BG$7,"Итого (с ВСП)",$C30:BG30)</f>
        <v>30998.277552391</v>
      </c>
      <c r="BI28" s="204"/>
      <c r="BJ28" s="185"/>
    </row>
    <row r="29" customFormat="false" ht="11.25" hidden="false" customHeight="true" outlineLevel="0" collapsed="false">
      <c r="A29" s="186"/>
      <c r="B29" s="205" t="s">
        <v>174</v>
      </c>
      <c r="C29" s="212" t="s">
        <v>193</v>
      </c>
      <c r="D29" s="206"/>
      <c r="E29" s="206"/>
      <c r="F29" s="207" t="n">
        <v>1</v>
      </c>
      <c r="G29" s="212" t="s">
        <v>194</v>
      </c>
      <c r="H29" s="212" t="s">
        <v>195</v>
      </c>
      <c r="I29" s="206"/>
      <c r="J29" s="206"/>
      <c r="K29" s="207" t="n">
        <v>2</v>
      </c>
      <c r="L29" s="207" t="n">
        <v>3</v>
      </c>
      <c r="M29" s="208"/>
      <c r="N29" s="212" t="s">
        <v>179</v>
      </c>
      <c r="O29" s="209" t="n">
        <f aca="false">SUBTOTAL(9,N31:N31)</f>
        <v>1</v>
      </c>
      <c r="P29" s="210"/>
      <c r="Q29" s="212" t="s">
        <v>196</v>
      </c>
      <c r="R29" s="206"/>
      <c r="S29" s="209" t="n">
        <f aca="false">SUBTOTAL(9,Q31:R31)</f>
        <v>1</v>
      </c>
      <c r="T29" s="210"/>
      <c r="U29" s="212" t="s">
        <v>197</v>
      </c>
      <c r="V29" s="206"/>
      <c r="W29" s="206"/>
      <c r="X29" s="206"/>
      <c r="Y29" s="209" t="n">
        <f aca="false">SUBTOTAL(9,U31:X31)</f>
        <v>1</v>
      </c>
      <c r="Z29" s="210"/>
      <c r="AA29" s="212" t="s">
        <v>179</v>
      </c>
      <c r="AB29" s="211" t="n">
        <f aca="false">SUBTOTAL(9,AA31:AA31)</f>
        <v>1</v>
      </c>
      <c r="AC29" s="212"/>
      <c r="AD29" s="206"/>
      <c r="AE29" s="206"/>
      <c r="AF29" s="211" t="n">
        <f aca="false">SUBTOTAL(9,AC31:AE31)</f>
        <v>0</v>
      </c>
      <c r="AG29" s="207" t="n">
        <f aca="false">SUBTOTAL(9,AA31:AE31)</f>
        <v>1</v>
      </c>
      <c r="AH29" s="208"/>
      <c r="AI29" s="213"/>
      <c r="AJ29" s="213"/>
      <c r="AK29" s="214"/>
      <c r="AL29" s="215" t="s">
        <v>198</v>
      </c>
      <c r="AM29" s="215"/>
      <c r="AN29" s="206"/>
      <c r="AO29" s="206"/>
      <c r="AP29" s="206"/>
      <c r="AQ29" s="206"/>
      <c r="AR29" s="206"/>
      <c r="AS29" s="206"/>
      <c r="AT29" s="206"/>
      <c r="AU29" s="207" t="n">
        <f aca="false">SUBTOTAL(9,AL31:AT31)</f>
        <v>1</v>
      </c>
      <c r="AV29" s="216"/>
      <c r="AW29" s="206"/>
      <c r="AX29" s="207" t="n">
        <f aca="false">SUBTOTAL(3,AW29:AW29)</f>
        <v>0</v>
      </c>
      <c r="AY29" s="217"/>
      <c r="AZ29" s="213"/>
      <c r="BA29" s="213"/>
      <c r="BB29" s="218"/>
      <c r="BC29" s="219"/>
      <c r="BD29" s="220"/>
      <c r="BE29" s="219"/>
      <c r="BF29" s="220"/>
      <c r="BG29" s="220"/>
      <c r="BH29" s="203"/>
      <c r="BI29" s="221"/>
      <c r="BJ29" s="185"/>
    </row>
    <row r="30" customFormat="false" ht="11.25" hidden="false" customHeight="true" outlineLevel="0" collapsed="false">
      <c r="A30" s="186"/>
      <c r="B30" s="222" t="s">
        <v>172</v>
      </c>
      <c r="C30" s="229" t="n">
        <v>50</v>
      </c>
      <c r="D30" s="223"/>
      <c r="E30" s="223"/>
      <c r="F30" s="224" t="n">
        <f aca="false">SUBTOTAL(9,C30:E30)</f>
        <v>50</v>
      </c>
      <c r="G30" s="229" t="n">
        <v>20</v>
      </c>
      <c r="H30" s="229" t="n">
        <v>21</v>
      </c>
      <c r="I30" s="223"/>
      <c r="J30" s="223"/>
      <c r="K30" s="224" t="n">
        <f aca="false">SUBTOTAL(9,G30:J30)</f>
        <v>41</v>
      </c>
      <c r="L30" s="224" t="n">
        <f aca="false">SUBTOTAL(9,C30:J30)</f>
        <v>91</v>
      </c>
      <c r="M30" s="225" t="n">
        <v>91</v>
      </c>
      <c r="N30" s="229" t="n">
        <v>5.8</v>
      </c>
      <c r="O30" s="226" t="n">
        <f aca="false">SUBTOTAL(9,N30:N30)</f>
        <v>5.8</v>
      </c>
      <c r="P30" s="227" t="n">
        <f aca="false">O30+IF($B26=2,0,P26)</f>
        <v>5.8</v>
      </c>
      <c r="Q30" s="229" t="n">
        <v>30</v>
      </c>
      <c r="R30" s="223"/>
      <c r="S30" s="226" t="n">
        <f aca="false">SUBTOTAL(9,Q30:R30)</f>
        <v>30</v>
      </c>
      <c r="T30" s="227" t="n">
        <f aca="false">S30+IF($B26=2,0,T26)</f>
        <v>110</v>
      </c>
      <c r="U30" s="229" t="n">
        <v>5</v>
      </c>
      <c r="V30" s="223"/>
      <c r="W30" s="223"/>
      <c r="X30" s="223"/>
      <c r="Y30" s="226" t="n">
        <f aca="false">SUBTOTAL(9,U30:X30)</f>
        <v>5</v>
      </c>
      <c r="Z30" s="227" t="n">
        <f aca="false">Y30+IF($B26=2,0,Z26)</f>
        <v>9</v>
      </c>
      <c r="AA30" s="229" t="n">
        <v>6.1</v>
      </c>
      <c r="AB30" s="228" t="n">
        <f aca="false">SUBTOTAL(9,AA30:AA30)</f>
        <v>6.1</v>
      </c>
      <c r="AC30" s="229" t="n">
        <v>7.3</v>
      </c>
      <c r="AD30" s="223"/>
      <c r="AE30" s="223"/>
      <c r="AF30" s="228" t="n">
        <f aca="false">SUBTOTAL(9,AC30:AE30)</f>
        <v>7.3</v>
      </c>
      <c r="AG30" s="224" t="n">
        <f aca="false">SUBTOTAL(9,AA30:AE30)</f>
        <v>13.4</v>
      </c>
      <c r="AH30" s="225" t="n">
        <f aca="false">AG30+IF($B26=2,0,AH26)</f>
        <v>53.1</v>
      </c>
      <c r="AI30" s="230" t="n">
        <v>114.4</v>
      </c>
      <c r="AJ30" s="230" t="n">
        <v>114.4</v>
      </c>
      <c r="AK30" s="231" t="n">
        <v>250</v>
      </c>
      <c r="AL30" s="232" t="n">
        <v>0.1</v>
      </c>
      <c r="AM30" s="232" t="n">
        <v>33.7</v>
      </c>
      <c r="AN30" s="223"/>
      <c r="AO30" s="223"/>
      <c r="AP30" s="223"/>
      <c r="AQ30" s="223"/>
      <c r="AR30" s="223"/>
      <c r="AS30" s="223"/>
      <c r="AT30" s="223"/>
      <c r="AU30" s="224" t="n">
        <f aca="false">SUBTOTAL(9,AL30:AT30)</f>
        <v>33.8</v>
      </c>
      <c r="AV30" s="228" t="n">
        <f aca="false">AU30+IF($B26=2,0,AV26)</f>
        <v>255.2462222222</v>
      </c>
      <c r="AW30" s="223"/>
      <c r="AX30" s="224" t="n">
        <f aca="false">SUBTOTAL(9,AW30:AW30)</f>
        <v>0</v>
      </c>
      <c r="AY30" s="224" t="n">
        <f aca="false">AX30+IF($B26=2,0,AY26)</f>
        <v>2.6</v>
      </c>
      <c r="AZ30" s="230"/>
      <c r="BA30" s="230"/>
      <c r="BB30" s="233" t="n">
        <f aca="false">SUMIF($C$5:BA$5,"Накопленный эффект, т/сут",$C30:BA30)+SUMIF($C$5:BA$5,"Нараст.  по потенциалу",$C30:BA30)-SUMIF($C$5:BA$5,"Нараст. по остановкам",$C30:BA30)-SUMIF($C$5:BA$5,"ИТОГО перевод в ППД",$C30:BA30)-SUMIF($C$5:BA$5,"ИТОГО  нерент, по распоряж.",$C30:BA30)-SUMIF($C$5:BA$5,"ИТОГО ост. дебит от ЗБС, Углуб., ПВЛГ/ПНЛГ",$C30:BA30)</f>
        <v>11.0537777778001</v>
      </c>
      <c r="BC30" s="234"/>
      <c r="BD30" s="224" t="n">
        <v>6.5201916183581</v>
      </c>
      <c r="BE30" s="234"/>
      <c r="BF30" s="224" t="n">
        <v>21.6140337684654</v>
      </c>
      <c r="BG30" s="224" t="n">
        <f aca="false">SUBTOTAL(9,BC30:BF30)</f>
        <v>28.1342253868235</v>
      </c>
      <c r="BH30" s="203"/>
      <c r="BI30" s="235" t="n">
        <f aca="false">BI$4+SUMIF($C$5:BG$5,"Нараст. по остановкам",$C30:BG30)-SUMIF($C$5:BG$5,"Нараст.  по потенциалу",$C30:BG30)</f>
        <v>775.928371409139</v>
      </c>
      <c r="BJ30" s="185"/>
    </row>
    <row r="31" customFormat="false" ht="1.5" hidden="false" customHeight="true" outlineLevel="0" collapsed="false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 t="n">
        <v>1</v>
      </c>
      <c r="O31" s="151"/>
      <c r="P31" s="151"/>
      <c r="Q31" s="151" t="n">
        <v>1</v>
      </c>
      <c r="R31" s="151"/>
      <c r="S31" s="151"/>
      <c r="T31" s="151"/>
      <c r="U31" s="151" t="n">
        <v>1</v>
      </c>
      <c r="V31" s="151"/>
      <c r="W31" s="151"/>
      <c r="X31" s="151"/>
      <c r="Y31" s="151"/>
      <c r="Z31" s="151"/>
      <c r="AA31" s="151" t="n">
        <v>1</v>
      </c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 t="n">
        <v>1</v>
      </c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85"/>
    </row>
    <row r="32" customFormat="false" ht="11.25" hidden="false" customHeight="true" outlineLevel="0" collapsed="false">
      <c r="A32" s="186" t="n">
        <v>45297</v>
      </c>
      <c r="B32" s="187" t="s">
        <v>173</v>
      </c>
      <c r="C32" s="188"/>
      <c r="D32" s="188"/>
      <c r="E32" s="188"/>
      <c r="F32" s="189" t="n">
        <v>50</v>
      </c>
      <c r="G32" s="188"/>
      <c r="H32" s="188"/>
      <c r="I32" s="188"/>
      <c r="J32" s="188"/>
      <c r="K32" s="189" t="n">
        <v>41</v>
      </c>
      <c r="L32" s="189" t="n">
        <v>91</v>
      </c>
      <c r="M32" s="190"/>
      <c r="N32" s="188"/>
      <c r="O32" s="191"/>
      <c r="P32" s="192"/>
      <c r="Q32" s="188"/>
      <c r="R32" s="188"/>
      <c r="S32" s="191"/>
      <c r="T32" s="192"/>
      <c r="U32" s="194" t="s">
        <v>181</v>
      </c>
      <c r="V32" s="188"/>
      <c r="W32" s="188"/>
      <c r="X32" s="188"/>
      <c r="Y32" s="191"/>
      <c r="Z32" s="192"/>
      <c r="AA32" s="188"/>
      <c r="AB32" s="193" t="n">
        <v>6.1</v>
      </c>
      <c r="AC32" s="194"/>
      <c r="AD32" s="188"/>
      <c r="AE32" s="188"/>
      <c r="AF32" s="193" t="n">
        <v>66.4</v>
      </c>
      <c r="AG32" s="189" t="n">
        <v>72.5</v>
      </c>
      <c r="AH32" s="190"/>
      <c r="AI32" s="195"/>
      <c r="AJ32" s="195"/>
      <c r="AK32" s="196"/>
      <c r="AL32" s="197" t="s">
        <v>175</v>
      </c>
      <c r="AM32" s="197"/>
      <c r="AN32" s="188"/>
      <c r="AO32" s="188"/>
      <c r="AP32" s="188"/>
      <c r="AQ32" s="188"/>
      <c r="AR32" s="188"/>
      <c r="AS32" s="188"/>
      <c r="AT32" s="188"/>
      <c r="AU32" s="198"/>
      <c r="AV32" s="199"/>
      <c r="AW32" s="188"/>
      <c r="AX32" s="198"/>
      <c r="AY32" s="198"/>
      <c r="AZ32" s="195"/>
      <c r="BA32" s="195"/>
      <c r="BB32" s="200"/>
      <c r="BC32" s="201"/>
      <c r="BD32" s="202"/>
      <c r="BE32" s="201"/>
      <c r="BF32" s="201"/>
      <c r="BG32" s="202"/>
      <c r="BH32" s="203" t="n">
        <f aca="false">BH$4+SUMIF($C$5:BG$5,"Нараст. баланс",$C34:BG34)+SUMIF($C$7:BE$7,"Итого (с ВНР)",$C34:BE34)-SUMIF($C$5:BG$5,"Геол. снижение,  т/сут",$C34:BG34)-SUMIF(BF$7:BG$7,"Итого",BF34:BG34)-SUMIF($C$7:BG$7,"Итого (с ВСП)",$C34:BG34)</f>
        <v>30953.7146971326</v>
      </c>
      <c r="BI32" s="204"/>
      <c r="BJ32" s="185"/>
    </row>
    <row r="33" customFormat="false" ht="11.25" hidden="false" customHeight="true" outlineLevel="0" collapsed="false">
      <c r="A33" s="186"/>
      <c r="B33" s="205" t="s">
        <v>174</v>
      </c>
      <c r="C33" s="206"/>
      <c r="D33" s="206"/>
      <c r="E33" s="206"/>
      <c r="F33" s="207" t="n">
        <v>0</v>
      </c>
      <c r="G33" s="206"/>
      <c r="H33" s="206"/>
      <c r="I33" s="206"/>
      <c r="J33" s="206"/>
      <c r="K33" s="207" t="n">
        <v>0</v>
      </c>
      <c r="L33" s="207" t="n">
        <v>0</v>
      </c>
      <c r="M33" s="208"/>
      <c r="N33" s="206"/>
      <c r="O33" s="209" t="n">
        <f aca="false">SUBTOTAL(9,N35:N35)</f>
        <v>0</v>
      </c>
      <c r="P33" s="210"/>
      <c r="Q33" s="206"/>
      <c r="R33" s="206"/>
      <c r="S33" s="209" t="n">
        <f aca="false">SUBTOTAL(9,Q35:R35)</f>
        <v>0</v>
      </c>
      <c r="T33" s="210"/>
      <c r="U33" s="212" t="s">
        <v>199</v>
      </c>
      <c r="V33" s="206"/>
      <c r="W33" s="206"/>
      <c r="X33" s="206"/>
      <c r="Y33" s="209" t="n">
        <f aca="false">SUBTOTAL(9,U35:X35)</f>
        <v>1</v>
      </c>
      <c r="Z33" s="210"/>
      <c r="AA33" s="206"/>
      <c r="AB33" s="211" t="n">
        <f aca="false">SUBTOTAL(9,AA35:AA35)</f>
        <v>0</v>
      </c>
      <c r="AC33" s="212"/>
      <c r="AD33" s="206"/>
      <c r="AE33" s="206"/>
      <c r="AF33" s="211" t="n">
        <f aca="false">SUBTOTAL(9,AC35:AE35)</f>
        <v>0</v>
      </c>
      <c r="AG33" s="207" t="n">
        <f aca="false">SUBTOTAL(9,AA35:AE35)</f>
        <v>0</v>
      </c>
      <c r="AH33" s="208"/>
      <c r="AI33" s="213"/>
      <c r="AJ33" s="213"/>
      <c r="AK33" s="214"/>
      <c r="AL33" s="215" t="s">
        <v>200</v>
      </c>
      <c r="AM33" s="215"/>
      <c r="AN33" s="206"/>
      <c r="AO33" s="206"/>
      <c r="AP33" s="206"/>
      <c r="AQ33" s="206"/>
      <c r="AR33" s="206"/>
      <c r="AS33" s="206"/>
      <c r="AT33" s="206"/>
      <c r="AU33" s="207" t="n">
        <f aca="false">SUBTOTAL(9,AL35:AT35)</f>
        <v>1</v>
      </c>
      <c r="AV33" s="216"/>
      <c r="AW33" s="206"/>
      <c r="AX33" s="207" t="n">
        <f aca="false">SUBTOTAL(3,AW33:AW33)</f>
        <v>0</v>
      </c>
      <c r="AY33" s="217"/>
      <c r="AZ33" s="213"/>
      <c r="BA33" s="213"/>
      <c r="BB33" s="218"/>
      <c r="BC33" s="219"/>
      <c r="BD33" s="220"/>
      <c r="BE33" s="219"/>
      <c r="BF33" s="219"/>
      <c r="BG33" s="220"/>
      <c r="BH33" s="203"/>
      <c r="BI33" s="221"/>
      <c r="BJ33" s="185"/>
    </row>
    <row r="34" customFormat="false" ht="11.25" hidden="false" customHeight="true" outlineLevel="0" collapsed="false">
      <c r="A34" s="186"/>
      <c r="B34" s="222" t="s">
        <v>172</v>
      </c>
      <c r="C34" s="223"/>
      <c r="D34" s="223"/>
      <c r="E34" s="223"/>
      <c r="F34" s="224" t="n">
        <f aca="false">SUBTOTAL(9,C34:E34)</f>
        <v>0</v>
      </c>
      <c r="G34" s="223"/>
      <c r="H34" s="223"/>
      <c r="I34" s="223"/>
      <c r="J34" s="223"/>
      <c r="K34" s="224" t="n">
        <f aca="false">SUBTOTAL(9,G34:J34)</f>
        <v>0</v>
      </c>
      <c r="L34" s="224" t="n">
        <f aca="false">SUBTOTAL(9,C34:J34)</f>
        <v>0</v>
      </c>
      <c r="M34" s="225" t="n">
        <v>91</v>
      </c>
      <c r="N34" s="223"/>
      <c r="O34" s="226" t="n">
        <f aca="false">SUBTOTAL(9,N34:N34)</f>
        <v>0</v>
      </c>
      <c r="P34" s="227" t="n">
        <f aca="false">O34+IF($B30=2,0,P30)</f>
        <v>5.8</v>
      </c>
      <c r="Q34" s="223"/>
      <c r="R34" s="223"/>
      <c r="S34" s="226" t="n">
        <f aca="false">SUBTOTAL(9,Q34:R34)</f>
        <v>0</v>
      </c>
      <c r="T34" s="227" t="n">
        <f aca="false">S34+IF($B30=2,0,T30)</f>
        <v>110</v>
      </c>
      <c r="U34" s="229" t="n">
        <v>3</v>
      </c>
      <c r="V34" s="223"/>
      <c r="W34" s="223"/>
      <c r="X34" s="223"/>
      <c r="Y34" s="226" t="n">
        <f aca="false">SUBTOTAL(9,U34:X34)</f>
        <v>3</v>
      </c>
      <c r="Z34" s="227" t="n">
        <f aca="false">Y34+IF($B30=2,0,Z30)</f>
        <v>12</v>
      </c>
      <c r="AA34" s="223"/>
      <c r="AB34" s="228" t="n">
        <f aca="false">SUBTOTAL(9,AA34:AA34)</f>
        <v>0</v>
      </c>
      <c r="AC34" s="229" t="n">
        <v>19.4</v>
      </c>
      <c r="AD34" s="223"/>
      <c r="AE34" s="223"/>
      <c r="AF34" s="228" t="n">
        <f aca="false">SUBTOTAL(9,AC34:AE34)</f>
        <v>19.4</v>
      </c>
      <c r="AG34" s="224" t="n">
        <f aca="false">SUBTOTAL(9,AA34:AE34)</f>
        <v>19.4</v>
      </c>
      <c r="AH34" s="225" t="n">
        <f aca="false">AG34+IF($B30=2,0,AH30)</f>
        <v>72.5</v>
      </c>
      <c r="AI34" s="230" t="n">
        <v>104.9</v>
      </c>
      <c r="AJ34" s="230" t="n">
        <v>104.9</v>
      </c>
      <c r="AK34" s="231" t="n">
        <v>300</v>
      </c>
      <c r="AL34" s="232" t="n">
        <v>4</v>
      </c>
      <c r="AM34" s="232" t="n">
        <v>26</v>
      </c>
      <c r="AN34" s="223"/>
      <c r="AO34" s="223"/>
      <c r="AP34" s="223"/>
      <c r="AQ34" s="223"/>
      <c r="AR34" s="223"/>
      <c r="AS34" s="223"/>
      <c r="AT34" s="223"/>
      <c r="AU34" s="224" t="n">
        <f aca="false">SUBTOTAL(9,AL34:AT34)</f>
        <v>30</v>
      </c>
      <c r="AV34" s="228" t="n">
        <f aca="false">AU34+IF($B30=2,0,AV30)</f>
        <v>285.2462222222</v>
      </c>
      <c r="AW34" s="223"/>
      <c r="AX34" s="224" t="n">
        <f aca="false">SUBTOTAL(9,AW34:AW34)</f>
        <v>0</v>
      </c>
      <c r="AY34" s="224" t="n">
        <f aca="false">AX34+IF($B30=2,0,AY30)</f>
        <v>2.6</v>
      </c>
      <c r="AZ34" s="230"/>
      <c r="BA34" s="230"/>
      <c r="BB34" s="233" t="n">
        <f aca="false">SUMIF($C$5:BA$5,"Накопленный эффект, т/сут",$C34:BA34)+SUMIF($C$5:BA$5,"Нараст.  по потенциалу",$C34:BA34)-SUMIF($C$5:BA$5,"Нараст. по остановкам",$C34:BA34)-SUMIF($C$5:BA$5,"ИТОГО перевод в ППД",$C34:BA34)-SUMIF($C$5:BA$5,"ИТОГО  нерент, по распоряж.",$C34:BA34)-SUMIF($C$5:BA$5,"ИТОГО ост. дебит от ЗБС, Углуб., ПВЛГ/ПНЛГ",$C34:BA34)</f>
        <v>3.45377777780001</v>
      </c>
      <c r="BC34" s="234"/>
      <c r="BD34" s="224" t="n">
        <v>5.59708064516129</v>
      </c>
      <c r="BE34" s="234"/>
      <c r="BF34" s="234"/>
      <c r="BG34" s="224" t="n">
        <f aca="false">SUBTOTAL(9,BC34:BF34)</f>
        <v>5.59708064516129</v>
      </c>
      <c r="BH34" s="203"/>
      <c r="BI34" s="235" t="n">
        <f aca="false">BI$4+SUMIF($C$5:BG$5,"Нараст. по остановкам",$C34:BG34)-SUMIF($C$5:BG$5,"Нараст.  по потенциалу",$C34:BG34)</f>
        <v>786.528371409139</v>
      </c>
      <c r="BJ34" s="185"/>
    </row>
    <row r="35" customFormat="false" ht="1.5" hidden="false" customHeight="true" outlineLevel="0" collapsed="false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 t="n">
        <v>1</v>
      </c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 t="n">
        <v>1</v>
      </c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85"/>
    </row>
    <row r="36" customFormat="false" ht="11.25" hidden="false" customHeight="true" outlineLevel="0" collapsed="false">
      <c r="A36" s="186" t="n">
        <v>45298</v>
      </c>
      <c r="B36" s="187" t="s">
        <v>173</v>
      </c>
      <c r="C36" s="188"/>
      <c r="D36" s="188"/>
      <c r="E36" s="188"/>
      <c r="F36" s="189" t="n">
        <v>50</v>
      </c>
      <c r="G36" s="188"/>
      <c r="H36" s="188"/>
      <c r="I36" s="188"/>
      <c r="J36" s="188"/>
      <c r="K36" s="189" t="n">
        <v>41</v>
      </c>
      <c r="L36" s="189" t="n">
        <v>91</v>
      </c>
      <c r="M36" s="190"/>
      <c r="N36" s="188"/>
      <c r="O36" s="191"/>
      <c r="P36" s="192"/>
      <c r="Q36" s="194" t="s">
        <v>175</v>
      </c>
      <c r="R36" s="188"/>
      <c r="S36" s="191"/>
      <c r="T36" s="192"/>
      <c r="U36" s="194" t="s">
        <v>175</v>
      </c>
      <c r="V36" s="194" t="s">
        <v>175</v>
      </c>
      <c r="W36" s="188"/>
      <c r="X36" s="188"/>
      <c r="Y36" s="191"/>
      <c r="Z36" s="192"/>
      <c r="AA36" s="188"/>
      <c r="AB36" s="193" t="n">
        <v>6.1</v>
      </c>
      <c r="AC36" s="194"/>
      <c r="AD36" s="188"/>
      <c r="AE36" s="188"/>
      <c r="AF36" s="193" t="n">
        <v>109.6</v>
      </c>
      <c r="AG36" s="189" t="n">
        <v>115.7</v>
      </c>
      <c r="AH36" s="190"/>
      <c r="AI36" s="195"/>
      <c r="AJ36" s="195"/>
      <c r="AK36" s="196"/>
      <c r="AL36" s="197" t="s">
        <v>176</v>
      </c>
      <c r="AM36" s="197"/>
      <c r="AN36" s="188"/>
      <c r="AO36" s="188"/>
      <c r="AP36" s="188"/>
      <c r="AQ36" s="188"/>
      <c r="AR36" s="188"/>
      <c r="AS36" s="188"/>
      <c r="AT36" s="188"/>
      <c r="AU36" s="198"/>
      <c r="AV36" s="199"/>
      <c r="AW36" s="188"/>
      <c r="AX36" s="198"/>
      <c r="AY36" s="198"/>
      <c r="AZ36" s="195"/>
      <c r="BA36" s="195"/>
      <c r="BB36" s="200"/>
      <c r="BC36" s="201"/>
      <c r="BD36" s="201"/>
      <c r="BE36" s="201"/>
      <c r="BF36" s="201"/>
      <c r="BG36" s="202"/>
      <c r="BH36" s="203" t="n">
        <f aca="false">BH$4+SUMIF($C$5:BG$5,"Нараст. баланс",$C38:BG38)+SUMIF($C$7:BE$7,"Итого (с ВНР)",$C38:BE38)-SUMIF($C$5:BG$5,"Геол. снижение,  т/сут",$C38:BG38)-SUMIF(BF$7:BG$7,"Итого",BF38:BG38)-SUMIF($C$7:BG$7,"Итого (с ВСП)",$C38:BG38)</f>
        <v>30943.3366666667</v>
      </c>
      <c r="BI36" s="204"/>
      <c r="BJ36" s="185"/>
    </row>
    <row r="37" customFormat="false" ht="11.25" hidden="false" customHeight="true" outlineLevel="0" collapsed="false">
      <c r="A37" s="186"/>
      <c r="B37" s="205" t="s">
        <v>174</v>
      </c>
      <c r="C37" s="206"/>
      <c r="D37" s="206"/>
      <c r="E37" s="206"/>
      <c r="F37" s="207" t="n">
        <v>0</v>
      </c>
      <c r="G37" s="206"/>
      <c r="H37" s="206"/>
      <c r="I37" s="206"/>
      <c r="J37" s="206"/>
      <c r="K37" s="207" t="n">
        <v>0</v>
      </c>
      <c r="L37" s="207" t="n">
        <v>0</v>
      </c>
      <c r="M37" s="208"/>
      <c r="N37" s="206"/>
      <c r="O37" s="209" t="n">
        <f aca="false">SUBTOTAL(9,N39:N39)</f>
        <v>0</v>
      </c>
      <c r="P37" s="210"/>
      <c r="Q37" s="212" t="s">
        <v>201</v>
      </c>
      <c r="R37" s="206"/>
      <c r="S37" s="209" t="n">
        <f aca="false">SUBTOTAL(9,Q39:R39)</f>
        <v>1</v>
      </c>
      <c r="T37" s="210"/>
      <c r="U37" s="212" t="s">
        <v>202</v>
      </c>
      <c r="V37" s="212" t="s">
        <v>203</v>
      </c>
      <c r="W37" s="206"/>
      <c r="X37" s="206"/>
      <c r="Y37" s="209" t="n">
        <f aca="false">SUBTOTAL(9,U39:X39)</f>
        <v>2</v>
      </c>
      <c r="Z37" s="210"/>
      <c r="AA37" s="206"/>
      <c r="AB37" s="211" t="n">
        <f aca="false">SUBTOTAL(9,AA39:AA39)</f>
        <v>0</v>
      </c>
      <c r="AC37" s="212"/>
      <c r="AD37" s="206"/>
      <c r="AE37" s="206"/>
      <c r="AF37" s="211" t="n">
        <f aca="false">SUBTOTAL(9,AC39:AE39)</f>
        <v>0</v>
      </c>
      <c r="AG37" s="207" t="n">
        <f aca="false">SUBTOTAL(9,AA39:AE39)</f>
        <v>0</v>
      </c>
      <c r="AH37" s="208"/>
      <c r="AI37" s="213"/>
      <c r="AJ37" s="213"/>
      <c r="AK37" s="214"/>
      <c r="AL37" s="215" t="s">
        <v>204</v>
      </c>
      <c r="AM37" s="215"/>
      <c r="AN37" s="206"/>
      <c r="AO37" s="206"/>
      <c r="AP37" s="206"/>
      <c r="AQ37" s="206"/>
      <c r="AR37" s="206"/>
      <c r="AS37" s="206"/>
      <c r="AT37" s="206"/>
      <c r="AU37" s="207" t="n">
        <f aca="false">SUBTOTAL(9,AL39:AT39)</f>
        <v>1</v>
      </c>
      <c r="AV37" s="216"/>
      <c r="AW37" s="206"/>
      <c r="AX37" s="207" t="n">
        <f aca="false">SUBTOTAL(3,AW37:AW37)</f>
        <v>0</v>
      </c>
      <c r="AY37" s="217"/>
      <c r="AZ37" s="213"/>
      <c r="BA37" s="213"/>
      <c r="BB37" s="218"/>
      <c r="BC37" s="219"/>
      <c r="BD37" s="219"/>
      <c r="BE37" s="219"/>
      <c r="BF37" s="219"/>
      <c r="BG37" s="220"/>
      <c r="BH37" s="203"/>
      <c r="BI37" s="221"/>
      <c r="BJ37" s="185"/>
    </row>
    <row r="38" customFormat="false" ht="11.25" hidden="false" customHeight="true" outlineLevel="0" collapsed="false">
      <c r="A38" s="186"/>
      <c r="B38" s="222" t="s">
        <v>172</v>
      </c>
      <c r="C38" s="223"/>
      <c r="D38" s="223"/>
      <c r="E38" s="223"/>
      <c r="F38" s="224" t="n">
        <f aca="false">SUBTOTAL(9,C38:E38)</f>
        <v>0</v>
      </c>
      <c r="G38" s="223"/>
      <c r="H38" s="223"/>
      <c r="I38" s="223"/>
      <c r="J38" s="223"/>
      <c r="K38" s="224" t="n">
        <f aca="false">SUBTOTAL(9,G38:J38)</f>
        <v>0</v>
      </c>
      <c r="L38" s="224" t="n">
        <f aca="false">SUBTOTAL(9,C38:J38)</f>
        <v>0</v>
      </c>
      <c r="M38" s="225" t="n">
        <v>91</v>
      </c>
      <c r="N38" s="223"/>
      <c r="O38" s="226" t="n">
        <f aca="false">SUBTOTAL(9,N38:N38)</f>
        <v>0</v>
      </c>
      <c r="P38" s="227" t="n">
        <f aca="false">O38+IF($B34=2,0,P34)</f>
        <v>5.8</v>
      </c>
      <c r="Q38" s="229" t="n">
        <v>20</v>
      </c>
      <c r="R38" s="223"/>
      <c r="S38" s="226" t="n">
        <f aca="false">SUBTOTAL(9,Q38:R38)</f>
        <v>20</v>
      </c>
      <c r="T38" s="227" t="n">
        <f aca="false">S38+IF($B34=2,0,T34)</f>
        <v>130</v>
      </c>
      <c r="U38" s="229" t="n">
        <v>4</v>
      </c>
      <c r="V38" s="229" t="n">
        <v>3</v>
      </c>
      <c r="W38" s="223"/>
      <c r="X38" s="223"/>
      <c r="Y38" s="226" t="n">
        <f aca="false">SUBTOTAL(9,U38:X38)</f>
        <v>7</v>
      </c>
      <c r="Z38" s="227" t="n">
        <f aca="false">Y38+IF($B34=2,0,Z34)</f>
        <v>19</v>
      </c>
      <c r="AA38" s="223"/>
      <c r="AB38" s="228" t="n">
        <f aca="false">SUBTOTAL(9,AA38:AA38)</f>
        <v>0</v>
      </c>
      <c r="AC38" s="229" t="n">
        <v>43.2</v>
      </c>
      <c r="AD38" s="223"/>
      <c r="AE38" s="223"/>
      <c r="AF38" s="228" t="n">
        <f aca="false">SUBTOTAL(9,AC38:AE38)</f>
        <v>43.2</v>
      </c>
      <c r="AG38" s="224" t="n">
        <f aca="false">SUBTOTAL(9,AA38:AE38)</f>
        <v>43.2</v>
      </c>
      <c r="AH38" s="225" t="n">
        <f aca="false">AG38+IF($B34=2,0,AH34)</f>
        <v>115.7</v>
      </c>
      <c r="AI38" s="230" t="n">
        <v>116</v>
      </c>
      <c r="AJ38" s="230" t="n">
        <v>116</v>
      </c>
      <c r="AK38" s="231" t="n">
        <v>350</v>
      </c>
      <c r="AL38" s="232" t="n">
        <v>40.2</v>
      </c>
      <c r="AM38" s="232" t="n">
        <v>7.0751111111</v>
      </c>
      <c r="AN38" s="223"/>
      <c r="AO38" s="223"/>
      <c r="AP38" s="223"/>
      <c r="AQ38" s="223"/>
      <c r="AR38" s="223"/>
      <c r="AS38" s="223"/>
      <c r="AT38" s="223"/>
      <c r="AU38" s="224" t="n">
        <f aca="false">SUBTOTAL(9,AL38:AT38)</f>
        <v>47.2751111111</v>
      </c>
      <c r="AV38" s="228" t="n">
        <f aca="false">AU38+IF($B34=2,0,AV34)</f>
        <v>332.5213333333</v>
      </c>
      <c r="AW38" s="223"/>
      <c r="AX38" s="224" t="n">
        <f aca="false">SUBTOTAL(9,AW38:AW38)</f>
        <v>0</v>
      </c>
      <c r="AY38" s="224" t="n">
        <f aca="false">AX38+IF($B34=2,0,AY34)</f>
        <v>2.6</v>
      </c>
      <c r="AZ38" s="230"/>
      <c r="BA38" s="230"/>
      <c r="BB38" s="233" t="n">
        <f aca="false">SUMIF($C$5:BA$5,"Накопленный эффект, т/сут",$C38:BA38)+SUMIF($C$5:BA$5,"Нараст.  по потенциалу",$C38:BA38)-SUMIF($C$5:BA$5,"Нараст. по остановкам",$C38:BA38)-SUMIF($C$5:BA$5,"ИТОГО перевод в ППД",$C38:BA38)-SUMIF($C$5:BA$5,"ИТОГО  нерент, по распоряж.",$C38:BA38)-SUMIF($C$5:BA$5,"ИТОГО ост. дебит от ЗБС, Углуб., ПВЛГ/ПНЛГ",$C38:BA38)</f>
        <v>26.3786666667</v>
      </c>
      <c r="BC38" s="234"/>
      <c r="BD38" s="234"/>
      <c r="BE38" s="234"/>
      <c r="BF38" s="234"/>
      <c r="BG38" s="224" t="n">
        <f aca="false">SUBTOTAL(9,BC38:BF38)</f>
        <v>0</v>
      </c>
      <c r="BH38" s="203"/>
      <c r="BI38" s="235" t="n">
        <f aca="false">BI$4+SUMIF($C$5:BG$5,"Нараст. по остановкам",$C38:BG38)-SUMIF($C$5:BG$5,"Нараст.  по потенциалу",$C38:BG38)</f>
        <v>790.603482520239</v>
      </c>
      <c r="BJ38" s="185"/>
    </row>
    <row r="39" customFormat="false" ht="1.5" hidden="false" customHeight="true" outlineLevel="0" collapsed="false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 t="n">
        <v>1</v>
      </c>
      <c r="R39" s="151"/>
      <c r="S39" s="151"/>
      <c r="T39" s="151"/>
      <c r="U39" s="151" t="n">
        <v>1</v>
      </c>
      <c r="V39" s="151" t="n">
        <v>1</v>
      </c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 t="n">
        <v>1</v>
      </c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85"/>
    </row>
    <row r="40" customFormat="false" ht="11.25" hidden="false" customHeight="true" outlineLevel="0" collapsed="false">
      <c r="A40" s="186" t="n">
        <v>45299</v>
      </c>
      <c r="B40" s="187" t="s">
        <v>173</v>
      </c>
      <c r="C40" s="194" t="s">
        <v>181</v>
      </c>
      <c r="D40" s="188"/>
      <c r="E40" s="188"/>
      <c r="F40" s="189" t="n">
        <v>80</v>
      </c>
      <c r="G40" s="188"/>
      <c r="H40" s="188"/>
      <c r="I40" s="188"/>
      <c r="J40" s="188"/>
      <c r="K40" s="189" t="n">
        <v>41</v>
      </c>
      <c r="L40" s="189" t="n">
        <v>121</v>
      </c>
      <c r="M40" s="190"/>
      <c r="N40" s="188"/>
      <c r="O40" s="191"/>
      <c r="P40" s="192"/>
      <c r="Q40" s="188"/>
      <c r="R40" s="188"/>
      <c r="S40" s="191"/>
      <c r="T40" s="192"/>
      <c r="U40" s="194" t="s">
        <v>175</v>
      </c>
      <c r="V40" s="194" t="s">
        <v>205</v>
      </c>
      <c r="W40" s="188"/>
      <c r="X40" s="188"/>
      <c r="Y40" s="191"/>
      <c r="Z40" s="192"/>
      <c r="AA40" s="188"/>
      <c r="AB40" s="193" t="n">
        <v>6.1</v>
      </c>
      <c r="AC40" s="194" t="s">
        <v>175</v>
      </c>
      <c r="AD40" s="194" t="s">
        <v>184</v>
      </c>
      <c r="AE40" s="194"/>
      <c r="AF40" s="193" t="n">
        <v>123.1</v>
      </c>
      <c r="AG40" s="189" t="n">
        <v>129.2</v>
      </c>
      <c r="AH40" s="190"/>
      <c r="AI40" s="195"/>
      <c r="AJ40" s="195"/>
      <c r="AK40" s="196"/>
      <c r="AL40" s="197" t="s">
        <v>191</v>
      </c>
      <c r="AM40" s="197" t="s">
        <v>184</v>
      </c>
      <c r="AN40" s="197"/>
      <c r="AO40" s="188"/>
      <c r="AP40" s="188"/>
      <c r="AQ40" s="188"/>
      <c r="AR40" s="188"/>
      <c r="AS40" s="188"/>
      <c r="AT40" s="188"/>
      <c r="AU40" s="198"/>
      <c r="AV40" s="199"/>
      <c r="AW40" s="197" t="s">
        <v>184</v>
      </c>
      <c r="AX40" s="198"/>
      <c r="AY40" s="198"/>
      <c r="AZ40" s="195"/>
      <c r="BA40" s="195"/>
      <c r="BB40" s="200"/>
      <c r="BC40" s="201"/>
      <c r="BD40" s="202"/>
      <c r="BE40" s="201"/>
      <c r="BF40" s="201"/>
      <c r="BG40" s="202"/>
      <c r="BH40" s="203" t="n">
        <f aca="false">BH$4+SUMIF($C$5:BG$5,"Нараст. баланс",$C42:BG42)+SUMIF($C$7:BE$7,"Итого (с ВНР)",$C42:BE42)-SUMIF($C$5:BG$5,"Геол. снижение,  т/сут",$C42:BG42)-SUMIF(BF$7:BG$7,"Итого",BF42:BG42)-SUMIF($C$7:BG$7,"Итого (с ВСП)",$C42:BG42)</f>
        <v>30915.4301984753</v>
      </c>
      <c r="BI40" s="204"/>
      <c r="BJ40" s="185"/>
    </row>
    <row r="41" customFormat="false" ht="11.25" hidden="false" customHeight="true" outlineLevel="0" collapsed="false">
      <c r="A41" s="186"/>
      <c r="B41" s="205" t="s">
        <v>174</v>
      </c>
      <c r="C41" s="212" t="s">
        <v>206</v>
      </c>
      <c r="D41" s="206"/>
      <c r="E41" s="206"/>
      <c r="F41" s="207" t="n">
        <v>1</v>
      </c>
      <c r="G41" s="206"/>
      <c r="H41" s="206"/>
      <c r="I41" s="206"/>
      <c r="J41" s="206"/>
      <c r="K41" s="207" t="n">
        <v>0</v>
      </c>
      <c r="L41" s="207" t="n">
        <v>1</v>
      </c>
      <c r="M41" s="208"/>
      <c r="N41" s="206"/>
      <c r="O41" s="209" t="n">
        <f aca="false">SUBTOTAL(9,N43:N43)</f>
        <v>0</v>
      </c>
      <c r="P41" s="210"/>
      <c r="Q41" s="206"/>
      <c r="R41" s="206"/>
      <c r="S41" s="209" t="n">
        <f aca="false">SUBTOTAL(9,Q43:R43)</f>
        <v>0</v>
      </c>
      <c r="T41" s="210"/>
      <c r="U41" s="212" t="s">
        <v>207</v>
      </c>
      <c r="V41" s="212" t="s">
        <v>208</v>
      </c>
      <c r="W41" s="206"/>
      <c r="X41" s="206"/>
      <c r="Y41" s="209" t="n">
        <f aca="false">SUBTOTAL(9,U43:X43)</f>
        <v>2</v>
      </c>
      <c r="Z41" s="210"/>
      <c r="AA41" s="206"/>
      <c r="AB41" s="211" t="n">
        <f aca="false">SUBTOTAL(9,AA43:AA43)</f>
        <v>0</v>
      </c>
      <c r="AC41" s="212" t="s">
        <v>178</v>
      </c>
      <c r="AD41" s="212" t="s">
        <v>209</v>
      </c>
      <c r="AE41" s="212"/>
      <c r="AF41" s="211" t="n">
        <f aca="false">SUBTOTAL(9,AC43:AE43)</f>
        <v>2</v>
      </c>
      <c r="AG41" s="207" t="n">
        <f aca="false">SUBTOTAL(9,AA43:AE43)</f>
        <v>2</v>
      </c>
      <c r="AH41" s="208"/>
      <c r="AI41" s="213"/>
      <c r="AJ41" s="213"/>
      <c r="AK41" s="214"/>
      <c r="AL41" s="215" t="s">
        <v>210</v>
      </c>
      <c r="AM41" s="215" t="s">
        <v>209</v>
      </c>
      <c r="AN41" s="215"/>
      <c r="AO41" s="206"/>
      <c r="AP41" s="206"/>
      <c r="AQ41" s="206"/>
      <c r="AR41" s="206"/>
      <c r="AS41" s="206"/>
      <c r="AT41" s="206"/>
      <c r="AU41" s="207" t="n">
        <f aca="false">SUBTOTAL(9,AL43:AT43)</f>
        <v>2</v>
      </c>
      <c r="AV41" s="216"/>
      <c r="AW41" s="215" t="s">
        <v>209</v>
      </c>
      <c r="AX41" s="207" t="n">
        <f aca="false">SUBTOTAL(3,AW41:AW41)</f>
        <v>1</v>
      </c>
      <c r="AY41" s="217"/>
      <c r="AZ41" s="213"/>
      <c r="BA41" s="213"/>
      <c r="BB41" s="218"/>
      <c r="BC41" s="219"/>
      <c r="BD41" s="220"/>
      <c r="BE41" s="219"/>
      <c r="BF41" s="219"/>
      <c r="BG41" s="220"/>
      <c r="BH41" s="203"/>
      <c r="BI41" s="221"/>
      <c r="BJ41" s="185"/>
    </row>
    <row r="42" customFormat="false" ht="11.25" hidden="false" customHeight="true" outlineLevel="0" collapsed="false">
      <c r="A42" s="186"/>
      <c r="B42" s="222" t="s">
        <v>172</v>
      </c>
      <c r="C42" s="229" t="n">
        <v>30</v>
      </c>
      <c r="D42" s="223"/>
      <c r="E42" s="223"/>
      <c r="F42" s="224" t="n">
        <f aca="false">SUBTOTAL(9,C42:E42)</f>
        <v>30</v>
      </c>
      <c r="G42" s="223"/>
      <c r="H42" s="223"/>
      <c r="I42" s="223"/>
      <c r="J42" s="223"/>
      <c r="K42" s="224" t="n">
        <f aca="false">SUBTOTAL(9,G42:J42)</f>
        <v>0</v>
      </c>
      <c r="L42" s="224" t="n">
        <f aca="false">SUBTOTAL(9,C42:J42)</f>
        <v>30</v>
      </c>
      <c r="M42" s="225" t="n">
        <v>121</v>
      </c>
      <c r="N42" s="223"/>
      <c r="O42" s="226" t="n">
        <f aca="false">SUBTOTAL(9,N42:N42)</f>
        <v>0</v>
      </c>
      <c r="P42" s="227" t="n">
        <f aca="false">O42+IF($B38=2,0,P38)</f>
        <v>5.8</v>
      </c>
      <c r="Q42" s="223"/>
      <c r="R42" s="223"/>
      <c r="S42" s="226" t="n">
        <f aca="false">SUBTOTAL(9,Q42:R42)</f>
        <v>0</v>
      </c>
      <c r="T42" s="227" t="n">
        <f aca="false">S42+IF($B38=2,0,T38)</f>
        <v>130</v>
      </c>
      <c r="U42" s="229" t="n">
        <v>3</v>
      </c>
      <c r="V42" s="229" t="n">
        <v>3</v>
      </c>
      <c r="W42" s="223"/>
      <c r="X42" s="223"/>
      <c r="Y42" s="226" t="n">
        <f aca="false">SUBTOTAL(9,U42:X42)</f>
        <v>6</v>
      </c>
      <c r="Z42" s="227" t="n">
        <f aca="false">Y42+IF($B38=2,0,Z38)</f>
        <v>25</v>
      </c>
      <c r="AA42" s="223"/>
      <c r="AB42" s="228" t="n">
        <f aca="false">SUBTOTAL(9,AA42:AA42)</f>
        <v>0</v>
      </c>
      <c r="AC42" s="229" t="n">
        <v>0.1</v>
      </c>
      <c r="AD42" s="229" t="n">
        <v>3.1</v>
      </c>
      <c r="AE42" s="229" t="n">
        <v>10.3</v>
      </c>
      <c r="AF42" s="228" t="n">
        <f aca="false">SUBTOTAL(9,AC42:AE42)</f>
        <v>13.5</v>
      </c>
      <c r="AG42" s="224" t="n">
        <f aca="false">SUBTOTAL(9,AA42:AE42)</f>
        <v>13.5</v>
      </c>
      <c r="AH42" s="225" t="n">
        <f aca="false">AG42+IF($B38=2,0,AH38)</f>
        <v>129.2</v>
      </c>
      <c r="AI42" s="230" t="n">
        <v>127.1</v>
      </c>
      <c r="AJ42" s="230" t="n">
        <v>127.1</v>
      </c>
      <c r="AK42" s="231" t="n">
        <v>400</v>
      </c>
      <c r="AL42" s="232" t="n">
        <v>9.5</v>
      </c>
      <c r="AM42" s="232" t="n">
        <v>3.1</v>
      </c>
      <c r="AN42" s="232" t="n">
        <v>18.182</v>
      </c>
      <c r="AO42" s="223"/>
      <c r="AP42" s="223"/>
      <c r="AQ42" s="223"/>
      <c r="AR42" s="223"/>
      <c r="AS42" s="223"/>
      <c r="AT42" s="223"/>
      <c r="AU42" s="224" t="n">
        <f aca="false">SUBTOTAL(9,AL42:AT42)</f>
        <v>30.782</v>
      </c>
      <c r="AV42" s="228" t="n">
        <f aca="false">AU42+IF($B38=2,0,AV38)</f>
        <v>363.3033333333</v>
      </c>
      <c r="AW42" s="232" t="n">
        <v>3.1</v>
      </c>
      <c r="AX42" s="224" t="n">
        <f aca="false">SUBTOTAL(9,AW42:AW42)</f>
        <v>3.1</v>
      </c>
      <c r="AY42" s="224" t="n">
        <f aca="false">AX42+IF($B38=2,0,AY38)</f>
        <v>5.7</v>
      </c>
      <c r="AZ42" s="230"/>
      <c r="BA42" s="230"/>
      <c r="BB42" s="233" t="n">
        <f aca="false">SUMIF($C$5:BA$5,"Накопленный эффект, т/сут",$C42:BA42)+SUMIF($C$5:BA$5,"Нараст.  по потенциалу",$C42:BA42)-SUMIF($C$5:BA$5,"Нараст. по остановкам",$C42:BA42)-SUMIF($C$5:BA$5,"ИТОГО перевод в ППД",$C42:BA42)-SUMIF($C$5:BA$5,"ИТОГО  нерент, по распоряж.",$C42:BA42)-SUMIF($C$5:BA$5,"ИТОГО ост. дебит от ЗБС, Углуб., ПВЛГ/ПНЛГ",$C42:BA42)</f>
        <v>41.9966666667</v>
      </c>
      <c r="BC42" s="234"/>
      <c r="BD42" s="224" t="n">
        <v>4.62446819139056</v>
      </c>
      <c r="BE42" s="234"/>
      <c r="BF42" s="234"/>
      <c r="BG42" s="224" t="n">
        <f aca="false">SUBTOTAL(9,BC42:BF42)</f>
        <v>4.62446819139056</v>
      </c>
      <c r="BH42" s="203"/>
      <c r="BI42" s="235" t="n">
        <f aca="false">BI$4+SUMIF($C$5:BG$5,"Нараст. по остановкам",$C42:BG42)-SUMIF($C$5:BG$5,"Нараст.  по потенциалу",$C42:BG42)</f>
        <v>807.885482520239</v>
      </c>
      <c r="BJ42" s="185"/>
    </row>
    <row r="43" customFormat="false" ht="1.5" hidden="false" customHeight="true" outlineLevel="0" collapsed="false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 t="n">
        <v>1</v>
      </c>
      <c r="V43" s="151" t="n">
        <v>1</v>
      </c>
      <c r="W43" s="151"/>
      <c r="X43" s="151"/>
      <c r="Y43" s="151"/>
      <c r="Z43" s="151"/>
      <c r="AA43" s="151"/>
      <c r="AB43" s="151"/>
      <c r="AC43" s="151" t="n">
        <v>1</v>
      </c>
      <c r="AD43" s="151" t="n">
        <v>1</v>
      </c>
      <c r="AE43" s="151"/>
      <c r="AF43" s="151"/>
      <c r="AG43" s="151"/>
      <c r="AH43" s="151"/>
      <c r="AI43" s="151"/>
      <c r="AJ43" s="151"/>
      <c r="AK43" s="151"/>
      <c r="AL43" s="151" t="n">
        <v>1</v>
      </c>
      <c r="AM43" s="151" t="n">
        <v>1</v>
      </c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85"/>
    </row>
    <row r="44" customFormat="false" ht="11.25" hidden="false" customHeight="true" outlineLevel="0" collapsed="false">
      <c r="A44" s="186" t="n">
        <v>45300</v>
      </c>
      <c r="B44" s="187" t="s">
        <v>173</v>
      </c>
      <c r="C44" s="188"/>
      <c r="D44" s="188"/>
      <c r="E44" s="188"/>
      <c r="F44" s="189" t="n">
        <v>80</v>
      </c>
      <c r="G44" s="188"/>
      <c r="H44" s="188"/>
      <c r="I44" s="188"/>
      <c r="J44" s="188"/>
      <c r="K44" s="189" t="n">
        <v>41</v>
      </c>
      <c r="L44" s="189" t="n">
        <v>121</v>
      </c>
      <c r="M44" s="190"/>
      <c r="N44" s="188"/>
      <c r="O44" s="191"/>
      <c r="P44" s="192"/>
      <c r="Q44" s="188"/>
      <c r="R44" s="188"/>
      <c r="S44" s="191"/>
      <c r="T44" s="192"/>
      <c r="U44" s="194" t="s">
        <v>190</v>
      </c>
      <c r="V44" s="194" t="s">
        <v>175</v>
      </c>
      <c r="W44" s="188"/>
      <c r="X44" s="188"/>
      <c r="Y44" s="191"/>
      <c r="Z44" s="192"/>
      <c r="AA44" s="188"/>
      <c r="AB44" s="193" t="n">
        <v>6.1</v>
      </c>
      <c r="AC44" s="194"/>
      <c r="AD44" s="188"/>
      <c r="AE44" s="188"/>
      <c r="AF44" s="193" t="n">
        <v>128.086</v>
      </c>
      <c r="AG44" s="189" t="n">
        <v>134.186</v>
      </c>
      <c r="AH44" s="190"/>
      <c r="AI44" s="195"/>
      <c r="AJ44" s="195"/>
      <c r="AK44" s="196"/>
      <c r="AL44" s="197" t="s">
        <v>191</v>
      </c>
      <c r="AM44" s="197"/>
      <c r="AN44" s="188"/>
      <c r="AO44" s="188"/>
      <c r="AP44" s="188"/>
      <c r="AQ44" s="188"/>
      <c r="AR44" s="188"/>
      <c r="AS44" s="188"/>
      <c r="AT44" s="188"/>
      <c r="AU44" s="198"/>
      <c r="AV44" s="199"/>
      <c r="AW44" s="188"/>
      <c r="AX44" s="198"/>
      <c r="AY44" s="198"/>
      <c r="AZ44" s="195"/>
      <c r="BA44" s="195"/>
      <c r="BB44" s="200"/>
      <c r="BC44" s="201"/>
      <c r="BD44" s="202"/>
      <c r="BE44" s="202"/>
      <c r="BF44" s="202"/>
      <c r="BG44" s="202"/>
      <c r="BH44" s="203" t="n">
        <f aca="false">BH$4+SUMIF($C$5:BG$5,"Нараст. баланс",$C46:BG46)+SUMIF($C$7:BE$7,"Итого (с ВНР)",$C46:BE46)-SUMIF($C$5:BG$5,"Геол. снижение,  т/сут",$C46:BG46)-SUMIF(BF$7:BG$7,"Итого",BF46:BG46)-SUMIF($C$7:BG$7,"Итого (с ВСП)",$C46:BG46)</f>
        <v>30705.8553296956</v>
      </c>
      <c r="BI44" s="204"/>
      <c r="BJ44" s="185"/>
    </row>
    <row r="45" customFormat="false" ht="11.25" hidden="false" customHeight="true" outlineLevel="0" collapsed="false">
      <c r="A45" s="186"/>
      <c r="B45" s="205" t="s">
        <v>174</v>
      </c>
      <c r="C45" s="206"/>
      <c r="D45" s="206"/>
      <c r="E45" s="206"/>
      <c r="F45" s="207" t="n">
        <v>0</v>
      </c>
      <c r="G45" s="206"/>
      <c r="H45" s="206"/>
      <c r="I45" s="206"/>
      <c r="J45" s="206"/>
      <c r="K45" s="207" t="n">
        <v>0</v>
      </c>
      <c r="L45" s="207" t="n">
        <v>0</v>
      </c>
      <c r="M45" s="208"/>
      <c r="N45" s="206"/>
      <c r="O45" s="209" t="n">
        <f aca="false">SUBTOTAL(9,N47:N47)</f>
        <v>0</v>
      </c>
      <c r="P45" s="210"/>
      <c r="Q45" s="206"/>
      <c r="R45" s="206"/>
      <c r="S45" s="209" t="n">
        <f aca="false">SUBTOTAL(9,Q47:R47)</f>
        <v>0</v>
      </c>
      <c r="T45" s="210"/>
      <c r="U45" s="212" t="s">
        <v>211</v>
      </c>
      <c r="V45" s="212" t="s">
        <v>212</v>
      </c>
      <c r="W45" s="206"/>
      <c r="X45" s="206"/>
      <c r="Y45" s="209" t="n">
        <f aca="false">SUBTOTAL(9,U47:X47)</f>
        <v>2</v>
      </c>
      <c r="Z45" s="210"/>
      <c r="AA45" s="206"/>
      <c r="AB45" s="211" t="n">
        <f aca="false">SUBTOTAL(9,AA47:AA47)</f>
        <v>0</v>
      </c>
      <c r="AC45" s="212"/>
      <c r="AD45" s="206"/>
      <c r="AE45" s="206"/>
      <c r="AF45" s="211" t="n">
        <f aca="false">SUBTOTAL(9,AC47:AE47)</f>
        <v>0</v>
      </c>
      <c r="AG45" s="207" t="n">
        <f aca="false">SUBTOTAL(9,AA47:AE47)</f>
        <v>0</v>
      </c>
      <c r="AH45" s="208"/>
      <c r="AI45" s="213"/>
      <c r="AJ45" s="213"/>
      <c r="AK45" s="214"/>
      <c r="AL45" s="215" t="s">
        <v>213</v>
      </c>
      <c r="AM45" s="215"/>
      <c r="AN45" s="206"/>
      <c r="AO45" s="206"/>
      <c r="AP45" s="206"/>
      <c r="AQ45" s="206"/>
      <c r="AR45" s="206"/>
      <c r="AS45" s="206"/>
      <c r="AT45" s="206"/>
      <c r="AU45" s="207" t="n">
        <f aca="false">SUBTOTAL(9,AL47:AT47)</f>
        <v>1</v>
      </c>
      <c r="AV45" s="216"/>
      <c r="AW45" s="206"/>
      <c r="AX45" s="207" t="n">
        <f aca="false">SUBTOTAL(3,AW45:AW45)</f>
        <v>0</v>
      </c>
      <c r="AY45" s="217"/>
      <c r="AZ45" s="213"/>
      <c r="BA45" s="213"/>
      <c r="BB45" s="218"/>
      <c r="BC45" s="219"/>
      <c r="BD45" s="220"/>
      <c r="BE45" s="220"/>
      <c r="BF45" s="220"/>
      <c r="BG45" s="220"/>
      <c r="BH45" s="203"/>
      <c r="BI45" s="221"/>
      <c r="BJ45" s="185"/>
    </row>
    <row r="46" customFormat="false" ht="11.25" hidden="false" customHeight="true" outlineLevel="0" collapsed="false">
      <c r="A46" s="186"/>
      <c r="B46" s="222" t="s">
        <v>172</v>
      </c>
      <c r="C46" s="223"/>
      <c r="D46" s="223"/>
      <c r="E46" s="223"/>
      <c r="F46" s="224" t="n">
        <f aca="false">SUBTOTAL(9,C46:E46)</f>
        <v>0</v>
      </c>
      <c r="G46" s="223"/>
      <c r="H46" s="223"/>
      <c r="I46" s="223"/>
      <c r="J46" s="223"/>
      <c r="K46" s="224" t="n">
        <f aca="false">SUBTOTAL(9,G46:J46)</f>
        <v>0</v>
      </c>
      <c r="L46" s="224" t="n">
        <f aca="false">SUBTOTAL(9,C46:J46)</f>
        <v>0</v>
      </c>
      <c r="M46" s="225" t="n">
        <v>121</v>
      </c>
      <c r="N46" s="223"/>
      <c r="O46" s="226" t="n">
        <f aca="false">SUBTOTAL(9,N46:N46)</f>
        <v>0</v>
      </c>
      <c r="P46" s="227" t="n">
        <f aca="false">O46+IF($B42=2,0,P42)</f>
        <v>5.8</v>
      </c>
      <c r="Q46" s="223"/>
      <c r="R46" s="223"/>
      <c r="S46" s="226" t="n">
        <f aca="false">SUBTOTAL(9,Q46:R46)</f>
        <v>0</v>
      </c>
      <c r="T46" s="227" t="n">
        <f aca="false">S46+IF($B42=2,0,T42)</f>
        <v>130</v>
      </c>
      <c r="U46" s="229" t="n">
        <v>2</v>
      </c>
      <c r="V46" s="229" t="n">
        <v>4</v>
      </c>
      <c r="W46" s="223"/>
      <c r="X46" s="223"/>
      <c r="Y46" s="226" t="n">
        <f aca="false">SUBTOTAL(9,U46:X46)</f>
        <v>6</v>
      </c>
      <c r="Z46" s="227" t="n">
        <f aca="false">Y46+IF($B42=2,0,Z42)</f>
        <v>31</v>
      </c>
      <c r="AA46" s="223"/>
      <c r="AB46" s="228" t="n">
        <f aca="false">SUBTOTAL(9,AA46:AA46)</f>
        <v>0</v>
      </c>
      <c r="AC46" s="229" t="n">
        <v>4.986</v>
      </c>
      <c r="AD46" s="223"/>
      <c r="AE46" s="223"/>
      <c r="AF46" s="228" t="n">
        <f aca="false">SUBTOTAL(9,AC46:AE46)</f>
        <v>4.986</v>
      </c>
      <c r="AG46" s="224" t="n">
        <f aca="false">SUBTOTAL(9,AA46:AE46)</f>
        <v>4.986</v>
      </c>
      <c r="AH46" s="225" t="n">
        <f aca="false">AG46+IF($B42=2,0,AH42)</f>
        <v>134.186</v>
      </c>
      <c r="AI46" s="230" t="n">
        <v>176.7</v>
      </c>
      <c r="AJ46" s="230" t="n">
        <v>176.7</v>
      </c>
      <c r="AK46" s="231" t="n">
        <v>450</v>
      </c>
      <c r="AL46" s="232" t="n">
        <v>5.4</v>
      </c>
      <c r="AM46" s="232" t="n">
        <v>41</v>
      </c>
      <c r="AN46" s="223"/>
      <c r="AO46" s="223"/>
      <c r="AP46" s="223"/>
      <c r="AQ46" s="223"/>
      <c r="AR46" s="223"/>
      <c r="AS46" s="223"/>
      <c r="AT46" s="223"/>
      <c r="AU46" s="224" t="n">
        <f aca="false">SUBTOTAL(9,AL46:AT46)</f>
        <v>46.4</v>
      </c>
      <c r="AV46" s="228" t="n">
        <f aca="false">AU46+IF($B42=2,0,AV42)</f>
        <v>409.7033333333</v>
      </c>
      <c r="AW46" s="223"/>
      <c r="AX46" s="224" t="n">
        <f aca="false">SUBTOTAL(9,AW46:AW46)</f>
        <v>0</v>
      </c>
      <c r="AY46" s="224" t="n">
        <f aca="false">AX46+IF($B42=2,0,AY42)</f>
        <v>5.7</v>
      </c>
      <c r="AZ46" s="230"/>
      <c r="BA46" s="230"/>
      <c r="BB46" s="233" t="n">
        <f aca="false">SUMIF($C$5:BA$5,"Накопленный эффект, т/сут",$C46:BA46)+SUMIF($C$5:BA$5,"Нараст.  по потенциалу",$C46:BA46)-SUMIF($C$5:BA$5,"Нараст. по остановкам",$C46:BA46)-SUMIF($C$5:BA$5,"ИТОГО перевод в ППД",$C46:BA46)-SUMIF($C$5:BA$5,"ИТОГО  нерент, по распоряж.",$C46:BA46)-SUMIF($C$5:BA$5,"ИТОГО ост. дебит от ЗБС, Углуб., ПВЛГ/ПНЛГ",$C46:BA46)</f>
        <v>6.58266666670004</v>
      </c>
      <c r="BC46" s="234"/>
      <c r="BD46" s="224" t="n">
        <v>12.2217016767899</v>
      </c>
      <c r="BE46" s="224" t="n">
        <v>155.678780343637</v>
      </c>
      <c r="BF46" s="224" t="n">
        <v>10.4848549507168</v>
      </c>
      <c r="BG46" s="224" t="n">
        <f aca="false">SUBTOTAL(9,BC46:BF46)</f>
        <v>178.385336971144</v>
      </c>
      <c r="BH46" s="203"/>
      <c r="BI46" s="235" t="n">
        <f aca="false">BI$4+SUMIF($C$5:BG$5,"Нараст. по остановкам",$C46:BG46)-SUMIF($C$5:BG$5,"Нараст.  по потенциалу",$C46:BG46)</f>
        <v>849.299482520239</v>
      </c>
      <c r="BJ46" s="185"/>
    </row>
    <row r="47" customFormat="false" ht="1.5" hidden="false" customHeight="true" outlineLevel="0" collapsed="false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 t="n">
        <v>1</v>
      </c>
      <c r="V47" s="151" t="n">
        <v>1</v>
      </c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 t="n">
        <v>1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85"/>
    </row>
    <row r="48" customFormat="false" ht="11.25" hidden="false" customHeight="true" outlineLevel="0" collapsed="false">
      <c r="A48" s="186" t="n">
        <v>45301</v>
      </c>
      <c r="B48" s="187" t="s">
        <v>173</v>
      </c>
      <c r="C48" s="188"/>
      <c r="D48" s="188"/>
      <c r="E48" s="188"/>
      <c r="F48" s="189" t="n">
        <v>80</v>
      </c>
      <c r="G48" s="188"/>
      <c r="H48" s="188"/>
      <c r="I48" s="188"/>
      <c r="J48" s="188"/>
      <c r="K48" s="189" t="n">
        <v>41</v>
      </c>
      <c r="L48" s="189" t="n">
        <v>121</v>
      </c>
      <c r="M48" s="190"/>
      <c r="N48" s="188"/>
      <c r="O48" s="191"/>
      <c r="P48" s="192"/>
      <c r="Q48" s="194" t="s">
        <v>176</v>
      </c>
      <c r="R48" s="194" t="s">
        <v>214</v>
      </c>
      <c r="S48" s="191"/>
      <c r="T48" s="192"/>
      <c r="U48" s="194" t="s">
        <v>190</v>
      </c>
      <c r="V48" s="194" t="s">
        <v>181</v>
      </c>
      <c r="W48" s="188"/>
      <c r="X48" s="188"/>
      <c r="Y48" s="191"/>
      <c r="Z48" s="192"/>
      <c r="AA48" s="188"/>
      <c r="AB48" s="193" t="n">
        <v>6.1</v>
      </c>
      <c r="AC48" s="194" t="s">
        <v>205</v>
      </c>
      <c r="AD48" s="194"/>
      <c r="AE48" s="188"/>
      <c r="AF48" s="193" t="n">
        <v>142.686</v>
      </c>
      <c r="AG48" s="189" t="n">
        <v>148.786</v>
      </c>
      <c r="AH48" s="190"/>
      <c r="AI48" s="195"/>
      <c r="AJ48" s="195"/>
      <c r="AK48" s="196"/>
      <c r="AL48" s="197" t="s">
        <v>205</v>
      </c>
      <c r="AM48" s="197"/>
      <c r="AN48" s="188"/>
      <c r="AO48" s="188"/>
      <c r="AP48" s="188"/>
      <c r="AQ48" s="188"/>
      <c r="AR48" s="188"/>
      <c r="AS48" s="188"/>
      <c r="AT48" s="188"/>
      <c r="AU48" s="198"/>
      <c r="AV48" s="199"/>
      <c r="AW48" s="197" t="s">
        <v>205</v>
      </c>
      <c r="AX48" s="198"/>
      <c r="AY48" s="198"/>
      <c r="AZ48" s="195"/>
      <c r="BA48" s="195"/>
      <c r="BB48" s="200"/>
      <c r="BC48" s="202"/>
      <c r="BD48" s="202"/>
      <c r="BE48" s="202"/>
      <c r="BF48" s="202"/>
      <c r="BG48" s="202"/>
      <c r="BH48" s="203" t="n">
        <f aca="false">BH$4+SUMIF($C$5:BG$5,"Нараст. баланс",$C50:BG50)+SUMIF($C$7:BE$7,"Итого (с ВНР)",$C50:BE50)-SUMIF($C$5:BG$5,"Геол. снижение,  т/сут",$C50:BG50)-SUMIF(BF$7:BG$7,"Итого",BF50:BG50)-SUMIF($C$7:BG$7,"Итого (с ВСП)",$C50:BG50)</f>
        <v>30850.5439910987</v>
      </c>
      <c r="BI48" s="204"/>
      <c r="BJ48" s="185"/>
    </row>
    <row r="49" customFormat="false" ht="11.25" hidden="false" customHeight="true" outlineLevel="0" collapsed="false">
      <c r="A49" s="186"/>
      <c r="B49" s="205" t="s">
        <v>174</v>
      </c>
      <c r="C49" s="206"/>
      <c r="D49" s="206"/>
      <c r="E49" s="206"/>
      <c r="F49" s="207" t="n">
        <v>0</v>
      </c>
      <c r="G49" s="206"/>
      <c r="H49" s="206"/>
      <c r="I49" s="206"/>
      <c r="J49" s="206"/>
      <c r="K49" s="207" t="n">
        <v>0</v>
      </c>
      <c r="L49" s="207" t="n">
        <v>0</v>
      </c>
      <c r="M49" s="208"/>
      <c r="N49" s="206"/>
      <c r="O49" s="209" t="n">
        <f aca="false">SUBTOTAL(9,N51:N51)</f>
        <v>0</v>
      </c>
      <c r="P49" s="210"/>
      <c r="Q49" s="212" t="s">
        <v>215</v>
      </c>
      <c r="R49" s="212"/>
      <c r="S49" s="209" t="n">
        <f aca="false">SUBTOTAL(9,Q51:R51)</f>
        <v>1</v>
      </c>
      <c r="T49" s="210"/>
      <c r="U49" s="212" t="s">
        <v>216</v>
      </c>
      <c r="V49" s="212" t="s">
        <v>217</v>
      </c>
      <c r="W49" s="206"/>
      <c r="X49" s="206"/>
      <c r="Y49" s="209" t="n">
        <f aca="false">SUBTOTAL(9,U51:X51)</f>
        <v>2</v>
      </c>
      <c r="Z49" s="210"/>
      <c r="AA49" s="206"/>
      <c r="AB49" s="211" t="n">
        <f aca="false">SUBTOTAL(9,AA51:AA51)</f>
        <v>0</v>
      </c>
      <c r="AC49" s="212" t="s">
        <v>218</v>
      </c>
      <c r="AD49" s="212"/>
      <c r="AE49" s="206"/>
      <c r="AF49" s="211" t="n">
        <f aca="false">SUBTOTAL(9,AC51:AE51)</f>
        <v>1</v>
      </c>
      <c r="AG49" s="207" t="n">
        <f aca="false">SUBTOTAL(9,AA51:AE51)</f>
        <v>1</v>
      </c>
      <c r="AH49" s="208"/>
      <c r="AI49" s="213"/>
      <c r="AJ49" s="213"/>
      <c r="AK49" s="214"/>
      <c r="AL49" s="215" t="s">
        <v>218</v>
      </c>
      <c r="AM49" s="215"/>
      <c r="AN49" s="206"/>
      <c r="AO49" s="206"/>
      <c r="AP49" s="206"/>
      <c r="AQ49" s="206"/>
      <c r="AR49" s="206"/>
      <c r="AS49" s="206"/>
      <c r="AT49" s="206"/>
      <c r="AU49" s="207" t="n">
        <f aca="false">SUBTOTAL(9,AL51:AT51)</f>
        <v>1</v>
      </c>
      <c r="AV49" s="216"/>
      <c r="AW49" s="215" t="s">
        <v>218</v>
      </c>
      <c r="AX49" s="207" t="n">
        <f aca="false">SUBTOTAL(3,AW49:AW49)</f>
        <v>1</v>
      </c>
      <c r="AY49" s="217"/>
      <c r="AZ49" s="213"/>
      <c r="BA49" s="213"/>
      <c r="BB49" s="218"/>
      <c r="BC49" s="220"/>
      <c r="BD49" s="220"/>
      <c r="BE49" s="220"/>
      <c r="BF49" s="220"/>
      <c r="BG49" s="220"/>
      <c r="BH49" s="203"/>
      <c r="BI49" s="221"/>
      <c r="BJ49" s="185"/>
    </row>
    <row r="50" customFormat="false" ht="11.25" hidden="false" customHeight="true" outlineLevel="0" collapsed="false">
      <c r="A50" s="186"/>
      <c r="B50" s="222" t="s">
        <v>172</v>
      </c>
      <c r="C50" s="223"/>
      <c r="D50" s="223"/>
      <c r="E50" s="223"/>
      <c r="F50" s="224" t="n">
        <f aca="false">SUBTOTAL(9,C50:E50)</f>
        <v>0</v>
      </c>
      <c r="G50" s="223"/>
      <c r="H50" s="223"/>
      <c r="I50" s="223"/>
      <c r="J50" s="223"/>
      <c r="K50" s="224" t="n">
        <f aca="false">SUBTOTAL(9,G50:J50)</f>
        <v>0</v>
      </c>
      <c r="L50" s="224" t="n">
        <f aca="false">SUBTOTAL(9,C50:J50)</f>
        <v>0</v>
      </c>
      <c r="M50" s="225" t="n">
        <v>121</v>
      </c>
      <c r="N50" s="223"/>
      <c r="O50" s="226" t="n">
        <f aca="false">SUBTOTAL(9,N50:N50)</f>
        <v>0</v>
      </c>
      <c r="P50" s="227" t="n">
        <f aca="false">O50+IF($B46=2,0,P46)</f>
        <v>5.8</v>
      </c>
      <c r="Q50" s="229" t="n">
        <v>40</v>
      </c>
      <c r="R50" s="229" t="n">
        <v>20</v>
      </c>
      <c r="S50" s="226" t="n">
        <f aca="false">SUBTOTAL(9,Q50:R50)</f>
        <v>60</v>
      </c>
      <c r="T50" s="227" t="n">
        <f aca="false">S50+IF($B46=2,0,T46)</f>
        <v>190</v>
      </c>
      <c r="U50" s="229" t="n">
        <v>6</v>
      </c>
      <c r="V50" s="229" t="n">
        <v>7</v>
      </c>
      <c r="W50" s="223"/>
      <c r="X50" s="223"/>
      <c r="Y50" s="226" t="n">
        <f aca="false">SUBTOTAL(9,U50:X50)</f>
        <v>13</v>
      </c>
      <c r="Z50" s="227" t="n">
        <f aca="false">Y50+IF($B46=2,0,Z46)</f>
        <v>44</v>
      </c>
      <c r="AA50" s="223"/>
      <c r="AB50" s="228" t="n">
        <f aca="false">SUBTOTAL(9,AA50:AA50)</f>
        <v>0</v>
      </c>
      <c r="AC50" s="229" t="n">
        <v>2.9</v>
      </c>
      <c r="AD50" s="229" t="n">
        <v>11.7</v>
      </c>
      <c r="AE50" s="223"/>
      <c r="AF50" s="228" t="n">
        <f aca="false">SUBTOTAL(9,AC50:AE50)</f>
        <v>14.6</v>
      </c>
      <c r="AG50" s="224" t="n">
        <f aca="false">SUBTOTAL(9,AA50:AE50)</f>
        <v>14.6</v>
      </c>
      <c r="AH50" s="225" t="n">
        <f aca="false">AG50+IF($B46=2,0,AH46)</f>
        <v>148.786</v>
      </c>
      <c r="AI50" s="230" t="n">
        <v>254.5</v>
      </c>
      <c r="AJ50" s="230" t="n">
        <v>254.5</v>
      </c>
      <c r="AK50" s="231" t="n">
        <v>500</v>
      </c>
      <c r="AL50" s="232" t="n">
        <v>2.9</v>
      </c>
      <c r="AM50" s="232" t="n">
        <v>11.1751111111</v>
      </c>
      <c r="AN50" s="223"/>
      <c r="AO50" s="223"/>
      <c r="AP50" s="223"/>
      <c r="AQ50" s="223"/>
      <c r="AR50" s="223"/>
      <c r="AS50" s="223"/>
      <c r="AT50" s="223"/>
      <c r="AU50" s="224" t="n">
        <f aca="false">SUBTOTAL(9,AL50:AT50)</f>
        <v>14.0751111111</v>
      </c>
      <c r="AV50" s="228" t="n">
        <f aca="false">AU50+IF($B46=2,0,AV46)</f>
        <v>423.7784444444</v>
      </c>
      <c r="AW50" s="232" t="n">
        <v>2.9</v>
      </c>
      <c r="AX50" s="224" t="n">
        <f aca="false">SUBTOTAL(9,AW50:AW50)</f>
        <v>2.9</v>
      </c>
      <c r="AY50" s="224" t="n">
        <f aca="false">AX50+IF($B46=2,0,AY46)</f>
        <v>8.6</v>
      </c>
      <c r="AZ50" s="230"/>
      <c r="BA50" s="230"/>
      <c r="BB50" s="233" t="n">
        <f aca="false">SUMIF($C$5:BA$5,"Накопленный эффект, т/сут",$C50:BA50)+SUMIF($C$5:BA$5,"Нараст.  по потенциалу",$C50:BA50)-SUMIF($C$5:BA$5,"Нараст. по остановкам",$C50:BA50)-SUMIF($C$5:BA$5,"ИТОГО перевод в ППД",$C50:BA50)-SUMIF($C$5:BA$5,"ИТОГО  нерент, по распоряж.",$C50:BA50)-SUMIF($C$5:BA$5,"ИТОГО ост. дебит от ЗБС, Углуб., ПВЛГ/ПНЛГ",$C50:BA50)</f>
        <v>77.2075555556001</v>
      </c>
      <c r="BC50" s="224" t="n">
        <v>76.6</v>
      </c>
      <c r="BD50" s="224" t="n">
        <v>43.4854759695615</v>
      </c>
      <c r="BE50" s="224" t="n">
        <v>1.11257428870103</v>
      </c>
      <c r="BF50" s="224" t="n">
        <v>10.9235141986321</v>
      </c>
      <c r="BG50" s="224" t="n">
        <f aca="false">SUBTOTAL(9,BC50:BF50)</f>
        <v>132.121564456895</v>
      </c>
      <c r="BH50" s="203"/>
      <c r="BI50" s="235" t="n">
        <f aca="false">BI$4+SUMIF($C$5:BG$5,"Нараст. по остановкам",$C50:BG50)-SUMIF($C$5:BG$5,"Нараст.  по потенциалу",$C50:BG50)</f>
        <v>848.774593631339</v>
      </c>
      <c r="BJ50" s="185"/>
    </row>
    <row r="51" customFormat="false" ht="1.5" hidden="false" customHeight="true" outlineLevel="0" collapsed="false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 t="n">
        <v>1</v>
      </c>
      <c r="R51" s="151"/>
      <c r="S51" s="151"/>
      <c r="T51" s="151"/>
      <c r="U51" s="151" t="n">
        <v>1</v>
      </c>
      <c r="V51" s="151" t="n">
        <v>1</v>
      </c>
      <c r="W51" s="151"/>
      <c r="X51" s="151"/>
      <c r="Y51" s="151"/>
      <c r="Z51" s="151"/>
      <c r="AA51" s="151"/>
      <c r="AB51" s="151"/>
      <c r="AC51" s="151" t="n">
        <v>1</v>
      </c>
      <c r="AD51" s="151"/>
      <c r="AE51" s="151"/>
      <c r="AF51" s="151"/>
      <c r="AG51" s="151"/>
      <c r="AH51" s="151"/>
      <c r="AI51" s="151"/>
      <c r="AJ51" s="151"/>
      <c r="AK51" s="151"/>
      <c r="AL51" s="151" t="n">
        <v>1</v>
      </c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85"/>
    </row>
    <row r="52" customFormat="false" ht="11.25" hidden="false" customHeight="true" outlineLevel="0" collapsed="false">
      <c r="A52" s="186" t="n">
        <v>45302</v>
      </c>
      <c r="B52" s="187" t="s">
        <v>173</v>
      </c>
      <c r="C52" s="194" t="s">
        <v>219</v>
      </c>
      <c r="D52" s="188"/>
      <c r="E52" s="188"/>
      <c r="F52" s="189" t="n">
        <v>130</v>
      </c>
      <c r="G52" s="188"/>
      <c r="H52" s="188"/>
      <c r="I52" s="188"/>
      <c r="J52" s="188"/>
      <c r="K52" s="189" t="n">
        <v>41</v>
      </c>
      <c r="L52" s="189" t="n">
        <v>171</v>
      </c>
      <c r="M52" s="190"/>
      <c r="N52" s="188"/>
      <c r="O52" s="191"/>
      <c r="P52" s="192"/>
      <c r="Q52" s="194" t="s">
        <v>220</v>
      </c>
      <c r="R52" s="188"/>
      <c r="S52" s="191"/>
      <c r="T52" s="192"/>
      <c r="U52" s="194" t="s">
        <v>177</v>
      </c>
      <c r="V52" s="194" t="s">
        <v>184</v>
      </c>
      <c r="W52" s="188"/>
      <c r="X52" s="188"/>
      <c r="Y52" s="191"/>
      <c r="Z52" s="192"/>
      <c r="AA52" s="188"/>
      <c r="AB52" s="193" t="n">
        <v>6.1</v>
      </c>
      <c r="AC52" s="188"/>
      <c r="AD52" s="188"/>
      <c r="AE52" s="188"/>
      <c r="AF52" s="193" t="n">
        <v>142.686</v>
      </c>
      <c r="AG52" s="189" t="n">
        <v>148.786</v>
      </c>
      <c r="AH52" s="190"/>
      <c r="AI52" s="195"/>
      <c r="AJ52" s="195"/>
      <c r="AK52" s="196"/>
      <c r="AL52" s="188"/>
      <c r="AM52" s="188"/>
      <c r="AN52" s="188"/>
      <c r="AO52" s="188"/>
      <c r="AP52" s="188"/>
      <c r="AQ52" s="188"/>
      <c r="AR52" s="188"/>
      <c r="AS52" s="188"/>
      <c r="AT52" s="188"/>
      <c r="AU52" s="198"/>
      <c r="AV52" s="199"/>
      <c r="AW52" s="188"/>
      <c r="AX52" s="198"/>
      <c r="AY52" s="198"/>
      <c r="AZ52" s="195"/>
      <c r="BA52" s="195"/>
      <c r="BB52" s="200"/>
      <c r="BC52" s="202"/>
      <c r="BD52" s="202"/>
      <c r="BE52" s="202"/>
      <c r="BF52" s="202"/>
      <c r="BG52" s="202"/>
      <c r="BH52" s="203" t="n">
        <f aca="false">BH$4+SUMIF($C$5:BG$5,"Нараст. баланс",$C54:BG54)+SUMIF($C$7:BE$7,"Итого (с ВНР)",$C54:BE54)-SUMIF($C$5:BG$5,"Геол. снижение,  т/сут",$C54:BG54)-SUMIF(BF$7:BG$7,"Итого",BF54:BG54)-SUMIF($C$7:BG$7,"Итого (с ВСП)",$C54:BG54)</f>
        <v>30912.8324122951</v>
      </c>
      <c r="BI52" s="204"/>
      <c r="BJ52" s="185"/>
    </row>
    <row r="53" customFormat="false" ht="11.25" hidden="false" customHeight="true" outlineLevel="0" collapsed="false">
      <c r="A53" s="186"/>
      <c r="B53" s="205" t="s">
        <v>174</v>
      </c>
      <c r="C53" s="212" t="s">
        <v>221</v>
      </c>
      <c r="D53" s="206"/>
      <c r="E53" s="206"/>
      <c r="F53" s="207" t="n">
        <v>1</v>
      </c>
      <c r="G53" s="206"/>
      <c r="H53" s="206"/>
      <c r="I53" s="206"/>
      <c r="J53" s="206"/>
      <c r="K53" s="207" t="n">
        <v>0</v>
      </c>
      <c r="L53" s="207" t="n">
        <v>1</v>
      </c>
      <c r="M53" s="208"/>
      <c r="N53" s="206"/>
      <c r="O53" s="209" t="n">
        <f aca="false">SUBTOTAL(9,N55:N55)</f>
        <v>0</v>
      </c>
      <c r="P53" s="210"/>
      <c r="Q53" s="212" t="s">
        <v>222</v>
      </c>
      <c r="R53" s="206"/>
      <c r="S53" s="209" t="n">
        <f aca="false">SUBTOTAL(9,Q55:R55)</f>
        <v>1</v>
      </c>
      <c r="T53" s="210"/>
      <c r="U53" s="212" t="s">
        <v>223</v>
      </c>
      <c r="V53" s="212" t="s">
        <v>224</v>
      </c>
      <c r="W53" s="206"/>
      <c r="X53" s="206"/>
      <c r="Y53" s="209" t="n">
        <f aca="false">SUBTOTAL(9,U55:X55)</f>
        <v>2</v>
      </c>
      <c r="Z53" s="210"/>
      <c r="AA53" s="206"/>
      <c r="AB53" s="211" t="n">
        <f aca="false">SUBTOTAL(9,AA55:AA55)</f>
        <v>0</v>
      </c>
      <c r="AC53" s="206"/>
      <c r="AD53" s="206"/>
      <c r="AE53" s="206"/>
      <c r="AF53" s="211" t="n">
        <f aca="false">SUBTOTAL(9,AC55:AE55)</f>
        <v>0</v>
      </c>
      <c r="AG53" s="207" t="n">
        <f aca="false">SUBTOTAL(9,AA55:AE55)</f>
        <v>0</v>
      </c>
      <c r="AH53" s="208"/>
      <c r="AI53" s="213"/>
      <c r="AJ53" s="213"/>
      <c r="AK53" s="214"/>
      <c r="AL53" s="206"/>
      <c r="AM53" s="206"/>
      <c r="AN53" s="206"/>
      <c r="AO53" s="206"/>
      <c r="AP53" s="206"/>
      <c r="AQ53" s="206"/>
      <c r="AR53" s="206"/>
      <c r="AS53" s="206"/>
      <c r="AT53" s="206"/>
      <c r="AU53" s="207" t="n">
        <f aca="false">SUBTOTAL(9,AL55:AT55)</f>
        <v>0</v>
      </c>
      <c r="AV53" s="216"/>
      <c r="AW53" s="206"/>
      <c r="AX53" s="207" t="n">
        <f aca="false">SUBTOTAL(3,AW53:AW53)</f>
        <v>0</v>
      </c>
      <c r="AY53" s="217"/>
      <c r="AZ53" s="213"/>
      <c r="BA53" s="213"/>
      <c r="BB53" s="218"/>
      <c r="BC53" s="220"/>
      <c r="BD53" s="220"/>
      <c r="BE53" s="220"/>
      <c r="BF53" s="220"/>
      <c r="BG53" s="220"/>
      <c r="BH53" s="203"/>
      <c r="BI53" s="221"/>
      <c r="BJ53" s="185"/>
    </row>
    <row r="54" customFormat="false" ht="11.25" hidden="false" customHeight="true" outlineLevel="0" collapsed="false">
      <c r="A54" s="186"/>
      <c r="B54" s="222" t="s">
        <v>172</v>
      </c>
      <c r="C54" s="229" t="n">
        <v>50</v>
      </c>
      <c r="D54" s="223"/>
      <c r="E54" s="223"/>
      <c r="F54" s="224" t="n">
        <f aca="false">SUBTOTAL(9,C54:E54)</f>
        <v>50</v>
      </c>
      <c r="G54" s="223"/>
      <c r="H54" s="223"/>
      <c r="I54" s="223"/>
      <c r="J54" s="223"/>
      <c r="K54" s="224" t="n">
        <f aca="false">SUBTOTAL(9,G54:J54)</f>
        <v>0</v>
      </c>
      <c r="L54" s="224" t="n">
        <f aca="false">SUBTOTAL(9,C54:J54)</f>
        <v>50</v>
      </c>
      <c r="M54" s="225" t="n">
        <v>171</v>
      </c>
      <c r="N54" s="223"/>
      <c r="O54" s="226" t="n">
        <f aca="false">SUBTOTAL(9,N54:N54)</f>
        <v>0</v>
      </c>
      <c r="P54" s="227" t="n">
        <f aca="false">O54+IF($B50=2,0,P50)</f>
        <v>5.8</v>
      </c>
      <c r="Q54" s="229" t="n">
        <v>30</v>
      </c>
      <c r="R54" s="223"/>
      <c r="S54" s="226" t="n">
        <f aca="false">SUBTOTAL(9,Q54:R54)</f>
        <v>30</v>
      </c>
      <c r="T54" s="227" t="n">
        <f aca="false">S54+IF($B50=2,0,T50)</f>
        <v>220</v>
      </c>
      <c r="U54" s="229" t="n">
        <v>4</v>
      </c>
      <c r="V54" s="229" t="n">
        <v>7</v>
      </c>
      <c r="W54" s="223"/>
      <c r="X54" s="223"/>
      <c r="Y54" s="226" t="n">
        <f aca="false">SUBTOTAL(9,U54:X54)</f>
        <v>11</v>
      </c>
      <c r="Z54" s="227" t="n">
        <f aca="false">Y54+IF($B50=2,0,Z50)</f>
        <v>55</v>
      </c>
      <c r="AA54" s="223"/>
      <c r="AB54" s="228" t="n">
        <f aca="false">SUBTOTAL(9,AA54:AA54)</f>
        <v>0</v>
      </c>
      <c r="AC54" s="223"/>
      <c r="AD54" s="223"/>
      <c r="AE54" s="223"/>
      <c r="AF54" s="228" t="n">
        <f aca="false">SUBTOTAL(9,AC54:AE54)</f>
        <v>0</v>
      </c>
      <c r="AG54" s="224" t="n">
        <f aca="false">SUBTOTAL(9,AA54:AE54)</f>
        <v>0</v>
      </c>
      <c r="AH54" s="225" t="n">
        <f aca="false">AG54+IF($B50=2,0,AH50)</f>
        <v>148.786</v>
      </c>
      <c r="AI54" s="230" t="n">
        <v>257.2</v>
      </c>
      <c r="AJ54" s="230" t="n">
        <v>257.2</v>
      </c>
      <c r="AK54" s="231" t="n">
        <v>550</v>
      </c>
      <c r="AL54" s="223"/>
      <c r="AM54" s="223"/>
      <c r="AN54" s="223"/>
      <c r="AO54" s="223"/>
      <c r="AP54" s="223"/>
      <c r="AQ54" s="223"/>
      <c r="AR54" s="223"/>
      <c r="AS54" s="223"/>
      <c r="AT54" s="223"/>
      <c r="AU54" s="224" t="n">
        <f aca="false">SUBTOTAL(9,AL54:AT54)</f>
        <v>0</v>
      </c>
      <c r="AV54" s="228" t="n">
        <f aca="false">AU54+IF($B50=2,0,AV50)</f>
        <v>423.7784444444</v>
      </c>
      <c r="AW54" s="223"/>
      <c r="AX54" s="224" t="n">
        <f aca="false">SUBTOTAL(9,AW54:AW54)</f>
        <v>0</v>
      </c>
      <c r="AY54" s="224" t="n">
        <f aca="false">AX54+IF($B50=2,0,AY50)</f>
        <v>8.6</v>
      </c>
      <c r="AZ54" s="230"/>
      <c r="BA54" s="230"/>
      <c r="BB54" s="233" t="n">
        <f aca="false">SUMIF($C$5:BA$5,"Накопленный эффект, т/сут",$C54:BA54)+SUMIF($C$5:BA$5,"Нараст.  по потенциалу",$C54:BA54)-SUMIF($C$5:BA$5,"Нараст. по остановкам",$C54:BA54)-SUMIF($C$5:BA$5,"ИТОГО перевод в ППД",$C54:BA54)-SUMIF($C$5:BA$5,"ИТОГО  нерент, по распоряж.",$C54:BA54)-SUMIF($C$5:BA$5,"ИТОГО ост. дебит от ЗБС, Углуб., ПВЛГ/ПНЛГ",$C54:BA54)</f>
        <v>168.2075555556</v>
      </c>
      <c r="BC54" s="224" t="n">
        <v>90.8</v>
      </c>
      <c r="BD54" s="224" t="n">
        <v>2.41386021505376</v>
      </c>
      <c r="BE54" s="224" t="n">
        <v>11.6777224794307</v>
      </c>
      <c r="BF54" s="224" t="n">
        <v>8.64156056602594</v>
      </c>
      <c r="BG54" s="224" t="n">
        <f aca="false">SUBTOTAL(9,BC54:BF54)</f>
        <v>113.53314326051</v>
      </c>
      <c r="BH54" s="203"/>
      <c r="BI54" s="235" t="n">
        <f aca="false">BI$4+SUMIF($C$5:BG$5,"Нараст. по остановкам",$C54:BG54)-SUMIF($C$5:BG$5,"Нараст.  по потенциалу",$C54:BG54)</f>
        <v>848.774593631339</v>
      </c>
      <c r="BJ54" s="185"/>
    </row>
    <row r="55" customFormat="false" ht="1.5" hidden="false" customHeight="true" outlineLevel="0" collapsed="false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 t="n">
        <v>1</v>
      </c>
      <c r="R55" s="151"/>
      <c r="S55" s="151"/>
      <c r="T55" s="151"/>
      <c r="U55" s="151" t="n">
        <v>1</v>
      </c>
      <c r="V55" s="151" t="n">
        <v>1</v>
      </c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85"/>
    </row>
    <row r="56" customFormat="false" ht="11.25" hidden="false" customHeight="true" outlineLevel="0" collapsed="false">
      <c r="A56" s="186" t="n">
        <v>45303</v>
      </c>
      <c r="B56" s="187" t="s">
        <v>173</v>
      </c>
      <c r="C56" s="188"/>
      <c r="D56" s="188"/>
      <c r="E56" s="188"/>
      <c r="F56" s="189" t="n">
        <v>130</v>
      </c>
      <c r="G56" s="188"/>
      <c r="H56" s="188"/>
      <c r="I56" s="188"/>
      <c r="J56" s="188"/>
      <c r="K56" s="189" t="n">
        <v>41</v>
      </c>
      <c r="L56" s="189" t="n">
        <v>171</v>
      </c>
      <c r="M56" s="190"/>
      <c r="N56" s="194" t="s">
        <v>176</v>
      </c>
      <c r="O56" s="191"/>
      <c r="P56" s="192"/>
      <c r="Q56" s="188"/>
      <c r="R56" s="188"/>
      <c r="S56" s="191"/>
      <c r="T56" s="192"/>
      <c r="U56" s="194" t="s">
        <v>184</v>
      </c>
      <c r="V56" s="188"/>
      <c r="W56" s="188"/>
      <c r="X56" s="188"/>
      <c r="Y56" s="191"/>
      <c r="Z56" s="192"/>
      <c r="AA56" s="194" t="s">
        <v>176</v>
      </c>
      <c r="AB56" s="193" t="n">
        <v>46.3</v>
      </c>
      <c r="AC56" s="194" t="s">
        <v>175</v>
      </c>
      <c r="AD56" s="194"/>
      <c r="AE56" s="188"/>
      <c r="AF56" s="193" t="n">
        <v>169.286</v>
      </c>
      <c r="AG56" s="189" t="n">
        <v>215.586</v>
      </c>
      <c r="AH56" s="190"/>
      <c r="AI56" s="195"/>
      <c r="AJ56" s="195"/>
      <c r="AK56" s="196"/>
      <c r="AL56" s="197"/>
      <c r="AM56" s="188"/>
      <c r="AN56" s="188"/>
      <c r="AO56" s="188"/>
      <c r="AP56" s="188"/>
      <c r="AQ56" s="188"/>
      <c r="AR56" s="188"/>
      <c r="AS56" s="188"/>
      <c r="AT56" s="188"/>
      <c r="AU56" s="198"/>
      <c r="AV56" s="199"/>
      <c r="AW56" s="188"/>
      <c r="AX56" s="198"/>
      <c r="AY56" s="198"/>
      <c r="AZ56" s="195"/>
      <c r="BA56" s="195"/>
      <c r="BB56" s="200"/>
      <c r="BC56" s="202"/>
      <c r="BD56" s="202"/>
      <c r="BE56" s="202"/>
      <c r="BF56" s="202"/>
      <c r="BG56" s="202"/>
      <c r="BH56" s="203" t="n">
        <f aca="false">BH$4+SUMIF($C$5:BG$5,"Нараст. баланс",$C58:BG58)+SUMIF($C$7:BE$7,"Итого (с ВНР)",$C58:BE58)-SUMIF($C$5:BG$5,"Геол. снижение,  т/сут",$C58:BG58)-SUMIF(BF$7:BG$7,"Итого",BF58:BG58)-SUMIF($C$7:BG$7,"Итого (с ВСП)",$C58:BG58)</f>
        <v>30825.1650667672</v>
      </c>
      <c r="BI56" s="204"/>
      <c r="BJ56" s="185"/>
    </row>
    <row r="57" customFormat="false" ht="11.25" hidden="false" customHeight="true" outlineLevel="0" collapsed="false">
      <c r="A57" s="186"/>
      <c r="B57" s="205" t="s">
        <v>174</v>
      </c>
      <c r="C57" s="206"/>
      <c r="D57" s="206"/>
      <c r="E57" s="206"/>
      <c r="F57" s="207" t="n">
        <v>0</v>
      </c>
      <c r="G57" s="206"/>
      <c r="H57" s="206"/>
      <c r="I57" s="206"/>
      <c r="J57" s="206"/>
      <c r="K57" s="207" t="n">
        <v>0</v>
      </c>
      <c r="L57" s="207" t="n">
        <v>0</v>
      </c>
      <c r="M57" s="208"/>
      <c r="N57" s="212" t="s">
        <v>204</v>
      </c>
      <c r="O57" s="209" t="n">
        <f aca="false">SUBTOTAL(9,N59:N59)</f>
        <v>1</v>
      </c>
      <c r="P57" s="210"/>
      <c r="Q57" s="206"/>
      <c r="R57" s="206"/>
      <c r="S57" s="209" t="n">
        <f aca="false">SUBTOTAL(9,Q59:R59)</f>
        <v>0</v>
      </c>
      <c r="T57" s="210"/>
      <c r="U57" s="212" t="s">
        <v>225</v>
      </c>
      <c r="V57" s="206"/>
      <c r="W57" s="206"/>
      <c r="X57" s="206"/>
      <c r="Y57" s="209" t="n">
        <f aca="false">SUBTOTAL(9,U59:X59)</f>
        <v>1</v>
      </c>
      <c r="Z57" s="210"/>
      <c r="AA57" s="212" t="s">
        <v>204</v>
      </c>
      <c r="AB57" s="211" t="n">
        <f aca="false">SUBTOTAL(9,AA59:AA59)</f>
        <v>1</v>
      </c>
      <c r="AC57" s="212" t="s">
        <v>200</v>
      </c>
      <c r="AD57" s="212"/>
      <c r="AE57" s="206"/>
      <c r="AF57" s="211" t="n">
        <f aca="false">SUBTOTAL(9,AC59:AE59)</f>
        <v>1</v>
      </c>
      <c r="AG57" s="207" t="n">
        <f aca="false">SUBTOTAL(9,AA59:AE59)</f>
        <v>2</v>
      </c>
      <c r="AH57" s="208"/>
      <c r="AI57" s="213"/>
      <c r="AJ57" s="213"/>
      <c r="AK57" s="214"/>
      <c r="AL57" s="215"/>
      <c r="AM57" s="206"/>
      <c r="AN57" s="206"/>
      <c r="AO57" s="206"/>
      <c r="AP57" s="206"/>
      <c r="AQ57" s="206"/>
      <c r="AR57" s="206"/>
      <c r="AS57" s="206"/>
      <c r="AT57" s="206"/>
      <c r="AU57" s="207" t="n">
        <f aca="false">SUBTOTAL(9,AL59:AT59)</f>
        <v>0</v>
      </c>
      <c r="AV57" s="216"/>
      <c r="AW57" s="206"/>
      <c r="AX57" s="207" t="n">
        <f aca="false">SUBTOTAL(3,AW57:AW57)</f>
        <v>0</v>
      </c>
      <c r="AY57" s="217"/>
      <c r="AZ57" s="213"/>
      <c r="BA57" s="213"/>
      <c r="BB57" s="218"/>
      <c r="BC57" s="220"/>
      <c r="BD57" s="220"/>
      <c r="BE57" s="220"/>
      <c r="BF57" s="220"/>
      <c r="BG57" s="220"/>
      <c r="BH57" s="203"/>
      <c r="BI57" s="221"/>
      <c r="BJ57" s="185"/>
    </row>
    <row r="58" customFormat="false" ht="11.25" hidden="false" customHeight="true" outlineLevel="0" collapsed="false">
      <c r="A58" s="186"/>
      <c r="B58" s="222" t="s">
        <v>172</v>
      </c>
      <c r="C58" s="223"/>
      <c r="D58" s="223"/>
      <c r="E58" s="223"/>
      <c r="F58" s="224" t="n">
        <f aca="false">SUBTOTAL(9,C58:E58)</f>
        <v>0</v>
      </c>
      <c r="G58" s="223"/>
      <c r="H58" s="223"/>
      <c r="I58" s="223"/>
      <c r="J58" s="223"/>
      <c r="K58" s="224" t="n">
        <f aca="false">SUBTOTAL(9,G58:J58)</f>
        <v>0</v>
      </c>
      <c r="L58" s="224" t="n">
        <f aca="false">SUBTOTAL(9,C58:J58)</f>
        <v>0</v>
      </c>
      <c r="M58" s="225" t="n">
        <v>171</v>
      </c>
      <c r="N58" s="229" t="n">
        <v>8.9</v>
      </c>
      <c r="O58" s="226" t="n">
        <f aca="false">SUBTOTAL(9,N58:N58)</f>
        <v>8.9</v>
      </c>
      <c r="P58" s="227" t="n">
        <f aca="false">O58+IF($B54=2,0,P54)</f>
        <v>14.7</v>
      </c>
      <c r="Q58" s="223"/>
      <c r="R58" s="223"/>
      <c r="S58" s="226" t="n">
        <f aca="false">SUBTOTAL(9,Q58:R58)</f>
        <v>0</v>
      </c>
      <c r="T58" s="227" t="n">
        <f aca="false">S58+IF($B54=2,0,T54)</f>
        <v>220</v>
      </c>
      <c r="U58" s="229" t="n">
        <v>3</v>
      </c>
      <c r="V58" s="223"/>
      <c r="W58" s="223"/>
      <c r="X58" s="223"/>
      <c r="Y58" s="226" t="n">
        <f aca="false">SUBTOTAL(9,U58:X58)</f>
        <v>3</v>
      </c>
      <c r="Z58" s="227" t="n">
        <f aca="false">Y58+IF($B54=2,0,Z54)</f>
        <v>58</v>
      </c>
      <c r="AA58" s="229" t="n">
        <v>40.2</v>
      </c>
      <c r="AB58" s="228" t="n">
        <f aca="false">SUBTOTAL(9,AA58:AA58)</f>
        <v>40.2</v>
      </c>
      <c r="AC58" s="229" t="n">
        <v>4</v>
      </c>
      <c r="AD58" s="229" t="n">
        <v>22.6</v>
      </c>
      <c r="AE58" s="223"/>
      <c r="AF58" s="228" t="n">
        <f aca="false">SUBTOTAL(9,AC58:AE58)</f>
        <v>26.6</v>
      </c>
      <c r="AG58" s="224" t="n">
        <f aca="false">SUBTOTAL(9,AA58:AE58)</f>
        <v>66.8</v>
      </c>
      <c r="AH58" s="225" t="n">
        <f aca="false">AG58+IF($B54=2,0,AH54)</f>
        <v>215.586</v>
      </c>
      <c r="AI58" s="230" t="n">
        <v>268.3</v>
      </c>
      <c r="AJ58" s="230" t="n">
        <v>268.3</v>
      </c>
      <c r="AK58" s="231" t="n">
        <v>600</v>
      </c>
      <c r="AL58" s="232" t="n">
        <v>69.4751111112</v>
      </c>
      <c r="AM58" s="223"/>
      <c r="AN58" s="223"/>
      <c r="AO58" s="223"/>
      <c r="AP58" s="223"/>
      <c r="AQ58" s="223"/>
      <c r="AR58" s="223"/>
      <c r="AS58" s="223"/>
      <c r="AT58" s="223"/>
      <c r="AU58" s="224" t="n">
        <f aca="false">SUBTOTAL(9,AL58:AT58)</f>
        <v>69.4751111112</v>
      </c>
      <c r="AV58" s="228" t="n">
        <f aca="false">AU58+IF($B54=2,0,AV54)</f>
        <v>493.2535555556</v>
      </c>
      <c r="AW58" s="223"/>
      <c r="AX58" s="224" t="n">
        <f aca="false">SUBTOTAL(9,AW58:AW58)</f>
        <v>0</v>
      </c>
      <c r="AY58" s="224" t="n">
        <f aca="false">AX58+IF($B54=2,0,AY54)</f>
        <v>8.6</v>
      </c>
      <c r="AZ58" s="230"/>
      <c r="BA58" s="230"/>
      <c r="BB58" s="233" t="n">
        <f aca="false">SUMIF($C$5:BA$5,"Накопленный эффект, т/сут",$C58:BA58)+SUMIF($C$5:BA$5,"Нараст.  по потенциалу",$C58:BA58)-SUMIF($C$5:BA$5,"Нараст. по остановкам",$C58:BA58)-SUMIF($C$5:BA$5,"ИТОГО перевод в ППД",$C58:BA58)-SUMIF($C$5:BA$5,"ИТОГО  нерент, по распоряж.",$C58:BA58)-SUMIF($C$5:BA$5,"ИТОГО ост. дебит от ЗБС, Углуб., ПВЛГ/ПНЛГ",$C58:BA58)</f>
        <v>177.4324444444</v>
      </c>
      <c r="BC58" s="224" t="n">
        <v>90.8</v>
      </c>
      <c r="BD58" s="224" t="n">
        <v>15.894553954387</v>
      </c>
      <c r="BE58" s="224" t="n">
        <v>56.7142018673833</v>
      </c>
      <c r="BF58" s="224" t="n">
        <v>8.11662185545168</v>
      </c>
      <c r="BG58" s="224" t="n">
        <f aca="false">SUBTOTAL(9,BC58:BF58)</f>
        <v>171.525377677222</v>
      </c>
      <c r="BH58" s="203"/>
      <c r="BI58" s="235" t="n">
        <f aca="false">BI$4+SUMIF($C$5:BG$5,"Нараст. по остановкам",$C58:BG58)-SUMIF($C$5:BG$5,"Нараст.  по потенциалу",$C58:BG58)</f>
        <v>851.449704742539</v>
      </c>
      <c r="BJ58" s="185"/>
    </row>
    <row r="59" customFormat="false" ht="1.5" hidden="false" customHeight="true" outlineLevel="0" collapsed="false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 t="n">
        <v>1</v>
      </c>
      <c r="O59" s="151"/>
      <c r="P59" s="151"/>
      <c r="Q59" s="151"/>
      <c r="R59" s="151"/>
      <c r="S59" s="151"/>
      <c r="T59" s="151"/>
      <c r="U59" s="151" t="n">
        <v>1</v>
      </c>
      <c r="V59" s="151"/>
      <c r="W59" s="151"/>
      <c r="X59" s="151"/>
      <c r="Y59" s="151"/>
      <c r="Z59" s="151"/>
      <c r="AA59" s="151" t="n">
        <v>1</v>
      </c>
      <c r="AB59" s="151"/>
      <c r="AC59" s="151" t="n">
        <v>1</v>
      </c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85"/>
    </row>
    <row r="60" customFormat="false" ht="11.25" hidden="false" customHeight="true" outlineLevel="0" collapsed="false">
      <c r="A60" s="186" t="n">
        <v>45304</v>
      </c>
      <c r="B60" s="187" t="s">
        <v>173</v>
      </c>
      <c r="C60" s="188"/>
      <c r="D60" s="188"/>
      <c r="E60" s="188"/>
      <c r="F60" s="189" t="n">
        <v>130</v>
      </c>
      <c r="G60" s="188"/>
      <c r="H60" s="188"/>
      <c r="I60" s="188"/>
      <c r="J60" s="188"/>
      <c r="K60" s="189" t="n">
        <v>41</v>
      </c>
      <c r="L60" s="189" t="n">
        <v>171</v>
      </c>
      <c r="M60" s="190"/>
      <c r="N60" s="188"/>
      <c r="O60" s="191"/>
      <c r="P60" s="192"/>
      <c r="Q60" s="188"/>
      <c r="R60" s="188"/>
      <c r="S60" s="191"/>
      <c r="T60" s="192"/>
      <c r="U60" s="194" t="s">
        <v>220</v>
      </c>
      <c r="V60" s="194" t="s">
        <v>205</v>
      </c>
      <c r="W60" s="188"/>
      <c r="X60" s="188"/>
      <c r="Y60" s="191"/>
      <c r="Z60" s="192"/>
      <c r="AA60" s="188"/>
      <c r="AB60" s="193" t="n">
        <v>46.3</v>
      </c>
      <c r="AC60" s="194"/>
      <c r="AD60" s="188"/>
      <c r="AE60" s="188"/>
      <c r="AF60" s="193" t="n">
        <v>181.186</v>
      </c>
      <c r="AG60" s="189" t="n">
        <v>227.486</v>
      </c>
      <c r="AH60" s="190"/>
      <c r="AI60" s="195"/>
      <c r="AJ60" s="195"/>
      <c r="AK60" s="196"/>
      <c r="AL60" s="197" t="s">
        <v>191</v>
      </c>
      <c r="AM60" s="197"/>
      <c r="AN60" s="188"/>
      <c r="AO60" s="188"/>
      <c r="AP60" s="188"/>
      <c r="AQ60" s="188"/>
      <c r="AR60" s="188"/>
      <c r="AS60" s="188"/>
      <c r="AT60" s="188"/>
      <c r="AU60" s="198"/>
      <c r="AV60" s="199"/>
      <c r="AW60" s="188"/>
      <c r="AX60" s="198"/>
      <c r="AY60" s="198"/>
      <c r="AZ60" s="195"/>
      <c r="BA60" s="195"/>
      <c r="BB60" s="200"/>
      <c r="BC60" s="202"/>
      <c r="BD60" s="202"/>
      <c r="BE60" s="201"/>
      <c r="BF60" s="201"/>
      <c r="BG60" s="202"/>
      <c r="BH60" s="203" t="n">
        <f aca="false">BH$4+SUMIF($C$5:BG$5,"Нараст. баланс",$C62:BG62)+SUMIF($C$7:BE$7,"Итого (с ВНР)",$C62:BE62)-SUMIF($C$5:BG$5,"Геол. снижение,  т/сут",$C62:BG62)-SUMIF(BF$7:BG$7,"Итого",BF62:BG62)-SUMIF($C$7:BG$7,"Итого (с ВСП)",$C62:BG62)</f>
        <v>30864.3528518655</v>
      </c>
      <c r="BI60" s="204"/>
      <c r="BJ60" s="185"/>
    </row>
    <row r="61" customFormat="false" ht="11.25" hidden="false" customHeight="true" outlineLevel="0" collapsed="false">
      <c r="A61" s="186"/>
      <c r="B61" s="205" t="s">
        <v>174</v>
      </c>
      <c r="C61" s="206"/>
      <c r="D61" s="206"/>
      <c r="E61" s="206"/>
      <c r="F61" s="207" t="n">
        <v>0</v>
      </c>
      <c r="G61" s="206"/>
      <c r="H61" s="206"/>
      <c r="I61" s="206"/>
      <c r="J61" s="206"/>
      <c r="K61" s="207" t="n">
        <v>0</v>
      </c>
      <c r="L61" s="207" t="n">
        <v>0</v>
      </c>
      <c r="M61" s="208"/>
      <c r="N61" s="206"/>
      <c r="O61" s="209" t="n">
        <f aca="false">SUBTOTAL(9,N63:N63)</f>
        <v>0</v>
      </c>
      <c r="P61" s="210"/>
      <c r="Q61" s="206"/>
      <c r="R61" s="206"/>
      <c r="S61" s="209" t="n">
        <f aca="false">SUBTOTAL(9,Q63:R63)</f>
        <v>0</v>
      </c>
      <c r="T61" s="210"/>
      <c r="U61" s="212" t="s">
        <v>226</v>
      </c>
      <c r="V61" s="212" t="s">
        <v>227</v>
      </c>
      <c r="W61" s="206"/>
      <c r="X61" s="206"/>
      <c r="Y61" s="209" t="n">
        <f aca="false">SUBTOTAL(9,U63:X63)</f>
        <v>2</v>
      </c>
      <c r="Z61" s="210"/>
      <c r="AA61" s="206"/>
      <c r="AB61" s="211" t="n">
        <f aca="false">SUBTOTAL(9,AA63:AA63)</f>
        <v>0</v>
      </c>
      <c r="AC61" s="212"/>
      <c r="AD61" s="206"/>
      <c r="AE61" s="206"/>
      <c r="AF61" s="211" t="n">
        <f aca="false">SUBTOTAL(9,AC63:AE63)</f>
        <v>0</v>
      </c>
      <c r="AG61" s="207" t="n">
        <f aca="false">SUBTOTAL(9,AA63:AE63)</f>
        <v>0</v>
      </c>
      <c r="AH61" s="208"/>
      <c r="AI61" s="213"/>
      <c r="AJ61" s="213"/>
      <c r="AK61" s="214"/>
      <c r="AL61" s="215" t="s">
        <v>228</v>
      </c>
      <c r="AM61" s="215"/>
      <c r="AN61" s="206"/>
      <c r="AO61" s="206"/>
      <c r="AP61" s="206"/>
      <c r="AQ61" s="206"/>
      <c r="AR61" s="206"/>
      <c r="AS61" s="206"/>
      <c r="AT61" s="206"/>
      <c r="AU61" s="207" t="n">
        <f aca="false">SUBTOTAL(9,AL63:AT63)</f>
        <v>1</v>
      </c>
      <c r="AV61" s="216"/>
      <c r="AW61" s="206"/>
      <c r="AX61" s="207" t="n">
        <f aca="false">SUBTOTAL(3,AW61:AW61)</f>
        <v>0</v>
      </c>
      <c r="AY61" s="217"/>
      <c r="AZ61" s="213"/>
      <c r="BA61" s="213"/>
      <c r="BB61" s="218"/>
      <c r="BC61" s="220"/>
      <c r="BD61" s="220"/>
      <c r="BE61" s="219"/>
      <c r="BF61" s="219"/>
      <c r="BG61" s="220"/>
      <c r="BH61" s="203"/>
      <c r="BI61" s="221"/>
      <c r="BJ61" s="185"/>
    </row>
    <row r="62" customFormat="false" ht="11.25" hidden="false" customHeight="true" outlineLevel="0" collapsed="false">
      <c r="A62" s="186"/>
      <c r="B62" s="222" t="s">
        <v>172</v>
      </c>
      <c r="C62" s="223"/>
      <c r="D62" s="223"/>
      <c r="E62" s="223"/>
      <c r="F62" s="224" t="n">
        <f aca="false">SUBTOTAL(9,C62:E62)</f>
        <v>0</v>
      </c>
      <c r="G62" s="223"/>
      <c r="H62" s="223"/>
      <c r="I62" s="223"/>
      <c r="J62" s="223"/>
      <c r="K62" s="224" t="n">
        <f aca="false">SUBTOTAL(9,G62:J62)</f>
        <v>0</v>
      </c>
      <c r="L62" s="224" t="n">
        <f aca="false">SUBTOTAL(9,C62:J62)</f>
        <v>0</v>
      </c>
      <c r="M62" s="225" t="n">
        <v>171</v>
      </c>
      <c r="N62" s="223"/>
      <c r="O62" s="226" t="n">
        <f aca="false">SUBTOTAL(9,N62:N62)</f>
        <v>0</v>
      </c>
      <c r="P62" s="227" t="n">
        <f aca="false">O62+IF($B58=2,0,P58)</f>
        <v>14.7</v>
      </c>
      <c r="Q62" s="223"/>
      <c r="R62" s="223"/>
      <c r="S62" s="226" t="n">
        <f aca="false">SUBTOTAL(9,Q62:R62)</f>
        <v>0</v>
      </c>
      <c r="T62" s="227" t="n">
        <f aca="false">S62+IF($B58=2,0,T58)</f>
        <v>220</v>
      </c>
      <c r="U62" s="229" t="n">
        <v>5</v>
      </c>
      <c r="V62" s="229" t="n">
        <v>5</v>
      </c>
      <c r="W62" s="223"/>
      <c r="X62" s="223"/>
      <c r="Y62" s="226" t="n">
        <f aca="false">SUBTOTAL(9,U62:X62)</f>
        <v>10</v>
      </c>
      <c r="Z62" s="227" t="n">
        <f aca="false">Y62+IF($B58=2,0,Z58)</f>
        <v>68</v>
      </c>
      <c r="AA62" s="223"/>
      <c r="AB62" s="228" t="n">
        <f aca="false">SUBTOTAL(9,AA62:AA62)</f>
        <v>0</v>
      </c>
      <c r="AC62" s="229" t="n">
        <v>11.9</v>
      </c>
      <c r="AD62" s="223"/>
      <c r="AE62" s="223"/>
      <c r="AF62" s="228" t="n">
        <f aca="false">SUBTOTAL(9,AC62:AE62)</f>
        <v>11.9</v>
      </c>
      <c r="AG62" s="224" t="n">
        <f aca="false">SUBTOTAL(9,AA62:AE62)</f>
        <v>11.9</v>
      </c>
      <c r="AH62" s="225" t="n">
        <f aca="false">AG62+IF($B58=2,0,AH58)</f>
        <v>227.486</v>
      </c>
      <c r="AI62" s="230" t="n">
        <v>279.4</v>
      </c>
      <c r="AJ62" s="230" t="n">
        <v>279.4</v>
      </c>
      <c r="AK62" s="231" t="n">
        <v>650</v>
      </c>
      <c r="AL62" s="232" t="n">
        <v>2.1</v>
      </c>
      <c r="AM62" s="232" t="n">
        <v>10.4</v>
      </c>
      <c r="AN62" s="223"/>
      <c r="AO62" s="223"/>
      <c r="AP62" s="223"/>
      <c r="AQ62" s="223"/>
      <c r="AR62" s="223"/>
      <c r="AS62" s="223"/>
      <c r="AT62" s="223"/>
      <c r="AU62" s="224" t="n">
        <f aca="false">SUBTOTAL(9,AL62:AT62)</f>
        <v>12.5</v>
      </c>
      <c r="AV62" s="228" t="n">
        <f aca="false">AU62+IF($B58=2,0,AV58)</f>
        <v>505.7535555556</v>
      </c>
      <c r="AW62" s="223"/>
      <c r="AX62" s="224" t="n">
        <f aca="false">SUBTOTAL(9,AW62:AW62)</f>
        <v>0</v>
      </c>
      <c r="AY62" s="224" t="n">
        <f aca="false">AX62+IF($B58=2,0,AY58)</f>
        <v>8.6</v>
      </c>
      <c r="AZ62" s="230"/>
      <c r="BA62" s="230"/>
      <c r="BB62" s="233" t="n">
        <f aca="false">SUMIF($C$5:BA$5,"Накопленный эффект, т/сут",$C62:BA62)+SUMIF($C$5:BA$5,"Нараст.  по потенциалу",$C62:BA62)-SUMIF($C$5:BA$5,"Нараст. по остановкам",$C62:BA62)-SUMIF($C$5:BA$5,"ИТОГО перевод в ППД",$C62:BA62)-SUMIF($C$5:BA$5,"ИТОГО  нерент, по распоряж.",$C62:BA62)-SUMIF($C$5:BA$5,"ИТОГО ост. дебит от ЗБС, Углуб., ПВЛГ/ПНЛГ",$C62:BA62)</f>
        <v>186.8324444444</v>
      </c>
      <c r="BC62" s="224" t="n">
        <v>90.8</v>
      </c>
      <c r="BD62" s="224" t="n">
        <v>12.0375925789306</v>
      </c>
      <c r="BE62" s="234"/>
      <c r="BF62" s="234"/>
      <c r="BG62" s="224" t="n">
        <f aca="false">SUBTOTAL(9,BC62:BF62)</f>
        <v>102.837592578931</v>
      </c>
      <c r="BH62" s="203"/>
      <c r="BI62" s="235" t="n">
        <f aca="false">BI$4+SUMIF($C$5:BG$5,"Нараст. по остановкам",$C62:BG62)-SUMIF($C$5:BG$5,"Нараст.  по потенциалу",$C62:BG62)</f>
        <v>852.049704742539</v>
      </c>
      <c r="BJ62" s="185"/>
    </row>
    <row r="63" customFormat="false" ht="1.5" hidden="false" customHeight="true" outlineLevel="0" collapsed="false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 t="n">
        <v>1</v>
      </c>
      <c r="V63" s="151" t="n">
        <v>1</v>
      </c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 t="n">
        <v>1</v>
      </c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85"/>
    </row>
    <row r="64" customFormat="false" ht="11.25" hidden="false" customHeight="true" outlineLevel="0" collapsed="false">
      <c r="A64" s="186" t="n">
        <v>45305</v>
      </c>
      <c r="B64" s="187" t="s">
        <v>173</v>
      </c>
      <c r="C64" s="188"/>
      <c r="D64" s="188"/>
      <c r="E64" s="188"/>
      <c r="F64" s="189" t="n">
        <v>130</v>
      </c>
      <c r="G64" s="188"/>
      <c r="H64" s="188"/>
      <c r="I64" s="188"/>
      <c r="J64" s="188"/>
      <c r="K64" s="189" t="n">
        <v>41</v>
      </c>
      <c r="L64" s="189" t="n">
        <v>171</v>
      </c>
      <c r="M64" s="190"/>
      <c r="N64" s="188"/>
      <c r="O64" s="191"/>
      <c r="P64" s="192"/>
      <c r="Q64" s="188"/>
      <c r="R64" s="188"/>
      <c r="S64" s="191"/>
      <c r="T64" s="192"/>
      <c r="U64" s="194" t="s">
        <v>181</v>
      </c>
      <c r="V64" s="194" t="s">
        <v>175</v>
      </c>
      <c r="W64" s="188"/>
      <c r="X64" s="188"/>
      <c r="Y64" s="191"/>
      <c r="Z64" s="192"/>
      <c r="AA64" s="188"/>
      <c r="AB64" s="193" t="n">
        <v>46.3</v>
      </c>
      <c r="AC64" s="194" t="s">
        <v>175</v>
      </c>
      <c r="AD64" s="194"/>
      <c r="AE64" s="188"/>
      <c r="AF64" s="193" t="n">
        <v>192.286</v>
      </c>
      <c r="AG64" s="189" t="n">
        <v>238.586</v>
      </c>
      <c r="AH64" s="190"/>
      <c r="AI64" s="195"/>
      <c r="AJ64" s="195"/>
      <c r="AK64" s="196"/>
      <c r="AL64" s="197" t="s">
        <v>177</v>
      </c>
      <c r="AM64" s="197" t="s">
        <v>175</v>
      </c>
      <c r="AN64" s="197" t="s">
        <v>177</v>
      </c>
      <c r="AO64" s="188"/>
      <c r="AP64" s="188"/>
      <c r="AQ64" s="188"/>
      <c r="AR64" s="188"/>
      <c r="AS64" s="188"/>
      <c r="AT64" s="188"/>
      <c r="AU64" s="198"/>
      <c r="AV64" s="199"/>
      <c r="AW64" s="197" t="s">
        <v>175</v>
      </c>
      <c r="AX64" s="198"/>
      <c r="AY64" s="198"/>
      <c r="AZ64" s="195"/>
      <c r="BA64" s="195"/>
      <c r="BB64" s="200"/>
      <c r="BC64" s="202"/>
      <c r="BD64" s="202"/>
      <c r="BE64" s="201"/>
      <c r="BF64" s="201"/>
      <c r="BG64" s="202"/>
      <c r="BH64" s="203" t="n">
        <f aca="false">BH$4+SUMIF($C$5:BG$5,"Нараст. баланс",$C66:BG66)+SUMIF($C$7:BE$7,"Итого (с ВНР)",$C66:BE66)-SUMIF($C$5:BG$5,"Геол. снижение,  т/сут",$C66:BG66)-SUMIF(BF$7:BG$7,"Итого",BF66:BG66)-SUMIF($C$7:BG$7,"Итого (с ВСП)",$C66:BG66)</f>
        <v>30819.289482383</v>
      </c>
      <c r="BI64" s="204"/>
      <c r="BJ64" s="185"/>
    </row>
    <row r="65" customFormat="false" ht="11.25" hidden="false" customHeight="true" outlineLevel="0" collapsed="false">
      <c r="A65" s="186"/>
      <c r="B65" s="205" t="s">
        <v>174</v>
      </c>
      <c r="C65" s="206"/>
      <c r="D65" s="206"/>
      <c r="E65" s="206"/>
      <c r="F65" s="207" t="n">
        <v>0</v>
      </c>
      <c r="G65" s="206"/>
      <c r="H65" s="206"/>
      <c r="I65" s="206"/>
      <c r="J65" s="206"/>
      <c r="K65" s="207" t="n">
        <v>0</v>
      </c>
      <c r="L65" s="207" t="n">
        <v>0</v>
      </c>
      <c r="M65" s="208"/>
      <c r="N65" s="206"/>
      <c r="O65" s="209" t="n">
        <f aca="false">SUBTOTAL(9,N67:N67)</f>
        <v>0</v>
      </c>
      <c r="P65" s="210"/>
      <c r="Q65" s="206"/>
      <c r="R65" s="206"/>
      <c r="S65" s="209" t="n">
        <f aca="false">SUBTOTAL(9,Q67:R67)</f>
        <v>0</v>
      </c>
      <c r="T65" s="210"/>
      <c r="U65" s="212" t="s">
        <v>229</v>
      </c>
      <c r="V65" s="212" t="s">
        <v>230</v>
      </c>
      <c r="W65" s="206"/>
      <c r="X65" s="206"/>
      <c r="Y65" s="209" t="n">
        <f aca="false">SUBTOTAL(9,U67:X67)</f>
        <v>2</v>
      </c>
      <c r="Z65" s="210"/>
      <c r="AA65" s="206"/>
      <c r="AB65" s="211" t="n">
        <f aca="false">SUBTOTAL(9,AA67:AA67)</f>
        <v>0</v>
      </c>
      <c r="AC65" s="212" t="s">
        <v>231</v>
      </c>
      <c r="AD65" s="212"/>
      <c r="AE65" s="206"/>
      <c r="AF65" s="211" t="n">
        <f aca="false">SUBTOTAL(9,AC67:AE67)</f>
        <v>1</v>
      </c>
      <c r="AG65" s="207" t="n">
        <f aca="false">SUBTOTAL(9,AA67:AE67)</f>
        <v>1</v>
      </c>
      <c r="AH65" s="208"/>
      <c r="AI65" s="213"/>
      <c r="AJ65" s="213"/>
      <c r="AK65" s="214"/>
      <c r="AL65" s="215" t="s">
        <v>232</v>
      </c>
      <c r="AM65" s="215" t="s">
        <v>231</v>
      </c>
      <c r="AN65" s="215" t="s">
        <v>233</v>
      </c>
      <c r="AO65" s="206"/>
      <c r="AP65" s="206"/>
      <c r="AQ65" s="206"/>
      <c r="AR65" s="206"/>
      <c r="AS65" s="206"/>
      <c r="AT65" s="206"/>
      <c r="AU65" s="207" t="n">
        <f aca="false">SUBTOTAL(9,AL67:AT67)</f>
        <v>3</v>
      </c>
      <c r="AV65" s="216"/>
      <c r="AW65" s="215" t="s">
        <v>231</v>
      </c>
      <c r="AX65" s="207" t="n">
        <f aca="false">SUBTOTAL(3,AW65:AW65)</f>
        <v>1</v>
      </c>
      <c r="AY65" s="217"/>
      <c r="AZ65" s="213"/>
      <c r="BA65" s="213"/>
      <c r="BB65" s="218"/>
      <c r="BC65" s="220"/>
      <c r="BD65" s="220"/>
      <c r="BE65" s="219"/>
      <c r="BF65" s="219"/>
      <c r="BG65" s="220"/>
      <c r="BH65" s="203"/>
      <c r="BI65" s="221"/>
      <c r="BJ65" s="185"/>
    </row>
    <row r="66" customFormat="false" ht="11.25" hidden="false" customHeight="true" outlineLevel="0" collapsed="false">
      <c r="A66" s="186"/>
      <c r="B66" s="222" t="s">
        <v>172</v>
      </c>
      <c r="C66" s="223"/>
      <c r="D66" s="223"/>
      <c r="E66" s="223"/>
      <c r="F66" s="224" t="n">
        <f aca="false">SUBTOTAL(9,C66:E66)</f>
        <v>0</v>
      </c>
      <c r="G66" s="223"/>
      <c r="H66" s="223"/>
      <c r="I66" s="223"/>
      <c r="J66" s="223"/>
      <c r="K66" s="224" t="n">
        <f aca="false">SUBTOTAL(9,G66:J66)</f>
        <v>0</v>
      </c>
      <c r="L66" s="224" t="n">
        <f aca="false">SUBTOTAL(9,C66:J66)</f>
        <v>0</v>
      </c>
      <c r="M66" s="225" t="n">
        <v>171</v>
      </c>
      <c r="N66" s="223"/>
      <c r="O66" s="226" t="n">
        <f aca="false">SUBTOTAL(9,N66:N66)</f>
        <v>0</v>
      </c>
      <c r="P66" s="227" t="n">
        <f aca="false">O66+IF($B62=2,0,P62)</f>
        <v>14.7</v>
      </c>
      <c r="Q66" s="223"/>
      <c r="R66" s="223"/>
      <c r="S66" s="226" t="n">
        <f aca="false">SUBTOTAL(9,Q66:R66)</f>
        <v>0</v>
      </c>
      <c r="T66" s="227" t="n">
        <f aca="false">S66+IF($B62=2,0,T62)</f>
        <v>220</v>
      </c>
      <c r="U66" s="229" t="n">
        <v>6</v>
      </c>
      <c r="V66" s="229" t="n">
        <v>5</v>
      </c>
      <c r="W66" s="223"/>
      <c r="X66" s="223"/>
      <c r="Y66" s="226" t="n">
        <f aca="false">SUBTOTAL(9,U66:X66)</f>
        <v>11</v>
      </c>
      <c r="Z66" s="227" t="n">
        <f aca="false">Y66+IF($B62=2,0,Z62)</f>
        <v>79</v>
      </c>
      <c r="AA66" s="223"/>
      <c r="AB66" s="228" t="n">
        <f aca="false">SUBTOTAL(9,AA66:AA66)</f>
        <v>0</v>
      </c>
      <c r="AC66" s="229" t="n">
        <v>2.9</v>
      </c>
      <c r="AD66" s="229" t="n">
        <v>8.2</v>
      </c>
      <c r="AE66" s="223"/>
      <c r="AF66" s="228" t="n">
        <f aca="false">SUBTOTAL(9,AC66:AE66)</f>
        <v>11.1</v>
      </c>
      <c r="AG66" s="224" t="n">
        <f aca="false">SUBTOTAL(9,AA66:AE66)</f>
        <v>11.1</v>
      </c>
      <c r="AH66" s="225" t="n">
        <f aca="false">AG66+IF($B62=2,0,AH62)</f>
        <v>238.586</v>
      </c>
      <c r="AI66" s="230" t="n">
        <v>290.4</v>
      </c>
      <c r="AJ66" s="230" t="n">
        <v>290.4</v>
      </c>
      <c r="AK66" s="231" t="n">
        <v>700</v>
      </c>
      <c r="AL66" s="232" t="n">
        <v>1</v>
      </c>
      <c r="AM66" s="232" t="n">
        <v>2.9</v>
      </c>
      <c r="AN66" s="232" t="n">
        <v>8.4</v>
      </c>
      <c r="AO66" s="223"/>
      <c r="AP66" s="223"/>
      <c r="AQ66" s="223"/>
      <c r="AR66" s="223"/>
      <c r="AS66" s="223"/>
      <c r="AT66" s="223"/>
      <c r="AU66" s="224" t="n">
        <f aca="false">SUBTOTAL(9,AL66:AT66)</f>
        <v>12.3</v>
      </c>
      <c r="AV66" s="228" t="n">
        <f aca="false">AU66+IF($B62=2,0,AV62)</f>
        <v>518.0535555556</v>
      </c>
      <c r="AW66" s="232" t="n">
        <v>2.9</v>
      </c>
      <c r="AX66" s="224" t="n">
        <f aca="false">SUBTOTAL(9,AW66:AW66)</f>
        <v>2.9</v>
      </c>
      <c r="AY66" s="224" t="n">
        <f aca="false">AX66+IF($B62=2,0,AY62)</f>
        <v>11.5</v>
      </c>
      <c r="AZ66" s="230"/>
      <c r="BA66" s="230"/>
      <c r="BB66" s="233" t="n">
        <f aca="false">SUMIF($C$5:BA$5,"Накопленный эффект, т/сут",$C66:BA66)+SUMIF($C$5:BA$5,"Нараст.  по потенциалу",$C66:BA66)-SUMIF($C$5:BA$5,"Нараст. по остановкам",$C66:BA66)-SUMIF($C$5:BA$5,"ИТОГО перевод в ППД",$C66:BA66)-SUMIF($C$5:BA$5,"ИТОГО  нерент, по распоряж.",$C66:BA66)-SUMIF($C$5:BA$5,"ИТОГО ост. дебит от ЗБС, Углуб., ПВЛГ/ПНЛГ",$C66:BA66)</f>
        <v>193.7324444444</v>
      </c>
      <c r="BC66" s="224" t="n">
        <v>90.8</v>
      </c>
      <c r="BD66" s="224" t="n">
        <v>25.000962061446</v>
      </c>
      <c r="BE66" s="234"/>
      <c r="BF66" s="234"/>
      <c r="BG66" s="224" t="n">
        <f aca="false">SUBTOTAL(9,BC66:BF66)</f>
        <v>115.800962061446</v>
      </c>
      <c r="BH66" s="203"/>
      <c r="BI66" s="235" t="n">
        <f aca="false">BI$4+SUMIF($C$5:BG$5,"Нараст. по остановкам",$C66:BG66)-SUMIF($C$5:BG$5,"Нараст.  по потенциалу",$C66:BG66)</f>
        <v>853.249704742539</v>
      </c>
      <c r="BJ66" s="185"/>
    </row>
    <row r="67" customFormat="false" ht="1.5" hidden="false" customHeight="true" outlineLevel="0" collapsed="false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 t="n">
        <v>1</v>
      </c>
      <c r="V67" s="151" t="n">
        <v>1</v>
      </c>
      <c r="W67" s="151"/>
      <c r="X67" s="151"/>
      <c r="Y67" s="151"/>
      <c r="Z67" s="151"/>
      <c r="AA67" s="151"/>
      <c r="AB67" s="151"/>
      <c r="AC67" s="151" t="n">
        <v>1</v>
      </c>
      <c r="AD67" s="151"/>
      <c r="AE67" s="151"/>
      <c r="AF67" s="151"/>
      <c r="AG67" s="151"/>
      <c r="AH67" s="151"/>
      <c r="AI67" s="151"/>
      <c r="AJ67" s="151"/>
      <c r="AK67" s="151"/>
      <c r="AL67" s="151" t="n">
        <v>1</v>
      </c>
      <c r="AM67" s="151" t="n">
        <v>1</v>
      </c>
      <c r="AN67" s="151" t="n">
        <v>1</v>
      </c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85"/>
    </row>
    <row r="68" customFormat="false" ht="11.25" hidden="false" customHeight="true" outlineLevel="0" collapsed="false">
      <c r="A68" s="186" t="n">
        <v>45306</v>
      </c>
      <c r="B68" s="187" t="s">
        <v>173</v>
      </c>
      <c r="C68" s="188"/>
      <c r="D68" s="188"/>
      <c r="E68" s="188"/>
      <c r="F68" s="189" t="n">
        <v>130</v>
      </c>
      <c r="G68" s="194" t="s">
        <v>175</v>
      </c>
      <c r="H68" s="194" t="s">
        <v>175</v>
      </c>
      <c r="I68" s="188"/>
      <c r="J68" s="188"/>
      <c r="K68" s="189" t="n">
        <v>83</v>
      </c>
      <c r="L68" s="189" t="n">
        <v>213</v>
      </c>
      <c r="M68" s="190"/>
      <c r="N68" s="188"/>
      <c r="O68" s="191"/>
      <c r="P68" s="192"/>
      <c r="Q68" s="188"/>
      <c r="R68" s="188"/>
      <c r="S68" s="191"/>
      <c r="T68" s="192"/>
      <c r="U68" s="194" t="s">
        <v>191</v>
      </c>
      <c r="V68" s="194" t="s">
        <v>190</v>
      </c>
      <c r="W68" s="188"/>
      <c r="X68" s="188"/>
      <c r="Y68" s="191"/>
      <c r="Z68" s="192"/>
      <c r="AA68" s="188"/>
      <c r="AB68" s="193" t="n">
        <v>46.3</v>
      </c>
      <c r="AC68" s="194" t="s">
        <v>191</v>
      </c>
      <c r="AD68" s="188"/>
      <c r="AE68" s="188"/>
      <c r="AF68" s="193" t="n">
        <v>197.686</v>
      </c>
      <c r="AG68" s="189" t="n">
        <v>243.986</v>
      </c>
      <c r="AH68" s="190"/>
      <c r="AI68" s="195"/>
      <c r="AJ68" s="195"/>
      <c r="AK68" s="196"/>
      <c r="AL68" s="197" t="s">
        <v>177</v>
      </c>
      <c r="AM68" s="197"/>
      <c r="AN68" s="188"/>
      <c r="AO68" s="188"/>
      <c r="AP68" s="188"/>
      <c r="AQ68" s="188"/>
      <c r="AR68" s="188"/>
      <c r="AS68" s="188"/>
      <c r="AT68" s="188"/>
      <c r="AU68" s="198"/>
      <c r="AV68" s="199"/>
      <c r="AW68" s="188"/>
      <c r="AX68" s="198"/>
      <c r="AY68" s="198"/>
      <c r="AZ68" s="195"/>
      <c r="BA68" s="195"/>
      <c r="BB68" s="200"/>
      <c r="BC68" s="202"/>
      <c r="BD68" s="202"/>
      <c r="BE68" s="202"/>
      <c r="BF68" s="202"/>
      <c r="BG68" s="202"/>
      <c r="BH68" s="203" t="n">
        <f aca="false">BH$4+SUMIF($C$5:BG$5,"Нараст. баланс",$C70:BG70)+SUMIF($C$7:BE$7,"Итого (с ВНР)",$C70:BE70)-SUMIF($C$5:BG$5,"Геол. снижение,  т/сут",$C70:BG70)-SUMIF(BF$7:BG$7,"Итого",BF70:BG70)-SUMIF($C$7:BG$7,"Итого (с ВСП)",$C70:BG70)</f>
        <v>30805.7208433788</v>
      </c>
      <c r="BI68" s="204"/>
      <c r="BJ68" s="185"/>
    </row>
    <row r="69" customFormat="false" ht="11.25" hidden="false" customHeight="true" outlineLevel="0" collapsed="false">
      <c r="A69" s="186"/>
      <c r="B69" s="205" t="s">
        <v>174</v>
      </c>
      <c r="C69" s="206"/>
      <c r="D69" s="206"/>
      <c r="E69" s="206"/>
      <c r="F69" s="207" t="n">
        <v>0</v>
      </c>
      <c r="G69" s="212" t="s">
        <v>234</v>
      </c>
      <c r="H69" s="212" t="s">
        <v>235</v>
      </c>
      <c r="I69" s="206"/>
      <c r="J69" s="206"/>
      <c r="K69" s="207" t="n">
        <v>2</v>
      </c>
      <c r="L69" s="207" t="n">
        <v>2</v>
      </c>
      <c r="M69" s="208"/>
      <c r="N69" s="206"/>
      <c r="O69" s="209" t="n">
        <f aca="false">SUBTOTAL(9,N71:N71)</f>
        <v>0</v>
      </c>
      <c r="P69" s="210"/>
      <c r="Q69" s="206"/>
      <c r="R69" s="206"/>
      <c r="S69" s="209" t="n">
        <f aca="false">SUBTOTAL(9,Q71:R71)</f>
        <v>0</v>
      </c>
      <c r="T69" s="210"/>
      <c r="U69" s="212" t="s">
        <v>236</v>
      </c>
      <c r="V69" s="212" t="s">
        <v>237</v>
      </c>
      <c r="W69" s="206"/>
      <c r="X69" s="206"/>
      <c r="Y69" s="209" t="n">
        <f aca="false">SUBTOTAL(9,U71:X71)</f>
        <v>2</v>
      </c>
      <c r="Z69" s="210"/>
      <c r="AA69" s="206"/>
      <c r="AB69" s="211" t="n">
        <f aca="false">SUBTOTAL(9,AA71:AA71)</f>
        <v>0</v>
      </c>
      <c r="AC69" s="212" t="s">
        <v>213</v>
      </c>
      <c r="AD69" s="206"/>
      <c r="AE69" s="206"/>
      <c r="AF69" s="211" t="n">
        <f aca="false">SUBTOTAL(9,AC71:AE71)</f>
        <v>1</v>
      </c>
      <c r="AG69" s="207" t="n">
        <f aca="false">SUBTOTAL(9,AA71:AE71)</f>
        <v>1</v>
      </c>
      <c r="AH69" s="208"/>
      <c r="AI69" s="213"/>
      <c r="AJ69" s="213"/>
      <c r="AK69" s="214"/>
      <c r="AL69" s="215" t="s">
        <v>238</v>
      </c>
      <c r="AM69" s="215"/>
      <c r="AN69" s="206"/>
      <c r="AO69" s="206"/>
      <c r="AP69" s="206"/>
      <c r="AQ69" s="206"/>
      <c r="AR69" s="206"/>
      <c r="AS69" s="206"/>
      <c r="AT69" s="206"/>
      <c r="AU69" s="207" t="n">
        <f aca="false">SUBTOTAL(9,AL71:AT71)</f>
        <v>1</v>
      </c>
      <c r="AV69" s="216"/>
      <c r="AW69" s="206"/>
      <c r="AX69" s="207" t="n">
        <f aca="false">SUBTOTAL(3,AW69:AW69)</f>
        <v>0</v>
      </c>
      <c r="AY69" s="217"/>
      <c r="AZ69" s="213"/>
      <c r="BA69" s="213"/>
      <c r="BB69" s="218"/>
      <c r="BC69" s="220"/>
      <c r="BD69" s="220"/>
      <c r="BE69" s="220"/>
      <c r="BF69" s="220"/>
      <c r="BG69" s="220"/>
      <c r="BH69" s="203"/>
      <c r="BI69" s="221"/>
      <c r="BJ69" s="185"/>
    </row>
    <row r="70" customFormat="false" ht="11.25" hidden="false" customHeight="true" outlineLevel="0" collapsed="false">
      <c r="A70" s="186"/>
      <c r="B70" s="222" t="s">
        <v>172</v>
      </c>
      <c r="C70" s="223"/>
      <c r="D70" s="223"/>
      <c r="E70" s="223"/>
      <c r="F70" s="224" t="n">
        <f aca="false">SUBTOTAL(9,C70:E70)</f>
        <v>0</v>
      </c>
      <c r="G70" s="229" t="n">
        <v>21</v>
      </c>
      <c r="H70" s="229" t="n">
        <v>21</v>
      </c>
      <c r="I70" s="223"/>
      <c r="J70" s="223"/>
      <c r="K70" s="224" t="n">
        <f aca="false">SUBTOTAL(9,G70:J70)</f>
        <v>42</v>
      </c>
      <c r="L70" s="224" t="n">
        <f aca="false">SUBTOTAL(9,C70:J70)</f>
        <v>42</v>
      </c>
      <c r="M70" s="225" t="n">
        <v>213</v>
      </c>
      <c r="N70" s="223"/>
      <c r="O70" s="226" t="n">
        <f aca="false">SUBTOTAL(9,N70:N70)</f>
        <v>0</v>
      </c>
      <c r="P70" s="227" t="n">
        <f aca="false">O70+IF($B66=2,0,P66)</f>
        <v>14.7</v>
      </c>
      <c r="Q70" s="223"/>
      <c r="R70" s="223"/>
      <c r="S70" s="226" t="n">
        <f aca="false">SUBTOTAL(9,Q70:R70)</f>
        <v>0</v>
      </c>
      <c r="T70" s="227" t="n">
        <f aca="false">S70+IF($B66=2,0,T66)</f>
        <v>220</v>
      </c>
      <c r="U70" s="229" t="n">
        <v>5</v>
      </c>
      <c r="V70" s="229" t="n">
        <v>4</v>
      </c>
      <c r="W70" s="223"/>
      <c r="X70" s="223"/>
      <c r="Y70" s="226" t="n">
        <f aca="false">SUBTOTAL(9,U70:X70)</f>
        <v>9</v>
      </c>
      <c r="Z70" s="227" t="n">
        <f aca="false">Y70+IF($B66=2,0,Z66)</f>
        <v>88</v>
      </c>
      <c r="AA70" s="223"/>
      <c r="AB70" s="228" t="n">
        <f aca="false">SUBTOTAL(9,AA70:AA70)</f>
        <v>0</v>
      </c>
      <c r="AC70" s="229" t="n">
        <v>5.4</v>
      </c>
      <c r="AD70" s="223"/>
      <c r="AE70" s="223"/>
      <c r="AF70" s="228" t="n">
        <f aca="false">SUBTOTAL(9,AC70:AE70)</f>
        <v>5.4</v>
      </c>
      <c r="AG70" s="224" t="n">
        <f aca="false">SUBTOTAL(9,AA70:AE70)</f>
        <v>5.4</v>
      </c>
      <c r="AH70" s="225" t="n">
        <f aca="false">AG70+IF($B66=2,0,AH66)</f>
        <v>243.986</v>
      </c>
      <c r="AI70" s="230" t="n">
        <v>301.5</v>
      </c>
      <c r="AJ70" s="230" t="n">
        <v>301.5</v>
      </c>
      <c r="AK70" s="231" t="n">
        <v>750</v>
      </c>
      <c r="AL70" s="232" t="n">
        <v>0.9</v>
      </c>
      <c r="AM70" s="232" t="n">
        <v>6.8</v>
      </c>
      <c r="AN70" s="223"/>
      <c r="AO70" s="223"/>
      <c r="AP70" s="223"/>
      <c r="AQ70" s="223"/>
      <c r="AR70" s="223"/>
      <c r="AS70" s="223"/>
      <c r="AT70" s="223"/>
      <c r="AU70" s="224" t="n">
        <f aca="false">SUBTOTAL(9,AL70:AT70)</f>
        <v>7.7</v>
      </c>
      <c r="AV70" s="228" t="n">
        <f aca="false">AU70+IF($B66=2,0,AV66)</f>
        <v>525.7535555556</v>
      </c>
      <c r="AW70" s="223"/>
      <c r="AX70" s="224" t="n">
        <f aca="false">SUBTOTAL(9,AW70:AW70)</f>
        <v>0</v>
      </c>
      <c r="AY70" s="224" t="n">
        <f aca="false">AX70+IF($B66=2,0,AY66)</f>
        <v>11.5</v>
      </c>
      <c r="AZ70" s="230"/>
      <c r="BA70" s="230"/>
      <c r="BB70" s="233" t="n">
        <f aca="false">SUMIF($C$5:BA$5,"Накопленный эффект, т/сут",$C70:BA70)+SUMIF($C$5:BA$5,"Нараст.  по потенциалу",$C70:BA70)-SUMIF($C$5:BA$5,"Нараст. по остановкам",$C70:BA70)-SUMIF($C$5:BA$5,"ИТОГО перевод в ППД",$C70:BA70)-SUMIF($C$5:BA$5,"ИТОГО  нерент, по распоряж.",$C70:BA70)-SUMIF($C$5:BA$5,"ИТОГО ост. дебит от ЗБС, Углуб., ПВЛГ/ПНЛГ",$C70:BA70)</f>
        <v>242.4324444444</v>
      </c>
      <c r="BC70" s="224" t="n">
        <v>90.8</v>
      </c>
      <c r="BD70" s="224" t="n">
        <v>11.5370543042576</v>
      </c>
      <c r="BE70" s="224" t="n">
        <v>28.2921572418326</v>
      </c>
      <c r="BF70" s="224" t="n">
        <v>8.54038951947614</v>
      </c>
      <c r="BG70" s="224" t="n">
        <f aca="false">SUBTOTAL(9,BC70:BF70)</f>
        <v>139.169601065566</v>
      </c>
      <c r="BH70" s="203"/>
      <c r="BI70" s="235" t="n">
        <f aca="false">BI$4+SUMIF($C$5:BG$5,"Нараст. по остановкам",$C70:BG70)-SUMIF($C$5:BG$5,"Нараст.  по потенциалу",$C70:BG70)</f>
        <v>855.549704742539</v>
      </c>
      <c r="BJ70" s="185"/>
    </row>
    <row r="71" customFormat="false" ht="1.5" hidden="false" customHeight="true" outlineLevel="0" collapsed="false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 t="n">
        <v>1</v>
      </c>
      <c r="V71" s="151" t="n">
        <v>1</v>
      </c>
      <c r="W71" s="151"/>
      <c r="X71" s="151"/>
      <c r="Y71" s="151"/>
      <c r="Z71" s="151"/>
      <c r="AA71" s="151"/>
      <c r="AB71" s="151"/>
      <c r="AC71" s="151" t="n">
        <v>1</v>
      </c>
      <c r="AD71" s="151"/>
      <c r="AE71" s="151"/>
      <c r="AF71" s="151"/>
      <c r="AG71" s="151"/>
      <c r="AH71" s="151"/>
      <c r="AI71" s="151"/>
      <c r="AJ71" s="151"/>
      <c r="AK71" s="151"/>
      <c r="AL71" s="151" t="n">
        <v>1</v>
      </c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85"/>
    </row>
    <row r="72" customFormat="false" ht="11.25" hidden="false" customHeight="true" outlineLevel="0" collapsed="false">
      <c r="A72" s="186" t="n">
        <v>45307</v>
      </c>
      <c r="B72" s="187" t="s">
        <v>173</v>
      </c>
      <c r="C72" s="188"/>
      <c r="D72" s="188"/>
      <c r="E72" s="188"/>
      <c r="F72" s="189" t="n">
        <v>130</v>
      </c>
      <c r="G72" s="188"/>
      <c r="H72" s="188"/>
      <c r="I72" s="188"/>
      <c r="J72" s="188"/>
      <c r="K72" s="189" t="n">
        <v>83</v>
      </c>
      <c r="L72" s="189" t="n">
        <v>213</v>
      </c>
      <c r="M72" s="190"/>
      <c r="N72" s="188"/>
      <c r="O72" s="191"/>
      <c r="P72" s="192"/>
      <c r="Q72" s="188"/>
      <c r="R72" s="188"/>
      <c r="S72" s="191"/>
      <c r="T72" s="192"/>
      <c r="U72" s="194" t="s">
        <v>175</v>
      </c>
      <c r="V72" s="188"/>
      <c r="W72" s="188"/>
      <c r="X72" s="188"/>
      <c r="Y72" s="191"/>
      <c r="Z72" s="192"/>
      <c r="AA72" s="188"/>
      <c r="AB72" s="193" t="n">
        <v>46.3</v>
      </c>
      <c r="AC72" s="194" t="s">
        <v>191</v>
      </c>
      <c r="AD72" s="194"/>
      <c r="AE72" s="188"/>
      <c r="AF72" s="193" t="n">
        <v>208.386</v>
      </c>
      <c r="AG72" s="189" t="n">
        <v>254.686</v>
      </c>
      <c r="AH72" s="190"/>
      <c r="AI72" s="195"/>
      <c r="AJ72" s="195"/>
      <c r="AK72" s="196"/>
      <c r="AL72" s="197" t="s">
        <v>177</v>
      </c>
      <c r="AM72" s="197"/>
      <c r="AN72" s="188"/>
      <c r="AO72" s="188"/>
      <c r="AP72" s="188"/>
      <c r="AQ72" s="188"/>
      <c r="AR72" s="188"/>
      <c r="AS72" s="188"/>
      <c r="AT72" s="188"/>
      <c r="AU72" s="198"/>
      <c r="AV72" s="199"/>
      <c r="AW72" s="188"/>
      <c r="AX72" s="198"/>
      <c r="AY72" s="198"/>
      <c r="AZ72" s="195"/>
      <c r="BA72" s="195"/>
      <c r="BB72" s="200"/>
      <c r="BC72" s="202"/>
      <c r="BD72" s="202"/>
      <c r="BE72" s="202"/>
      <c r="BF72" s="202"/>
      <c r="BG72" s="202"/>
      <c r="BH72" s="203" t="n">
        <f aca="false">BH$4+SUMIF($C$5:BG$5,"Нараст. баланс",$C74:BG74)+SUMIF($C$7:BE$7,"Итого (с ВНР)",$C74:BE74)-SUMIF($C$5:BG$5,"Геол. снижение,  т/сут",$C74:BG74)-SUMIF(BF$7:BG$7,"Итого",BF74:BG74)-SUMIF($C$7:BG$7,"Итого (с ВСП)",$C74:BG74)</f>
        <v>30695.5446668115</v>
      </c>
      <c r="BI72" s="204"/>
      <c r="BJ72" s="185"/>
    </row>
    <row r="73" customFormat="false" ht="11.25" hidden="false" customHeight="true" outlineLevel="0" collapsed="false">
      <c r="A73" s="186"/>
      <c r="B73" s="205" t="s">
        <v>174</v>
      </c>
      <c r="C73" s="206"/>
      <c r="D73" s="206"/>
      <c r="E73" s="206"/>
      <c r="F73" s="207" t="n">
        <v>0</v>
      </c>
      <c r="G73" s="206"/>
      <c r="H73" s="206"/>
      <c r="I73" s="206"/>
      <c r="J73" s="206"/>
      <c r="K73" s="207" t="n">
        <v>0</v>
      </c>
      <c r="L73" s="207" t="n">
        <v>0</v>
      </c>
      <c r="M73" s="208"/>
      <c r="N73" s="206"/>
      <c r="O73" s="209" t="n">
        <f aca="false">SUBTOTAL(9,N75:N75)</f>
        <v>0</v>
      </c>
      <c r="P73" s="210"/>
      <c r="Q73" s="206"/>
      <c r="R73" s="206"/>
      <c r="S73" s="209" t="n">
        <f aca="false">SUBTOTAL(9,Q75:R75)</f>
        <v>0</v>
      </c>
      <c r="T73" s="210"/>
      <c r="U73" s="212" t="s">
        <v>239</v>
      </c>
      <c r="V73" s="206"/>
      <c r="W73" s="206"/>
      <c r="X73" s="206"/>
      <c r="Y73" s="209" t="n">
        <f aca="false">SUBTOTAL(9,U75:X75)</f>
        <v>1</v>
      </c>
      <c r="Z73" s="210"/>
      <c r="AA73" s="206"/>
      <c r="AB73" s="211" t="n">
        <f aca="false">SUBTOTAL(9,AA75:AA75)</f>
        <v>0</v>
      </c>
      <c r="AC73" s="212" t="s">
        <v>210</v>
      </c>
      <c r="AD73" s="212"/>
      <c r="AE73" s="206"/>
      <c r="AF73" s="211" t="n">
        <f aca="false">SUBTOTAL(9,AC75:AE75)</f>
        <v>1</v>
      </c>
      <c r="AG73" s="207" t="n">
        <f aca="false">SUBTOTAL(9,AA75:AE75)</f>
        <v>1</v>
      </c>
      <c r="AH73" s="208"/>
      <c r="AI73" s="213"/>
      <c r="AJ73" s="213"/>
      <c r="AK73" s="214"/>
      <c r="AL73" s="215" t="s">
        <v>240</v>
      </c>
      <c r="AM73" s="215"/>
      <c r="AN73" s="206"/>
      <c r="AO73" s="206"/>
      <c r="AP73" s="206"/>
      <c r="AQ73" s="206"/>
      <c r="AR73" s="206"/>
      <c r="AS73" s="206"/>
      <c r="AT73" s="206"/>
      <c r="AU73" s="207" t="n">
        <f aca="false">SUBTOTAL(9,AL75:AT75)</f>
        <v>1</v>
      </c>
      <c r="AV73" s="216"/>
      <c r="AW73" s="206"/>
      <c r="AX73" s="207" t="n">
        <f aca="false">SUBTOTAL(3,AW73:AW73)</f>
        <v>0</v>
      </c>
      <c r="AY73" s="217"/>
      <c r="AZ73" s="213"/>
      <c r="BA73" s="213"/>
      <c r="BB73" s="218"/>
      <c r="BC73" s="220"/>
      <c r="BD73" s="220"/>
      <c r="BE73" s="220"/>
      <c r="BF73" s="220"/>
      <c r="BG73" s="220"/>
      <c r="BH73" s="203"/>
      <c r="BI73" s="221"/>
      <c r="BJ73" s="185"/>
    </row>
    <row r="74" customFormat="false" ht="11.25" hidden="false" customHeight="true" outlineLevel="0" collapsed="false">
      <c r="A74" s="186"/>
      <c r="B74" s="222" t="s">
        <v>172</v>
      </c>
      <c r="C74" s="223"/>
      <c r="D74" s="223"/>
      <c r="E74" s="223"/>
      <c r="F74" s="224" t="n">
        <f aca="false">SUBTOTAL(9,C74:E74)</f>
        <v>0</v>
      </c>
      <c r="G74" s="223"/>
      <c r="H74" s="223"/>
      <c r="I74" s="223"/>
      <c r="J74" s="223"/>
      <c r="K74" s="224" t="n">
        <f aca="false">SUBTOTAL(9,G74:J74)</f>
        <v>0</v>
      </c>
      <c r="L74" s="224" t="n">
        <f aca="false">SUBTOTAL(9,C74:J74)</f>
        <v>0</v>
      </c>
      <c r="M74" s="225" t="n">
        <v>213</v>
      </c>
      <c r="N74" s="223"/>
      <c r="O74" s="226" t="n">
        <f aca="false">SUBTOTAL(9,N74:N74)</f>
        <v>0</v>
      </c>
      <c r="P74" s="227" t="n">
        <f aca="false">O74+IF($B70=2,0,P70)</f>
        <v>14.7</v>
      </c>
      <c r="Q74" s="223"/>
      <c r="R74" s="223"/>
      <c r="S74" s="226" t="n">
        <f aca="false">SUBTOTAL(9,Q74:R74)</f>
        <v>0</v>
      </c>
      <c r="T74" s="227" t="n">
        <f aca="false">S74+IF($B70=2,0,T70)</f>
        <v>220</v>
      </c>
      <c r="U74" s="229" t="n">
        <v>5</v>
      </c>
      <c r="V74" s="223"/>
      <c r="W74" s="223"/>
      <c r="X74" s="223"/>
      <c r="Y74" s="226" t="n">
        <f aca="false">SUBTOTAL(9,U74:X74)</f>
        <v>5</v>
      </c>
      <c r="Z74" s="227" t="n">
        <f aca="false">Y74+IF($B70=2,0,Z70)</f>
        <v>93</v>
      </c>
      <c r="AA74" s="223"/>
      <c r="AB74" s="228" t="n">
        <f aca="false">SUBTOTAL(9,AA74:AA74)</f>
        <v>0</v>
      </c>
      <c r="AC74" s="229" t="n">
        <v>9.5</v>
      </c>
      <c r="AD74" s="229" t="n">
        <v>1.2</v>
      </c>
      <c r="AE74" s="223"/>
      <c r="AF74" s="228" t="n">
        <f aca="false">SUBTOTAL(9,AC74:AE74)</f>
        <v>10.7</v>
      </c>
      <c r="AG74" s="224" t="n">
        <f aca="false">SUBTOTAL(9,AA74:AE74)</f>
        <v>10.7</v>
      </c>
      <c r="AH74" s="225" t="n">
        <f aca="false">AG74+IF($B70=2,0,AH70)</f>
        <v>254.686</v>
      </c>
      <c r="AI74" s="230" t="n">
        <v>312.5</v>
      </c>
      <c r="AJ74" s="230" t="n">
        <v>312.5</v>
      </c>
      <c r="AK74" s="231" t="n">
        <v>800</v>
      </c>
      <c r="AL74" s="232" t="n">
        <v>5.1</v>
      </c>
      <c r="AM74" s="232" t="n">
        <v>6.6</v>
      </c>
      <c r="AN74" s="223"/>
      <c r="AO74" s="223"/>
      <c r="AP74" s="223"/>
      <c r="AQ74" s="223"/>
      <c r="AR74" s="223"/>
      <c r="AS74" s="223"/>
      <c r="AT74" s="223"/>
      <c r="AU74" s="224" t="n">
        <f aca="false">SUBTOTAL(9,AL74:AT74)</f>
        <v>11.7</v>
      </c>
      <c r="AV74" s="228" t="n">
        <f aca="false">AU74+IF($B70=2,0,AV70)</f>
        <v>537.4535555556</v>
      </c>
      <c r="AW74" s="223"/>
      <c r="AX74" s="224" t="n">
        <f aca="false">SUBTOTAL(9,AW74:AW74)</f>
        <v>0</v>
      </c>
      <c r="AY74" s="224" t="n">
        <f aca="false">AX74+IF($B70=2,0,AY70)</f>
        <v>11.5</v>
      </c>
      <c r="AZ74" s="230"/>
      <c r="BA74" s="230"/>
      <c r="BB74" s="233" t="n">
        <f aca="false">SUMIF($C$5:BA$5,"Накопленный эффект, т/сут",$C74:BA74)+SUMIF($C$5:BA$5,"Нараст.  по потенциалу",$C74:BA74)-SUMIF($C$5:BA$5,"Нараст. по остановкам",$C74:BA74)-SUMIF($C$5:BA$5,"ИТОГО перевод в ППД",$C74:BA74)-SUMIF($C$5:BA$5,"ИТОГО  нерент, по распоряж.",$C74:BA74)-SUMIF($C$5:BA$5,"ИТОГО ост. дебит от ЗБС, Углуб., ПВЛГ/ПНЛГ",$C74:BA74)</f>
        <v>246.4324444444</v>
      </c>
      <c r="BC74" s="224" t="n">
        <v>90.8</v>
      </c>
      <c r="BD74" s="224" t="n">
        <v>57.8981900034351</v>
      </c>
      <c r="BE74" s="224" t="n">
        <v>61.9433067154873</v>
      </c>
      <c r="BF74" s="224" t="n">
        <v>3.70428091397849</v>
      </c>
      <c r="BG74" s="224" t="n">
        <f aca="false">SUBTOTAL(9,BC74:BF74)</f>
        <v>214.345777632901</v>
      </c>
      <c r="BH74" s="203"/>
      <c r="BI74" s="235" t="n">
        <f aca="false">BI$4+SUMIF($C$5:BG$5,"Нараст. по остановкам",$C74:BG74)-SUMIF($C$5:BG$5,"Нараст.  по потенциалу",$C74:BG74)</f>
        <v>856.549704742539</v>
      </c>
      <c r="BJ74" s="185"/>
    </row>
    <row r="75" customFormat="false" ht="1.5" hidden="false" customHeight="true" outlineLevel="0" collapsed="false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 t="n">
        <v>1</v>
      </c>
      <c r="V75" s="151"/>
      <c r="W75" s="151"/>
      <c r="X75" s="151"/>
      <c r="Y75" s="151"/>
      <c r="Z75" s="151"/>
      <c r="AA75" s="151"/>
      <c r="AB75" s="151"/>
      <c r="AC75" s="151" t="n">
        <v>1</v>
      </c>
      <c r="AD75" s="151"/>
      <c r="AE75" s="151"/>
      <c r="AF75" s="151"/>
      <c r="AG75" s="151"/>
      <c r="AH75" s="151"/>
      <c r="AI75" s="151"/>
      <c r="AJ75" s="151"/>
      <c r="AK75" s="151"/>
      <c r="AL75" s="151" t="n">
        <v>1</v>
      </c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85"/>
    </row>
    <row r="76" customFormat="false" ht="11.25" hidden="false" customHeight="true" outlineLevel="0" collapsed="false">
      <c r="A76" s="186" t="n">
        <v>45308</v>
      </c>
      <c r="B76" s="187" t="s">
        <v>173</v>
      </c>
      <c r="C76" s="188"/>
      <c r="D76" s="188"/>
      <c r="E76" s="188"/>
      <c r="F76" s="189" t="n">
        <v>130</v>
      </c>
      <c r="G76" s="188"/>
      <c r="H76" s="188"/>
      <c r="I76" s="188"/>
      <c r="J76" s="188"/>
      <c r="K76" s="189" t="n">
        <v>83</v>
      </c>
      <c r="L76" s="189" t="n">
        <v>213</v>
      </c>
      <c r="M76" s="190"/>
      <c r="N76" s="188"/>
      <c r="O76" s="191"/>
      <c r="P76" s="192"/>
      <c r="Q76" s="188"/>
      <c r="R76" s="188"/>
      <c r="S76" s="191"/>
      <c r="T76" s="192"/>
      <c r="U76" s="188"/>
      <c r="V76" s="188"/>
      <c r="W76" s="188"/>
      <c r="X76" s="188"/>
      <c r="Y76" s="191"/>
      <c r="Z76" s="192"/>
      <c r="AA76" s="188"/>
      <c r="AB76" s="193" t="n">
        <v>46.3</v>
      </c>
      <c r="AC76" s="194"/>
      <c r="AD76" s="188"/>
      <c r="AE76" s="188"/>
      <c r="AF76" s="193" t="n">
        <v>219.041</v>
      </c>
      <c r="AG76" s="189" t="n">
        <v>265.341</v>
      </c>
      <c r="AH76" s="190"/>
      <c r="AI76" s="195"/>
      <c r="AJ76" s="195"/>
      <c r="AK76" s="196"/>
      <c r="AL76" s="197"/>
      <c r="AM76" s="188"/>
      <c r="AN76" s="188"/>
      <c r="AO76" s="188"/>
      <c r="AP76" s="188"/>
      <c r="AQ76" s="188"/>
      <c r="AR76" s="188"/>
      <c r="AS76" s="188"/>
      <c r="AT76" s="188"/>
      <c r="AU76" s="198"/>
      <c r="AV76" s="199"/>
      <c r="AW76" s="188"/>
      <c r="AX76" s="198"/>
      <c r="AY76" s="198"/>
      <c r="AZ76" s="195"/>
      <c r="BA76" s="195"/>
      <c r="BB76" s="200"/>
      <c r="BC76" s="202"/>
      <c r="BD76" s="202"/>
      <c r="BE76" s="201"/>
      <c r="BF76" s="202"/>
      <c r="BG76" s="202"/>
      <c r="BH76" s="203" t="n">
        <f aca="false">BH$4+SUMIF($C$5:BG$5,"Нараст. баланс",$C78:BG78)+SUMIF($C$7:BE$7,"Итого (с ВНР)",$C78:BE78)-SUMIF($C$5:BG$5,"Геол. снижение,  т/сут",$C78:BG78)-SUMIF(BF$7:BG$7,"Итого",BF78:BG78)-SUMIF($C$7:BG$7,"Итого (с ВСП)",$C78:BG78)</f>
        <v>30745.1186103001</v>
      </c>
      <c r="BI76" s="204"/>
      <c r="BJ76" s="185"/>
    </row>
    <row r="77" customFormat="false" ht="11.25" hidden="false" customHeight="true" outlineLevel="0" collapsed="false">
      <c r="A77" s="186"/>
      <c r="B77" s="205" t="s">
        <v>174</v>
      </c>
      <c r="C77" s="206"/>
      <c r="D77" s="206"/>
      <c r="E77" s="206"/>
      <c r="F77" s="207" t="n">
        <v>0</v>
      </c>
      <c r="G77" s="206"/>
      <c r="H77" s="206"/>
      <c r="I77" s="206"/>
      <c r="J77" s="206"/>
      <c r="K77" s="207" t="n">
        <v>0</v>
      </c>
      <c r="L77" s="207" t="n">
        <v>0</v>
      </c>
      <c r="M77" s="208"/>
      <c r="N77" s="206"/>
      <c r="O77" s="209" t="n">
        <f aca="false">SUBTOTAL(9,N79:N79)</f>
        <v>0</v>
      </c>
      <c r="P77" s="210"/>
      <c r="Q77" s="206"/>
      <c r="R77" s="206"/>
      <c r="S77" s="209" t="n">
        <f aca="false">SUBTOTAL(9,Q79:R79)</f>
        <v>0</v>
      </c>
      <c r="T77" s="210"/>
      <c r="U77" s="206"/>
      <c r="V77" s="206"/>
      <c r="W77" s="206"/>
      <c r="X77" s="206"/>
      <c r="Y77" s="209" t="n">
        <f aca="false">SUBTOTAL(9,U79:X79)</f>
        <v>0</v>
      </c>
      <c r="Z77" s="210"/>
      <c r="AA77" s="206"/>
      <c r="AB77" s="211" t="n">
        <f aca="false">SUBTOTAL(9,AA79:AA79)</f>
        <v>0</v>
      </c>
      <c r="AC77" s="212"/>
      <c r="AD77" s="206"/>
      <c r="AE77" s="206"/>
      <c r="AF77" s="211" t="n">
        <f aca="false">SUBTOTAL(9,AC79:AE79)</f>
        <v>0</v>
      </c>
      <c r="AG77" s="207" t="n">
        <f aca="false">SUBTOTAL(9,AA79:AE79)</f>
        <v>0</v>
      </c>
      <c r="AH77" s="208"/>
      <c r="AI77" s="213"/>
      <c r="AJ77" s="213"/>
      <c r="AK77" s="214"/>
      <c r="AL77" s="215"/>
      <c r="AM77" s="206"/>
      <c r="AN77" s="206"/>
      <c r="AO77" s="206"/>
      <c r="AP77" s="206"/>
      <c r="AQ77" s="206"/>
      <c r="AR77" s="206"/>
      <c r="AS77" s="206"/>
      <c r="AT77" s="206"/>
      <c r="AU77" s="207" t="n">
        <f aca="false">SUBTOTAL(9,AL79:AT79)</f>
        <v>0</v>
      </c>
      <c r="AV77" s="216"/>
      <c r="AW77" s="206"/>
      <c r="AX77" s="207" t="n">
        <f aca="false">SUBTOTAL(3,AW77:AW77)</f>
        <v>0</v>
      </c>
      <c r="AY77" s="217"/>
      <c r="AZ77" s="213"/>
      <c r="BA77" s="213"/>
      <c r="BB77" s="218"/>
      <c r="BC77" s="220"/>
      <c r="BD77" s="220"/>
      <c r="BE77" s="219"/>
      <c r="BF77" s="220"/>
      <c r="BG77" s="220"/>
      <c r="BH77" s="203"/>
      <c r="BI77" s="221"/>
      <c r="BJ77" s="185"/>
    </row>
    <row r="78" customFormat="false" ht="11.25" hidden="false" customHeight="true" outlineLevel="0" collapsed="false">
      <c r="A78" s="186"/>
      <c r="B78" s="222" t="s">
        <v>172</v>
      </c>
      <c r="C78" s="223"/>
      <c r="D78" s="223"/>
      <c r="E78" s="223"/>
      <c r="F78" s="224" t="n">
        <f aca="false">SUBTOTAL(9,C78:E78)</f>
        <v>0</v>
      </c>
      <c r="G78" s="223"/>
      <c r="H78" s="223"/>
      <c r="I78" s="223"/>
      <c r="J78" s="223"/>
      <c r="K78" s="224" t="n">
        <f aca="false">SUBTOTAL(9,G78:J78)</f>
        <v>0</v>
      </c>
      <c r="L78" s="224" t="n">
        <f aca="false">SUBTOTAL(9,C78:J78)</f>
        <v>0</v>
      </c>
      <c r="M78" s="225" t="n">
        <v>213</v>
      </c>
      <c r="N78" s="223"/>
      <c r="O78" s="226" t="n">
        <f aca="false">SUBTOTAL(9,N78:N78)</f>
        <v>0</v>
      </c>
      <c r="P78" s="227" t="n">
        <f aca="false">O78+IF($B74=2,0,P74)</f>
        <v>14.7</v>
      </c>
      <c r="Q78" s="223"/>
      <c r="R78" s="223"/>
      <c r="S78" s="226" t="n">
        <f aca="false">SUBTOTAL(9,Q78:R78)</f>
        <v>0</v>
      </c>
      <c r="T78" s="227" t="n">
        <f aca="false">S78+IF($B74=2,0,T74)</f>
        <v>220</v>
      </c>
      <c r="U78" s="223"/>
      <c r="V78" s="223"/>
      <c r="W78" s="223"/>
      <c r="X78" s="223"/>
      <c r="Y78" s="226" t="n">
        <f aca="false">SUBTOTAL(9,U78:X78)</f>
        <v>0</v>
      </c>
      <c r="Z78" s="227" t="n">
        <f aca="false">Y78+IF($B74=2,0,Z74)</f>
        <v>93</v>
      </c>
      <c r="AA78" s="223"/>
      <c r="AB78" s="228" t="n">
        <f aca="false">SUBTOTAL(9,AA78:AA78)</f>
        <v>0</v>
      </c>
      <c r="AC78" s="229" t="n">
        <v>10.655</v>
      </c>
      <c r="AD78" s="223"/>
      <c r="AE78" s="223"/>
      <c r="AF78" s="228" t="n">
        <f aca="false">SUBTOTAL(9,AC78:AE78)</f>
        <v>10.655</v>
      </c>
      <c r="AG78" s="224" t="n">
        <f aca="false">SUBTOTAL(9,AA78:AE78)</f>
        <v>10.655</v>
      </c>
      <c r="AH78" s="225" t="n">
        <f aca="false">AG78+IF($B74=2,0,AH74)</f>
        <v>265.341</v>
      </c>
      <c r="AI78" s="230" t="n">
        <v>389.1</v>
      </c>
      <c r="AJ78" s="230" t="n">
        <v>389.1</v>
      </c>
      <c r="AK78" s="231" t="n">
        <v>850</v>
      </c>
      <c r="AL78" s="232" t="n">
        <v>9.7</v>
      </c>
      <c r="AM78" s="223"/>
      <c r="AN78" s="223"/>
      <c r="AO78" s="223"/>
      <c r="AP78" s="223"/>
      <c r="AQ78" s="223"/>
      <c r="AR78" s="223"/>
      <c r="AS78" s="223"/>
      <c r="AT78" s="223"/>
      <c r="AU78" s="224" t="n">
        <f aca="false">SUBTOTAL(9,AL78:AT78)</f>
        <v>9.7</v>
      </c>
      <c r="AV78" s="228" t="n">
        <f aca="false">AU78+IF($B74=2,0,AV74)</f>
        <v>547.1535555556</v>
      </c>
      <c r="AW78" s="223"/>
      <c r="AX78" s="224" t="n">
        <f aca="false">SUBTOTAL(9,AW78:AW78)</f>
        <v>0</v>
      </c>
      <c r="AY78" s="224" t="n">
        <f aca="false">AX78+IF($B74=2,0,AY74)</f>
        <v>11.5</v>
      </c>
      <c r="AZ78" s="230"/>
      <c r="BA78" s="230"/>
      <c r="BB78" s="233" t="n">
        <f aca="false">SUMIF($C$5:BA$5,"Накопленный эффект, т/сут",$C78:BA78)+SUMIF($C$5:BA$5,"Нараст.  по потенциалу",$C78:BA78)-SUMIF($C$5:BA$5,"Нараст. по остановкам",$C78:BA78)-SUMIF($C$5:BA$5,"ИТОГО перевод в ППД",$C78:BA78)-SUMIF($C$5:BA$5,"ИТОГО  нерент, по распоряж.",$C78:BA78)-SUMIF($C$5:BA$5,"ИТОГО ост. дебит от ЗБС, Углуб., ПВЛГ/ПНЛГ",$C78:BA78)</f>
        <v>247.3874444444</v>
      </c>
      <c r="BC78" s="224" t="n">
        <v>32.4</v>
      </c>
      <c r="BD78" s="224" t="n">
        <v>17.6421327956989</v>
      </c>
      <c r="BE78" s="234"/>
      <c r="BF78" s="224" t="n">
        <v>142.284701348625</v>
      </c>
      <c r="BG78" s="224" t="n">
        <f aca="false">SUBTOTAL(9,BC78:BF78)</f>
        <v>192.326834144324</v>
      </c>
      <c r="BH78" s="203"/>
      <c r="BI78" s="235" t="n">
        <f aca="false">BI$4+SUMIF($C$5:BG$5,"Нараст. по остановкам",$C78:BG78)-SUMIF($C$5:BG$5,"Нараст.  по потенциалу",$C78:BG78)</f>
        <v>855.594704742539</v>
      </c>
      <c r="BJ78" s="185"/>
    </row>
    <row r="79" customFormat="false" ht="1.5" hidden="false" customHeight="true" outlineLevel="0" collapsed="false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85"/>
    </row>
    <row r="80" customFormat="false" ht="11.25" hidden="false" customHeight="true" outlineLevel="0" collapsed="false">
      <c r="A80" s="186" t="n">
        <v>45309</v>
      </c>
      <c r="B80" s="187" t="s">
        <v>173</v>
      </c>
      <c r="C80" s="188"/>
      <c r="D80" s="188"/>
      <c r="E80" s="188"/>
      <c r="F80" s="189" t="n">
        <v>130</v>
      </c>
      <c r="G80" s="194" t="s">
        <v>175</v>
      </c>
      <c r="H80" s="194" t="s">
        <v>175</v>
      </c>
      <c r="I80" s="188"/>
      <c r="J80" s="188"/>
      <c r="K80" s="189" t="n">
        <v>121</v>
      </c>
      <c r="L80" s="189" t="n">
        <v>251</v>
      </c>
      <c r="M80" s="190"/>
      <c r="N80" s="188"/>
      <c r="O80" s="191"/>
      <c r="P80" s="192"/>
      <c r="Q80" s="188"/>
      <c r="R80" s="188"/>
      <c r="S80" s="191"/>
      <c r="T80" s="192"/>
      <c r="U80" s="194" t="s">
        <v>241</v>
      </c>
      <c r="V80" s="194" t="s">
        <v>184</v>
      </c>
      <c r="W80" s="188"/>
      <c r="X80" s="188"/>
      <c r="Y80" s="191"/>
      <c r="Z80" s="192"/>
      <c r="AA80" s="188"/>
      <c r="AB80" s="193" t="n">
        <v>46.3</v>
      </c>
      <c r="AC80" s="194"/>
      <c r="AD80" s="188"/>
      <c r="AE80" s="188"/>
      <c r="AF80" s="193" t="n">
        <v>222.541</v>
      </c>
      <c r="AG80" s="189" t="n">
        <v>268.841</v>
      </c>
      <c r="AH80" s="190"/>
      <c r="AI80" s="195"/>
      <c r="AJ80" s="195"/>
      <c r="AK80" s="196"/>
      <c r="AL80" s="197" t="s">
        <v>177</v>
      </c>
      <c r="AM80" s="188"/>
      <c r="AN80" s="188"/>
      <c r="AO80" s="188"/>
      <c r="AP80" s="188"/>
      <c r="AQ80" s="188"/>
      <c r="AR80" s="188"/>
      <c r="AS80" s="188"/>
      <c r="AT80" s="188"/>
      <c r="AU80" s="198"/>
      <c r="AV80" s="199"/>
      <c r="AW80" s="188"/>
      <c r="AX80" s="198"/>
      <c r="AY80" s="198"/>
      <c r="AZ80" s="195"/>
      <c r="BA80" s="195"/>
      <c r="BB80" s="200"/>
      <c r="BC80" s="202"/>
      <c r="BD80" s="202"/>
      <c r="BE80" s="202"/>
      <c r="BF80" s="202"/>
      <c r="BG80" s="202"/>
      <c r="BH80" s="203" t="n">
        <f aca="false">BH$4+SUMIF($C$5:BG$5,"Нараст. баланс",$C82:BG82)+SUMIF($C$7:BE$7,"Итого (с ВНР)",$C82:BE82)-SUMIF($C$5:BG$5,"Геол. снижение,  т/сут",$C82:BG82)-SUMIF(BF$7:BG$7,"Итого",BF82:BG82)-SUMIF($C$7:BG$7,"Итого (с ВСП)",$C82:BG82)</f>
        <v>30736.7415827638</v>
      </c>
      <c r="BI80" s="204"/>
      <c r="BJ80" s="185"/>
    </row>
    <row r="81" customFormat="false" ht="11.25" hidden="false" customHeight="true" outlineLevel="0" collapsed="false">
      <c r="A81" s="186"/>
      <c r="B81" s="205" t="s">
        <v>174</v>
      </c>
      <c r="C81" s="206"/>
      <c r="D81" s="206"/>
      <c r="E81" s="206"/>
      <c r="F81" s="207" t="n">
        <v>0</v>
      </c>
      <c r="G81" s="212" t="s">
        <v>242</v>
      </c>
      <c r="H81" s="212" t="s">
        <v>243</v>
      </c>
      <c r="I81" s="206"/>
      <c r="J81" s="206"/>
      <c r="K81" s="207" t="n">
        <v>2</v>
      </c>
      <c r="L81" s="207" t="n">
        <v>2</v>
      </c>
      <c r="M81" s="208"/>
      <c r="N81" s="206"/>
      <c r="O81" s="209" t="n">
        <f aca="false">SUBTOTAL(9,N83:N83)</f>
        <v>0</v>
      </c>
      <c r="P81" s="210"/>
      <c r="Q81" s="206"/>
      <c r="R81" s="206"/>
      <c r="S81" s="209" t="n">
        <f aca="false">SUBTOTAL(9,Q83:R83)</f>
        <v>0</v>
      </c>
      <c r="T81" s="210"/>
      <c r="U81" s="212" t="s">
        <v>244</v>
      </c>
      <c r="V81" s="212" t="s">
        <v>245</v>
      </c>
      <c r="W81" s="206"/>
      <c r="X81" s="206"/>
      <c r="Y81" s="209" t="n">
        <f aca="false">SUBTOTAL(9,U83:X83)</f>
        <v>2</v>
      </c>
      <c r="Z81" s="210"/>
      <c r="AA81" s="206"/>
      <c r="AB81" s="211" t="n">
        <f aca="false">SUBTOTAL(9,AA83:AA83)</f>
        <v>0</v>
      </c>
      <c r="AC81" s="212"/>
      <c r="AD81" s="206"/>
      <c r="AE81" s="206"/>
      <c r="AF81" s="211" t="n">
        <f aca="false">SUBTOTAL(9,AC83:AE83)</f>
        <v>0</v>
      </c>
      <c r="AG81" s="207" t="n">
        <f aca="false">SUBTOTAL(9,AA83:AE83)</f>
        <v>0</v>
      </c>
      <c r="AH81" s="208"/>
      <c r="AI81" s="213"/>
      <c r="AJ81" s="213"/>
      <c r="AK81" s="214"/>
      <c r="AL81" s="215" t="s">
        <v>246</v>
      </c>
      <c r="AM81" s="206"/>
      <c r="AN81" s="206"/>
      <c r="AO81" s="206"/>
      <c r="AP81" s="206"/>
      <c r="AQ81" s="206"/>
      <c r="AR81" s="206"/>
      <c r="AS81" s="206"/>
      <c r="AT81" s="206"/>
      <c r="AU81" s="207" t="n">
        <f aca="false">SUBTOTAL(9,AL83:AT83)</f>
        <v>1</v>
      </c>
      <c r="AV81" s="216"/>
      <c r="AW81" s="206"/>
      <c r="AX81" s="207" t="n">
        <f aca="false">SUBTOTAL(3,AW81:AW81)</f>
        <v>0</v>
      </c>
      <c r="AY81" s="217"/>
      <c r="AZ81" s="213"/>
      <c r="BA81" s="213"/>
      <c r="BB81" s="218"/>
      <c r="BC81" s="220"/>
      <c r="BD81" s="220"/>
      <c r="BE81" s="220"/>
      <c r="BF81" s="220"/>
      <c r="BG81" s="220"/>
      <c r="BH81" s="203"/>
      <c r="BI81" s="221"/>
      <c r="BJ81" s="185"/>
    </row>
    <row r="82" customFormat="false" ht="11.25" hidden="false" customHeight="true" outlineLevel="0" collapsed="false">
      <c r="A82" s="186"/>
      <c r="B82" s="222" t="s">
        <v>172</v>
      </c>
      <c r="C82" s="223"/>
      <c r="D82" s="223"/>
      <c r="E82" s="223"/>
      <c r="F82" s="224" t="n">
        <f aca="false">SUBTOTAL(9,C82:E82)</f>
        <v>0</v>
      </c>
      <c r="G82" s="229" t="n">
        <v>20</v>
      </c>
      <c r="H82" s="229" t="n">
        <v>18</v>
      </c>
      <c r="I82" s="223"/>
      <c r="J82" s="223"/>
      <c r="K82" s="224" t="n">
        <f aca="false">SUBTOTAL(9,G82:J82)</f>
        <v>38</v>
      </c>
      <c r="L82" s="224" t="n">
        <f aca="false">SUBTOTAL(9,C82:J82)</f>
        <v>38</v>
      </c>
      <c r="M82" s="225" t="n">
        <v>251</v>
      </c>
      <c r="N82" s="223"/>
      <c r="O82" s="226" t="n">
        <f aca="false">SUBTOTAL(9,N82:N82)</f>
        <v>0</v>
      </c>
      <c r="P82" s="227" t="n">
        <f aca="false">O82+IF($B78=2,0,P78)</f>
        <v>14.7</v>
      </c>
      <c r="Q82" s="223"/>
      <c r="R82" s="223"/>
      <c r="S82" s="226" t="n">
        <f aca="false">SUBTOTAL(9,Q82:R82)</f>
        <v>0</v>
      </c>
      <c r="T82" s="227" t="n">
        <f aca="false">S82+IF($B78=2,0,T78)</f>
        <v>220</v>
      </c>
      <c r="U82" s="229" t="n">
        <v>3</v>
      </c>
      <c r="V82" s="229" t="n">
        <v>18</v>
      </c>
      <c r="W82" s="223"/>
      <c r="X82" s="223"/>
      <c r="Y82" s="226" t="n">
        <f aca="false">SUBTOTAL(9,U82:X82)</f>
        <v>21</v>
      </c>
      <c r="Z82" s="227" t="n">
        <f aca="false">Y82+IF($B78=2,0,Z78)</f>
        <v>114</v>
      </c>
      <c r="AA82" s="223"/>
      <c r="AB82" s="228" t="n">
        <f aca="false">SUBTOTAL(9,AA82:AA82)</f>
        <v>0</v>
      </c>
      <c r="AC82" s="229" t="n">
        <v>3.5</v>
      </c>
      <c r="AD82" s="223"/>
      <c r="AE82" s="223"/>
      <c r="AF82" s="228" t="n">
        <f aca="false">SUBTOTAL(9,AC82:AE82)</f>
        <v>3.5</v>
      </c>
      <c r="AG82" s="224" t="n">
        <f aca="false">SUBTOTAL(9,AA82:AE82)</f>
        <v>3.5</v>
      </c>
      <c r="AH82" s="225" t="n">
        <f aca="false">AG82+IF($B78=2,0,AH78)</f>
        <v>268.841</v>
      </c>
      <c r="AI82" s="230" t="n">
        <v>276.3</v>
      </c>
      <c r="AJ82" s="230" t="n">
        <v>276.3</v>
      </c>
      <c r="AK82" s="231" t="n">
        <v>900</v>
      </c>
      <c r="AL82" s="232" t="n">
        <v>3.3</v>
      </c>
      <c r="AM82" s="223"/>
      <c r="AN82" s="223"/>
      <c r="AO82" s="223"/>
      <c r="AP82" s="223"/>
      <c r="AQ82" s="223"/>
      <c r="AR82" s="223"/>
      <c r="AS82" s="223"/>
      <c r="AT82" s="223"/>
      <c r="AU82" s="224" t="n">
        <f aca="false">SUBTOTAL(9,AL82:AT82)</f>
        <v>3.3</v>
      </c>
      <c r="AV82" s="228" t="n">
        <f aca="false">AU82+IF($B78=2,0,AV78)</f>
        <v>550.4535555556</v>
      </c>
      <c r="AW82" s="223"/>
      <c r="AX82" s="224" t="n">
        <f aca="false">SUBTOTAL(9,AW82:AW82)</f>
        <v>0</v>
      </c>
      <c r="AY82" s="224" t="n">
        <f aca="false">AX82+IF($B78=2,0,AY78)</f>
        <v>11.5</v>
      </c>
      <c r="AZ82" s="230"/>
      <c r="BA82" s="230"/>
      <c r="BB82" s="233" t="n">
        <f aca="false">SUMIF($C$5:BA$5,"Накопленный эффект, т/сут",$C82:BA82)+SUMIF($C$5:BA$5,"Нараст.  по потенциалу",$C82:BA82)-SUMIF($C$5:BA$5,"Нараст. по остановкам",$C82:BA82)-SUMIF($C$5:BA$5,"ИТОГО перевод в ППД",$C82:BA82)-SUMIF($C$5:BA$5,"ИТОГО  нерент, по распоряж.",$C82:BA82)-SUMIF($C$5:BA$5,"ИТОГО ост. дебит от ЗБС, Углуб., ПВЛГ/ПНЛГ",$C82:BA82)</f>
        <v>306.5874444444</v>
      </c>
      <c r="BC82" s="224" t="n">
        <v>40.9</v>
      </c>
      <c r="BD82" s="224" t="n">
        <v>12.7184769609314</v>
      </c>
      <c r="BE82" s="224" t="n">
        <v>40.3327256462478</v>
      </c>
      <c r="BF82" s="224" t="n">
        <v>3.15265907340338</v>
      </c>
      <c r="BG82" s="224" t="n">
        <f aca="false">SUBTOTAL(9,BC82:BF82)</f>
        <v>97.1038616805826</v>
      </c>
      <c r="BH82" s="203"/>
      <c r="BI82" s="235" t="n">
        <f aca="false">BI$4+SUMIF($C$5:BG$5,"Нараст. по остановкам",$C82:BG82)-SUMIF($C$5:BG$5,"Нараст.  по потенциалу",$C82:BG82)</f>
        <v>855.394704742539</v>
      </c>
      <c r="BJ82" s="185"/>
    </row>
    <row r="83" customFormat="false" ht="1.5" hidden="false" customHeight="true" outlineLevel="0" collapsed="false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 t="n">
        <v>1</v>
      </c>
      <c r="V83" s="151" t="n">
        <v>1</v>
      </c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 t="n">
        <v>1</v>
      </c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85"/>
    </row>
    <row r="84" customFormat="false" ht="11.25" hidden="false" customHeight="true" outlineLevel="0" collapsed="false">
      <c r="A84" s="186" t="n">
        <v>45310</v>
      </c>
      <c r="B84" s="187" t="s">
        <v>173</v>
      </c>
      <c r="C84" s="194" t="s">
        <v>175</v>
      </c>
      <c r="D84" s="188"/>
      <c r="E84" s="188"/>
      <c r="F84" s="189" t="n">
        <v>160</v>
      </c>
      <c r="G84" s="188"/>
      <c r="H84" s="188"/>
      <c r="I84" s="188"/>
      <c r="J84" s="188"/>
      <c r="K84" s="189" t="n">
        <v>121</v>
      </c>
      <c r="L84" s="189" t="n">
        <v>281</v>
      </c>
      <c r="M84" s="190"/>
      <c r="N84" s="194" t="s">
        <v>177</v>
      </c>
      <c r="O84" s="191"/>
      <c r="P84" s="192"/>
      <c r="Q84" s="188"/>
      <c r="R84" s="188"/>
      <c r="S84" s="191"/>
      <c r="T84" s="192"/>
      <c r="U84" s="188"/>
      <c r="V84" s="188"/>
      <c r="W84" s="188"/>
      <c r="X84" s="188"/>
      <c r="Y84" s="191"/>
      <c r="Z84" s="192"/>
      <c r="AA84" s="194" t="s">
        <v>177</v>
      </c>
      <c r="AB84" s="193" t="n">
        <v>54.7</v>
      </c>
      <c r="AC84" s="194" t="s">
        <v>191</v>
      </c>
      <c r="AD84" s="194"/>
      <c r="AE84" s="188"/>
      <c r="AF84" s="193" t="n">
        <v>229.341</v>
      </c>
      <c r="AG84" s="189" t="n">
        <v>284.041</v>
      </c>
      <c r="AH84" s="190"/>
      <c r="AI84" s="195"/>
      <c r="AJ84" s="195"/>
      <c r="AK84" s="196"/>
      <c r="AL84" s="197" t="s">
        <v>177</v>
      </c>
      <c r="AM84" s="197"/>
      <c r="AN84" s="188"/>
      <c r="AO84" s="188"/>
      <c r="AP84" s="188"/>
      <c r="AQ84" s="188"/>
      <c r="AR84" s="188"/>
      <c r="AS84" s="188"/>
      <c r="AT84" s="188"/>
      <c r="AU84" s="198"/>
      <c r="AV84" s="199"/>
      <c r="AW84" s="188"/>
      <c r="AX84" s="198"/>
      <c r="AY84" s="198"/>
      <c r="AZ84" s="195"/>
      <c r="BA84" s="195"/>
      <c r="BB84" s="200"/>
      <c r="BC84" s="202"/>
      <c r="BD84" s="202"/>
      <c r="BE84" s="202"/>
      <c r="BF84" s="202"/>
      <c r="BG84" s="202"/>
      <c r="BH84" s="203" t="n">
        <f aca="false">BH$4+SUMIF($C$5:BG$5,"Нараст. баланс",$C86:BG86)+SUMIF($C$7:BE$7,"Итого (с ВНР)",$C86:BE86)-SUMIF($C$5:BG$5,"Геол. снижение,  т/сут",$C86:BG86)-SUMIF(BF$7:BG$7,"Итого",BF86:BG86)-SUMIF($C$7:BG$7,"Итого (с ВСП)",$C86:BG86)</f>
        <v>30672.3410550992</v>
      </c>
      <c r="BI84" s="204"/>
      <c r="BJ84" s="185"/>
    </row>
    <row r="85" customFormat="false" ht="11.25" hidden="false" customHeight="true" outlineLevel="0" collapsed="false">
      <c r="A85" s="186"/>
      <c r="B85" s="205" t="s">
        <v>174</v>
      </c>
      <c r="C85" s="212" t="s">
        <v>247</v>
      </c>
      <c r="D85" s="206"/>
      <c r="E85" s="206"/>
      <c r="F85" s="207" t="n">
        <v>1</v>
      </c>
      <c r="G85" s="206"/>
      <c r="H85" s="206"/>
      <c r="I85" s="206"/>
      <c r="J85" s="206"/>
      <c r="K85" s="207" t="n">
        <v>0</v>
      </c>
      <c r="L85" s="207" t="n">
        <v>1</v>
      </c>
      <c r="M85" s="208"/>
      <c r="N85" s="212" t="s">
        <v>233</v>
      </c>
      <c r="O85" s="209" t="n">
        <f aca="false">SUBTOTAL(9,N87:N87)</f>
        <v>1</v>
      </c>
      <c r="P85" s="210"/>
      <c r="Q85" s="206"/>
      <c r="R85" s="206"/>
      <c r="S85" s="209" t="n">
        <f aca="false">SUBTOTAL(9,Q87:R87)</f>
        <v>0</v>
      </c>
      <c r="T85" s="210"/>
      <c r="U85" s="206"/>
      <c r="V85" s="206"/>
      <c r="W85" s="206"/>
      <c r="X85" s="206"/>
      <c r="Y85" s="209" t="n">
        <f aca="false">SUBTOTAL(9,U87:X87)</f>
        <v>0</v>
      </c>
      <c r="Z85" s="210"/>
      <c r="AA85" s="212" t="s">
        <v>233</v>
      </c>
      <c r="AB85" s="211" t="n">
        <f aca="false">SUBTOTAL(9,AA87:AA87)</f>
        <v>1</v>
      </c>
      <c r="AC85" s="212" t="s">
        <v>228</v>
      </c>
      <c r="AD85" s="212"/>
      <c r="AE85" s="206"/>
      <c r="AF85" s="211" t="n">
        <f aca="false">SUBTOTAL(9,AC87:AE87)</f>
        <v>1</v>
      </c>
      <c r="AG85" s="207" t="n">
        <f aca="false">SUBTOTAL(9,AA87:AE87)</f>
        <v>2</v>
      </c>
      <c r="AH85" s="208"/>
      <c r="AI85" s="213"/>
      <c r="AJ85" s="213"/>
      <c r="AK85" s="214"/>
      <c r="AL85" s="215" t="s">
        <v>248</v>
      </c>
      <c r="AM85" s="215"/>
      <c r="AN85" s="206"/>
      <c r="AO85" s="206"/>
      <c r="AP85" s="206"/>
      <c r="AQ85" s="206"/>
      <c r="AR85" s="206"/>
      <c r="AS85" s="206"/>
      <c r="AT85" s="206"/>
      <c r="AU85" s="207" t="n">
        <f aca="false">SUBTOTAL(9,AL87:AT87)</f>
        <v>1</v>
      </c>
      <c r="AV85" s="216"/>
      <c r="AW85" s="206"/>
      <c r="AX85" s="207" t="n">
        <f aca="false">SUBTOTAL(3,AW85:AW85)</f>
        <v>0</v>
      </c>
      <c r="AY85" s="217"/>
      <c r="AZ85" s="213"/>
      <c r="BA85" s="213"/>
      <c r="BB85" s="218"/>
      <c r="BC85" s="220"/>
      <c r="BD85" s="220"/>
      <c r="BE85" s="220"/>
      <c r="BF85" s="220"/>
      <c r="BG85" s="220"/>
      <c r="BH85" s="203"/>
      <c r="BI85" s="221"/>
      <c r="BJ85" s="185"/>
    </row>
    <row r="86" customFormat="false" ht="11.25" hidden="false" customHeight="true" outlineLevel="0" collapsed="false">
      <c r="A86" s="186"/>
      <c r="B86" s="222" t="s">
        <v>172</v>
      </c>
      <c r="C86" s="229" t="n">
        <v>30</v>
      </c>
      <c r="D86" s="223"/>
      <c r="E86" s="223"/>
      <c r="F86" s="224" t="n">
        <f aca="false">SUBTOTAL(9,C86:E86)</f>
        <v>30</v>
      </c>
      <c r="G86" s="223"/>
      <c r="H86" s="223"/>
      <c r="I86" s="223"/>
      <c r="J86" s="223"/>
      <c r="K86" s="224" t="n">
        <f aca="false">SUBTOTAL(9,G86:J86)</f>
        <v>0</v>
      </c>
      <c r="L86" s="224" t="n">
        <f aca="false">SUBTOTAL(9,C86:J86)</f>
        <v>30</v>
      </c>
      <c r="M86" s="225" t="n">
        <v>281</v>
      </c>
      <c r="N86" s="229" t="n">
        <v>10.5</v>
      </c>
      <c r="O86" s="226" t="n">
        <f aca="false">SUBTOTAL(9,N86:N86)</f>
        <v>10.5</v>
      </c>
      <c r="P86" s="227" t="n">
        <f aca="false">O86+IF($B82=2,0,P82)</f>
        <v>25.2</v>
      </c>
      <c r="Q86" s="223"/>
      <c r="R86" s="223"/>
      <c r="S86" s="226" t="n">
        <f aca="false">SUBTOTAL(9,Q86:R86)</f>
        <v>0</v>
      </c>
      <c r="T86" s="227" t="n">
        <f aca="false">S86+IF($B82=2,0,T82)</f>
        <v>220</v>
      </c>
      <c r="U86" s="223"/>
      <c r="V86" s="223"/>
      <c r="W86" s="223"/>
      <c r="X86" s="223"/>
      <c r="Y86" s="226" t="n">
        <f aca="false">SUBTOTAL(9,U86:X86)</f>
        <v>0</v>
      </c>
      <c r="Z86" s="227" t="n">
        <f aca="false">Y86+IF($B82=2,0,Z82)</f>
        <v>114</v>
      </c>
      <c r="AA86" s="229" t="n">
        <v>8.4</v>
      </c>
      <c r="AB86" s="228" t="n">
        <f aca="false">SUBTOTAL(9,AA86:AA86)</f>
        <v>8.4</v>
      </c>
      <c r="AC86" s="229" t="n">
        <v>2.1</v>
      </c>
      <c r="AD86" s="229" t="n">
        <v>4.7</v>
      </c>
      <c r="AE86" s="223"/>
      <c r="AF86" s="228" t="n">
        <f aca="false">SUBTOTAL(9,AC86:AE86)</f>
        <v>6.8</v>
      </c>
      <c r="AG86" s="224" t="n">
        <f aca="false">SUBTOTAL(9,AA86:AE86)</f>
        <v>15.2</v>
      </c>
      <c r="AH86" s="225" t="n">
        <f aca="false">AG86+IF($B82=2,0,AH82)</f>
        <v>284.041</v>
      </c>
      <c r="AI86" s="230" t="n">
        <v>287.3</v>
      </c>
      <c r="AJ86" s="230" t="n">
        <v>287.3</v>
      </c>
      <c r="AK86" s="231" t="n">
        <v>950</v>
      </c>
      <c r="AL86" s="232" t="n">
        <v>1.7</v>
      </c>
      <c r="AM86" s="232" t="n">
        <v>13.7</v>
      </c>
      <c r="AN86" s="223"/>
      <c r="AO86" s="223"/>
      <c r="AP86" s="223"/>
      <c r="AQ86" s="223"/>
      <c r="AR86" s="223"/>
      <c r="AS86" s="223"/>
      <c r="AT86" s="223"/>
      <c r="AU86" s="224" t="n">
        <f aca="false">SUBTOTAL(9,AL86:AT86)</f>
        <v>15.4</v>
      </c>
      <c r="AV86" s="228" t="n">
        <f aca="false">AU86+IF($B82=2,0,AV82)</f>
        <v>565.8535555556</v>
      </c>
      <c r="AW86" s="223"/>
      <c r="AX86" s="224" t="n">
        <f aca="false">SUBTOTAL(9,AW86:AW86)</f>
        <v>0</v>
      </c>
      <c r="AY86" s="224" t="n">
        <f aca="false">AX86+IF($B82=2,0,AY82)</f>
        <v>11.5</v>
      </c>
      <c r="AZ86" s="230"/>
      <c r="BA86" s="230"/>
      <c r="BB86" s="233" t="n">
        <f aca="false">SUMIF($C$5:BA$5,"Накопленный эффект, т/сут",$C86:BA86)+SUMIF($C$5:BA$5,"Нараст.  по потенциалу",$C86:BA86)-SUMIF($C$5:BA$5,"Нараст. по остановкам",$C86:BA86)-SUMIF($C$5:BA$5,"ИТОГО перевод в ППД",$C86:BA86)-SUMIF($C$5:BA$5,"ИТОГО  нерент, по распоряж.",$C86:BA86)-SUMIF($C$5:BA$5,"ИТОГО ост. дебит от ЗБС, Углуб., ПВЛГ/ПНЛГ",$C86:BA86)</f>
        <v>346.8874444444</v>
      </c>
      <c r="BC86" s="224" t="n">
        <v>50</v>
      </c>
      <c r="BD86" s="224" t="n">
        <v>51.8234302147759</v>
      </c>
      <c r="BE86" s="224" t="n">
        <v>56.9519079379865</v>
      </c>
      <c r="BF86" s="224" t="n">
        <v>4.02905119243139</v>
      </c>
      <c r="BG86" s="224" t="n">
        <f aca="false">SUBTOTAL(9,BC86:BF86)</f>
        <v>162.804389345194</v>
      </c>
      <c r="BH86" s="203"/>
      <c r="BI86" s="235" t="n">
        <f aca="false">BI$4+SUMIF($C$5:BG$5,"Нараст. по остановкам",$C86:BG86)-SUMIF($C$5:BG$5,"Нараст.  по потенциалу",$C86:BG86)</f>
        <v>855.594704742539</v>
      </c>
      <c r="BJ86" s="185"/>
    </row>
    <row r="87" customFormat="false" ht="1.5" hidden="false" customHeight="true" outlineLevel="0" collapsed="false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 t="n">
        <v>1</v>
      </c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 t="n">
        <v>1</v>
      </c>
      <c r="AB87" s="151"/>
      <c r="AC87" s="151" t="n">
        <v>1</v>
      </c>
      <c r="AD87" s="151"/>
      <c r="AE87" s="151"/>
      <c r="AF87" s="151"/>
      <c r="AG87" s="151"/>
      <c r="AH87" s="151"/>
      <c r="AI87" s="151"/>
      <c r="AJ87" s="151"/>
      <c r="AK87" s="151"/>
      <c r="AL87" s="151" t="n">
        <v>1</v>
      </c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85"/>
    </row>
    <row r="88" customFormat="false" ht="11.25" hidden="false" customHeight="true" outlineLevel="0" collapsed="false">
      <c r="A88" s="186" t="n">
        <v>45311</v>
      </c>
      <c r="B88" s="187" t="s">
        <v>173</v>
      </c>
      <c r="C88" s="194" t="s">
        <v>249</v>
      </c>
      <c r="D88" s="188"/>
      <c r="E88" s="188"/>
      <c r="F88" s="189" t="n">
        <v>510</v>
      </c>
      <c r="G88" s="194" t="s">
        <v>189</v>
      </c>
      <c r="H88" s="194" t="s">
        <v>181</v>
      </c>
      <c r="I88" s="188"/>
      <c r="J88" s="188"/>
      <c r="K88" s="189" t="n">
        <v>162</v>
      </c>
      <c r="L88" s="189" t="n">
        <v>672</v>
      </c>
      <c r="M88" s="190"/>
      <c r="N88" s="188"/>
      <c r="O88" s="191"/>
      <c r="P88" s="192"/>
      <c r="Q88" s="188"/>
      <c r="R88" s="188"/>
      <c r="S88" s="191"/>
      <c r="T88" s="192"/>
      <c r="U88" s="188"/>
      <c r="V88" s="188"/>
      <c r="W88" s="188"/>
      <c r="X88" s="188"/>
      <c r="Y88" s="191"/>
      <c r="Z88" s="192"/>
      <c r="AA88" s="188"/>
      <c r="AB88" s="193" t="n">
        <v>54.7</v>
      </c>
      <c r="AC88" s="194" t="s">
        <v>177</v>
      </c>
      <c r="AD88" s="188"/>
      <c r="AE88" s="188"/>
      <c r="AF88" s="193" t="n">
        <v>230.341</v>
      </c>
      <c r="AG88" s="189" t="n">
        <v>285.041</v>
      </c>
      <c r="AH88" s="190"/>
      <c r="AI88" s="236"/>
      <c r="AJ88" s="236"/>
      <c r="AK88" s="196"/>
      <c r="AL88" s="197" t="s">
        <v>181</v>
      </c>
      <c r="AM88" s="197"/>
      <c r="AN88" s="188"/>
      <c r="AO88" s="188"/>
      <c r="AP88" s="188"/>
      <c r="AQ88" s="188"/>
      <c r="AR88" s="188"/>
      <c r="AS88" s="188"/>
      <c r="AT88" s="188"/>
      <c r="AU88" s="198"/>
      <c r="AV88" s="199"/>
      <c r="AW88" s="188"/>
      <c r="AX88" s="198"/>
      <c r="AY88" s="198"/>
      <c r="AZ88" s="195"/>
      <c r="BA88" s="195"/>
      <c r="BB88" s="200"/>
      <c r="BC88" s="202"/>
      <c r="BD88" s="202"/>
      <c r="BE88" s="201"/>
      <c r="BF88" s="202"/>
      <c r="BG88" s="202"/>
      <c r="BH88" s="203" t="n">
        <f aca="false">BH$4+SUMIF($C$5:BG$5,"Нараст. баланс",$C90:BG90)+SUMIF($C$7:BE$7,"Итого (с ВНР)",$C90:BE90)-SUMIF($C$5:BG$5,"Геол. снижение,  т/сут",$C90:BG90)-SUMIF(BF$7:BG$7,"Итого",BF90:BG90)-SUMIF($C$7:BG$7,"Итого (с ВСП)",$C90:BG90)</f>
        <v>30782.4358156358</v>
      </c>
      <c r="BI88" s="204"/>
      <c r="BJ88" s="185"/>
    </row>
    <row r="89" customFormat="false" ht="11.25" hidden="false" customHeight="true" outlineLevel="0" collapsed="false">
      <c r="A89" s="186"/>
      <c r="B89" s="205" t="s">
        <v>174</v>
      </c>
      <c r="C89" s="212" t="s">
        <v>250</v>
      </c>
      <c r="D89" s="206"/>
      <c r="E89" s="206"/>
      <c r="F89" s="207" t="n">
        <v>1</v>
      </c>
      <c r="G89" s="212" t="s">
        <v>251</v>
      </c>
      <c r="H89" s="212" t="s">
        <v>252</v>
      </c>
      <c r="I89" s="206"/>
      <c r="J89" s="206"/>
      <c r="K89" s="207" t="n">
        <v>2</v>
      </c>
      <c r="L89" s="207" t="n">
        <v>3</v>
      </c>
      <c r="M89" s="208"/>
      <c r="N89" s="206"/>
      <c r="O89" s="209" t="n">
        <f aca="false">SUBTOTAL(9,N91:N91)</f>
        <v>0</v>
      </c>
      <c r="P89" s="210"/>
      <c r="Q89" s="206"/>
      <c r="R89" s="206"/>
      <c r="S89" s="209" t="n">
        <f aca="false">SUBTOTAL(9,Q91:R91)</f>
        <v>0</v>
      </c>
      <c r="T89" s="210"/>
      <c r="U89" s="206"/>
      <c r="V89" s="206"/>
      <c r="W89" s="206"/>
      <c r="X89" s="206"/>
      <c r="Y89" s="209" t="n">
        <f aca="false">SUBTOTAL(9,U91:X91)</f>
        <v>0</v>
      </c>
      <c r="Z89" s="210"/>
      <c r="AA89" s="206"/>
      <c r="AB89" s="211" t="n">
        <f aca="false">SUBTOTAL(9,AA91:AA91)</f>
        <v>0</v>
      </c>
      <c r="AC89" s="212" t="s">
        <v>232</v>
      </c>
      <c r="AD89" s="206"/>
      <c r="AE89" s="206"/>
      <c r="AF89" s="211" t="n">
        <f aca="false">SUBTOTAL(9,AC91:AE91)</f>
        <v>1</v>
      </c>
      <c r="AG89" s="207" t="n">
        <f aca="false">SUBTOTAL(9,AA91:AE91)</f>
        <v>1</v>
      </c>
      <c r="AH89" s="208"/>
      <c r="AI89" s="237"/>
      <c r="AJ89" s="237"/>
      <c r="AK89" s="214"/>
      <c r="AL89" s="215" t="s">
        <v>253</v>
      </c>
      <c r="AM89" s="215"/>
      <c r="AN89" s="206"/>
      <c r="AO89" s="206"/>
      <c r="AP89" s="206"/>
      <c r="AQ89" s="206"/>
      <c r="AR89" s="206"/>
      <c r="AS89" s="206"/>
      <c r="AT89" s="206"/>
      <c r="AU89" s="207" t="n">
        <f aca="false">SUBTOTAL(9,AL91:AT91)</f>
        <v>1</v>
      </c>
      <c r="AV89" s="216"/>
      <c r="AW89" s="206"/>
      <c r="AX89" s="207" t="n">
        <f aca="false">SUBTOTAL(3,AW89:AW89)</f>
        <v>0</v>
      </c>
      <c r="AY89" s="217"/>
      <c r="AZ89" s="213"/>
      <c r="BA89" s="213"/>
      <c r="BB89" s="218"/>
      <c r="BC89" s="220"/>
      <c r="BD89" s="220"/>
      <c r="BE89" s="219"/>
      <c r="BF89" s="220"/>
      <c r="BG89" s="220"/>
      <c r="BH89" s="203"/>
      <c r="BI89" s="221"/>
      <c r="BJ89" s="185"/>
    </row>
    <row r="90" customFormat="false" ht="11.25" hidden="false" customHeight="true" outlineLevel="0" collapsed="false">
      <c r="A90" s="186"/>
      <c r="B90" s="222" t="s">
        <v>172</v>
      </c>
      <c r="C90" s="229" t="n">
        <v>350</v>
      </c>
      <c r="D90" s="223"/>
      <c r="E90" s="223"/>
      <c r="F90" s="224" t="n">
        <f aca="false">SUBTOTAL(9,C90:E90)</f>
        <v>350</v>
      </c>
      <c r="G90" s="229" t="n">
        <v>21</v>
      </c>
      <c r="H90" s="229" t="n">
        <v>20</v>
      </c>
      <c r="I90" s="223"/>
      <c r="J90" s="223"/>
      <c r="K90" s="224" t="n">
        <f aca="false">SUBTOTAL(9,G90:J90)</f>
        <v>41</v>
      </c>
      <c r="L90" s="224" t="n">
        <f aca="false">SUBTOTAL(9,C90:J90)</f>
        <v>391</v>
      </c>
      <c r="M90" s="225" t="n">
        <v>672</v>
      </c>
      <c r="N90" s="223"/>
      <c r="O90" s="226" t="n">
        <f aca="false">SUBTOTAL(9,N90:N90)</f>
        <v>0</v>
      </c>
      <c r="P90" s="227" t="n">
        <f aca="false">O90+IF($B86=2,0,P86)</f>
        <v>25.2</v>
      </c>
      <c r="Q90" s="223"/>
      <c r="R90" s="223"/>
      <c r="S90" s="226" t="n">
        <f aca="false">SUBTOTAL(9,Q90:R90)</f>
        <v>0</v>
      </c>
      <c r="T90" s="227" t="n">
        <f aca="false">S90+IF($B86=2,0,T86)</f>
        <v>220</v>
      </c>
      <c r="U90" s="223"/>
      <c r="V90" s="223"/>
      <c r="W90" s="223"/>
      <c r="X90" s="223"/>
      <c r="Y90" s="226" t="n">
        <f aca="false">SUBTOTAL(9,U90:X90)</f>
        <v>0</v>
      </c>
      <c r="Z90" s="227" t="n">
        <f aca="false">Y90+IF($B86=2,0,Z86)</f>
        <v>114</v>
      </c>
      <c r="AA90" s="223"/>
      <c r="AB90" s="228" t="n">
        <f aca="false">SUBTOTAL(9,AA90:AA90)</f>
        <v>0</v>
      </c>
      <c r="AC90" s="229" t="n">
        <v>1</v>
      </c>
      <c r="AD90" s="223"/>
      <c r="AE90" s="223"/>
      <c r="AF90" s="228" t="n">
        <f aca="false">SUBTOTAL(9,AC90:AE90)</f>
        <v>1</v>
      </c>
      <c r="AG90" s="224" t="n">
        <f aca="false">SUBTOTAL(9,AA90:AE90)</f>
        <v>1</v>
      </c>
      <c r="AH90" s="225" t="n">
        <f aca="false">AG90+IF($B86=2,0,AH86)</f>
        <v>285.041</v>
      </c>
      <c r="AI90" s="238"/>
      <c r="AJ90" s="238"/>
      <c r="AK90" s="231" t="n">
        <v>1000</v>
      </c>
      <c r="AL90" s="232" t="n">
        <v>3.6</v>
      </c>
      <c r="AM90" s="232" t="n">
        <v>1.2</v>
      </c>
      <c r="AN90" s="223"/>
      <c r="AO90" s="223"/>
      <c r="AP90" s="223"/>
      <c r="AQ90" s="223"/>
      <c r="AR90" s="223"/>
      <c r="AS90" s="223"/>
      <c r="AT90" s="223"/>
      <c r="AU90" s="224" t="n">
        <f aca="false">SUBTOTAL(9,AL90:AT90)</f>
        <v>4.8</v>
      </c>
      <c r="AV90" s="228" t="n">
        <f aca="false">AU90+IF($B86=2,0,AV86)</f>
        <v>570.6535555556</v>
      </c>
      <c r="AW90" s="223"/>
      <c r="AX90" s="224" t="n">
        <f aca="false">SUBTOTAL(9,AW90:AW90)</f>
        <v>0</v>
      </c>
      <c r="AY90" s="224" t="n">
        <f aca="false">AX90+IF($B86=2,0,AY86)</f>
        <v>11.5</v>
      </c>
      <c r="AZ90" s="230" t="n">
        <v>51.5</v>
      </c>
      <c r="BA90" s="230" t="n">
        <v>51.5</v>
      </c>
      <c r="BB90" s="233" t="n">
        <f aca="false">SUMIF($C$5:BA$5,"Накопленный эффект, т/сут",$C90:BA90)+SUMIF($C$5:BA$5,"Нараст.  по потенциалу",$C90:BA90)-SUMIF($C$5:BA$5,"Нараст. по остановкам",$C90:BA90)-SUMIF($C$5:BA$5,"ИТОГО перевод в ППД",$C90:BA90)-SUMIF($C$5:BA$5,"ИТОГО  нерент, по распоряж.",$C90:BA90)-SUMIF($C$5:BA$5,"ИТОГО ост. дебит от ЗБС, Углуб., ПВЛГ/ПНЛГ",$C90:BA90)</f>
        <v>734.0874444444</v>
      </c>
      <c r="BC90" s="224" t="n">
        <v>31.8</v>
      </c>
      <c r="BD90" s="224" t="n">
        <v>19.1667696131759</v>
      </c>
      <c r="BE90" s="234"/>
      <c r="BF90" s="224" t="n">
        <v>0.142859195402299</v>
      </c>
      <c r="BG90" s="224" t="n">
        <f aca="false">SUBTOTAL(9,BC90:BF90)</f>
        <v>51.1096288085782</v>
      </c>
      <c r="BH90" s="203"/>
      <c r="BI90" s="235" t="n">
        <f aca="false">BI$4+SUMIF($C$5:BG$5,"Нараст. по остановкам",$C90:BG90)-SUMIF($C$5:BG$5,"Нараст.  по потенциалу",$C90:BG90)</f>
        <v>859.394704742539</v>
      </c>
      <c r="BJ90" s="185"/>
    </row>
    <row r="91" customFormat="false" ht="1.5" hidden="false" customHeight="true" outlineLevel="0" collapsed="false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 t="n">
        <v>1</v>
      </c>
      <c r="AD91" s="151"/>
      <c r="AE91" s="151"/>
      <c r="AF91" s="151"/>
      <c r="AG91" s="151"/>
      <c r="AH91" s="151"/>
      <c r="AI91" s="151"/>
      <c r="AJ91" s="151"/>
      <c r="AK91" s="151"/>
      <c r="AL91" s="151" t="n">
        <v>1</v>
      </c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85"/>
    </row>
    <row r="92" customFormat="false" ht="11.25" hidden="false" customHeight="true" outlineLevel="0" collapsed="false">
      <c r="A92" s="186" t="n">
        <v>45312</v>
      </c>
      <c r="B92" s="187" t="s">
        <v>173</v>
      </c>
      <c r="C92" s="194" t="s">
        <v>254</v>
      </c>
      <c r="D92" s="194" t="s">
        <v>254</v>
      </c>
      <c r="E92" s="194" t="s">
        <v>184</v>
      </c>
      <c r="F92" s="189" t="n">
        <v>700</v>
      </c>
      <c r="G92" s="188"/>
      <c r="H92" s="188"/>
      <c r="I92" s="188"/>
      <c r="J92" s="188"/>
      <c r="K92" s="189" t="n">
        <v>162</v>
      </c>
      <c r="L92" s="189" t="n">
        <v>862</v>
      </c>
      <c r="M92" s="190"/>
      <c r="N92" s="188"/>
      <c r="O92" s="191"/>
      <c r="P92" s="192"/>
      <c r="Q92" s="188"/>
      <c r="R92" s="188"/>
      <c r="S92" s="191"/>
      <c r="T92" s="192"/>
      <c r="U92" s="194" t="s">
        <v>181</v>
      </c>
      <c r="V92" s="188"/>
      <c r="W92" s="188"/>
      <c r="X92" s="188"/>
      <c r="Y92" s="191"/>
      <c r="Z92" s="192"/>
      <c r="AA92" s="188"/>
      <c r="AB92" s="193" t="n">
        <v>54.7</v>
      </c>
      <c r="AC92" s="194" t="s">
        <v>177</v>
      </c>
      <c r="AD92" s="188"/>
      <c r="AE92" s="188"/>
      <c r="AF92" s="193" t="n">
        <v>231.241</v>
      </c>
      <c r="AG92" s="189" t="n">
        <v>285.941</v>
      </c>
      <c r="AH92" s="190"/>
      <c r="AI92" s="236"/>
      <c r="AJ92" s="236"/>
      <c r="AK92" s="196"/>
      <c r="AL92" s="197"/>
      <c r="AM92" s="188"/>
      <c r="AN92" s="188"/>
      <c r="AO92" s="188"/>
      <c r="AP92" s="188"/>
      <c r="AQ92" s="188"/>
      <c r="AR92" s="188"/>
      <c r="AS92" s="188"/>
      <c r="AT92" s="188"/>
      <c r="AU92" s="198"/>
      <c r="AV92" s="199"/>
      <c r="AW92" s="188"/>
      <c r="AX92" s="198"/>
      <c r="AY92" s="198"/>
      <c r="AZ92" s="195"/>
      <c r="BA92" s="195"/>
      <c r="BB92" s="200"/>
      <c r="BC92" s="202"/>
      <c r="BD92" s="202"/>
      <c r="BE92" s="201"/>
      <c r="BF92" s="201"/>
      <c r="BG92" s="202"/>
      <c r="BH92" s="203" t="n">
        <f aca="false">BH$4+SUMIF($C$5:BG$5,"Нараст. баланс",$C94:BG94)+SUMIF($C$7:BE$7,"Итого (с ВНР)",$C94:BE94)-SUMIF($C$5:BG$5,"Геол. снижение,  т/сут",$C94:BG94)-SUMIF(BF$7:BG$7,"Итого",BF94:BG94)-SUMIF($C$7:BG$7,"Итого (с ВСП)",$C94:BG94)</f>
        <v>30951.9054528222</v>
      </c>
      <c r="BI92" s="204"/>
      <c r="BJ92" s="185"/>
    </row>
    <row r="93" customFormat="false" ht="11.25" hidden="false" customHeight="true" outlineLevel="0" collapsed="false">
      <c r="A93" s="186"/>
      <c r="B93" s="205" t="s">
        <v>174</v>
      </c>
      <c r="C93" s="212" t="s">
        <v>255</v>
      </c>
      <c r="D93" s="212" t="s">
        <v>256</v>
      </c>
      <c r="E93" s="212" t="s">
        <v>257</v>
      </c>
      <c r="F93" s="207" t="n">
        <v>3</v>
      </c>
      <c r="G93" s="206"/>
      <c r="H93" s="206"/>
      <c r="I93" s="206"/>
      <c r="J93" s="206"/>
      <c r="K93" s="207" t="n">
        <v>0</v>
      </c>
      <c r="L93" s="207" t="n">
        <v>3</v>
      </c>
      <c r="M93" s="208"/>
      <c r="N93" s="206"/>
      <c r="O93" s="209" t="n">
        <f aca="false">SUBTOTAL(9,N95:N95)</f>
        <v>0</v>
      </c>
      <c r="P93" s="210"/>
      <c r="Q93" s="206"/>
      <c r="R93" s="206"/>
      <c r="S93" s="209" t="n">
        <f aca="false">SUBTOTAL(9,Q95:R95)</f>
        <v>0</v>
      </c>
      <c r="T93" s="210"/>
      <c r="U93" s="212" t="s">
        <v>258</v>
      </c>
      <c r="V93" s="206"/>
      <c r="W93" s="206"/>
      <c r="X93" s="206"/>
      <c r="Y93" s="209" t="n">
        <f aca="false">SUBTOTAL(9,U95:X95)</f>
        <v>1</v>
      </c>
      <c r="Z93" s="210"/>
      <c r="AA93" s="206"/>
      <c r="AB93" s="211" t="n">
        <f aca="false">SUBTOTAL(9,AA95:AA95)</f>
        <v>0</v>
      </c>
      <c r="AC93" s="212" t="s">
        <v>238</v>
      </c>
      <c r="AD93" s="206"/>
      <c r="AE93" s="206"/>
      <c r="AF93" s="211" t="n">
        <f aca="false">SUBTOTAL(9,AC95:AE95)</f>
        <v>1</v>
      </c>
      <c r="AG93" s="207" t="n">
        <f aca="false">SUBTOTAL(9,AA95:AE95)</f>
        <v>1</v>
      </c>
      <c r="AH93" s="208"/>
      <c r="AI93" s="237"/>
      <c r="AJ93" s="237"/>
      <c r="AK93" s="214"/>
      <c r="AL93" s="215"/>
      <c r="AM93" s="206"/>
      <c r="AN93" s="206"/>
      <c r="AO93" s="206"/>
      <c r="AP93" s="206"/>
      <c r="AQ93" s="206"/>
      <c r="AR93" s="206"/>
      <c r="AS93" s="206"/>
      <c r="AT93" s="206"/>
      <c r="AU93" s="207" t="n">
        <f aca="false">SUBTOTAL(9,AL95:AT95)</f>
        <v>0</v>
      </c>
      <c r="AV93" s="216"/>
      <c r="AW93" s="206"/>
      <c r="AX93" s="207" t="n">
        <f aca="false">SUBTOTAL(3,AW93:AW93)</f>
        <v>0</v>
      </c>
      <c r="AY93" s="217"/>
      <c r="AZ93" s="213"/>
      <c r="BA93" s="213"/>
      <c r="BB93" s="218"/>
      <c r="BC93" s="220"/>
      <c r="BD93" s="220"/>
      <c r="BE93" s="219"/>
      <c r="BF93" s="219"/>
      <c r="BG93" s="220"/>
      <c r="BH93" s="203"/>
      <c r="BI93" s="221"/>
      <c r="BJ93" s="185"/>
    </row>
    <row r="94" customFormat="false" ht="11.25" hidden="false" customHeight="true" outlineLevel="0" collapsed="false">
      <c r="A94" s="186"/>
      <c r="B94" s="222" t="s">
        <v>172</v>
      </c>
      <c r="C94" s="229" t="n">
        <v>40</v>
      </c>
      <c r="D94" s="229" t="n">
        <v>100</v>
      </c>
      <c r="E94" s="229" t="n">
        <v>50</v>
      </c>
      <c r="F94" s="224" t="n">
        <f aca="false">SUBTOTAL(9,C94:E94)</f>
        <v>190</v>
      </c>
      <c r="G94" s="223"/>
      <c r="H94" s="223"/>
      <c r="I94" s="223"/>
      <c r="J94" s="223"/>
      <c r="K94" s="224" t="n">
        <f aca="false">SUBTOTAL(9,G94:J94)</f>
        <v>0</v>
      </c>
      <c r="L94" s="224" t="n">
        <f aca="false">SUBTOTAL(9,C94:J94)</f>
        <v>190</v>
      </c>
      <c r="M94" s="225" t="n">
        <v>862</v>
      </c>
      <c r="N94" s="223"/>
      <c r="O94" s="226" t="n">
        <f aca="false">SUBTOTAL(9,N94:N94)</f>
        <v>0</v>
      </c>
      <c r="P94" s="227" t="n">
        <f aca="false">O94+IF($B90=2,0,P90)</f>
        <v>25.2</v>
      </c>
      <c r="Q94" s="223"/>
      <c r="R94" s="223"/>
      <c r="S94" s="226" t="n">
        <f aca="false">SUBTOTAL(9,Q94:R94)</f>
        <v>0</v>
      </c>
      <c r="T94" s="227" t="n">
        <f aca="false">S94+IF($B90=2,0,T90)</f>
        <v>220</v>
      </c>
      <c r="U94" s="229" t="n">
        <v>7</v>
      </c>
      <c r="V94" s="223"/>
      <c r="W94" s="223"/>
      <c r="X94" s="223"/>
      <c r="Y94" s="226" t="n">
        <f aca="false">SUBTOTAL(9,U94:X94)</f>
        <v>7</v>
      </c>
      <c r="Z94" s="227" t="n">
        <f aca="false">Y94+IF($B90=2,0,Z90)</f>
        <v>121</v>
      </c>
      <c r="AA94" s="223"/>
      <c r="AB94" s="228" t="n">
        <f aca="false">SUBTOTAL(9,AA94:AA94)</f>
        <v>0</v>
      </c>
      <c r="AC94" s="229" t="n">
        <v>0.9</v>
      </c>
      <c r="AD94" s="223"/>
      <c r="AE94" s="223"/>
      <c r="AF94" s="228" t="n">
        <f aca="false">SUBTOTAL(9,AC94:AE94)</f>
        <v>0.9</v>
      </c>
      <c r="AG94" s="224" t="n">
        <f aca="false">SUBTOTAL(9,AA94:AE94)</f>
        <v>0.9</v>
      </c>
      <c r="AH94" s="225" t="n">
        <f aca="false">AG94+IF($B90=2,0,AH90)</f>
        <v>285.941</v>
      </c>
      <c r="AI94" s="238"/>
      <c r="AJ94" s="238"/>
      <c r="AK94" s="231" t="n">
        <v>1050</v>
      </c>
      <c r="AL94" s="232" t="n">
        <v>2.4</v>
      </c>
      <c r="AM94" s="223"/>
      <c r="AN94" s="223"/>
      <c r="AO94" s="223"/>
      <c r="AP94" s="223"/>
      <c r="AQ94" s="223"/>
      <c r="AR94" s="223"/>
      <c r="AS94" s="223"/>
      <c r="AT94" s="223"/>
      <c r="AU94" s="224" t="n">
        <f aca="false">SUBTOTAL(9,AL94:AT94)</f>
        <v>2.4</v>
      </c>
      <c r="AV94" s="228" t="n">
        <f aca="false">AU94+IF($B90=2,0,AV90)</f>
        <v>573.0535555556</v>
      </c>
      <c r="AW94" s="223"/>
      <c r="AX94" s="224" t="n">
        <f aca="false">SUBTOTAL(9,AW94:AW94)</f>
        <v>0</v>
      </c>
      <c r="AY94" s="224" t="n">
        <f aca="false">AX94+IF($B90=2,0,AY90)</f>
        <v>11.5</v>
      </c>
      <c r="AZ94" s="230" t="n">
        <v>40.6</v>
      </c>
      <c r="BA94" s="230" t="n">
        <v>40.6</v>
      </c>
      <c r="BB94" s="233" t="n">
        <f aca="false">SUMIF($C$5:BA$5,"Накопленный эффект, т/сут",$C94:BA94)+SUMIF($C$5:BA$5,"Нараст.  по потенциалу",$C94:BA94)-SUMIF($C$5:BA$5,"Нараст. по остановкам",$C94:BA94)-SUMIF($C$5:BA$5,"ИТОГО перевод в ППД",$C94:BA94)-SUMIF($C$5:BA$5,"ИТОГО  нерент, по распоряж.",$C94:BA94)-SUMIF($C$5:BA$5,"ИТОГО ост. дебит от ЗБС, Углуб., ПВЛГ/ПНЛГ",$C94:BA94)</f>
        <v>929.5874444444</v>
      </c>
      <c r="BC94" s="224" t="n">
        <v>17.6</v>
      </c>
      <c r="BD94" s="224" t="n">
        <v>20.439991622175</v>
      </c>
      <c r="BE94" s="234"/>
      <c r="BF94" s="234"/>
      <c r="BG94" s="224" t="n">
        <f aca="false">SUBTOTAL(9,BC94:BF94)</f>
        <v>38.039991622175</v>
      </c>
      <c r="BH94" s="203"/>
      <c r="BI94" s="235" t="n">
        <f aca="false">BI$4+SUMIF($C$5:BG$5,"Нараст. по остановкам",$C94:BG94)-SUMIF($C$5:BG$5,"Нараст.  по потенциалу",$C94:BG94)</f>
        <v>860.894704742539</v>
      </c>
      <c r="BJ94" s="185"/>
    </row>
    <row r="95" customFormat="false" ht="1.5" hidden="false" customHeight="true" outlineLevel="0" collapsed="false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 t="n">
        <v>1</v>
      </c>
      <c r="V95" s="151"/>
      <c r="W95" s="151"/>
      <c r="X95" s="151"/>
      <c r="Y95" s="151"/>
      <c r="Z95" s="151"/>
      <c r="AA95" s="151"/>
      <c r="AB95" s="151"/>
      <c r="AC95" s="151" t="n">
        <v>1</v>
      </c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85"/>
    </row>
    <row r="96" customFormat="false" ht="11.25" hidden="false" customHeight="true" outlineLevel="0" collapsed="false">
      <c r="A96" s="186" t="n">
        <v>45313</v>
      </c>
      <c r="B96" s="187" t="s">
        <v>173</v>
      </c>
      <c r="C96" s="194" t="s">
        <v>259</v>
      </c>
      <c r="D96" s="188"/>
      <c r="E96" s="188"/>
      <c r="F96" s="189" t="n">
        <v>730</v>
      </c>
      <c r="G96" s="194" t="s">
        <v>175</v>
      </c>
      <c r="H96" s="188"/>
      <c r="I96" s="188"/>
      <c r="J96" s="188"/>
      <c r="K96" s="189" t="n">
        <v>183</v>
      </c>
      <c r="L96" s="189" t="n">
        <v>913</v>
      </c>
      <c r="M96" s="190"/>
      <c r="N96" s="188"/>
      <c r="O96" s="191"/>
      <c r="P96" s="192"/>
      <c r="Q96" s="188"/>
      <c r="R96" s="188"/>
      <c r="S96" s="191"/>
      <c r="T96" s="192"/>
      <c r="U96" s="194" t="s">
        <v>181</v>
      </c>
      <c r="V96" s="188"/>
      <c r="W96" s="188"/>
      <c r="X96" s="188"/>
      <c r="Y96" s="191"/>
      <c r="Z96" s="192"/>
      <c r="AA96" s="188"/>
      <c r="AB96" s="193" t="n">
        <v>54.7</v>
      </c>
      <c r="AC96" s="194" t="s">
        <v>184</v>
      </c>
      <c r="AD96" s="194" t="s">
        <v>177</v>
      </c>
      <c r="AE96" s="194"/>
      <c r="AF96" s="193" t="n">
        <v>244.641</v>
      </c>
      <c r="AG96" s="189" t="n">
        <v>299.341</v>
      </c>
      <c r="AH96" s="190"/>
      <c r="AI96" s="236"/>
      <c r="AJ96" s="236"/>
      <c r="AK96" s="196"/>
      <c r="AL96" s="197" t="s">
        <v>184</v>
      </c>
      <c r="AM96" s="197" t="s">
        <v>177</v>
      </c>
      <c r="AN96" s="197"/>
      <c r="AO96" s="188"/>
      <c r="AP96" s="188"/>
      <c r="AQ96" s="188"/>
      <c r="AR96" s="188"/>
      <c r="AS96" s="188"/>
      <c r="AT96" s="188"/>
      <c r="AU96" s="198"/>
      <c r="AV96" s="199"/>
      <c r="AW96" s="197" t="s">
        <v>184</v>
      </c>
      <c r="AX96" s="198"/>
      <c r="AY96" s="198"/>
      <c r="AZ96" s="195"/>
      <c r="BA96" s="195"/>
      <c r="BB96" s="200"/>
      <c r="BC96" s="202"/>
      <c r="BD96" s="202"/>
      <c r="BE96" s="202"/>
      <c r="BF96" s="202"/>
      <c r="BG96" s="202"/>
      <c r="BH96" s="203" t="n">
        <f aca="false">BH$4+SUMIF($C$5:BG$5,"Нараст. баланс",$C98:BG98)+SUMIF($C$7:BE$7,"Итого (с ВНР)",$C98:BE98)-SUMIF($C$5:BG$5,"Геол. снижение,  т/сут",$C98:BG98)-SUMIF(BF$7:BG$7,"Итого",BF98:BG98)-SUMIF($C$7:BG$7,"Итого (с ВСП)",$C98:BG98)</f>
        <v>30931.2759084868</v>
      </c>
      <c r="BI96" s="204"/>
      <c r="BJ96" s="185"/>
    </row>
    <row r="97" customFormat="false" ht="11.25" hidden="false" customHeight="true" outlineLevel="0" collapsed="false">
      <c r="A97" s="186"/>
      <c r="B97" s="205" t="s">
        <v>174</v>
      </c>
      <c r="C97" s="212" t="s">
        <v>260</v>
      </c>
      <c r="D97" s="206"/>
      <c r="E97" s="206"/>
      <c r="F97" s="207" t="n">
        <v>1</v>
      </c>
      <c r="G97" s="212" t="s">
        <v>261</v>
      </c>
      <c r="H97" s="206"/>
      <c r="I97" s="206"/>
      <c r="J97" s="206"/>
      <c r="K97" s="207" t="n">
        <v>1</v>
      </c>
      <c r="L97" s="207" t="n">
        <v>2</v>
      </c>
      <c r="M97" s="208"/>
      <c r="N97" s="206"/>
      <c r="O97" s="209" t="n">
        <f aca="false">SUBTOTAL(9,N99:N99)</f>
        <v>0</v>
      </c>
      <c r="P97" s="210"/>
      <c r="Q97" s="206"/>
      <c r="R97" s="206"/>
      <c r="S97" s="209" t="n">
        <f aca="false">SUBTOTAL(9,Q99:R99)</f>
        <v>0</v>
      </c>
      <c r="T97" s="210"/>
      <c r="U97" s="212" t="s">
        <v>262</v>
      </c>
      <c r="V97" s="206"/>
      <c r="W97" s="206"/>
      <c r="X97" s="206"/>
      <c r="Y97" s="209" t="n">
        <f aca="false">SUBTOTAL(9,U99:X99)</f>
        <v>1</v>
      </c>
      <c r="Z97" s="210"/>
      <c r="AA97" s="206"/>
      <c r="AB97" s="211" t="n">
        <f aca="false">SUBTOTAL(9,AA99:AA99)</f>
        <v>0</v>
      </c>
      <c r="AC97" s="212" t="s">
        <v>263</v>
      </c>
      <c r="AD97" s="212" t="s">
        <v>240</v>
      </c>
      <c r="AE97" s="212"/>
      <c r="AF97" s="211" t="n">
        <f aca="false">SUBTOTAL(9,AC99:AE99)</f>
        <v>2</v>
      </c>
      <c r="AG97" s="207" t="n">
        <f aca="false">SUBTOTAL(9,AA99:AE99)</f>
        <v>2</v>
      </c>
      <c r="AH97" s="208"/>
      <c r="AI97" s="237"/>
      <c r="AJ97" s="237"/>
      <c r="AK97" s="214"/>
      <c r="AL97" s="215" t="s">
        <v>263</v>
      </c>
      <c r="AM97" s="215" t="s">
        <v>264</v>
      </c>
      <c r="AN97" s="215"/>
      <c r="AO97" s="206"/>
      <c r="AP97" s="206"/>
      <c r="AQ97" s="206"/>
      <c r="AR97" s="206"/>
      <c r="AS97" s="206"/>
      <c r="AT97" s="206"/>
      <c r="AU97" s="207" t="n">
        <f aca="false">SUBTOTAL(9,AL99:AT99)</f>
        <v>2</v>
      </c>
      <c r="AV97" s="216"/>
      <c r="AW97" s="215" t="s">
        <v>263</v>
      </c>
      <c r="AX97" s="207" t="n">
        <f aca="false">SUBTOTAL(3,AW97:AW97)</f>
        <v>1</v>
      </c>
      <c r="AY97" s="217"/>
      <c r="AZ97" s="213"/>
      <c r="BA97" s="213"/>
      <c r="BB97" s="218"/>
      <c r="BC97" s="220"/>
      <c r="BD97" s="220"/>
      <c r="BE97" s="220"/>
      <c r="BF97" s="220"/>
      <c r="BG97" s="220"/>
      <c r="BH97" s="203"/>
      <c r="BI97" s="221"/>
      <c r="BJ97" s="185"/>
    </row>
    <row r="98" customFormat="false" ht="11.25" hidden="false" customHeight="true" outlineLevel="0" collapsed="false">
      <c r="A98" s="186"/>
      <c r="B98" s="222" t="s">
        <v>172</v>
      </c>
      <c r="C98" s="229" t="n">
        <v>30</v>
      </c>
      <c r="D98" s="223"/>
      <c r="E98" s="223"/>
      <c r="F98" s="224" t="n">
        <f aca="false">SUBTOTAL(9,C98:E98)</f>
        <v>30</v>
      </c>
      <c r="G98" s="229" t="n">
        <v>21</v>
      </c>
      <c r="H98" s="223"/>
      <c r="I98" s="223"/>
      <c r="J98" s="223"/>
      <c r="K98" s="224" t="n">
        <f aca="false">SUBTOTAL(9,G98:J98)</f>
        <v>21</v>
      </c>
      <c r="L98" s="224" t="n">
        <f aca="false">SUBTOTAL(9,C98:J98)</f>
        <v>51</v>
      </c>
      <c r="M98" s="225" t="n">
        <v>913</v>
      </c>
      <c r="N98" s="223"/>
      <c r="O98" s="226" t="n">
        <f aca="false">SUBTOTAL(9,N98:N98)</f>
        <v>0</v>
      </c>
      <c r="P98" s="227" t="n">
        <f aca="false">O98+IF($B94=2,0,P94)</f>
        <v>25.2</v>
      </c>
      <c r="Q98" s="223"/>
      <c r="R98" s="223"/>
      <c r="S98" s="226" t="n">
        <f aca="false">SUBTOTAL(9,Q98:R98)</f>
        <v>0</v>
      </c>
      <c r="T98" s="227" t="n">
        <f aca="false">S98+IF($B94=2,0,T94)</f>
        <v>220</v>
      </c>
      <c r="U98" s="229" t="n">
        <v>9</v>
      </c>
      <c r="V98" s="223"/>
      <c r="W98" s="223"/>
      <c r="X98" s="223"/>
      <c r="Y98" s="226" t="n">
        <f aca="false">SUBTOTAL(9,U98:X98)</f>
        <v>9</v>
      </c>
      <c r="Z98" s="227" t="n">
        <f aca="false">Y98+IF($B94=2,0,Z94)</f>
        <v>130</v>
      </c>
      <c r="AA98" s="223"/>
      <c r="AB98" s="228" t="n">
        <f aca="false">SUBTOTAL(9,AA98:AA98)</f>
        <v>0</v>
      </c>
      <c r="AC98" s="229" t="n">
        <v>7.1</v>
      </c>
      <c r="AD98" s="229" t="n">
        <v>5.1</v>
      </c>
      <c r="AE98" s="229" t="n">
        <v>1.2</v>
      </c>
      <c r="AF98" s="228" t="n">
        <f aca="false">SUBTOTAL(9,AC98:AE98)</f>
        <v>13.4</v>
      </c>
      <c r="AG98" s="224" t="n">
        <f aca="false">SUBTOTAL(9,AA98:AE98)</f>
        <v>13.4</v>
      </c>
      <c r="AH98" s="225" t="n">
        <f aca="false">AG98+IF($B94=2,0,AH94)</f>
        <v>299.341</v>
      </c>
      <c r="AI98" s="238"/>
      <c r="AJ98" s="238"/>
      <c r="AK98" s="231" t="n">
        <v>1100</v>
      </c>
      <c r="AL98" s="232" t="n">
        <v>7.1</v>
      </c>
      <c r="AM98" s="232" t="n">
        <v>1.2</v>
      </c>
      <c r="AN98" s="232" t="n">
        <v>9.7</v>
      </c>
      <c r="AO98" s="223"/>
      <c r="AP98" s="223"/>
      <c r="AQ98" s="223"/>
      <c r="AR98" s="223"/>
      <c r="AS98" s="223"/>
      <c r="AT98" s="223"/>
      <c r="AU98" s="224" t="n">
        <f aca="false">SUBTOTAL(9,AL98:AT98)</f>
        <v>18</v>
      </c>
      <c r="AV98" s="228" t="n">
        <f aca="false">AU98+IF($B94=2,0,AV94)</f>
        <v>591.0535555556</v>
      </c>
      <c r="AW98" s="232" t="n">
        <v>7.1</v>
      </c>
      <c r="AX98" s="224" t="n">
        <f aca="false">SUBTOTAL(9,AW98:AW98)</f>
        <v>7.1</v>
      </c>
      <c r="AY98" s="224" t="n">
        <f aca="false">AX98+IF($B94=2,0,AY94)</f>
        <v>18.6</v>
      </c>
      <c r="AZ98" s="230" t="n">
        <v>29.5</v>
      </c>
      <c r="BA98" s="230" t="n">
        <v>29.5</v>
      </c>
      <c r="BB98" s="233" t="n">
        <f aca="false">SUMIF($C$5:BA$5,"Накопленный эффект, т/сут",$C98:BA98)+SUMIF($C$5:BA$5,"Нараст.  по потенциалу",$C98:BA98)-SUMIF($C$5:BA$5,"Нараст. по остановкам",$C98:BA98)-SUMIF($C$5:BA$5,"ИТОГО перевод в ППД",$C98:BA98)-SUMIF($C$5:BA$5,"ИТОГО  нерент, по распоряж.",$C98:BA98)-SUMIF($C$5:BA$5,"ИТОГО ост. дебит от ЗБС, Углуб., ПВЛГ/ПНЛГ",$C98:BA98)</f>
        <v>977.8874444444</v>
      </c>
      <c r="BC98" s="224" t="n">
        <v>17.6</v>
      </c>
      <c r="BD98" s="224" t="n">
        <v>31.9518831161888</v>
      </c>
      <c r="BE98" s="224" t="n">
        <v>12.4278467741935</v>
      </c>
      <c r="BF98" s="224" t="n">
        <v>6.08980606722646</v>
      </c>
      <c r="BG98" s="224" t="n">
        <f aca="false">SUBTOTAL(9,BC98:BF98)</f>
        <v>68.0695359576088</v>
      </c>
      <c r="BH98" s="203"/>
      <c r="BI98" s="235" t="n">
        <f aca="false">BI$4+SUMIF($C$5:BG$5,"Нараст. по остановкам",$C98:BG98)-SUMIF($C$5:BG$5,"Нараст.  по потенциалу",$C98:BG98)</f>
        <v>865.494704742539</v>
      </c>
      <c r="BJ98" s="185"/>
    </row>
    <row r="99" customFormat="false" ht="1.5" hidden="false" customHeight="true" outlineLevel="0" collapsed="false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 t="n">
        <v>1</v>
      </c>
      <c r="V99" s="151"/>
      <c r="W99" s="151"/>
      <c r="X99" s="151"/>
      <c r="Y99" s="151"/>
      <c r="Z99" s="151"/>
      <c r="AA99" s="151"/>
      <c r="AB99" s="151"/>
      <c r="AC99" s="151" t="n">
        <v>1</v>
      </c>
      <c r="AD99" s="151" t="n">
        <v>1</v>
      </c>
      <c r="AE99" s="151"/>
      <c r="AF99" s="151"/>
      <c r="AG99" s="151"/>
      <c r="AH99" s="151"/>
      <c r="AI99" s="151"/>
      <c r="AJ99" s="151"/>
      <c r="AK99" s="151"/>
      <c r="AL99" s="151" t="n">
        <v>1</v>
      </c>
      <c r="AM99" s="151" t="n">
        <v>1</v>
      </c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85"/>
    </row>
    <row r="100" customFormat="false" ht="11.25" hidden="false" customHeight="true" outlineLevel="0" collapsed="false">
      <c r="A100" s="186" t="n">
        <v>45314</v>
      </c>
      <c r="B100" s="187" t="s">
        <v>173</v>
      </c>
      <c r="C100" s="188"/>
      <c r="D100" s="188"/>
      <c r="E100" s="188"/>
      <c r="F100" s="189" t="n">
        <v>730</v>
      </c>
      <c r="G100" s="194" t="s">
        <v>175</v>
      </c>
      <c r="H100" s="188"/>
      <c r="I100" s="188"/>
      <c r="J100" s="188"/>
      <c r="K100" s="189" t="n">
        <v>203</v>
      </c>
      <c r="L100" s="189" t="n">
        <v>933</v>
      </c>
      <c r="M100" s="190"/>
      <c r="N100" s="188"/>
      <c r="O100" s="191"/>
      <c r="P100" s="192"/>
      <c r="Q100" s="188"/>
      <c r="R100" s="188"/>
      <c r="S100" s="191"/>
      <c r="T100" s="192"/>
      <c r="U100" s="194" t="s">
        <v>191</v>
      </c>
      <c r="V100" s="188"/>
      <c r="W100" s="188"/>
      <c r="X100" s="188"/>
      <c r="Y100" s="191"/>
      <c r="Z100" s="192"/>
      <c r="AA100" s="188"/>
      <c r="AB100" s="193" t="n">
        <v>54.7</v>
      </c>
      <c r="AC100" s="194" t="s">
        <v>181</v>
      </c>
      <c r="AD100" s="188"/>
      <c r="AE100" s="188"/>
      <c r="AF100" s="193" t="n">
        <v>247.141</v>
      </c>
      <c r="AG100" s="189" t="n">
        <v>301.841</v>
      </c>
      <c r="AH100" s="190"/>
      <c r="AI100" s="236"/>
      <c r="AJ100" s="236"/>
      <c r="AK100" s="196"/>
      <c r="AL100" s="197" t="s">
        <v>181</v>
      </c>
      <c r="AM100" s="188"/>
      <c r="AN100" s="188"/>
      <c r="AO100" s="188"/>
      <c r="AP100" s="188"/>
      <c r="AQ100" s="188"/>
      <c r="AR100" s="188"/>
      <c r="AS100" s="188"/>
      <c r="AT100" s="188"/>
      <c r="AU100" s="198"/>
      <c r="AV100" s="199"/>
      <c r="AW100" s="197" t="s">
        <v>181</v>
      </c>
      <c r="AX100" s="198"/>
      <c r="AY100" s="198"/>
      <c r="AZ100" s="195"/>
      <c r="BA100" s="195"/>
      <c r="BB100" s="200"/>
      <c r="BC100" s="202"/>
      <c r="BD100" s="202"/>
      <c r="BE100" s="202"/>
      <c r="BF100" s="202"/>
      <c r="BG100" s="202"/>
      <c r="BH100" s="203" t="n">
        <f aca="false">BH$4+SUMIF($C$5:BG$5,"Нараст. баланс",$C102:BG102)+SUMIF($C$7:BE$7,"Итого (с ВНР)",$C102:BE102)-SUMIF($C$5:BG$5,"Геол. снижение,  т/сут",$C102:BG102)-SUMIF(BF$7:BG$7,"Итого",BF102:BG102)-SUMIF($C$7:BG$7,"Итого (с ВСП)",$C102:BG102)</f>
        <v>30742.850973286</v>
      </c>
      <c r="BI100" s="204"/>
      <c r="BJ100" s="185"/>
    </row>
    <row r="101" customFormat="false" ht="11.25" hidden="false" customHeight="true" outlineLevel="0" collapsed="false">
      <c r="A101" s="186"/>
      <c r="B101" s="205" t="s">
        <v>174</v>
      </c>
      <c r="C101" s="206"/>
      <c r="D101" s="206"/>
      <c r="E101" s="206"/>
      <c r="F101" s="207" t="n">
        <v>0</v>
      </c>
      <c r="G101" s="212" t="s">
        <v>265</v>
      </c>
      <c r="H101" s="206"/>
      <c r="I101" s="206"/>
      <c r="J101" s="206"/>
      <c r="K101" s="207" t="n">
        <v>1</v>
      </c>
      <c r="L101" s="207" t="n">
        <v>1</v>
      </c>
      <c r="M101" s="208"/>
      <c r="N101" s="206"/>
      <c r="O101" s="209" t="n">
        <f aca="false">SUBTOTAL(9,N103:N103)</f>
        <v>0</v>
      </c>
      <c r="P101" s="210"/>
      <c r="Q101" s="206"/>
      <c r="R101" s="206"/>
      <c r="S101" s="209" t="n">
        <f aca="false">SUBTOTAL(9,Q103:R103)</f>
        <v>0</v>
      </c>
      <c r="T101" s="210"/>
      <c r="U101" s="212" t="s">
        <v>266</v>
      </c>
      <c r="V101" s="206"/>
      <c r="W101" s="206"/>
      <c r="X101" s="206"/>
      <c r="Y101" s="209" t="n">
        <f aca="false">SUBTOTAL(9,U103:X103)</f>
        <v>1</v>
      </c>
      <c r="Z101" s="210"/>
      <c r="AA101" s="206"/>
      <c r="AB101" s="211" t="n">
        <f aca="false">SUBTOTAL(9,AA103:AA103)</f>
        <v>0</v>
      </c>
      <c r="AC101" s="212" t="s">
        <v>267</v>
      </c>
      <c r="AD101" s="206"/>
      <c r="AE101" s="206"/>
      <c r="AF101" s="211" t="n">
        <f aca="false">SUBTOTAL(9,AC103:AE103)</f>
        <v>1</v>
      </c>
      <c r="AG101" s="207" t="n">
        <f aca="false">SUBTOTAL(9,AA103:AE103)</f>
        <v>1</v>
      </c>
      <c r="AH101" s="208"/>
      <c r="AI101" s="237"/>
      <c r="AJ101" s="237"/>
      <c r="AK101" s="214"/>
      <c r="AL101" s="215" t="s">
        <v>267</v>
      </c>
      <c r="AM101" s="206"/>
      <c r="AN101" s="206"/>
      <c r="AO101" s="206"/>
      <c r="AP101" s="206"/>
      <c r="AQ101" s="206"/>
      <c r="AR101" s="206"/>
      <c r="AS101" s="206"/>
      <c r="AT101" s="206"/>
      <c r="AU101" s="207" t="n">
        <f aca="false">SUBTOTAL(9,AL103:AT103)</f>
        <v>1</v>
      </c>
      <c r="AV101" s="216"/>
      <c r="AW101" s="215" t="s">
        <v>267</v>
      </c>
      <c r="AX101" s="207" t="n">
        <f aca="false">SUBTOTAL(3,AW101:AW101)</f>
        <v>1</v>
      </c>
      <c r="AY101" s="217"/>
      <c r="AZ101" s="213"/>
      <c r="BA101" s="213"/>
      <c r="BB101" s="218"/>
      <c r="BC101" s="220"/>
      <c r="BD101" s="220"/>
      <c r="BE101" s="220"/>
      <c r="BF101" s="220"/>
      <c r="BG101" s="220"/>
      <c r="BH101" s="203"/>
      <c r="BI101" s="221"/>
      <c r="BJ101" s="185"/>
    </row>
    <row r="102" customFormat="false" ht="11.25" hidden="false" customHeight="true" outlineLevel="0" collapsed="false">
      <c r="A102" s="186"/>
      <c r="B102" s="222" t="s">
        <v>172</v>
      </c>
      <c r="C102" s="223"/>
      <c r="D102" s="223"/>
      <c r="E102" s="223"/>
      <c r="F102" s="224" t="n">
        <f aca="false">SUBTOTAL(9,C102:E102)</f>
        <v>0</v>
      </c>
      <c r="G102" s="229" t="n">
        <v>20</v>
      </c>
      <c r="H102" s="223"/>
      <c r="I102" s="223"/>
      <c r="J102" s="223"/>
      <c r="K102" s="224" t="n">
        <f aca="false">SUBTOTAL(9,G102:J102)</f>
        <v>20</v>
      </c>
      <c r="L102" s="224" t="n">
        <f aca="false">SUBTOTAL(9,C102:J102)</f>
        <v>20</v>
      </c>
      <c r="M102" s="225" t="n">
        <v>933</v>
      </c>
      <c r="N102" s="223"/>
      <c r="O102" s="226" t="n">
        <f aca="false">SUBTOTAL(9,N102:N102)</f>
        <v>0</v>
      </c>
      <c r="P102" s="227" t="n">
        <f aca="false">O102+IF($B98=2,0,P98)</f>
        <v>25.2</v>
      </c>
      <c r="Q102" s="223"/>
      <c r="R102" s="223"/>
      <c r="S102" s="226" t="n">
        <f aca="false">SUBTOTAL(9,Q102:R102)</f>
        <v>0</v>
      </c>
      <c r="T102" s="227" t="n">
        <f aca="false">S102+IF($B98=2,0,T98)</f>
        <v>220</v>
      </c>
      <c r="U102" s="229" t="n">
        <v>3</v>
      </c>
      <c r="V102" s="223"/>
      <c r="W102" s="223"/>
      <c r="X102" s="223"/>
      <c r="Y102" s="226" t="n">
        <f aca="false">SUBTOTAL(9,U102:X102)</f>
        <v>3</v>
      </c>
      <c r="Z102" s="227" t="n">
        <f aca="false">Y102+IF($B98=2,0,Z98)</f>
        <v>133</v>
      </c>
      <c r="AA102" s="223"/>
      <c r="AB102" s="228" t="n">
        <f aca="false">SUBTOTAL(9,AA102:AA102)</f>
        <v>0</v>
      </c>
      <c r="AC102" s="229" t="n">
        <v>2.5</v>
      </c>
      <c r="AD102" s="223"/>
      <c r="AE102" s="223"/>
      <c r="AF102" s="228" t="n">
        <f aca="false">SUBTOTAL(9,AC102:AE102)</f>
        <v>2.5</v>
      </c>
      <c r="AG102" s="224" t="n">
        <f aca="false">SUBTOTAL(9,AA102:AE102)</f>
        <v>2.5</v>
      </c>
      <c r="AH102" s="225" t="n">
        <f aca="false">AG102+IF($B98=2,0,AH98)</f>
        <v>301.841</v>
      </c>
      <c r="AI102" s="238"/>
      <c r="AJ102" s="238"/>
      <c r="AK102" s="231" t="n">
        <v>1150</v>
      </c>
      <c r="AL102" s="232" t="n">
        <v>2.5</v>
      </c>
      <c r="AM102" s="223"/>
      <c r="AN102" s="223"/>
      <c r="AO102" s="223"/>
      <c r="AP102" s="223"/>
      <c r="AQ102" s="223"/>
      <c r="AR102" s="223"/>
      <c r="AS102" s="223"/>
      <c r="AT102" s="223"/>
      <c r="AU102" s="224" t="n">
        <f aca="false">SUBTOTAL(9,AL102:AT102)</f>
        <v>2.5</v>
      </c>
      <c r="AV102" s="228" t="n">
        <f aca="false">AU102+IF($B98=2,0,AV98)</f>
        <v>593.5535555556</v>
      </c>
      <c r="AW102" s="232" t="n">
        <v>2.5</v>
      </c>
      <c r="AX102" s="224" t="n">
        <f aca="false">SUBTOTAL(9,AW102:AW102)</f>
        <v>2.5</v>
      </c>
      <c r="AY102" s="224" t="n">
        <f aca="false">AX102+IF($B98=2,0,AY98)</f>
        <v>21.1</v>
      </c>
      <c r="AZ102" s="230" t="n">
        <v>18.4</v>
      </c>
      <c r="BA102" s="230" t="n">
        <v>18.4</v>
      </c>
      <c r="BB102" s="233" t="n">
        <f aca="false">SUMIF($C$5:BA$5,"Накопленный эффект, т/сут",$C102:BA102)+SUMIF($C$5:BA$5,"Нараст.  по потенциалу",$C102:BA102)-SUMIF($C$5:BA$5,"Нараст. по остановкам",$C102:BA102)-SUMIF($C$5:BA$5,"ИТОГО перевод в ППД",$C102:BA102)-SUMIF($C$5:BA$5,"ИТОГО  нерент, по распоряж.",$C102:BA102)-SUMIF($C$5:BA$5,"ИТОГО ост. дебит от ЗБС, Углуб., ПВЛГ/ПНЛГ",$C102:BA102)</f>
        <v>998.3874444444</v>
      </c>
      <c r="BC102" s="224" t="n">
        <v>9.1</v>
      </c>
      <c r="BD102" s="224" t="n">
        <v>106.62328994523</v>
      </c>
      <c r="BE102" s="224" t="n">
        <v>118.360834202289</v>
      </c>
      <c r="BF102" s="224" t="n">
        <v>4.01034701088605</v>
      </c>
      <c r="BG102" s="224" t="n">
        <f aca="false">SUBTOTAL(9,BC102:BF102)</f>
        <v>238.094471158405</v>
      </c>
      <c r="BH102" s="203"/>
      <c r="BI102" s="235" t="n">
        <f aca="false">BI$4+SUMIF($C$5:BG$5,"Нараст. по остановкам",$C102:BG102)-SUMIF($C$5:BG$5,"Нараст.  по потенциалу",$C102:BG102)</f>
        <v>865.494704742539</v>
      </c>
      <c r="BJ102" s="185"/>
    </row>
    <row r="103" customFormat="false" ht="1.5" hidden="false" customHeight="true" outlineLevel="0" collapsed="false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 t="n">
        <v>1</v>
      </c>
      <c r="V103" s="151"/>
      <c r="W103" s="151"/>
      <c r="X103" s="151"/>
      <c r="Y103" s="151"/>
      <c r="Z103" s="151"/>
      <c r="AA103" s="151"/>
      <c r="AB103" s="151"/>
      <c r="AC103" s="151" t="n">
        <v>1</v>
      </c>
      <c r="AD103" s="151"/>
      <c r="AE103" s="151"/>
      <c r="AF103" s="151"/>
      <c r="AG103" s="151"/>
      <c r="AH103" s="151"/>
      <c r="AI103" s="151"/>
      <c r="AJ103" s="151"/>
      <c r="AK103" s="151"/>
      <c r="AL103" s="151" t="n">
        <v>1</v>
      </c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85"/>
    </row>
    <row r="104" customFormat="false" ht="11.25" hidden="false" customHeight="true" outlineLevel="0" collapsed="false">
      <c r="A104" s="186" t="n">
        <v>45315</v>
      </c>
      <c r="B104" s="187" t="s">
        <v>173</v>
      </c>
      <c r="C104" s="188"/>
      <c r="D104" s="188"/>
      <c r="E104" s="188"/>
      <c r="F104" s="189" t="n">
        <v>730</v>
      </c>
      <c r="G104" s="194" t="s">
        <v>181</v>
      </c>
      <c r="H104" s="194" t="s">
        <v>175</v>
      </c>
      <c r="I104" s="188"/>
      <c r="J104" s="188"/>
      <c r="K104" s="189" t="n">
        <v>240</v>
      </c>
      <c r="L104" s="189" t="n">
        <v>970</v>
      </c>
      <c r="M104" s="190"/>
      <c r="N104" s="188"/>
      <c r="O104" s="191"/>
      <c r="P104" s="192"/>
      <c r="Q104" s="188"/>
      <c r="R104" s="188"/>
      <c r="S104" s="191"/>
      <c r="T104" s="192"/>
      <c r="U104" s="194" t="s">
        <v>177</v>
      </c>
      <c r="V104" s="194" t="s">
        <v>268</v>
      </c>
      <c r="W104" s="188"/>
      <c r="X104" s="188"/>
      <c r="Y104" s="191"/>
      <c r="Z104" s="192"/>
      <c r="AA104" s="188"/>
      <c r="AB104" s="193" t="n">
        <v>54.7</v>
      </c>
      <c r="AC104" s="194" t="s">
        <v>177</v>
      </c>
      <c r="AD104" s="194"/>
      <c r="AE104" s="188"/>
      <c r="AF104" s="193" t="n">
        <v>256.341</v>
      </c>
      <c r="AG104" s="189" t="n">
        <v>311.041</v>
      </c>
      <c r="AH104" s="190"/>
      <c r="AI104" s="236"/>
      <c r="AJ104" s="236"/>
      <c r="AK104" s="196"/>
      <c r="AL104" s="197" t="s">
        <v>177</v>
      </c>
      <c r="AM104" s="197"/>
      <c r="AN104" s="188"/>
      <c r="AO104" s="188"/>
      <c r="AP104" s="188"/>
      <c r="AQ104" s="188"/>
      <c r="AR104" s="188"/>
      <c r="AS104" s="188"/>
      <c r="AT104" s="188"/>
      <c r="AU104" s="198"/>
      <c r="AV104" s="199"/>
      <c r="AW104" s="188"/>
      <c r="AX104" s="198"/>
      <c r="AY104" s="198"/>
      <c r="AZ104" s="195"/>
      <c r="BA104" s="195"/>
      <c r="BB104" s="200"/>
      <c r="BC104" s="202"/>
      <c r="BD104" s="202"/>
      <c r="BE104" s="202"/>
      <c r="BF104" s="202"/>
      <c r="BG104" s="202"/>
      <c r="BH104" s="203" t="n">
        <f aca="false">BH$4+SUMIF($C$5:BG$5,"Нараст. баланс",$C106:BG106)+SUMIF($C$7:BE$7,"Итого (с ВНР)",$C106:BE106)-SUMIF($C$5:BG$5,"Геол. снижение,  т/сут",$C106:BG106)-SUMIF(BF$7:BG$7,"Итого",BF106:BG106)-SUMIF($C$7:BG$7,"Итого (с ВСП)",$C106:BG106)</f>
        <v>30848.8835575209</v>
      </c>
      <c r="BI104" s="204"/>
      <c r="BJ104" s="185"/>
    </row>
    <row r="105" customFormat="false" ht="11.25" hidden="false" customHeight="true" outlineLevel="0" collapsed="false">
      <c r="A105" s="186"/>
      <c r="B105" s="205" t="s">
        <v>174</v>
      </c>
      <c r="C105" s="206"/>
      <c r="D105" s="206"/>
      <c r="E105" s="206"/>
      <c r="F105" s="207" t="n">
        <v>0</v>
      </c>
      <c r="G105" s="212" t="s">
        <v>269</v>
      </c>
      <c r="H105" s="212" t="s">
        <v>270</v>
      </c>
      <c r="I105" s="206"/>
      <c r="J105" s="206"/>
      <c r="K105" s="207" t="n">
        <v>2</v>
      </c>
      <c r="L105" s="207" t="n">
        <v>2</v>
      </c>
      <c r="M105" s="208"/>
      <c r="N105" s="206"/>
      <c r="O105" s="209" t="n">
        <f aca="false">SUBTOTAL(9,N107:N107)</f>
        <v>0</v>
      </c>
      <c r="P105" s="210"/>
      <c r="Q105" s="206"/>
      <c r="R105" s="206"/>
      <c r="S105" s="209" t="n">
        <f aca="false">SUBTOTAL(9,Q107:R107)</f>
        <v>0</v>
      </c>
      <c r="T105" s="210"/>
      <c r="U105" s="212" t="s">
        <v>271</v>
      </c>
      <c r="V105" s="212" t="s">
        <v>272</v>
      </c>
      <c r="W105" s="206"/>
      <c r="X105" s="206"/>
      <c r="Y105" s="209" t="n">
        <f aca="false">SUBTOTAL(9,U107:X107)</f>
        <v>2</v>
      </c>
      <c r="Z105" s="210"/>
      <c r="AA105" s="206"/>
      <c r="AB105" s="211" t="n">
        <f aca="false">SUBTOTAL(9,AA107:AA107)</f>
        <v>0</v>
      </c>
      <c r="AC105" s="212" t="s">
        <v>246</v>
      </c>
      <c r="AD105" s="212"/>
      <c r="AE105" s="206"/>
      <c r="AF105" s="211" t="n">
        <f aca="false">SUBTOTAL(9,AC107:AE107)</f>
        <v>1</v>
      </c>
      <c r="AG105" s="207" t="n">
        <f aca="false">SUBTOTAL(9,AA107:AE107)</f>
        <v>1</v>
      </c>
      <c r="AH105" s="208"/>
      <c r="AI105" s="237"/>
      <c r="AJ105" s="237"/>
      <c r="AK105" s="214"/>
      <c r="AL105" s="215" t="s">
        <v>273</v>
      </c>
      <c r="AM105" s="215"/>
      <c r="AN105" s="206"/>
      <c r="AO105" s="206"/>
      <c r="AP105" s="206"/>
      <c r="AQ105" s="206"/>
      <c r="AR105" s="206"/>
      <c r="AS105" s="206"/>
      <c r="AT105" s="206"/>
      <c r="AU105" s="207" t="n">
        <f aca="false">SUBTOTAL(9,AL107:AT107)</f>
        <v>1</v>
      </c>
      <c r="AV105" s="216"/>
      <c r="AW105" s="206"/>
      <c r="AX105" s="207" t="n">
        <f aca="false">SUBTOTAL(3,AW105:AW105)</f>
        <v>0</v>
      </c>
      <c r="AY105" s="217"/>
      <c r="AZ105" s="213"/>
      <c r="BA105" s="213"/>
      <c r="BB105" s="218"/>
      <c r="BC105" s="220"/>
      <c r="BD105" s="220"/>
      <c r="BE105" s="220"/>
      <c r="BF105" s="220"/>
      <c r="BG105" s="220"/>
      <c r="BH105" s="203"/>
      <c r="BI105" s="221"/>
      <c r="BJ105" s="185"/>
    </row>
    <row r="106" customFormat="false" ht="11.25" hidden="false" customHeight="true" outlineLevel="0" collapsed="false">
      <c r="A106" s="186"/>
      <c r="B106" s="222" t="s">
        <v>172</v>
      </c>
      <c r="C106" s="223"/>
      <c r="D106" s="223"/>
      <c r="E106" s="223"/>
      <c r="F106" s="224" t="n">
        <f aca="false">SUBTOTAL(9,C106:E106)</f>
        <v>0</v>
      </c>
      <c r="G106" s="229" t="n">
        <v>18</v>
      </c>
      <c r="H106" s="229" t="n">
        <v>19</v>
      </c>
      <c r="I106" s="223"/>
      <c r="J106" s="223"/>
      <c r="K106" s="224" t="n">
        <f aca="false">SUBTOTAL(9,G106:J106)</f>
        <v>37</v>
      </c>
      <c r="L106" s="224" t="n">
        <f aca="false">SUBTOTAL(9,C106:J106)</f>
        <v>37</v>
      </c>
      <c r="M106" s="225" t="n">
        <v>970</v>
      </c>
      <c r="N106" s="223"/>
      <c r="O106" s="226" t="n">
        <f aca="false">SUBTOTAL(9,N106:N106)</f>
        <v>0</v>
      </c>
      <c r="P106" s="227" t="n">
        <f aca="false">O106+IF($B102=2,0,P102)</f>
        <v>25.2</v>
      </c>
      <c r="Q106" s="223"/>
      <c r="R106" s="223"/>
      <c r="S106" s="226" t="n">
        <f aca="false">SUBTOTAL(9,Q106:R106)</f>
        <v>0</v>
      </c>
      <c r="T106" s="227" t="n">
        <f aca="false">S106+IF($B102=2,0,T102)</f>
        <v>220</v>
      </c>
      <c r="U106" s="229" t="n">
        <v>7</v>
      </c>
      <c r="V106" s="229" t="n">
        <v>5</v>
      </c>
      <c r="W106" s="223"/>
      <c r="X106" s="223"/>
      <c r="Y106" s="226" t="n">
        <f aca="false">SUBTOTAL(9,U106:X106)</f>
        <v>12</v>
      </c>
      <c r="Z106" s="227" t="n">
        <f aca="false">Y106+IF($B102=2,0,Z102)</f>
        <v>145</v>
      </c>
      <c r="AA106" s="223"/>
      <c r="AB106" s="228" t="n">
        <f aca="false">SUBTOTAL(9,AA106:AA106)</f>
        <v>0</v>
      </c>
      <c r="AC106" s="229" t="n">
        <v>3.3</v>
      </c>
      <c r="AD106" s="229" t="n">
        <v>5.9</v>
      </c>
      <c r="AE106" s="223"/>
      <c r="AF106" s="228" t="n">
        <f aca="false">SUBTOTAL(9,AC106:AE106)</f>
        <v>9.2</v>
      </c>
      <c r="AG106" s="224" t="n">
        <f aca="false">SUBTOTAL(9,AA106:AE106)</f>
        <v>9.2</v>
      </c>
      <c r="AH106" s="225" t="n">
        <f aca="false">AG106+IF($B102=2,0,AH102)</f>
        <v>311.041</v>
      </c>
      <c r="AI106" s="238"/>
      <c r="AJ106" s="238"/>
      <c r="AK106" s="231" t="n">
        <v>1200</v>
      </c>
      <c r="AL106" s="232" t="n">
        <v>2.2</v>
      </c>
      <c r="AM106" s="232" t="n">
        <v>6.9</v>
      </c>
      <c r="AN106" s="223"/>
      <c r="AO106" s="223"/>
      <c r="AP106" s="223"/>
      <c r="AQ106" s="223"/>
      <c r="AR106" s="223"/>
      <c r="AS106" s="223"/>
      <c r="AT106" s="223"/>
      <c r="AU106" s="224" t="n">
        <f aca="false">SUBTOTAL(9,AL106:AT106)</f>
        <v>9.1</v>
      </c>
      <c r="AV106" s="228" t="n">
        <f aca="false">AU106+IF($B102=2,0,AV102)</f>
        <v>602.6535555556</v>
      </c>
      <c r="AW106" s="223"/>
      <c r="AX106" s="224" t="n">
        <f aca="false">SUBTOTAL(9,AW106:AW106)</f>
        <v>0</v>
      </c>
      <c r="AY106" s="224" t="n">
        <f aca="false">AX106+IF($B102=2,0,AY102)</f>
        <v>21.1</v>
      </c>
      <c r="AZ106" s="230" t="n">
        <v>7.4</v>
      </c>
      <c r="BA106" s="230" t="n">
        <v>7.4</v>
      </c>
      <c r="BB106" s="233" t="n">
        <f aca="false">SUMIF($C$5:BA$5,"Накопленный эффект, т/сут",$C106:BA106)+SUMIF($C$5:BA$5,"Нараст.  по потенциалу",$C106:BA106)-SUMIF($C$5:BA$5,"Нараст. по остановкам",$C106:BA106)-SUMIF($C$5:BA$5,"ИТОГО перевод в ППД",$C106:BA106)-SUMIF($C$5:BA$5,"ИТОГО  нерент, по распоряж.",$C106:BA106)-SUMIF($C$5:BA$5,"ИТОГО ост. дебит от ЗБС, Углуб., ПВЛГ/ПНЛГ",$C106:BA106)</f>
        <v>1047.4874444444</v>
      </c>
      <c r="BC106" s="224" t="n">
        <v>6.7</v>
      </c>
      <c r="BD106" s="224" t="n">
        <v>92.8309257339764</v>
      </c>
      <c r="BE106" s="224" t="n">
        <v>42.1791021302709</v>
      </c>
      <c r="BF106" s="224" t="n">
        <v>0.451859059253633</v>
      </c>
      <c r="BG106" s="224" t="n">
        <f aca="false">SUBTOTAL(9,BC106:BF106)</f>
        <v>142.161886923501</v>
      </c>
      <c r="BH106" s="203"/>
      <c r="BI106" s="235" t="n">
        <f aca="false">BI$4+SUMIF($C$5:BG$5,"Нараст. по остановкам",$C106:BG106)-SUMIF($C$5:BG$5,"Нараст.  по потенциалу",$C106:BG106)</f>
        <v>865.394704742539</v>
      </c>
      <c r="BJ106" s="185"/>
    </row>
    <row r="107" customFormat="false" ht="1.5" hidden="false" customHeight="true" outlineLevel="0" collapsed="false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 t="n">
        <v>1</v>
      </c>
      <c r="V107" s="151" t="n">
        <v>1</v>
      </c>
      <c r="W107" s="151"/>
      <c r="X107" s="151"/>
      <c r="Y107" s="151"/>
      <c r="Z107" s="151"/>
      <c r="AA107" s="151"/>
      <c r="AB107" s="151"/>
      <c r="AC107" s="151" t="n">
        <v>1</v>
      </c>
      <c r="AD107" s="151"/>
      <c r="AE107" s="151"/>
      <c r="AF107" s="151"/>
      <c r="AG107" s="151"/>
      <c r="AH107" s="151"/>
      <c r="AI107" s="151"/>
      <c r="AJ107" s="151"/>
      <c r="AK107" s="151"/>
      <c r="AL107" s="151" t="n">
        <v>1</v>
      </c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85"/>
    </row>
    <row r="108" customFormat="false" ht="11.25" hidden="false" customHeight="true" outlineLevel="0" collapsed="false">
      <c r="A108" s="186" t="n">
        <v>45316</v>
      </c>
      <c r="B108" s="187" t="s">
        <v>173</v>
      </c>
      <c r="C108" s="194" t="s">
        <v>181</v>
      </c>
      <c r="D108" s="194" t="s">
        <v>190</v>
      </c>
      <c r="E108" s="194" t="s">
        <v>191</v>
      </c>
      <c r="F108" s="189" t="n">
        <v>810</v>
      </c>
      <c r="G108" s="194" t="s">
        <v>175</v>
      </c>
      <c r="H108" s="188"/>
      <c r="I108" s="188"/>
      <c r="J108" s="188"/>
      <c r="K108" s="189" t="n">
        <v>261</v>
      </c>
      <c r="L108" s="189" t="n">
        <v>1071</v>
      </c>
      <c r="M108" s="190"/>
      <c r="N108" s="194" t="s">
        <v>181</v>
      </c>
      <c r="O108" s="191"/>
      <c r="P108" s="192"/>
      <c r="Q108" s="188"/>
      <c r="R108" s="188"/>
      <c r="S108" s="191"/>
      <c r="T108" s="192"/>
      <c r="U108" s="194" t="s">
        <v>184</v>
      </c>
      <c r="V108" s="194" t="s">
        <v>175</v>
      </c>
      <c r="W108" s="188"/>
      <c r="X108" s="188"/>
      <c r="Y108" s="191"/>
      <c r="Z108" s="192"/>
      <c r="AA108" s="194" t="s">
        <v>181</v>
      </c>
      <c r="AB108" s="193" t="n">
        <v>58.3</v>
      </c>
      <c r="AC108" s="194" t="s">
        <v>177</v>
      </c>
      <c r="AD108" s="188"/>
      <c r="AE108" s="188"/>
      <c r="AF108" s="193" t="n">
        <v>258.041</v>
      </c>
      <c r="AG108" s="189" t="n">
        <v>316.341</v>
      </c>
      <c r="AH108" s="190"/>
      <c r="AI108" s="195"/>
      <c r="AJ108" s="195"/>
      <c r="AK108" s="196"/>
      <c r="AL108" s="197"/>
      <c r="AM108" s="188"/>
      <c r="AN108" s="188"/>
      <c r="AO108" s="188"/>
      <c r="AP108" s="188"/>
      <c r="AQ108" s="188"/>
      <c r="AR108" s="188"/>
      <c r="AS108" s="188"/>
      <c r="AT108" s="188"/>
      <c r="AU108" s="198"/>
      <c r="AV108" s="199"/>
      <c r="AW108" s="188"/>
      <c r="AX108" s="198"/>
      <c r="AY108" s="198"/>
      <c r="AZ108" s="195"/>
      <c r="BA108" s="195"/>
      <c r="BB108" s="200"/>
      <c r="BC108" s="202"/>
      <c r="BD108" s="202"/>
      <c r="BE108" s="202"/>
      <c r="BF108" s="202"/>
      <c r="BG108" s="202"/>
      <c r="BH108" s="203" t="n">
        <f aca="false">BH$4+SUMIF($C$5:BG$5,"Нараст. баланс",$C110:BG110)+SUMIF($C$7:BE$7,"Итого (с ВНР)",$C110:BE110)-SUMIF($C$5:BG$5,"Геол. снижение,  т/сут",$C110:BG110)-SUMIF(BF$7:BG$7,"Итого",BF110:BG110)-SUMIF($C$7:BG$7,"Итого (с ВСП)",$C110:BG110)</f>
        <v>31012.7029950778</v>
      </c>
      <c r="BI108" s="204"/>
      <c r="BJ108" s="185"/>
    </row>
    <row r="109" customFormat="false" ht="11.25" hidden="false" customHeight="true" outlineLevel="0" collapsed="false">
      <c r="A109" s="186"/>
      <c r="B109" s="205" t="s">
        <v>174</v>
      </c>
      <c r="C109" s="212" t="s">
        <v>274</v>
      </c>
      <c r="D109" s="212" t="s">
        <v>275</v>
      </c>
      <c r="E109" s="212" t="s">
        <v>276</v>
      </c>
      <c r="F109" s="207" t="n">
        <v>3</v>
      </c>
      <c r="G109" s="212" t="s">
        <v>277</v>
      </c>
      <c r="H109" s="206"/>
      <c r="I109" s="206"/>
      <c r="J109" s="206"/>
      <c r="K109" s="207" t="n">
        <v>1</v>
      </c>
      <c r="L109" s="207" t="n">
        <v>4</v>
      </c>
      <c r="M109" s="208"/>
      <c r="N109" s="212" t="s">
        <v>253</v>
      </c>
      <c r="O109" s="209" t="n">
        <f aca="false">SUBTOTAL(9,N111:N111)</f>
        <v>1</v>
      </c>
      <c r="P109" s="210"/>
      <c r="Q109" s="206"/>
      <c r="R109" s="206"/>
      <c r="S109" s="209" t="n">
        <f aca="false">SUBTOTAL(9,Q111:R111)</f>
        <v>0</v>
      </c>
      <c r="T109" s="210"/>
      <c r="U109" s="212" t="s">
        <v>278</v>
      </c>
      <c r="V109" s="212" t="s">
        <v>279</v>
      </c>
      <c r="W109" s="206"/>
      <c r="X109" s="206"/>
      <c r="Y109" s="209" t="n">
        <f aca="false">SUBTOTAL(9,U111:X111)</f>
        <v>2</v>
      </c>
      <c r="Z109" s="210"/>
      <c r="AA109" s="212" t="s">
        <v>253</v>
      </c>
      <c r="AB109" s="211" t="n">
        <f aca="false">SUBTOTAL(9,AA111:AA111)</f>
        <v>1</v>
      </c>
      <c r="AC109" s="212" t="s">
        <v>248</v>
      </c>
      <c r="AD109" s="206"/>
      <c r="AE109" s="206"/>
      <c r="AF109" s="211" t="n">
        <f aca="false">SUBTOTAL(9,AC111:AE111)</f>
        <v>1</v>
      </c>
      <c r="AG109" s="207" t="n">
        <f aca="false">SUBTOTAL(9,AA111:AE111)</f>
        <v>2</v>
      </c>
      <c r="AH109" s="208"/>
      <c r="AI109" s="213"/>
      <c r="AJ109" s="213"/>
      <c r="AK109" s="214"/>
      <c r="AL109" s="215"/>
      <c r="AM109" s="206"/>
      <c r="AN109" s="206"/>
      <c r="AO109" s="206"/>
      <c r="AP109" s="206"/>
      <c r="AQ109" s="206"/>
      <c r="AR109" s="206"/>
      <c r="AS109" s="206"/>
      <c r="AT109" s="206"/>
      <c r="AU109" s="207" t="n">
        <f aca="false">SUBTOTAL(9,AL111:AT111)</f>
        <v>0</v>
      </c>
      <c r="AV109" s="216"/>
      <c r="AW109" s="206"/>
      <c r="AX109" s="207" t="n">
        <f aca="false">SUBTOTAL(3,AW109:AW109)</f>
        <v>0</v>
      </c>
      <c r="AY109" s="217"/>
      <c r="AZ109" s="213"/>
      <c r="BA109" s="213"/>
      <c r="BB109" s="218"/>
      <c r="BC109" s="220"/>
      <c r="BD109" s="220"/>
      <c r="BE109" s="220"/>
      <c r="BF109" s="220"/>
      <c r="BG109" s="220"/>
      <c r="BH109" s="203"/>
      <c r="BI109" s="221"/>
      <c r="BJ109" s="185"/>
    </row>
    <row r="110" customFormat="false" ht="11.25" hidden="false" customHeight="true" outlineLevel="0" collapsed="false">
      <c r="A110" s="186"/>
      <c r="B110" s="222" t="s">
        <v>172</v>
      </c>
      <c r="C110" s="229" t="n">
        <v>30</v>
      </c>
      <c r="D110" s="229" t="n">
        <v>30</v>
      </c>
      <c r="E110" s="229" t="n">
        <v>20</v>
      </c>
      <c r="F110" s="224" t="n">
        <f aca="false">SUBTOTAL(9,C110:E110)</f>
        <v>80</v>
      </c>
      <c r="G110" s="229" t="n">
        <v>21</v>
      </c>
      <c r="H110" s="223"/>
      <c r="I110" s="223"/>
      <c r="J110" s="223"/>
      <c r="K110" s="224" t="n">
        <f aca="false">SUBTOTAL(9,G110:J110)</f>
        <v>21</v>
      </c>
      <c r="L110" s="224" t="n">
        <f aca="false">SUBTOTAL(9,C110:J110)</f>
        <v>101</v>
      </c>
      <c r="M110" s="225" t="n">
        <v>1071</v>
      </c>
      <c r="N110" s="229" t="n">
        <v>5.9</v>
      </c>
      <c r="O110" s="226" t="n">
        <f aca="false">SUBTOTAL(9,N110:N110)</f>
        <v>5.9</v>
      </c>
      <c r="P110" s="227" t="n">
        <f aca="false">O110+IF($B106=2,0,P106)</f>
        <v>31.1</v>
      </c>
      <c r="Q110" s="223"/>
      <c r="R110" s="223"/>
      <c r="S110" s="226" t="n">
        <f aca="false">SUBTOTAL(9,Q110:R110)</f>
        <v>0</v>
      </c>
      <c r="T110" s="227" t="n">
        <f aca="false">S110+IF($B106=2,0,T106)</f>
        <v>220</v>
      </c>
      <c r="U110" s="229" t="n">
        <v>12</v>
      </c>
      <c r="V110" s="229" t="n">
        <v>4</v>
      </c>
      <c r="W110" s="223"/>
      <c r="X110" s="223"/>
      <c r="Y110" s="226" t="n">
        <f aca="false">SUBTOTAL(9,U110:X110)</f>
        <v>16</v>
      </c>
      <c r="Z110" s="227" t="n">
        <f aca="false">Y110+IF($B106=2,0,Z106)</f>
        <v>161</v>
      </c>
      <c r="AA110" s="229" t="n">
        <v>3.6</v>
      </c>
      <c r="AB110" s="228" t="n">
        <f aca="false">SUBTOTAL(9,AA110:AA110)</f>
        <v>3.6</v>
      </c>
      <c r="AC110" s="229" t="n">
        <v>1.7</v>
      </c>
      <c r="AD110" s="223"/>
      <c r="AE110" s="223"/>
      <c r="AF110" s="228" t="n">
        <f aca="false">SUBTOTAL(9,AC110:AE110)</f>
        <v>1.7</v>
      </c>
      <c r="AG110" s="224" t="n">
        <f aca="false">SUBTOTAL(9,AA110:AE110)</f>
        <v>5.3</v>
      </c>
      <c r="AH110" s="225" t="n">
        <f aca="false">AG110+IF($B106=2,0,AH106)</f>
        <v>316.341</v>
      </c>
      <c r="AI110" s="230" t="n">
        <v>12</v>
      </c>
      <c r="AJ110" s="230" t="n">
        <v>12</v>
      </c>
      <c r="AK110" s="231" t="n">
        <v>1250</v>
      </c>
      <c r="AL110" s="232" t="n">
        <v>5.3</v>
      </c>
      <c r="AM110" s="223"/>
      <c r="AN110" s="223"/>
      <c r="AO110" s="223"/>
      <c r="AP110" s="223"/>
      <c r="AQ110" s="223"/>
      <c r="AR110" s="223"/>
      <c r="AS110" s="223"/>
      <c r="AT110" s="223"/>
      <c r="AU110" s="224" t="n">
        <f aca="false">SUBTOTAL(9,AL110:AT110)</f>
        <v>5.3</v>
      </c>
      <c r="AV110" s="228" t="n">
        <f aca="false">AU110+IF($B106=2,0,AV106)</f>
        <v>607.9535555556</v>
      </c>
      <c r="AW110" s="223"/>
      <c r="AX110" s="224" t="n">
        <f aca="false">SUBTOTAL(9,AW110:AW110)</f>
        <v>0</v>
      </c>
      <c r="AY110" s="224" t="n">
        <f aca="false">AX110+IF($B106=2,0,AY106)</f>
        <v>21.1</v>
      </c>
      <c r="AZ110" s="230"/>
      <c r="BA110" s="230"/>
      <c r="BB110" s="233" t="n">
        <f aca="false">SUMIF($C$5:BA$5,"Накопленный эффект, т/сут",$C110:BA110)+SUMIF($C$5:BA$5,"Нараст.  по потенциалу",$C110:BA110)-SUMIF($C$5:BA$5,"Нараст. по остановкам",$C110:BA110)-SUMIF($C$5:BA$5,"ИТОГО перевод в ППД",$C110:BA110)-SUMIF($C$5:BA$5,"ИТОГО  нерент, по распоряж.",$C110:BA110)-SUMIF($C$5:BA$5,"ИТОГО ост. дебит от ЗБС, Углуб., ПВЛГ/ПНЛГ",$C110:BA110)</f>
        <v>1170.3874444444</v>
      </c>
      <c r="BC110" s="224" t="n">
        <v>6.7</v>
      </c>
      <c r="BD110" s="224" t="n">
        <v>13.7408828665491</v>
      </c>
      <c r="BE110" s="224" t="n">
        <v>25.7595950070517</v>
      </c>
      <c r="BF110" s="224" t="n">
        <v>24.4419714929786</v>
      </c>
      <c r="BG110" s="224" t="n">
        <f aca="false">SUBTOTAL(9,BC110:BF110)</f>
        <v>70.6424493665794</v>
      </c>
      <c r="BH110" s="203"/>
      <c r="BI110" s="235" t="n">
        <f aca="false">BI$4+SUMIF($C$5:BG$5,"Нараст. по остановкам",$C110:BG110)-SUMIF($C$5:BG$5,"Нараст.  по потенциалу",$C110:BG110)</f>
        <v>865.394704742539</v>
      </c>
      <c r="BJ110" s="185"/>
    </row>
    <row r="111" customFormat="false" ht="1.5" hidden="false" customHeight="true" outlineLevel="0" collapsed="false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 t="n">
        <v>1</v>
      </c>
      <c r="O111" s="151"/>
      <c r="P111" s="151"/>
      <c r="Q111" s="151"/>
      <c r="R111" s="151"/>
      <c r="S111" s="151"/>
      <c r="T111" s="151"/>
      <c r="U111" s="151" t="n">
        <v>1</v>
      </c>
      <c r="V111" s="151" t="n">
        <v>1</v>
      </c>
      <c r="W111" s="151"/>
      <c r="X111" s="151"/>
      <c r="Y111" s="151"/>
      <c r="Z111" s="151"/>
      <c r="AA111" s="151" t="n">
        <v>1</v>
      </c>
      <c r="AB111" s="151"/>
      <c r="AC111" s="151" t="n">
        <v>1</v>
      </c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85"/>
    </row>
    <row r="112" customFormat="false" ht="11.25" hidden="false" customHeight="true" outlineLevel="0" collapsed="false">
      <c r="A112" s="186" t="n">
        <v>45317</v>
      </c>
      <c r="B112" s="187" t="s">
        <v>173</v>
      </c>
      <c r="C112" s="188"/>
      <c r="D112" s="188"/>
      <c r="E112" s="188"/>
      <c r="F112" s="189" t="n">
        <v>810</v>
      </c>
      <c r="G112" s="194" t="s">
        <v>175</v>
      </c>
      <c r="H112" s="188"/>
      <c r="I112" s="188"/>
      <c r="J112" s="188"/>
      <c r="K112" s="189" t="n">
        <v>281</v>
      </c>
      <c r="L112" s="189" t="n">
        <v>1091</v>
      </c>
      <c r="M112" s="190"/>
      <c r="N112" s="188"/>
      <c r="O112" s="191"/>
      <c r="P112" s="192"/>
      <c r="Q112" s="188"/>
      <c r="R112" s="188"/>
      <c r="S112" s="191"/>
      <c r="T112" s="192"/>
      <c r="U112" s="194" t="s">
        <v>190</v>
      </c>
      <c r="V112" s="188"/>
      <c r="W112" s="188"/>
      <c r="X112" s="188"/>
      <c r="Y112" s="191"/>
      <c r="Z112" s="192"/>
      <c r="AA112" s="188"/>
      <c r="AB112" s="193" t="n">
        <v>58.3</v>
      </c>
      <c r="AC112" s="194"/>
      <c r="AD112" s="188"/>
      <c r="AE112" s="188"/>
      <c r="AF112" s="193" t="n">
        <v>274.641</v>
      </c>
      <c r="AG112" s="189" t="n">
        <v>332.941</v>
      </c>
      <c r="AH112" s="190"/>
      <c r="AI112" s="195"/>
      <c r="AJ112" s="195"/>
      <c r="AK112" s="196"/>
      <c r="AL112" s="197"/>
      <c r="AM112" s="188"/>
      <c r="AN112" s="188"/>
      <c r="AO112" s="188"/>
      <c r="AP112" s="188"/>
      <c r="AQ112" s="188"/>
      <c r="AR112" s="188"/>
      <c r="AS112" s="188"/>
      <c r="AT112" s="188"/>
      <c r="AU112" s="198"/>
      <c r="AV112" s="199"/>
      <c r="AW112" s="188"/>
      <c r="AX112" s="198"/>
      <c r="AY112" s="198"/>
      <c r="AZ112" s="195"/>
      <c r="BA112" s="195"/>
      <c r="BB112" s="200"/>
      <c r="BC112" s="202"/>
      <c r="BD112" s="202"/>
      <c r="BE112" s="202"/>
      <c r="BF112" s="202"/>
      <c r="BG112" s="202"/>
      <c r="BH112" s="203" t="n">
        <f aca="false">BH$4+SUMIF($C$5:BG$5,"Нараст. баланс",$C114:BG114)+SUMIF($C$7:BE$7,"Итого (с ВНР)",$C114:BE114)-SUMIF($C$5:BG$5,"Геол. снижение,  т/сут",$C114:BG114)-SUMIF(BF$7:BG$7,"Итого",BF114:BG114)-SUMIF($C$7:BG$7,"Итого (с ВСП)",$C114:BG114)</f>
        <v>31017.4247461456</v>
      </c>
      <c r="BI112" s="204"/>
      <c r="BJ112" s="185"/>
    </row>
    <row r="113" customFormat="false" ht="11.25" hidden="false" customHeight="true" outlineLevel="0" collapsed="false">
      <c r="A113" s="186"/>
      <c r="B113" s="205" t="s">
        <v>174</v>
      </c>
      <c r="C113" s="206"/>
      <c r="D113" s="206"/>
      <c r="E113" s="206"/>
      <c r="F113" s="207" t="n">
        <v>0</v>
      </c>
      <c r="G113" s="212" t="s">
        <v>280</v>
      </c>
      <c r="H113" s="206"/>
      <c r="I113" s="206"/>
      <c r="J113" s="206"/>
      <c r="K113" s="207" t="n">
        <v>1</v>
      </c>
      <c r="L113" s="207" t="n">
        <v>1</v>
      </c>
      <c r="M113" s="208"/>
      <c r="N113" s="206"/>
      <c r="O113" s="209" t="n">
        <f aca="false">SUBTOTAL(9,N115:N115)</f>
        <v>0</v>
      </c>
      <c r="P113" s="210"/>
      <c r="Q113" s="206"/>
      <c r="R113" s="206"/>
      <c r="S113" s="209" t="n">
        <f aca="false">SUBTOTAL(9,Q115:R115)</f>
        <v>0</v>
      </c>
      <c r="T113" s="210"/>
      <c r="U113" s="212" t="s">
        <v>281</v>
      </c>
      <c r="V113" s="206"/>
      <c r="W113" s="206"/>
      <c r="X113" s="206"/>
      <c r="Y113" s="209" t="n">
        <f aca="false">SUBTOTAL(9,U115:X115)</f>
        <v>1</v>
      </c>
      <c r="Z113" s="210"/>
      <c r="AA113" s="206"/>
      <c r="AB113" s="211" t="n">
        <f aca="false">SUBTOTAL(9,AA115:AA115)</f>
        <v>0</v>
      </c>
      <c r="AC113" s="212"/>
      <c r="AD113" s="206"/>
      <c r="AE113" s="206"/>
      <c r="AF113" s="211" t="n">
        <f aca="false">SUBTOTAL(9,AC115:AE115)</f>
        <v>0</v>
      </c>
      <c r="AG113" s="207" t="n">
        <f aca="false">SUBTOTAL(9,AA115:AE115)</f>
        <v>0</v>
      </c>
      <c r="AH113" s="208"/>
      <c r="AI113" s="213"/>
      <c r="AJ113" s="213"/>
      <c r="AK113" s="214"/>
      <c r="AL113" s="215"/>
      <c r="AM113" s="206"/>
      <c r="AN113" s="206"/>
      <c r="AO113" s="206"/>
      <c r="AP113" s="206"/>
      <c r="AQ113" s="206"/>
      <c r="AR113" s="206"/>
      <c r="AS113" s="206"/>
      <c r="AT113" s="206"/>
      <c r="AU113" s="207" t="n">
        <f aca="false">SUBTOTAL(9,AL115:AT115)</f>
        <v>0</v>
      </c>
      <c r="AV113" s="216"/>
      <c r="AW113" s="206"/>
      <c r="AX113" s="207" t="n">
        <f aca="false">SUBTOTAL(3,AW113:AW113)</f>
        <v>0</v>
      </c>
      <c r="AY113" s="217"/>
      <c r="AZ113" s="213"/>
      <c r="BA113" s="213"/>
      <c r="BB113" s="218"/>
      <c r="BC113" s="220"/>
      <c r="BD113" s="220"/>
      <c r="BE113" s="220"/>
      <c r="BF113" s="220"/>
      <c r="BG113" s="220"/>
      <c r="BH113" s="203"/>
      <c r="BI113" s="221"/>
      <c r="BJ113" s="185"/>
    </row>
    <row r="114" customFormat="false" ht="11.25" hidden="false" customHeight="true" outlineLevel="0" collapsed="false">
      <c r="A114" s="186"/>
      <c r="B114" s="222" t="s">
        <v>172</v>
      </c>
      <c r="C114" s="223"/>
      <c r="D114" s="223"/>
      <c r="E114" s="223"/>
      <c r="F114" s="224" t="n">
        <f aca="false">SUBTOTAL(9,C114:E114)</f>
        <v>0</v>
      </c>
      <c r="G114" s="229" t="n">
        <v>20</v>
      </c>
      <c r="H114" s="223"/>
      <c r="I114" s="223"/>
      <c r="J114" s="223"/>
      <c r="K114" s="224" t="n">
        <f aca="false">SUBTOTAL(9,G114:J114)</f>
        <v>20</v>
      </c>
      <c r="L114" s="224" t="n">
        <f aca="false">SUBTOTAL(9,C114:J114)</f>
        <v>20</v>
      </c>
      <c r="M114" s="225" t="n">
        <v>1091</v>
      </c>
      <c r="N114" s="223"/>
      <c r="O114" s="226" t="n">
        <f aca="false">SUBTOTAL(9,N114:N114)</f>
        <v>0</v>
      </c>
      <c r="P114" s="227" t="n">
        <f aca="false">O114+IF($B110=2,0,P110)</f>
        <v>31.1</v>
      </c>
      <c r="Q114" s="223"/>
      <c r="R114" s="223"/>
      <c r="S114" s="226" t="n">
        <f aca="false">SUBTOTAL(9,Q114:R114)</f>
        <v>0</v>
      </c>
      <c r="T114" s="227" t="n">
        <f aca="false">S114+IF($B110=2,0,T110)</f>
        <v>220</v>
      </c>
      <c r="U114" s="229" t="n">
        <v>3</v>
      </c>
      <c r="V114" s="223"/>
      <c r="W114" s="223"/>
      <c r="X114" s="223"/>
      <c r="Y114" s="226" t="n">
        <f aca="false">SUBTOTAL(9,U114:X114)</f>
        <v>3</v>
      </c>
      <c r="Z114" s="227" t="n">
        <f aca="false">Y114+IF($B110=2,0,Z110)</f>
        <v>164</v>
      </c>
      <c r="AA114" s="223"/>
      <c r="AB114" s="228" t="n">
        <f aca="false">SUBTOTAL(9,AA114:AA114)</f>
        <v>0</v>
      </c>
      <c r="AC114" s="229" t="n">
        <v>16.6</v>
      </c>
      <c r="AD114" s="223"/>
      <c r="AE114" s="223"/>
      <c r="AF114" s="228" t="n">
        <f aca="false">SUBTOTAL(9,AC114:AE114)</f>
        <v>16.6</v>
      </c>
      <c r="AG114" s="224" t="n">
        <f aca="false">SUBTOTAL(9,AA114:AE114)</f>
        <v>16.6</v>
      </c>
      <c r="AH114" s="225" t="n">
        <f aca="false">AG114+IF($B110=2,0,AH110)</f>
        <v>332.941</v>
      </c>
      <c r="AI114" s="230" t="n">
        <v>14.7</v>
      </c>
      <c r="AJ114" s="230" t="n">
        <v>14.7</v>
      </c>
      <c r="AK114" s="231" t="n">
        <v>1300</v>
      </c>
      <c r="AL114" s="232" t="n">
        <v>15.7</v>
      </c>
      <c r="AM114" s="223"/>
      <c r="AN114" s="223"/>
      <c r="AO114" s="223"/>
      <c r="AP114" s="223"/>
      <c r="AQ114" s="223"/>
      <c r="AR114" s="223"/>
      <c r="AS114" s="223"/>
      <c r="AT114" s="223"/>
      <c r="AU114" s="224" t="n">
        <f aca="false">SUBTOTAL(9,AL114:AT114)</f>
        <v>15.7</v>
      </c>
      <c r="AV114" s="228" t="n">
        <f aca="false">AU114+IF($B110=2,0,AV110)</f>
        <v>623.6535555556</v>
      </c>
      <c r="AW114" s="223"/>
      <c r="AX114" s="224" t="n">
        <f aca="false">SUBTOTAL(9,AW114:AW114)</f>
        <v>0</v>
      </c>
      <c r="AY114" s="224" t="n">
        <f aca="false">AX114+IF($B110=2,0,AY110)</f>
        <v>21.1</v>
      </c>
      <c r="AZ114" s="230"/>
      <c r="BA114" s="230"/>
      <c r="BB114" s="233" t="n">
        <f aca="false">SUMIF($C$5:BA$5,"Накопленный эффект, т/сут",$C114:BA114)+SUMIF($C$5:BA$5,"Нараст.  по потенциалу",$C114:BA114)-SUMIF($C$5:BA$5,"Нараст. по остановкам",$C114:BA114)-SUMIF($C$5:BA$5,"ИТОГО перевод в ППД",$C114:BA114)-SUMIF($C$5:BA$5,"ИТОГО  нерент, по распоряж.",$C114:BA114)-SUMIF($C$5:BA$5,"ИТОГО ост. дебит от ЗБС, Углуб., ПВЛГ/ПНЛГ",$C114:BA114)</f>
        <v>1194.2874444444</v>
      </c>
      <c r="BC114" s="224" t="n">
        <v>6.7</v>
      </c>
      <c r="BD114" s="224" t="n">
        <v>32.7846119978619</v>
      </c>
      <c r="BE114" s="224" t="n">
        <v>1.16633393501805</v>
      </c>
      <c r="BF114" s="224" t="n">
        <v>1.86975236596299</v>
      </c>
      <c r="BG114" s="224" t="n">
        <f aca="false">SUBTOTAL(9,BC114:BF114)</f>
        <v>42.5206982988429</v>
      </c>
      <c r="BH114" s="203"/>
      <c r="BI114" s="235" t="n">
        <f aca="false">BI$4+SUMIF($C$5:BG$5,"Нараст. по остановкам",$C114:BG114)-SUMIF($C$5:BG$5,"Нараст.  по потенциалу",$C114:BG114)</f>
        <v>864.494704742539</v>
      </c>
      <c r="BJ114" s="185"/>
    </row>
    <row r="115" customFormat="false" ht="1.5" hidden="false" customHeight="true" outlineLevel="0" collapsed="false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 t="n">
        <v>1</v>
      </c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85"/>
    </row>
    <row r="116" customFormat="false" ht="11.25" hidden="false" customHeight="true" outlineLevel="0" collapsed="false">
      <c r="A116" s="186" t="n">
        <v>45318</v>
      </c>
      <c r="B116" s="187" t="s">
        <v>173</v>
      </c>
      <c r="C116" s="194" t="s">
        <v>254</v>
      </c>
      <c r="D116" s="188"/>
      <c r="E116" s="188"/>
      <c r="F116" s="189" t="n">
        <v>910</v>
      </c>
      <c r="G116" s="194" t="s">
        <v>249</v>
      </c>
      <c r="H116" s="188"/>
      <c r="I116" s="188"/>
      <c r="J116" s="188"/>
      <c r="K116" s="189" t="n">
        <v>316</v>
      </c>
      <c r="L116" s="189" t="n">
        <v>1226</v>
      </c>
      <c r="M116" s="190"/>
      <c r="N116" s="188"/>
      <c r="O116" s="191"/>
      <c r="P116" s="192"/>
      <c r="Q116" s="188"/>
      <c r="R116" s="188"/>
      <c r="S116" s="191"/>
      <c r="T116" s="192"/>
      <c r="U116" s="194" t="s">
        <v>220</v>
      </c>
      <c r="V116" s="188"/>
      <c r="W116" s="188"/>
      <c r="X116" s="188"/>
      <c r="Y116" s="191"/>
      <c r="Z116" s="192"/>
      <c r="AA116" s="188"/>
      <c r="AB116" s="193" t="n">
        <v>58.3</v>
      </c>
      <c r="AC116" s="194"/>
      <c r="AD116" s="188"/>
      <c r="AE116" s="188"/>
      <c r="AF116" s="193" t="n">
        <v>304.341</v>
      </c>
      <c r="AG116" s="189" t="n">
        <v>362.641</v>
      </c>
      <c r="AH116" s="190"/>
      <c r="AI116" s="236"/>
      <c r="AJ116" s="236"/>
      <c r="AK116" s="196"/>
      <c r="AL116" s="197" t="s">
        <v>177</v>
      </c>
      <c r="AM116" s="197"/>
      <c r="AN116" s="188"/>
      <c r="AO116" s="188"/>
      <c r="AP116" s="188"/>
      <c r="AQ116" s="188"/>
      <c r="AR116" s="188"/>
      <c r="AS116" s="188"/>
      <c r="AT116" s="188"/>
      <c r="AU116" s="198"/>
      <c r="AV116" s="199"/>
      <c r="AW116" s="188"/>
      <c r="AX116" s="198"/>
      <c r="AY116" s="198"/>
      <c r="AZ116" s="195"/>
      <c r="BA116" s="195"/>
      <c r="BB116" s="200"/>
      <c r="BC116" s="202"/>
      <c r="BD116" s="202"/>
      <c r="BE116" s="201"/>
      <c r="BF116" s="201"/>
      <c r="BG116" s="202"/>
      <c r="BH116" s="203" t="n">
        <f aca="false">BH$4+SUMIF($C$5:BG$5,"Нараст. баланс",$C118:BG118)+SUMIF($C$7:BE$7,"Итого (с ВНР)",$C118:BE118)-SUMIF($C$5:BG$5,"Геол. снижение,  т/сут",$C118:BG118)-SUMIF(BF$7:BG$7,"Итого",BF118:BG118)-SUMIF($C$7:BG$7,"Итого (с ВСП)",$C118:BG118)</f>
        <v>31084.7951434592</v>
      </c>
      <c r="BI116" s="204"/>
      <c r="BJ116" s="185"/>
    </row>
    <row r="117" customFormat="false" ht="11.25" hidden="false" customHeight="true" outlineLevel="0" collapsed="false">
      <c r="A117" s="186"/>
      <c r="B117" s="205" t="s">
        <v>174</v>
      </c>
      <c r="C117" s="212" t="s">
        <v>282</v>
      </c>
      <c r="D117" s="206"/>
      <c r="E117" s="206"/>
      <c r="F117" s="207" t="n">
        <v>1</v>
      </c>
      <c r="G117" s="212" t="s">
        <v>283</v>
      </c>
      <c r="H117" s="206"/>
      <c r="I117" s="206"/>
      <c r="J117" s="206"/>
      <c r="K117" s="207" t="n">
        <v>1</v>
      </c>
      <c r="L117" s="207" t="n">
        <v>2</v>
      </c>
      <c r="M117" s="208"/>
      <c r="N117" s="206"/>
      <c r="O117" s="209" t="n">
        <f aca="false">SUBTOTAL(9,N119:N119)</f>
        <v>0</v>
      </c>
      <c r="P117" s="210"/>
      <c r="Q117" s="206"/>
      <c r="R117" s="206"/>
      <c r="S117" s="209" t="n">
        <f aca="false">SUBTOTAL(9,Q119:R119)</f>
        <v>0</v>
      </c>
      <c r="T117" s="210"/>
      <c r="U117" s="212" t="s">
        <v>284</v>
      </c>
      <c r="V117" s="206"/>
      <c r="W117" s="206"/>
      <c r="X117" s="206"/>
      <c r="Y117" s="209" t="n">
        <f aca="false">SUBTOTAL(9,U119:X119)</f>
        <v>1</v>
      </c>
      <c r="Z117" s="210"/>
      <c r="AA117" s="206"/>
      <c r="AB117" s="211" t="n">
        <f aca="false">SUBTOTAL(9,AA119:AA119)</f>
        <v>0</v>
      </c>
      <c r="AC117" s="212"/>
      <c r="AD117" s="206"/>
      <c r="AE117" s="206"/>
      <c r="AF117" s="211" t="n">
        <f aca="false">SUBTOTAL(9,AC119:AE119)</f>
        <v>0</v>
      </c>
      <c r="AG117" s="207" t="n">
        <f aca="false">SUBTOTAL(9,AA119:AE119)</f>
        <v>0</v>
      </c>
      <c r="AH117" s="208"/>
      <c r="AI117" s="237"/>
      <c r="AJ117" s="237"/>
      <c r="AK117" s="214"/>
      <c r="AL117" s="215" t="s">
        <v>285</v>
      </c>
      <c r="AM117" s="215"/>
      <c r="AN117" s="206"/>
      <c r="AO117" s="206"/>
      <c r="AP117" s="206"/>
      <c r="AQ117" s="206"/>
      <c r="AR117" s="206"/>
      <c r="AS117" s="206"/>
      <c r="AT117" s="206"/>
      <c r="AU117" s="207" t="n">
        <f aca="false">SUBTOTAL(9,AL119:AT119)</f>
        <v>1</v>
      </c>
      <c r="AV117" s="216"/>
      <c r="AW117" s="206"/>
      <c r="AX117" s="207" t="n">
        <f aca="false">SUBTOTAL(3,AW117:AW117)</f>
        <v>0</v>
      </c>
      <c r="AY117" s="217"/>
      <c r="AZ117" s="213"/>
      <c r="BA117" s="213"/>
      <c r="BB117" s="218"/>
      <c r="BC117" s="220"/>
      <c r="BD117" s="220"/>
      <c r="BE117" s="219"/>
      <c r="BF117" s="219"/>
      <c r="BG117" s="220"/>
      <c r="BH117" s="203"/>
      <c r="BI117" s="221"/>
      <c r="BJ117" s="185"/>
    </row>
    <row r="118" customFormat="false" ht="11.25" hidden="false" customHeight="true" outlineLevel="0" collapsed="false">
      <c r="A118" s="186"/>
      <c r="B118" s="222" t="s">
        <v>172</v>
      </c>
      <c r="C118" s="229" t="n">
        <v>100</v>
      </c>
      <c r="D118" s="223"/>
      <c r="E118" s="223"/>
      <c r="F118" s="224" t="n">
        <f aca="false">SUBTOTAL(9,C118:E118)</f>
        <v>100</v>
      </c>
      <c r="G118" s="229" t="n">
        <v>35</v>
      </c>
      <c r="H118" s="223"/>
      <c r="I118" s="223"/>
      <c r="J118" s="223"/>
      <c r="K118" s="224" t="n">
        <f aca="false">SUBTOTAL(9,G118:J118)</f>
        <v>35</v>
      </c>
      <c r="L118" s="224" t="n">
        <f aca="false">SUBTOTAL(9,C118:J118)</f>
        <v>135</v>
      </c>
      <c r="M118" s="225" t="n">
        <v>1226</v>
      </c>
      <c r="N118" s="223"/>
      <c r="O118" s="226" t="n">
        <f aca="false">SUBTOTAL(9,N118:N118)</f>
        <v>0</v>
      </c>
      <c r="P118" s="227" t="n">
        <f aca="false">O118+IF($B114=2,0,P114)</f>
        <v>31.1</v>
      </c>
      <c r="Q118" s="223"/>
      <c r="R118" s="223"/>
      <c r="S118" s="226" t="n">
        <f aca="false">SUBTOTAL(9,Q118:R118)</f>
        <v>0</v>
      </c>
      <c r="T118" s="227" t="n">
        <f aca="false">S118+IF($B114=2,0,T114)</f>
        <v>220</v>
      </c>
      <c r="U118" s="229" t="n">
        <v>5</v>
      </c>
      <c r="V118" s="223"/>
      <c r="W118" s="223"/>
      <c r="X118" s="223"/>
      <c r="Y118" s="226" t="n">
        <f aca="false">SUBTOTAL(9,U118:X118)</f>
        <v>5</v>
      </c>
      <c r="Z118" s="227" t="n">
        <f aca="false">Y118+IF($B114=2,0,Z114)</f>
        <v>169</v>
      </c>
      <c r="AA118" s="223"/>
      <c r="AB118" s="228" t="n">
        <f aca="false">SUBTOTAL(9,AA118:AA118)</f>
        <v>0</v>
      </c>
      <c r="AC118" s="229" t="n">
        <v>29.7</v>
      </c>
      <c r="AD118" s="223"/>
      <c r="AE118" s="223"/>
      <c r="AF118" s="228" t="n">
        <f aca="false">SUBTOTAL(9,AC118:AE118)</f>
        <v>29.7</v>
      </c>
      <c r="AG118" s="224" t="n">
        <f aca="false">SUBTOTAL(9,AA118:AE118)</f>
        <v>29.7</v>
      </c>
      <c r="AH118" s="225" t="n">
        <f aca="false">AG118+IF($B114=2,0,AH114)</f>
        <v>362.641</v>
      </c>
      <c r="AI118" s="238"/>
      <c r="AJ118" s="238"/>
      <c r="AK118" s="231" t="n">
        <v>1350</v>
      </c>
      <c r="AL118" s="232" t="n">
        <v>3</v>
      </c>
      <c r="AM118" s="232" t="n">
        <v>30.888</v>
      </c>
      <c r="AN118" s="223"/>
      <c r="AO118" s="223"/>
      <c r="AP118" s="223"/>
      <c r="AQ118" s="223"/>
      <c r="AR118" s="223"/>
      <c r="AS118" s="223"/>
      <c r="AT118" s="223"/>
      <c r="AU118" s="224" t="n">
        <f aca="false">SUBTOTAL(9,AL118:AT118)</f>
        <v>33.888</v>
      </c>
      <c r="AV118" s="228" t="n">
        <f aca="false">AU118+IF($B114=2,0,AV114)</f>
        <v>657.5415555556</v>
      </c>
      <c r="AW118" s="223"/>
      <c r="AX118" s="224" t="n">
        <f aca="false">SUBTOTAL(9,AW118:AW118)</f>
        <v>0</v>
      </c>
      <c r="AY118" s="224" t="n">
        <f aca="false">AX118+IF($B114=2,0,AY114)</f>
        <v>21.1</v>
      </c>
      <c r="AZ118" s="230" t="n">
        <v>9.2</v>
      </c>
      <c r="BA118" s="230" t="n">
        <v>9.2</v>
      </c>
      <c r="BB118" s="233" t="n">
        <f aca="false">SUMIF($C$5:BA$5,"Накопленный эффект, т/сут",$C118:BA118)+SUMIF($C$5:BA$5,"Нараст.  по потенциалу",$C118:BA118)-SUMIF($C$5:BA$5,"Нараст. по остановкам",$C118:BA118)-SUMIF($C$5:BA$5,"ИТОГО перевод в ППД",$C118:BA118)-SUMIF($C$5:BA$5,"ИТОГО  нерент, по распоряж.",$C118:BA118)-SUMIF($C$5:BA$5,"ИТОГО ост. дебит от ЗБС, Углуб., ПВЛГ/ПНЛГ",$C118:BA118)</f>
        <v>1330.0994444444</v>
      </c>
      <c r="BC118" s="224" t="n">
        <v>6.7</v>
      </c>
      <c r="BD118" s="224" t="n">
        <v>30.362300985223</v>
      </c>
      <c r="BE118" s="234"/>
      <c r="BF118" s="234"/>
      <c r="BG118" s="224" t="n">
        <f aca="false">SUBTOTAL(9,BC118:BF118)</f>
        <v>37.062300985223</v>
      </c>
      <c r="BH118" s="203"/>
      <c r="BI118" s="235" t="n">
        <f aca="false">BI$4+SUMIF($C$5:BG$5,"Нараст. по остановкам",$C118:BG118)-SUMIF($C$5:BG$5,"Нараст.  по потенциалу",$C118:BG118)</f>
        <v>868.682704742539</v>
      </c>
      <c r="BJ118" s="185"/>
    </row>
    <row r="119" customFormat="false" ht="1.5" hidden="false" customHeight="true" outlineLevel="0" collapsed="false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 t="n">
        <v>1</v>
      </c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  <c r="AL119" s="151" t="n">
        <v>1</v>
      </c>
      <c r="AM119" s="151"/>
      <c r="AN119" s="151"/>
      <c r="AO119" s="151"/>
      <c r="AP119" s="151"/>
      <c r="AQ119" s="151"/>
      <c r="AR119" s="151"/>
      <c r="AS119" s="151"/>
      <c r="AT119" s="151"/>
      <c r="AU119" s="151"/>
      <c r="AV119" s="151"/>
      <c r="AW119" s="151"/>
      <c r="AX119" s="151"/>
      <c r="AY119" s="151"/>
      <c r="AZ119" s="151"/>
      <c r="BA119" s="151"/>
      <c r="BB119" s="151"/>
      <c r="BC119" s="151"/>
      <c r="BD119" s="151"/>
      <c r="BE119" s="151"/>
      <c r="BF119" s="151"/>
      <c r="BG119" s="151"/>
      <c r="BH119" s="151"/>
      <c r="BI119" s="151"/>
      <c r="BJ119" s="185"/>
    </row>
    <row r="120" customFormat="false" ht="11.25" hidden="false" customHeight="true" outlineLevel="0" collapsed="false">
      <c r="A120" s="186" t="n">
        <v>45319</v>
      </c>
      <c r="B120" s="187" t="s">
        <v>173</v>
      </c>
      <c r="C120" s="188"/>
      <c r="D120" s="188"/>
      <c r="E120" s="188"/>
      <c r="F120" s="189" t="n">
        <v>910</v>
      </c>
      <c r="G120" s="194" t="s">
        <v>175</v>
      </c>
      <c r="H120" s="188"/>
      <c r="I120" s="188"/>
      <c r="J120" s="188"/>
      <c r="K120" s="189" t="n">
        <v>337</v>
      </c>
      <c r="L120" s="189" t="n">
        <v>1247</v>
      </c>
      <c r="M120" s="190"/>
      <c r="N120" s="188"/>
      <c r="O120" s="191"/>
      <c r="P120" s="192"/>
      <c r="Q120" s="188"/>
      <c r="R120" s="188"/>
      <c r="S120" s="191"/>
      <c r="T120" s="192"/>
      <c r="U120" s="194" t="s">
        <v>191</v>
      </c>
      <c r="V120" s="194" t="s">
        <v>177</v>
      </c>
      <c r="W120" s="188"/>
      <c r="X120" s="188"/>
      <c r="Y120" s="191"/>
      <c r="Z120" s="192"/>
      <c r="AA120" s="188"/>
      <c r="AB120" s="193" t="n">
        <v>58.3</v>
      </c>
      <c r="AC120" s="194" t="s">
        <v>177</v>
      </c>
      <c r="AD120" s="194"/>
      <c r="AE120" s="188"/>
      <c r="AF120" s="193" t="n">
        <v>311.141</v>
      </c>
      <c r="AG120" s="189" t="n">
        <v>369.441</v>
      </c>
      <c r="AH120" s="190"/>
      <c r="AI120" s="195"/>
      <c r="AJ120" s="195"/>
      <c r="AK120" s="196"/>
      <c r="AL120" s="197"/>
      <c r="AM120" s="188"/>
      <c r="AN120" s="188"/>
      <c r="AO120" s="188"/>
      <c r="AP120" s="188"/>
      <c r="AQ120" s="188"/>
      <c r="AR120" s="188"/>
      <c r="AS120" s="188"/>
      <c r="AT120" s="188"/>
      <c r="AU120" s="198"/>
      <c r="AV120" s="199"/>
      <c r="AW120" s="188"/>
      <c r="AX120" s="198"/>
      <c r="AY120" s="198"/>
      <c r="AZ120" s="195"/>
      <c r="BA120" s="195"/>
      <c r="BB120" s="200"/>
      <c r="BC120" s="202"/>
      <c r="BD120" s="201"/>
      <c r="BE120" s="201"/>
      <c r="BF120" s="201"/>
      <c r="BG120" s="202"/>
      <c r="BH120" s="203" t="n">
        <f aca="false">BH$4+SUMIF($C$5:BG$5,"Нараст. баланс",$C122:BG122)+SUMIF($C$7:BE$7,"Итого (с ВНР)",$C122:BE122)-SUMIF($C$5:BG$5,"Геол. снижение,  т/сут",$C122:BG122)-SUMIF(BF$7:BG$7,"Итого",BF122:BG122)-SUMIF($C$7:BG$7,"Итого (с ВСП)",$C122:BG122)</f>
        <v>31104.7574444444</v>
      </c>
      <c r="BI120" s="204"/>
      <c r="BJ120" s="185"/>
    </row>
    <row r="121" customFormat="false" ht="11.25" hidden="false" customHeight="true" outlineLevel="0" collapsed="false">
      <c r="A121" s="186"/>
      <c r="B121" s="205" t="s">
        <v>174</v>
      </c>
      <c r="C121" s="206"/>
      <c r="D121" s="206"/>
      <c r="E121" s="206"/>
      <c r="F121" s="207" t="n">
        <v>0</v>
      </c>
      <c r="G121" s="212" t="s">
        <v>286</v>
      </c>
      <c r="H121" s="206"/>
      <c r="I121" s="206"/>
      <c r="J121" s="206"/>
      <c r="K121" s="207" t="n">
        <v>1</v>
      </c>
      <c r="L121" s="207" t="n">
        <v>1</v>
      </c>
      <c r="M121" s="208"/>
      <c r="N121" s="206"/>
      <c r="O121" s="209" t="n">
        <f aca="false">SUBTOTAL(9,N123:N123)</f>
        <v>0</v>
      </c>
      <c r="P121" s="210"/>
      <c r="Q121" s="206"/>
      <c r="R121" s="206"/>
      <c r="S121" s="209" t="n">
        <f aca="false">SUBTOTAL(9,Q123:R123)</f>
        <v>0</v>
      </c>
      <c r="T121" s="210"/>
      <c r="U121" s="212" t="s">
        <v>287</v>
      </c>
      <c r="V121" s="212" t="s">
        <v>288</v>
      </c>
      <c r="W121" s="206"/>
      <c r="X121" s="206"/>
      <c r="Y121" s="209" t="n">
        <f aca="false">SUBTOTAL(9,U123:X123)</f>
        <v>2</v>
      </c>
      <c r="Z121" s="210"/>
      <c r="AA121" s="206"/>
      <c r="AB121" s="211" t="n">
        <f aca="false">SUBTOTAL(9,AA123:AA123)</f>
        <v>0</v>
      </c>
      <c r="AC121" s="212" t="s">
        <v>264</v>
      </c>
      <c r="AD121" s="212"/>
      <c r="AE121" s="206"/>
      <c r="AF121" s="211" t="n">
        <f aca="false">SUBTOTAL(9,AC123:AE123)</f>
        <v>1</v>
      </c>
      <c r="AG121" s="207" t="n">
        <f aca="false">SUBTOTAL(9,AA123:AE123)</f>
        <v>1</v>
      </c>
      <c r="AH121" s="208"/>
      <c r="AI121" s="213"/>
      <c r="AJ121" s="213"/>
      <c r="AK121" s="214"/>
      <c r="AL121" s="215"/>
      <c r="AM121" s="206"/>
      <c r="AN121" s="206"/>
      <c r="AO121" s="206"/>
      <c r="AP121" s="206"/>
      <c r="AQ121" s="206"/>
      <c r="AR121" s="206"/>
      <c r="AS121" s="206"/>
      <c r="AT121" s="206"/>
      <c r="AU121" s="207" t="n">
        <f aca="false">SUBTOTAL(9,AL123:AT123)</f>
        <v>0</v>
      </c>
      <c r="AV121" s="216"/>
      <c r="AW121" s="206"/>
      <c r="AX121" s="207" t="n">
        <f aca="false">SUBTOTAL(3,AW121:AW121)</f>
        <v>0</v>
      </c>
      <c r="AY121" s="217"/>
      <c r="AZ121" s="213"/>
      <c r="BA121" s="213"/>
      <c r="BB121" s="218"/>
      <c r="BC121" s="220"/>
      <c r="BD121" s="219"/>
      <c r="BE121" s="219"/>
      <c r="BF121" s="219"/>
      <c r="BG121" s="220"/>
      <c r="BH121" s="203"/>
      <c r="BI121" s="221"/>
      <c r="BJ121" s="185"/>
    </row>
    <row r="122" customFormat="false" ht="11.25" hidden="false" customHeight="true" outlineLevel="0" collapsed="false">
      <c r="A122" s="186"/>
      <c r="B122" s="222" t="s">
        <v>172</v>
      </c>
      <c r="C122" s="223"/>
      <c r="D122" s="223"/>
      <c r="E122" s="223"/>
      <c r="F122" s="224" t="n">
        <f aca="false">SUBTOTAL(9,C122:E122)</f>
        <v>0</v>
      </c>
      <c r="G122" s="229" t="n">
        <v>21</v>
      </c>
      <c r="H122" s="223"/>
      <c r="I122" s="223"/>
      <c r="J122" s="223"/>
      <c r="K122" s="224" t="n">
        <f aca="false">SUBTOTAL(9,G122:J122)</f>
        <v>21</v>
      </c>
      <c r="L122" s="224" t="n">
        <f aca="false">SUBTOTAL(9,C122:J122)</f>
        <v>21</v>
      </c>
      <c r="M122" s="225" t="n">
        <v>1247</v>
      </c>
      <c r="N122" s="223"/>
      <c r="O122" s="226" t="n">
        <f aca="false">SUBTOTAL(9,N122:N122)</f>
        <v>0</v>
      </c>
      <c r="P122" s="227" t="n">
        <f aca="false">O122+IF($B118=2,0,P118)</f>
        <v>31.1</v>
      </c>
      <c r="Q122" s="223"/>
      <c r="R122" s="223"/>
      <c r="S122" s="226" t="n">
        <f aca="false">SUBTOTAL(9,Q122:R122)</f>
        <v>0</v>
      </c>
      <c r="T122" s="227" t="n">
        <f aca="false">S122+IF($B118=2,0,T118)</f>
        <v>220</v>
      </c>
      <c r="U122" s="229" t="n">
        <v>3</v>
      </c>
      <c r="V122" s="229" t="n">
        <v>5</v>
      </c>
      <c r="W122" s="223"/>
      <c r="X122" s="223"/>
      <c r="Y122" s="226" t="n">
        <f aca="false">SUBTOTAL(9,U122:X122)</f>
        <v>8</v>
      </c>
      <c r="Z122" s="227" t="n">
        <f aca="false">Y122+IF($B118=2,0,Z118)</f>
        <v>177</v>
      </c>
      <c r="AA122" s="223"/>
      <c r="AB122" s="228" t="n">
        <f aca="false">SUBTOTAL(9,AA122:AA122)</f>
        <v>0</v>
      </c>
      <c r="AC122" s="229" t="n">
        <v>1.2</v>
      </c>
      <c r="AD122" s="229" t="n">
        <v>5.6</v>
      </c>
      <c r="AE122" s="223"/>
      <c r="AF122" s="228" t="n">
        <f aca="false">SUBTOTAL(9,AC122:AE122)</f>
        <v>6.8</v>
      </c>
      <c r="AG122" s="224" t="n">
        <f aca="false">SUBTOTAL(9,AA122:AE122)</f>
        <v>6.8</v>
      </c>
      <c r="AH122" s="225" t="n">
        <f aca="false">AG122+IF($B118=2,0,AH118)</f>
        <v>369.441</v>
      </c>
      <c r="AI122" s="230" t="n">
        <v>1.9</v>
      </c>
      <c r="AJ122" s="230" t="n">
        <v>1.9</v>
      </c>
      <c r="AK122" s="231" t="n">
        <v>1400</v>
      </c>
      <c r="AL122" s="232" t="n">
        <v>7.3</v>
      </c>
      <c r="AM122" s="223"/>
      <c r="AN122" s="223"/>
      <c r="AO122" s="223"/>
      <c r="AP122" s="223"/>
      <c r="AQ122" s="223"/>
      <c r="AR122" s="223"/>
      <c r="AS122" s="223"/>
      <c r="AT122" s="223"/>
      <c r="AU122" s="224" t="n">
        <f aca="false">SUBTOTAL(9,AL122:AT122)</f>
        <v>7.3</v>
      </c>
      <c r="AV122" s="228" t="n">
        <f aca="false">AU122+IF($B118=2,0,AV118)</f>
        <v>664.8415555556</v>
      </c>
      <c r="AW122" s="223"/>
      <c r="AX122" s="224" t="n">
        <f aca="false">SUBTOTAL(9,AW122:AW122)</f>
        <v>0</v>
      </c>
      <c r="AY122" s="224" t="n">
        <f aca="false">AX122+IF($B118=2,0,AY118)</f>
        <v>21.1</v>
      </c>
      <c r="AZ122" s="230"/>
      <c r="BA122" s="230"/>
      <c r="BB122" s="233" t="n">
        <f aca="false">SUMIF($C$5:BA$5,"Накопленный эффект, т/сут",$C122:BA122)+SUMIF($C$5:BA$5,"Нараст.  по потенциалу",$C122:BA122)-SUMIF($C$5:BA$5,"Нараст. по остановкам",$C122:BA122)-SUMIF($C$5:BA$5,"ИТОГО перевод в ППД",$C122:BA122)-SUMIF($C$5:BA$5,"ИТОГО  нерент, по распоряж.",$C122:BA122)-SUMIF($C$5:BA$5,"ИТОГО ост. дебит от ЗБС, Углуб., ПВЛГ/ПНЛГ",$C122:BA122)</f>
        <v>1358.5994444444</v>
      </c>
      <c r="BC122" s="224" t="n">
        <v>6.7</v>
      </c>
      <c r="BD122" s="234"/>
      <c r="BE122" s="234"/>
      <c r="BF122" s="234"/>
      <c r="BG122" s="224" t="n">
        <f aca="false">SUBTOTAL(9,BC122:BF122)</f>
        <v>6.7</v>
      </c>
      <c r="BH122" s="203"/>
      <c r="BI122" s="235" t="n">
        <f aca="false">BI$4+SUMIF($C$5:BG$5,"Нараст. по остановкам",$C122:BG122)-SUMIF($C$5:BG$5,"Нараст.  по потенциалу",$C122:BG122)</f>
        <v>869.182704742539</v>
      </c>
      <c r="BJ122" s="185"/>
    </row>
    <row r="123" customFormat="false" ht="1.5" hidden="false" customHeight="true" outlineLevel="0" collapsed="false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 t="n">
        <v>1</v>
      </c>
      <c r="V123" s="151" t="n">
        <v>1</v>
      </c>
      <c r="W123" s="151"/>
      <c r="X123" s="151"/>
      <c r="Y123" s="151"/>
      <c r="Z123" s="151"/>
      <c r="AA123" s="151"/>
      <c r="AB123" s="151"/>
      <c r="AC123" s="151" t="n">
        <v>1</v>
      </c>
      <c r="AD123" s="151"/>
      <c r="AE123" s="151"/>
      <c r="AF123" s="151"/>
      <c r="AG123" s="151"/>
      <c r="AH123" s="151"/>
      <c r="AI123" s="151"/>
      <c r="AJ123" s="151"/>
      <c r="AK123" s="151"/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85"/>
    </row>
    <row r="124" customFormat="false" ht="11.25" hidden="false" customHeight="true" outlineLevel="0" collapsed="false">
      <c r="A124" s="186" t="n">
        <v>45320</v>
      </c>
      <c r="B124" s="187" t="s">
        <v>173</v>
      </c>
      <c r="C124" s="194" t="s">
        <v>289</v>
      </c>
      <c r="D124" s="194" t="s">
        <v>290</v>
      </c>
      <c r="E124" s="188"/>
      <c r="F124" s="189" t="n">
        <v>980</v>
      </c>
      <c r="G124" s="188"/>
      <c r="H124" s="188"/>
      <c r="I124" s="188"/>
      <c r="J124" s="188"/>
      <c r="K124" s="189" t="n">
        <v>337</v>
      </c>
      <c r="L124" s="189" t="n">
        <v>1317</v>
      </c>
      <c r="M124" s="190"/>
      <c r="N124" s="188"/>
      <c r="O124" s="191"/>
      <c r="P124" s="192"/>
      <c r="Q124" s="188"/>
      <c r="R124" s="188"/>
      <c r="S124" s="191"/>
      <c r="T124" s="192"/>
      <c r="U124" s="194" t="s">
        <v>190</v>
      </c>
      <c r="V124" s="188"/>
      <c r="W124" s="188"/>
      <c r="X124" s="188"/>
      <c r="Y124" s="191"/>
      <c r="Z124" s="192"/>
      <c r="AA124" s="188"/>
      <c r="AB124" s="193" t="n">
        <v>58.3</v>
      </c>
      <c r="AC124" s="188"/>
      <c r="AD124" s="188"/>
      <c r="AE124" s="188"/>
      <c r="AF124" s="193" t="n">
        <v>311.141</v>
      </c>
      <c r="AG124" s="189" t="n">
        <v>369.441</v>
      </c>
      <c r="AH124" s="190"/>
      <c r="AI124" s="195"/>
      <c r="AJ124" s="195"/>
      <c r="AK124" s="196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98"/>
      <c r="AV124" s="199"/>
      <c r="AW124" s="188"/>
      <c r="AX124" s="198"/>
      <c r="AY124" s="198"/>
      <c r="AZ124" s="195"/>
      <c r="BA124" s="195"/>
      <c r="BB124" s="200"/>
      <c r="BC124" s="201"/>
      <c r="BD124" s="202"/>
      <c r="BE124" s="201"/>
      <c r="BF124" s="201"/>
      <c r="BG124" s="202"/>
      <c r="BH124" s="203" t="n">
        <f aca="false">BH$4+SUMIF($C$5:BG$5,"Нараст. баланс",$C126:BG126)+SUMIF($C$7:BE$7,"Итого (с ВНР)",$C126:BE126)-SUMIF($C$5:BG$5,"Геол. снижение,  т/сут",$C126:BG126)-SUMIF(BF$7:BG$7,"Итого",BF126:BG126)-SUMIF($C$7:BG$7,"Итого (с ВСП)",$C126:BG126)</f>
        <v>31141.6260964284</v>
      </c>
      <c r="BI124" s="204"/>
      <c r="BJ124" s="185"/>
    </row>
    <row r="125" customFormat="false" ht="11.25" hidden="false" customHeight="true" outlineLevel="0" collapsed="false">
      <c r="A125" s="186"/>
      <c r="B125" s="205" t="s">
        <v>174</v>
      </c>
      <c r="C125" s="212" t="s">
        <v>291</v>
      </c>
      <c r="D125" s="212" t="s">
        <v>292</v>
      </c>
      <c r="E125" s="206"/>
      <c r="F125" s="207" t="n">
        <v>2</v>
      </c>
      <c r="G125" s="206"/>
      <c r="H125" s="206"/>
      <c r="I125" s="206"/>
      <c r="J125" s="206"/>
      <c r="K125" s="207" t="n">
        <v>0</v>
      </c>
      <c r="L125" s="207" t="n">
        <v>2</v>
      </c>
      <c r="M125" s="208"/>
      <c r="N125" s="206"/>
      <c r="O125" s="209" t="n">
        <f aca="false">SUBTOTAL(9,N127:N127)</f>
        <v>0</v>
      </c>
      <c r="P125" s="210"/>
      <c r="Q125" s="206"/>
      <c r="R125" s="206"/>
      <c r="S125" s="209" t="n">
        <f aca="false">SUBTOTAL(9,Q127:R127)</f>
        <v>0</v>
      </c>
      <c r="T125" s="210"/>
      <c r="U125" s="212" t="s">
        <v>293</v>
      </c>
      <c r="V125" s="206"/>
      <c r="W125" s="206"/>
      <c r="X125" s="206"/>
      <c r="Y125" s="209" t="n">
        <f aca="false">SUBTOTAL(9,U127:X127)</f>
        <v>1</v>
      </c>
      <c r="Z125" s="210"/>
      <c r="AA125" s="206"/>
      <c r="AB125" s="211" t="n">
        <f aca="false">SUBTOTAL(9,AA127:AA127)</f>
        <v>0</v>
      </c>
      <c r="AC125" s="206"/>
      <c r="AD125" s="206"/>
      <c r="AE125" s="206"/>
      <c r="AF125" s="211" t="n">
        <f aca="false">SUBTOTAL(9,AC127:AE127)</f>
        <v>0</v>
      </c>
      <c r="AG125" s="207" t="n">
        <f aca="false">SUBTOTAL(9,AA127:AE127)</f>
        <v>0</v>
      </c>
      <c r="AH125" s="208"/>
      <c r="AI125" s="213"/>
      <c r="AJ125" s="213"/>
      <c r="AK125" s="214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7" t="n">
        <f aca="false">SUBTOTAL(9,AL127:AT127)</f>
        <v>0</v>
      </c>
      <c r="AV125" s="216"/>
      <c r="AW125" s="206"/>
      <c r="AX125" s="207" t="n">
        <f aca="false">SUBTOTAL(3,AW125:AW125)</f>
        <v>0</v>
      </c>
      <c r="AY125" s="217"/>
      <c r="AZ125" s="213"/>
      <c r="BA125" s="213"/>
      <c r="BB125" s="218"/>
      <c r="BC125" s="219"/>
      <c r="BD125" s="220"/>
      <c r="BE125" s="219"/>
      <c r="BF125" s="219"/>
      <c r="BG125" s="220"/>
      <c r="BH125" s="203"/>
      <c r="BI125" s="221"/>
      <c r="BJ125" s="185"/>
    </row>
    <row r="126" customFormat="false" ht="11.25" hidden="false" customHeight="true" outlineLevel="0" collapsed="false">
      <c r="A126" s="186"/>
      <c r="B126" s="222" t="s">
        <v>172</v>
      </c>
      <c r="C126" s="229" t="n">
        <v>30</v>
      </c>
      <c r="D126" s="229" t="n">
        <v>40</v>
      </c>
      <c r="E126" s="223"/>
      <c r="F126" s="224" t="n">
        <f aca="false">SUBTOTAL(9,C126:E126)</f>
        <v>70</v>
      </c>
      <c r="G126" s="223"/>
      <c r="H126" s="223"/>
      <c r="I126" s="223"/>
      <c r="J126" s="223"/>
      <c r="K126" s="224" t="n">
        <f aca="false">SUBTOTAL(9,G126:J126)</f>
        <v>0</v>
      </c>
      <c r="L126" s="224" t="n">
        <f aca="false">SUBTOTAL(9,C126:J126)</f>
        <v>70</v>
      </c>
      <c r="M126" s="225" t="n">
        <v>1317</v>
      </c>
      <c r="N126" s="223"/>
      <c r="O126" s="226" t="n">
        <f aca="false">SUBTOTAL(9,N126:N126)</f>
        <v>0</v>
      </c>
      <c r="P126" s="227" t="n">
        <f aca="false">O126+IF($B122=2,0,P122)</f>
        <v>31.1</v>
      </c>
      <c r="Q126" s="223"/>
      <c r="R126" s="223"/>
      <c r="S126" s="226" t="n">
        <f aca="false">SUBTOTAL(9,Q126:R126)</f>
        <v>0</v>
      </c>
      <c r="T126" s="227" t="n">
        <f aca="false">S126+IF($B122=2,0,T122)</f>
        <v>220</v>
      </c>
      <c r="U126" s="229" t="n">
        <v>3</v>
      </c>
      <c r="V126" s="223"/>
      <c r="W126" s="223"/>
      <c r="X126" s="223"/>
      <c r="Y126" s="226" t="n">
        <f aca="false">SUBTOTAL(9,U126:X126)</f>
        <v>3</v>
      </c>
      <c r="Z126" s="227" t="n">
        <f aca="false">Y126+IF($B122=2,0,Z122)</f>
        <v>180</v>
      </c>
      <c r="AA126" s="223"/>
      <c r="AB126" s="228" t="n">
        <f aca="false">SUBTOTAL(9,AA126:AA126)</f>
        <v>0</v>
      </c>
      <c r="AC126" s="223"/>
      <c r="AD126" s="223"/>
      <c r="AE126" s="223"/>
      <c r="AF126" s="228" t="n">
        <f aca="false">SUBTOTAL(9,AC126:AE126)</f>
        <v>0</v>
      </c>
      <c r="AG126" s="224" t="n">
        <f aca="false">SUBTOTAL(9,AA126:AE126)</f>
        <v>0</v>
      </c>
      <c r="AH126" s="225" t="n">
        <f aca="false">AG126+IF($B122=2,0,AH122)</f>
        <v>369.441</v>
      </c>
      <c r="AI126" s="230" t="n">
        <v>12.9</v>
      </c>
      <c r="AJ126" s="230" t="n">
        <v>12.9</v>
      </c>
      <c r="AK126" s="231" t="n">
        <v>1450</v>
      </c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4" t="n">
        <f aca="false">SUBTOTAL(9,AL126:AT126)</f>
        <v>0</v>
      </c>
      <c r="AV126" s="228" t="n">
        <f aca="false">AU126+IF($B122=2,0,AV122)</f>
        <v>664.8415555556</v>
      </c>
      <c r="AW126" s="223"/>
      <c r="AX126" s="224" t="n">
        <f aca="false">SUBTOTAL(9,AW126:AW126)</f>
        <v>0</v>
      </c>
      <c r="AY126" s="224" t="n">
        <f aca="false">AX126+IF($B122=2,0,AY122)</f>
        <v>21.1</v>
      </c>
      <c r="AZ126" s="230"/>
      <c r="BA126" s="230"/>
      <c r="BB126" s="233" t="n">
        <f aca="false">SUMIF($C$5:BA$5,"Накопленный эффект, т/сут",$C126:BA126)+SUMIF($C$5:BA$5,"Нараст.  по потенциалу",$C126:BA126)-SUMIF($C$5:BA$5,"Нараст. по остановкам",$C126:BA126)-SUMIF($C$5:BA$5,"ИТОГО перевод в ППД",$C126:BA126)-SUMIF($C$5:BA$5,"ИТОГО  нерент, по распоряж.",$C126:BA126)-SUMIF($C$5:BA$5,"ИТОГО ост. дебит от ЗБС, Углуб., ПВЛГ/ПНЛГ",$C126:BA126)</f>
        <v>1431.5994444444</v>
      </c>
      <c r="BC126" s="234"/>
      <c r="BD126" s="224" t="n">
        <v>3.83134801601505</v>
      </c>
      <c r="BE126" s="234"/>
      <c r="BF126" s="234"/>
      <c r="BG126" s="224" t="n">
        <f aca="false">SUBTOTAL(9,BC126:BF126)</f>
        <v>3.83134801601505</v>
      </c>
      <c r="BH126" s="203"/>
      <c r="BI126" s="235" t="n">
        <f aca="false">BI$4+SUMIF($C$5:BG$5,"Нараст. по остановкам",$C126:BG126)-SUMIF($C$5:BG$5,"Нараст.  по потенциалу",$C126:BG126)</f>
        <v>869.182704742539</v>
      </c>
      <c r="BJ126" s="185"/>
    </row>
    <row r="127" customFormat="false" ht="1.5" hidden="false" customHeight="true" outlineLevel="0" collapsed="false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 t="n">
        <v>1</v>
      </c>
      <c r="V127" s="151"/>
      <c r="W127" s="151"/>
      <c r="X127" s="151"/>
      <c r="Y127" s="151"/>
      <c r="Z127" s="151"/>
      <c r="AA127" s="151"/>
      <c r="AB127" s="151"/>
      <c r="AC127" s="151"/>
      <c r="AD127" s="151"/>
      <c r="AE127" s="151"/>
      <c r="AF127" s="151"/>
      <c r="AG127" s="151"/>
      <c r="AH127" s="151"/>
      <c r="AI127" s="151"/>
      <c r="AJ127" s="151"/>
      <c r="AK127" s="151"/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85"/>
    </row>
    <row r="128" customFormat="false" ht="11.25" hidden="false" customHeight="true" outlineLevel="0" collapsed="false">
      <c r="A128" s="186" t="n">
        <v>45321</v>
      </c>
      <c r="B128" s="187" t="s">
        <v>173</v>
      </c>
      <c r="C128" s="188"/>
      <c r="D128" s="188"/>
      <c r="E128" s="188"/>
      <c r="F128" s="189" t="n">
        <v>980</v>
      </c>
      <c r="G128" s="194" t="s">
        <v>192</v>
      </c>
      <c r="H128" s="194" t="s">
        <v>181</v>
      </c>
      <c r="I128" s="194" t="s">
        <v>175</v>
      </c>
      <c r="J128" s="194" t="s">
        <v>294</v>
      </c>
      <c r="K128" s="189" t="n">
        <v>419</v>
      </c>
      <c r="L128" s="189" t="n">
        <v>1399</v>
      </c>
      <c r="M128" s="190"/>
      <c r="N128" s="188"/>
      <c r="O128" s="191"/>
      <c r="P128" s="192"/>
      <c r="Q128" s="188"/>
      <c r="R128" s="188"/>
      <c r="S128" s="191"/>
      <c r="T128" s="192"/>
      <c r="U128" s="194" t="s">
        <v>191</v>
      </c>
      <c r="V128" s="194" t="s">
        <v>181</v>
      </c>
      <c r="W128" s="188"/>
      <c r="X128" s="188"/>
      <c r="Y128" s="191"/>
      <c r="Z128" s="192"/>
      <c r="AA128" s="188"/>
      <c r="AB128" s="193" t="n">
        <v>58.3</v>
      </c>
      <c r="AC128" s="194" t="s">
        <v>177</v>
      </c>
      <c r="AD128" s="188"/>
      <c r="AE128" s="188"/>
      <c r="AF128" s="193" t="n">
        <v>313.341</v>
      </c>
      <c r="AG128" s="189" t="n">
        <v>371.641</v>
      </c>
      <c r="AH128" s="190"/>
      <c r="AI128" s="195"/>
      <c r="AJ128" s="195"/>
      <c r="AK128" s="196"/>
      <c r="AL128" s="197"/>
      <c r="AM128" s="188"/>
      <c r="AN128" s="188"/>
      <c r="AO128" s="188"/>
      <c r="AP128" s="188"/>
      <c r="AQ128" s="188"/>
      <c r="AR128" s="188"/>
      <c r="AS128" s="188"/>
      <c r="AT128" s="188"/>
      <c r="AU128" s="198"/>
      <c r="AV128" s="199"/>
      <c r="AW128" s="188"/>
      <c r="AX128" s="198"/>
      <c r="AY128" s="198"/>
      <c r="AZ128" s="195"/>
      <c r="BA128" s="195"/>
      <c r="BB128" s="200"/>
      <c r="BC128" s="201"/>
      <c r="BD128" s="202"/>
      <c r="BE128" s="201"/>
      <c r="BF128" s="201"/>
      <c r="BG128" s="202"/>
      <c r="BH128" s="203" t="n">
        <f aca="false">BH$4+SUMIF($C$5:BG$5,"Нараст. баланс",$C130:BG130)+SUMIF($C$7:BE$7,"Итого (с ВНР)",$C130:BE130)-SUMIF($C$5:BG$5,"Геол. снижение,  т/сут",$C130:BG130)-SUMIF(BF$7:BG$7,"Итого",BF130:BG130)-SUMIF($C$7:BG$7,"Итого (с ВСП)",$C130:BG130)</f>
        <v>31183.7162870954</v>
      </c>
      <c r="BI128" s="204"/>
      <c r="BJ128" s="185"/>
    </row>
    <row r="129" customFormat="false" ht="11.25" hidden="false" customHeight="true" outlineLevel="0" collapsed="false">
      <c r="A129" s="186"/>
      <c r="B129" s="205" t="s">
        <v>174</v>
      </c>
      <c r="C129" s="206"/>
      <c r="D129" s="206"/>
      <c r="E129" s="206"/>
      <c r="F129" s="207" t="n">
        <v>0</v>
      </c>
      <c r="G129" s="212" t="s">
        <v>295</v>
      </c>
      <c r="H129" s="212" t="s">
        <v>296</v>
      </c>
      <c r="I129" s="212" t="s">
        <v>297</v>
      </c>
      <c r="J129" s="212" t="s">
        <v>298</v>
      </c>
      <c r="K129" s="207" t="n">
        <v>4</v>
      </c>
      <c r="L129" s="207" t="n">
        <v>4</v>
      </c>
      <c r="M129" s="208"/>
      <c r="N129" s="206"/>
      <c r="O129" s="209" t="n">
        <f aca="false">SUBTOTAL(9,N131:N131)</f>
        <v>0</v>
      </c>
      <c r="P129" s="210"/>
      <c r="Q129" s="206"/>
      <c r="R129" s="206"/>
      <c r="S129" s="209" t="n">
        <f aca="false">SUBTOTAL(9,Q131:R131)</f>
        <v>0</v>
      </c>
      <c r="T129" s="210"/>
      <c r="U129" s="212" t="s">
        <v>299</v>
      </c>
      <c r="V129" s="212" t="s">
        <v>300</v>
      </c>
      <c r="W129" s="206"/>
      <c r="X129" s="206"/>
      <c r="Y129" s="209" t="n">
        <f aca="false">SUBTOTAL(9,U131:X131)</f>
        <v>2</v>
      </c>
      <c r="Z129" s="210"/>
      <c r="AA129" s="206"/>
      <c r="AB129" s="211" t="n">
        <f aca="false">SUBTOTAL(9,AA131:AA131)</f>
        <v>0</v>
      </c>
      <c r="AC129" s="212" t="s">
        <v>273</v>
      </c>
      <c r="AD129" s="206"/>
      <c r="AE129" s="206"/>
      <c r="AF129" s="211" t="n">
        <f aca="false">SUBTOTAL(9,AC131:AE131)</f>
        <v>1</v>
      </c>
      <c r="AG129" s="207" t="n">
        <f aca="false">SUBTOTAL(9,AA131:AE131)</f>
        <v>1</v>
      </c>
      <c r="AH129" s="208"/>
      <c r="AI129" s="213"/>
      <c r="AJ129" s="213"/>
      <c r="AK129" s="214"/>
      <c r="AL129" s="215"/>
      <c r="AM129" s="206"/>
      <c r="AN129" s="206"/>
      <c r="AO129" s="206"/>
      <c r="AP129" s="206"/>
      <c r="AQ129" s="206"/>
      <c r="AR129" s="206"/>
      <c r="AS129" s="206"/>
      <c r="AT129" s="206"/>
      <c r="AU129" s="207" t="n">
        <f aca="false">SUBTOTAL(9,AL131:AT131)</f>
        <v>0</v>
      </c>
      <c r="AV129" s="216"/>
      <c r="AW129" s="206"/>
      <c r="AX129" s="207" t="n">
        <f aca="false">SUBTOTAL(3,AW129:AW129)</f>
        <v>0</v>
      </c>
      <c r="AY129" s="217"/>
      <c r="AZ129" s="213"/>
      <c r="BA129" s="213"/>
      <c r="BB129" s="218"/>
      <c r="BC129" s="219"/>
      <c r="BD129" s="220"/>
      <c r="BE129" s="219"/>
      <c r="BF129" s="219"/>
      <c r="BG129" s="220"/>
      <c r="BH129" s="203"/>
      <c r="BI129" s="221"/>
      <c r="BJ129" s="185"/>
    </row>
    <row r="130" customFormat="false" ht="11.25" hidden="false" customHeight="true" outlineLevel="0" collapsed="false">
      <c r="A130" s="186"/>
      <c r="B130" s="222" t="s">
        <v>172</v>
      </c>
      <c r="C130" s="223"/>
      <c r="D130" s="223"/>
      <c r="E130" s="223"/>
      <c r="F130" s="224" t="n">
        <f aca="false">SUBTOTAL(9,C130:E130)</f>
        <v>0</v>
      </c>
      <c r="G130" s="229" t="n">
        <v>22</v>
      </c>
      <c r="H130" s="229" t="n">
        <v>20</v>
      </c>
      <c r="I130" s="229" t="n">
        <v>21</v>
      </c>
      <c r="J130" s="229" t="n">
        <v>19</v>
      </c>
      <c r="K130" s="224" t="n">
        <f aca="false">SUBTOTAL(9,G130:J130)</f>
        <v>82</v>
      </c>
      <c r="L130" s="224" t="n">
        <f aca="false">SUBTOTAL(9,C130:J130)</f>
        <v>82</v>
      </c>
      <c r="M130" s="225" t="n">
        <v>1399</v>
      </c>
      <c r="N130" s="223"/>
      <c r="O130" s="226" t="n">
        <f aca="false">SUBTOTAL(9,N130:N130)</f>
        <v>0</v>
      </c>
      <c r="P130" s="227" t="n">
        <f aca="false">O130+IF($B126=2,0,P126)</f>
        <v>31.1</v>
      </c>
      <c r="Q130" s="223"/>
      <c r="R130" s="223"/>
      <c r="S130" s="226" t="n">
        <f aca="false">SUBTOTAL(9,Q130:R130)</f>
        <v>0</v>
      </c>
      <c r="T130" s="227" t="n">
        <f aca="false">S130+IF($B126=2,0,T126)</f>
        <v>220</v>
      </c>
      <c r="U130" s="229" t="n">
        <v>3</v>
      </c>
      <c r="V130" s="229" t="n">
        <v>4</v>
      </c>
      <c r="W130" s="223"/>
      <c r="X130" s="223"/>
      <c r="Y130" s="226" t="n">
        <f aca="false">SUBTOTAL(9,U130:X130)</f>
        <v>7</v>
      </c>
      <c r="Z130" s="227" t="n">
        <f aca="false">Y130+IF($B126=2,0,Z126)</f>
        <v>187</v>
      </c>
      <c r="AA130" s="223"/>
      <c r="AB130" s="228" t="n">
        <f aca="false">SUBTOTAL(9,AA130:AA130)</f>
        <v>0</v>
      </c>
      <c r="AC130" s="229" t="n">
        <v>2.2</v>
      </c>
      <c r="AD130" s="223"/>
      <c r="AE130" s="223"/>
      <c r="AF130" s="228" t="n">
        <f aca="false">SUBTOTAL(9,AC130:AE130)</f>
        <v>2.2</v>
      </c>
      <c r="AG130" s="224" t="n">
        <f aca="false">SUBTOTAL(9,AA130:AE130)</f>
        <v>2.2</v>
      </c>
      <c r="AH130" s="225" t="n">
        <f aca="false">AG130+IF($B126=2,0,AH126)</f>
        <v>371.641</v>
      </c>
      <c r="AI130" s="230" t="n">
        <v>24</v>
      </c>
      <c r="AJ130" s="230" t="n">
        <v>24</v>
      </c>
      <c r="AK130" s="231" t="n">
        <v>1500</v>
      </c>
      <c r="AL130" s="232" t="n">
        <v>2.4</v>
      </c>
      <c r="AM130" s="223"/>
      <c r="AN130" s="223"/>
      <c r="AO130" s="223"/>
      <c r="AP130" s="223"/>
      <c r="AQ130" s="223"/>
      <c r="AR130" s="223"/>
      <c r="AS130" s="223"/>
      <c r="AT130" s="223"/>
      <c r="AU130" s="224" t="n">
        <f aca="false">SUBTOTAL(9,AL130:AT130)</f>
        <v>2.4</v>
      </c>
      <c r="AV130" s="228" t="n">
        <f aca="false">AU130+IF($B126=2,0,AV126)</f>
        <v>667.2415555556</v>
      </c>
      <c r="AW130" s="223"/>
      <c r="AX130" s="224" t="n">
        <f aca="false">SUBTOTAL(9,AW130:AW130)</f>
        <v>0</v>
      </c>
      <c r="AY130" s="224" t="n">
        <f aca="false">AX130+IF($B126=2,0,AY126)</f>
        <v>21.1</v>
      </c>
      <c r="AZ130" s="230"/>
      <c r="BA130" s="230"/>
      <c r="BB130" s="233" t="n">
        <f aca="false">SUMIF($C$5:BA$5,"Накопленный эффект, т/сут",$C130:BA130)+SUMIF($C$5:BA$5,"Нараст.  по потенциалу",$C130:BA130)-SUMIF($C$5:BA$5,"Нараст. по остановкам",$C130:BA130)-SUMIF($C$5:BA$5,"ИТОГО перевод в ППД",$C130:BA130)-SUMIF($C$5:BA$5,"ИТОГО  нерент, по распоряж.",$C130:BA130)-SUMIF($C$5:BA$5,"ИТОГО ост. дебит от ЗБС, Углуб., ПВЛГ/ПНЛГ",$C130:BA130)</f>
        <v>1520.3994444444</v>
      </c>
      <c r="BC130" s="234"/>
      <c r="BD130" s="224" t="n">
        <v>11.6411573490279</v>
      </c>
      <c r="BE130" s="234"/>
      <c r="BF130" s="234"/>
      <c r="BG130" s="224" t="n">
        <f aca="false">SUBTOTAL(9,BC130:BF130)</f>
        <v>11.6411573490279</v>
      </c>
      <c r="BH130" s="203"/>
      <c r="BI130" s="235" t="n">
        <f aca="false">BI$4+SUMIF($C$5:BG$5,"Нараст. по остановкам",$C130:BG130)-SUMIF($C$5:BG$5,"Нараст.  по потенциалу",$C130:BG130)</f>
        <v>869.382704742539</v>
      </c>
      <c r="BJ130" s="185"/>
    </row>
    <row r="131" customFormat="false" ht="1.5" hidden="false" customHeight="true" outlineLevel="0" collapsed="false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 t="n">
        <v>1</v>
      </c>
      <c r="V131" s="151" t="n">
        <v>1</v>
      </c>
      <c r="W131" s="151"/>
      <c r="X131" s="151"/>
      <c r="Y131" s="151"/>
      <c r="Z131" s="151"/>
      <c r="AA131" s="151"/>
      <c r="AB131" s="151"/>
      <c r="AC131" s="151" t="n">
        <v>1</v>
      </c>
      <c r="AD131" s="151"/>
      <c r="AE131" s="151"/>
      <c r="AF131" s="151"/>
      <c r="AG131" s="151"/>
      <c r="AH131" s="151"/>
      <c r="AI131" s="151"/>
      <c r="AJ131" s="151"/>
      <c r="AK131" s="151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85"/>
    </row>
    <row r="132" customFormat="false" ht="11.25" hidden="false" customHeight="true" outlineLevel="0" collapsed="false">
      <c r="A132" s="186" t="n">
        <v>45322</v>
      </c>
      <c r="B132" s="187" t="s">
        <v>173</v>
      </c>
      <c r="C132" s="194" t="s">
        <v>219</v>
      </c>
      <c r="D132" s="194" t="s">
        <v>190</v>
      </c>
      <c r="E132" s="194" t="s">
        <v>189</v>
      </c>
      <c r="F132" s="189" t="n">
        <v>1070</v>
      </c>
      <c r="G132" s="194" t="s">
        <v>175</v>
      </c>
      <c r="H132" s="194" t="s">
        <v>220</v>
      </c>
      <c r="I132" s="194" t="s">
        <v>175</v>
      </c>
      <c r="J132" s="188"/>
      <c r="K132" s="189" t="n">
        <v>464</v>
      </c>
      <c r="L132" s="189" t="n">
        <v>1534</v>
      </c>
      <c r="M132" s="190"/>
      <c r="N132" s="188"/>
      <c r="O132" s="191"/>
      <c r="P132" s="192"/>
      <c r="Q132" s="194" t="s">
        <v>249</v>
      </c>
      <c r="R132" s="188"/>
      <c r="S132" s="191"/>
      <c r="T132" s="192"/>
      <c r="U132" s="194" t="s">
        <v>175</v>
      </c>
      <c r="V132" s="194" t="s">
        <v>191</v>
      </c>
      <c r="W132" s="194" t="s">
        <v>181</v>
      </c>
      <c r="X132" s="194" t="s">
        <v>220</v>
      </c>
      <c r="Y132" s="191"/>
      <c r="Z132" s="192"/>
      <c r="AA132" s="188"/>
      <c r="AB132" s="193" t="n">
        <v>58.3</v>
      </c>
      <c r="AC132" s="194"/>
      <c r="AD132" s="188"/>
      <c r="AE132" s="188"/>
      <c r="AF132" s="193" t="n">
        <v>352.441</v>
      </c>
      <c r="AG132" s="189" t="n">
        <v>410.741</v>
      </c>
      <c r="AH132" s="190"/>
      <c r="AI132" s="195"/>
      <c r="AJ132" s="195"/>
      <c r="AK132" s="196"/>
      <c r="AL132" s="197" t="s">
        <v>189</v>
      </c>
      <c r="AM132" s="197" t="s">
        <v>220</v>
      </c>
      <c r="AN132" s="197" t="s">
        <v>175</v>
      </c>
      <c r="AO132" s="197" t="s">
        <v>192</v>
      </c>
      <c r="AP132" s="197" t="s">
        <v>191</v>
      </c>
      <c r="AQ132" s="197" t="s">
        <v>175</v>
      </c>
      <c r="AR132" s="197" t="s">
        <v>189</v>
      </c>
      <c r="AS132" s="197" t="s">
        <v>175</v>
      </c>
      <c r="AT132" s="197"/>
      <c r="AU132" s="198"/>
      <c r="AV132" s="199"/>
      <c r="AW132" s="188"/>
      <c r="AX132" s="198"/>
      <c r="AY132" s="198"/>
      <c r="AZ132" s="195"/>
      <c r="BA132" s="195"/>
      <c r="BB132" s="200"/>
      <c r="BC132" s="201"/>
      <c r="BD132" s="202"/>
      <c r="BE132" s="201"/>
      <c r="BF132" s="201"/>
      <c r="BG132" s="202"/>
      <c r="BH132" s="203" t="n">
        <f aca="false">BH$4+SUMIF($C$5:BG$5,"Нараст. баланс",$C134:BG134)+SUMIF($C$7:BE$7,"Итого (с ВНР)",$C134:BE134)-SUMIF($C$5:BG$5,"Геол. снижение,  т/сут",$C134:BG134)-SUMIF(BF$7:BG$7,"Итого",BF134:BG134)-SUMIF($C$7:BG$7,"Итого (с ВСП)",$C134:BG134)</f>
        <v>31304.0814341163</v>
      </c>
      <c r="BI132" s="204"/>
      <c r="BJ132" s="185"/>
    </row>
    <row r="133" customFormat="false" ht="11.25" hidden="false" customHeight="true" outlineLevel="0" collapsed="false">
      <c r="A133" s="186"/>
      <c r="B133" s="205" t="s">
        <v>174</v>
      </c>
      <c r="C133" s="212" t="s">
        <v>301</v>
      </c>
      <c r="D133" s="212" t="s">
        <v>302</v>
      </c>
      <c r="E133" s="212" t="s">
        <v>303</v>
      </c>
      <c r="F133" s="207" t="n">
        <v>3</v>
      </c>
      <c r="G133" s="212" t="s">
        <v>304</v>
      </c>
      <c r="H133" s="212" t="s">
        <v>305</v>
      </c>
      <c r="I133" s="212" t="s">
        <v>306</v>
      </c>
      <c r="J133" s="206"/>
      <c r="K133" s="207" t="n">
        <v>3</v>
      </c>
      <c r="L133" s="207" t="n">
        <v>6</v>
      </c>
      <c r="M133" s="208"/>
      <c r="N133" s="206"/>
      <c r="O133" s="209" t="n">
        <f aca="false">SUBTOTAL(9,N135:N135)</f>
        <v>0</v>
      </c>
      <c r="P133" s="210"/>
      <c r="Q133" s="212"/>
      <c r="R133" s="206"/>
      <c r="S133" s="209" t="n">
        <f aca="false">SUBTOTAL(9,Q135:R135)</f>
        <v>0</v>
      </c>
      <c r="T133" s="210"/>
      <c r="U133" s="212" t="s">
        <v>307</v>
      </c>
      <c r="V133" s="212" t="s">
        <v>308</v>
      </c>
      <c r="W133" s="212" t="s">
        <v>225</v>
      </c>
      <c r="X133" s="212" t="s">
        <v>309</v>
      </c>
      <c r="Y133" s="209" t="n">
        <f aca="false">SUBTOTAL(9,U135:X135)</f>
        <v>4</v>
      </c>
      <c r="Z133" s="210"/>
      <c r="AA133" s="206"/>
      <c r="AB133" s="211" t="n">
        <f aca="false">SUBTOTAL(9,AA135:AA135)</f>
        <v>0</v>
      </c>
      <c r="AC133" s="212"/>
      <c r="AD133" s="206"/>
      <c r="AE133" s="206"/>
      <c r="AF133" s="211" t="n">
        <f aca="false">SUBTOTAL(9,AC135:AE135)</f>
        <v>0</v>
      </c>
      <c r="AG133" s="207" t="n">
        <f aca="false">SUBTOTAL(9,AA135:AE135)</f>
        <v>0</v>
      </c>
      <c r="AH133" s="208"/>
      <c r="AI133" s="213"/>
      <c r="AJ133" s="213"/>
      <c r="AK133" s="214"/>
      <c r="AL133" s="215" t="s">
        <v>310</v>
      </c>
      <c r="AM133" s="215" t="s">
        <v>311</v>
      </c>
      <c r="AN133" s="215" t="s">
        <v>312</v>
      </c>
      <c r="AO133" s="215" t="s">
        <v>313</v>
      </c>
      <c r="AP133" s="215" t="s">
        <v>314</v>
      </c>
      <c r="AQ133" s="215" t="s">
        <v>315</v>
      </c>
      <c r="AR133" s="215" t="s">
        <v>316</v>
      </c>
      <c r="AS133" s="215" t="s">
        <v>317</v>
      </c>
      <c r="AT133" s="215"/>
      <c r="AU133" s="207" t="n">
        <f aca="false">SUBTOTAL(9,AL135:AT135)</f>
        <v>8</v>
      </c>
      <c r="AV133" s="216"/>
      <c r="AW133" s="206"/>
      <c r="AX133" s="207" t="n">
        <f aca="false">SUBTOTAL(3,AW133:AW133)</f>
        <v>0</v>
      </c>
      <c r="AY133" s="217"/>
      <c r="AZ133" s="213"/>
      <c r="BA133" s="213"/>
      <c r="BB133" s="218"/>
      <c r="BC133" s="219"/>
      <c r="BD133" s="220"/>
      <c r="BE133" s="219"/>
      <c r="BF133" s="219"/>
      <c r="BG133" s="220"/>
      <c r="BH133" s="203"/>
      <c r="BI133" s="221"/>
      <c r="BJ133" s="185"/>
    </row>
    <row r="134" customFormat="false" ht="11.25" hidden="false" customHeight="true" outlineLevel="0" collapsed="false">
      <c r="A134" s="186"/>
      <c r="B134" s="222" t="s">
        <v>172</v>
      </c>
      <c r="C134" s="229" t="n">
        <v>30</v>
      </c>
      <c r="D134" s="229" t="n">
        <v>30</v>
      </c>
      <c r="E134" s="229" t="n">
        <v>30</v>
      </c>
      <c r="F134" s="224" t="n">
        <f aca="false">SUBTOTAL(9,C134:E134)</f>
        <v>90</v>
      </c>
      <c r="G134" s="229" t="n">
        <v>20</v>
      </c>
      <c r="H134" s="229" t="n">
        <v>5</v>
      </c>
      <c r="I134" s="229" t="n">
        <v>20</v>
      </c>
      <c r="J134" s="223"/>
      <c r="K134" s="224" t="n">
        <f aca="false">SUBTOTAL(9,G134:J134)</f>
        <v>45</v>
      </c>
      <c r="L134" s="224" t="n">
        <f aca="false">SUBTOTAL(9,C134:J134)</f>
        <v>135</v>
      </c>
      <c r="M134" s="225" t="n">
        <v>1534</v>
      </c>
      <c r="N134" s="223"/>
      <c r="O134" s="226" t="n">
        <f aca="false">SUBTOTAL(9,N134:N134)</f>
        <v>0</v>
      </c>
      <c r="P134" s="227" t="n">
        <f aca="false">O134+IF($B130=2,0,P130)</f>
        <v>31.1</v>
      </c>
      <c r="Q134" s="229" t="n">
        <v>35</v>
      </c>
      <c r="R134" s="223"/>
      <c r="S134" s="226" t="n">
        <f aca="false">SUBTOTAL(9,Q134:R134)</f>
        <v>35</v>
      </c>
      <c r="T134" s="227" t="n">
        <f aca="false">S134+IF($B130=2,0,T130)</f>
        <v>255</v>
      </c>
      <c r="U134" s="229" t="n">
        <v>3</v>
      </c>
      <c r="V134" s="229" t="n">
        <v>2</v>
      </c>
      <c r="W134" s="229" t="n">
        <v>6</v>
      </c>
      <c r="X134" s="229" t="n">
        <v>4</v>
      </c>
      <c r="Y134" s="226" t="n">
        <f aca="false">SUBTOTAL(9,U134:X134)</f>
        <v>15</v>
      </c>
      <c r="Z134" s="227" t="n">
        <f aca="false">Y134+IF($B130=2,0,Z130)</f>
        <v>202</v>
      </c>
      <c r="AA134" s="223"/>
      <c r="AB134" s="228" t="n">
        <f aca="false">SUBTOTAL(9,AA134:AA134)</f>
        <v>0</v>
      </c>
      <c r="AC134" s="229" t="n">
        <v>39.1</v>
      </c>
      <c r="AD134" s="223"/>
      <c r="AE134" s="223"/>
      <c r="AF134" s="228" t="n">
        <f aca="false">SUBTOTAL(9,AC134:AE134)</f>
        <v>39.1</v>
      </c>
      <c r="AG134" s="224" t="n">
        <f aca="false">SUBTOTAL(9,AA134:AE134)</f>
        <v>39.1</v>
      </c>
      <c r="AH134" s="225" t="n">
        <f aca="false">AG134+IF($B130=2,0,AH130)</f>
        <v>410.741</v>
      </c>
      <c r="AI134" s="230" t="n">
        <v>0</v>
      </c>
      <c r="AJ134" s="230" t="n">
        <v>0</v>
      </c>
      <c r="AK134" s="231" t="n">
        <v>1550</v>
      </c>
      <c r="AL134" s="232" t="n">
        <v>3.8</v>
      </c>
      <c r="AM134" s="232" t="n">
        <v>0.6</v>
      </c>
      <c r="AN134" s="232" t="n">
        <v>4.9</v>
      </c>
      <c r="AO134" s="232" t="n">
        <v>2.3</v>
      </c>
      <c r="AP134" s="232" t="n">
        <v>4.4</v>
      </c>
      <c r="AQ134" s="232" t="n">
        <v>5.3</v>
      </c>
      <c r="AR134" s="232" t="n">
        <v>8.2</v>
      </c>
      <c r="AS134" s="232" t="n">
        <v>3.4</v>
      </c>
      <c r="AT134" s="232" t="n">
        <v>7.896</v>
      </c>
      <c r="AU134" s="224" t="n">
        <f aca="false">SUBTOTAL(9,AL134:AT134)</f>
        <v>40.796</v>
      </c>
      <c r="AV134" s="228" t="n">
        <f aca="false">AU134+IF($B130=2,0,AV130)</f>
        <v>708.0375555556</v>
      </c>
      <c r="AW134" s="223"/>
      <c r="AX134" s="224" t="n">
        <f aca="false">SUBTOTAL(9,AW134:AW134)</f>
        <v>0</v>
      </c>
      <c r="AY134" s="224" t="n">
        <f aca="false">AX134+IF($B130=2,0,AY130)</f>
        <v>21.1</v>
      </c>
      <c r="AZ134" s="230"/>
      <c r="BA134" s="230"/>
      <c r="BB134" s="233" t="n">
        <f aca="false">SUMIF($C$5:BA$5,"Накопленный эффект, т/сут",$C134:BA134)+SUMIF($C$5:BA$5,"Нараст.  по потенциалу",$C134:BA134)-SUMIF($C$5:BA$5,"Нараст. по остановкам",$C134:BA134)-SUMIF($C$5:BA$5,"ИТОГО перевод в ППД",$C134:BA134)-SUMIF($C$5:BA$5,"ИТОГО  нерент, по распоряж.",$C134:BA134)-SUMIF($C$5:BA$5,"ИТОГО ост. дебит от ЗБС, Углуб., ПВЛГ/ПНЛГ",$C134:BA134)</f>
        <v>1703.7034444444</v>
      </c>
      <c r="BC134" s="234"/>
      <c r="BD134" s="224" t="n">
        <v>0.580010328087218</v>
      </c>
      <c r="BE134" s="234"/>
      <c r="BF134" s="234"/>
      <c r="BG134" s="224" t="n">
        <f aca="false">SUBTOTAL(9,BC134:BF134)</f>
        <v>0.580010328087218</v>
      </c>
      <c r="BH134" s="203"/>
      <c r="BI134" s="235" t="n">
        <f aca="false">BI$4+SUMIF($C$5:BG$5,"Нараст. по остановкам",$C134:BG134)-SUMIF($C$5:BG$5,"Нараст.  по потенциалу",$C134:BG134)</f>
        <v>871.078704742539</v>
      </c>
      <c r="BJ134" s="185"/>
    </row>
    <row r="135" customFormat="false" ht="1.5" hidden="false" customHeight="true" outlineLevel="0" collapsed="false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 t="n">
        <v>1</v>
      </c>
      <c r="V135" s="151" t="n">
        <v>1</v>
      </c>
      <c r="W135" s="151" t="n">
        <v>1</v>
      </c>
      <c r="X135" s="151" t="n">
        <v>1</v>
      </c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 t="n">
        <v>1</v>
      </c>
      <c r="AM135" s="151" t="n">
        <v>1</v>
      </c>
      <c r="AN135" s="151" t="n">
        <v>1</v>
      </c>
      <c r="AO135" s="151" t="n">
        <v>1</v>
      </c>
      <c r="AP135" s="151" t="n">
        <v>1</v>
      </c>
      <c r="AQ135" s="151" t="n">
        <v>1</v>
      </c>
      <c r="AR135" s="151" t="n">
        <v>1</v>
      </c>
      <c r="AS135" s="151" t="n">
        <v>1</v>
      </c>
      <c r="AT135" s="151"/>
      <c r="AU135" s="15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151"/>
      <c r="BJ135" s="185"/>
    </row>
    <row r="136" customFormat="false" ht="24" hidden="false" customHeight="true" outlineLevel="0" collapsed="false">
      <c r="A136" s="239" t="s">
        <v>318</v>
      </c>
      <c r="B136" s="239"/>
      <c r="C136" s="240"/>
      <c r="D136" s="240"/>
      <c r="E136" s="240"/>
      <c r="F136" s="241" t="n">
        <v>18</v>
      </c>
      <c r="G136" s="240"/>
      <c r="H136" s="240"/>
      <c r="I136" s="240"/>
      <c r="J136" s="240"/>
      <c r="K136" s="241" t="n">
        <v>23</v>
      </c>
      <c r="L136" s="242" t="n">
        <v>41</v>
      </c>
      <c r="M136" s="243"/>
      <c r="N136" s="240"/>
      <c r="O136" s="241" t="n">
        <v>4</v>
      </c>
      <c r="P136" s="244"/>
      <c r="Q136" s="240"/>
      <c r="R136" s="240"/>
      <c r="S136" s="241" t="n">
        <v>7</v>
      </c>
      <c r="T136" s="244"/>
      <c r="U136" s="240"/>
      <c r="V136" s="240"/>
      <c r="W136" s="240"/>
      <c r="X136" s="240"/>
      <c r="Y136" s="241" t="n">
        <v>41</v>
      </c>
      <c r="Z136" s="244"/>
      <c r="AA136" s="240"/>
      <c r="AB136" s="241" t="n">
        <v>4</v>
      </c>
      <c r="AC136" s="240"/>
      <c r="AD136" s="240"/>
      <c r="AE136" s="240"/>
      <c r="AF136" s="241" t="n">
        <v>19</v>
      </c>
      <c r="AG136" s="245" t="n">
        <v>23</v>
      </c>
      <c r="AH136" s="246"/>
      <c r="AI136" s="247"/>
      <c r="AJ136" s="247"/>
      <c r="AK136" s="248"/>
      <c r="AL136" s="249"/>
      <c r="AM136" s="249"/>
      <c r="AN136" s="249"/>
      <c r="AO136" s="249"/>
      <c r="AP136" s="249"/>
      <c r="AQ136" s="249"/>
      <c r="AR136" s="249"/>
      <c r="AS136" s="249"/>
      <c r="AT136" s="249"/>
      <c r="AU136" s="245" t="n">
        <v>33</v>
      </c>
      <c r="AV136" s="250"/>
      <c r="AW136" s="249"/>
      <c r="AX136" s="251" t="n">
        <v>6</v>
      </c>
      <c r="AY136" s="250"/>
      <c r="AZ136" s="247"/>
      <c r="BA136" s="247"/>
      <c r="BB136" s="252"/>
      <c r="BC136" s="253"/>
      <c r="BD136" s="253"/>
      <c r="BE136" s="253"/>
      <c r="BF136" s="253"/>
      <c r="BG136" s="253"/>
      <c r="BH136" s="253"/>
      <c r="BI136" s="254"/>
      <c r="BJ136" s="185"/>
    </row>
    <row r="137" customFormat="false" ht="24" hidden="false" customHeight="true" outlineLevel="0" collapsed="false">
      <c r="A137" s="255" t="s">
        <v>319</v>
      </c>
      <c r="B137" s="255"/>
      <c r="C137" s="256"/>
      <c r="D137" s="256"/>
      <c r="E137" s="256"/>
      <c r="F137" s="257" t="n">
        <v>1070</v>
      </c>
      <c r="G137" s="256"/>
      <c r="H137" s="256"/>
      <c r="I137" s="256"/>
      <c r="J137" s="256"/>
      <c r="K137" s="257" t="n">
        <v>464</v>
      </c>
      <c r="L137" s="258" t="n">
        <v>1534</v>
      </c>
      <c r="M137" s="259"/>
      <c r="N137" s="256"/>
      <c r="O137" s="257" t="n">
        <v>31.1</v>
      </c>
      <c r="P137" s="260"/>
      <c r="Q137" s="256"/>
      <c r="R137" s="256"/>
      <c r="S137" s="257" t="n">
        <v>255</v>
      </c>
      <c r="T137" s="260"/>
      <c r="U137" s="256"/>
      <c r="V137" s="256"/>
      <c r="W137" s="256"/>
      <c r="X137" s="256"/>
      <c r="Y137" s="257" t="n">
        <v>202</v>
      </c>
      <c r="Z137" s="260"/>
      <c r="AA137" s="256"/>
      <c r="AB137" s="257" t="n">
        <v>58.3</v>
      </c>
      <c r="AC137" s="256"/>
      <c r="AD137" s="256"/>
      <c r="AE137" s="256"/>
      <c r="AF137" s="257" t="n">
        <v>352.441</v>
      </c>
      <c r="AG137" s="261" t="n">
        <v>410.741</v>
      </c>
      <c r="AH137" s="262"/>
      <c r="AI137" s="263"/>
      <c r="AJ137" s="263"/>
      <c r="AK137" s="264"/>
      <c r="AL137" s="265"/>
      <c r="AM137" s="265"/>
      <c r="AN137" s="265"/>
      <c r="AO137" s="265"/>
      <c r="AP137" s="265"/>
      <c r="AQ137" s="265"/>
      <c r="AR137" s="265"/>
      <c r="AS137" s="265"/>
      <c r="AT137" s="265"/>
      <c r="AU137" s="261" t="n">
        <v>708.0375555556</v>
      </c>
      <c r="AV137" s="266"/>
      <c r="AW137" s="265"/>
      <c r="AX137" s="261" t="n">
        <v>21.1</v>
      </c>
      <c r="AY137" s="266"/>
      <c r="AZ137" s="263"/>
      <c r="BA137" s="263"/>
      <c r="BB137" s="267"/>
      <c r="BC137" s="262"/>
      <c r="BD137" s="262"/>
      <c r="BE137" s="262"/>
      <c r="BF137" s="262"/>
      <c r="BG137" s="262"/>
      <c r="BH137" s="268" t="s">
        <v>320</v>
      </c>
      <c r="BI137" s="269"/>
      <c r="BJ137" s="185"/>
    </row>
    <row r="138" customFormat="false" ht="24" hidden="false" customHeight="true" outlineLevel="0" collapsed="false">
      <c r="A138" s="255" t="s">
        <v>321</v>
      </c>
      <c r="B138" s="255"/>
      <c r="C138" s="256"/>
      <c r="D138" s="256"/>
      <c r="E138" s="256"/>
      <c r="F138" s="270" t="n">
        <v>11460</v>
      </c>
      <c r="G138" s="256"/>
      <c r="H138" s="256"/>
      <c r="I138" s="256"/>
      <c r="J138" s="256"/>
      <c r="K138" s="270" t="n">
        <v>4266</v>
      </c>
      <c r="L138" s="271" t="n">
        <v>15726</v>
      </c>
      <c r="M138" s="271" t="n">
        <f aca="false">SUM(M$12:M134)</f>
        <v>15726</v>
      </c>
      <c r="N138" s="256"/>
      <c r="O138" s="270" t="n">
        <f aca="false">P138</f>
        <v>512.4</v>
      </c>
      <c r="P138" s="272" t="n">
        <f aca="false">SUM(P$12:P134)</f>
        <v>512.4</v>
      </c>
      <c r="Q138" s="256"/>
      <c r="R138" s="256"/>
      <c r="S138" s="270" t="n">
        <f aca="false">T138</f>
        <v>5575</v>
      </c>
      <c r="T138" s="272" t="n">
        <f aca="false">SUM(T$12:T134)</f>
        <v>5575</v>
      </c>
      <c r="U138" s="256"/>
      <c r="V138" s="256"/>
      <c r="W138" s="256"/>
      <c r="X138" s="256"/>
      <c r="Y138" s="270" t="n">
        <f aca="false">Z138</f>
        <v>2789</v>
      </c>
      <c r="Z138" s="272" t="n">
        <f aca="false">SUM(Z$12:Z134)</f>
        <v>2789</v>
      </c>
      <c r="AA138" s="256"/>
      <c r="AB138" s="270" t="n">
        <v>1103.1</v>
      </c>
      <c r="AC138" s="256"/>
      <c r="AD138" s="256"/>
      <c r="AE138" s="256"/>
      <c r="AF138" s="270" t="n">
        <v>5767.403</v>
      </c>
      <c r="AG138" s="273" t="n">
        <v>6870.503</v>
      </c>
      <c r="AH138" s="274" t="n">
        <f aca="false">SUM(AH$12:AH134)</f>
        <v>6870.503</v>
      </c>
      <c r="AI138" s="275" t="n">
        <f aca="false">SUM(AI$14:AI134)</f>
        <v>3808.8</v>
      </c>
      <c r="AJ138" s="275" t="n">
        <f aca="false">SUM(AJ$14:AJ134)</f>
        <v>3808.8</v>
      </c>
      <c r="AK138" s="276" t="n">
        <f aca="false">SUM(AK$12:AK134)</f>
        <v>24800</v>
      </c>
      <c r="AL138" s="265"/>
      <c r="AM138" s="265"/>
      <c r="AN138" s="265"/>
      <c r="AO138" s="265"/>
      <c r="AP138" s="265"/>
      <c r="AQ138" s="265"/>
      <c r="AR138" s="265"/>
      <c r="AS138" s="265"/>
      <c r="AT138" s="265"/>
      <c r="AU138" s="273" t="n">
        <f aca="false">AV138</f>
        <v>14714.2768888895</v>
      </c>
      <c r="AV138" s="277" t="n">
        <f aca="false">SUM(AV$12:AV134)</f>
        <v>14714.2768888895</v>
      </c>
      <c r="AW138" s="265"/>
      <c r="AX138" s="261" t="n">
        <f aca="false">AY138</f>
        <v>359.3</v>
      </c>
      <c r="AY138" s="278" t="n">
        <f aca="false">SUM(AY$12:AY134)</f>
        <v>359.3</v>
      </c>
      <c r="AZ138" s="275" t="n">
        <f aca="false">SUM(AZ$14:AZ134)</f>
        <v>156.6</v>
      </c>
      <c r="BA138" s="275" t="n">
        <f aca="false">SUM(BA$14:BA134)</f>
        <v>156.6</v>
      </c>
      <c r="BB138" s="279" t="n">
        <f aca="false">SUM(BB$12:BB134)</f>
        <v>16399.3261111105</v>
      </c>
      <c r="BC138" s="280" t="n">
        <f aca="false">SUBTOTAL(9,BC$14:BC134)</f>
        <v>854.3</v>
      </c>
      <c r="BD138" s="280" t="n">
        <f aca="false">SUBTOTAL(9,BD$14:BD134)</f>
        <v>660.246356708507</v>
      </c>
      <c r="BE138" s="280" t="n">
        <f aca="false">SUBTOTAL(9,BE$14:BE134)</f>
        <v>612.597088569529</v>
      </c>
      <c r="BF138" s="280" t="n">
        <f aca="false">SUBTOTAL(9,BF$14:BF134)</f>
        <v>258.498262578916</v>
      </c>
      <c r="BG138" s="280" t="n">
        <f aca="false">SUM(BG$12:BG134)</f>
        <v>2385.64170785695</v>
      </c>
      <c r="BH138" s="274" t="n">
        <f aca="false">BH$4*DAY($A132)+SUMIF($C$5:BG$5,"Нараст. баланс",$C138:BG138)+SUMIF($C$7:BE$7,"Итого (с ВНР)",$C138:BE138)-SUMIF($C$5:BG$5,"Геол. снижение,  т/сут",$C138:BG138)-SUMIF(BF$7:BG$7,"Итого",BF138:BG138)-SUMIF($C$7:BG$7,"Итого (с ВСП)",$C138:BG138)</f>
        <v>958545.582403254</v>
      </c>
      <c r="BI138" s="261" t="n">
        <f aca="false">SUBTOTAL(1,BI$12:BI134)</f>
        <v>826.807113344665</v>
      </c>
      <c r="BJ138" s="185"/>
    </row>
    <row r="139" customFormat="false" ht="26.25" hidden="false" customHeight="true" outlineLevel="0" collapsed="false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281" t="s">
        <v>322</v>
      </c>
      <c r="AB139" s="281"/>
      <c r="AC139" s="281"/>
      <c r="AD139" s="281"/>
      <c r="AE139" s="281"/>
      <c r="AF139" s="281"/>
      <c r="AG139" s="281"/>
      <c r="AH139" s="281"/>
      <c r="AI139" s="151"/>
      <c r="AJ139" s="151"/>
      <c r="AK139" s="282" t="s">
        <v>323</v>
      </c>
      <c r="AL139" s="282"/>
      <c r="AM139" s="282"/>
      <c r="AN139" s="282"/>
      <c r="AO139" s="282"/>
      <c r="AP139" s="282"/>
      <c r="AQ139" s="282"/>
      <c r="AR139" s="282"/>
      <c r="AS139" s="28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151"/>
      <c r="BG139" s="151"/>
      <c r="BH139" s="283" t="n">
        <f aca="false">BH132-SUMIF($C$7:BE$7,"Итого (с ВНР)",$C134:BE134)+SUMIF($C$7:BG$7,"Итого (с ВСП)",$C134:BG134)+SUMIF(BF$7:BG$7,"Итого",BF134:BG134)</f>
        <v>31304.6614444444</v>
      </c>
      <c r="BI139" s="284" t="s">
        <v>17</v>
      </c>
      <c r="BJ139" s="185"/>
    </row>
    <row r="140" customFormat="false" ht="15" hidden="false" customHeight="true" outlineLevel="0" collapsed="false">
      <c r="A140" s="151"/>
      <c r="B140" s="151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5"/>
      <c r="BE140" s="185"/>
      <c r="BF140" s="185"/>
      <c r="BG140" s="185"/>
      <c r="BH140" s="185"/>
      <c r="BI140" s="185"/>
      <c r="BJ140" s="185"/>
    </row>
    <row r="141" customFormat="false" ht="15" hidden="false" customHeight="true" outlineLevel="0" collapsed="false">
      <c r="A141" s="151"/>
      <c r="B141" s="151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  <c r="AM141" s="185"/>
      <c r="AN141" s="185"/>
      <c r="AO141" s="185"/>
      <c r="AP141" s="185"/>
      <c r="AQ141" s="185"/>
      <c r="AR141" s="185"/>
      <c r="AS141" s="185"/>
      <c r="AT141" s="185"/>
      <c r="AU141" s="185"/>
      <c r="AV141" s="185"/>
      <c r="AW141" s="185"/>
      <c r="AX141" s="185"/>
      <c r="AY141" s="185"/>
      <c r="AZ141" s="185"/>
      <c r="BA141" s="185"/>
      <c r="BB141" s="185"/>
      <c r="BC141" s="185"/>
      <c r="BD141" s="185"/>
      <c r="BE141" s="185"/>
      <c r="BF141" s="185"/>
      <c r="BG141" s="185"/>
      <c r="BH141" s="185"/>
      <c r="BI141" s="185"/>
      <c r="BJ141" s="185"/>
    </row>
    <row r="142" customFormat="false" ht="15" hidden="false" customHeight="true" outlineLevel="0" collapsed="false">
      <c r="A142" s="151"/>
      <c r="B142" s="151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  <c r="AX142" s="185"/>
      <c r="AY142" s="185"/>
      <c r="AZ142" s="185"/>
      <c r="BA142" s="185"/>
      <c r="BB142" s="185"/>
      <c r="BC142" s="185"/>
      <c r="BD142" s="185"/>
      <c r="BE142" s="185"/>
      <c r="BF142" s="185"/>
      <c r="BG142" s="185"/>
      <c r="BH142" s="185"/>
      <c r="BI142" s="185"/>
      <c r="BJ142" s="185"/>
    </row>
  </sheetData>
  <mergeCells count="120">
    <mergeCell ref="C1:AC1"/>
    <mergeCell ref="C2:AB2"/>
    <mergeCell ref="C3:K3"/>
    <mergeCell ref="A4:B4"/>
    <mergeCell ref="C4:AJ4"/>
    <mergeCell ref="AK4:BG4"/>
    <mergeCell ref="A5:A9"/>
    <mergeCell ref="B5:B9"/>
    <mergeCell ref="C5:L5"/>
    <mergeCell ref="M5:M9"/>
    <mergeCell ref="N5:O7"/>
    <mergeCell ref="P5:P9"/>
    <mergeCell ref="Q5:S7"/>
    <mergeCell ref="T5:T9"/>
    <mergeCell ref="U5:Y7"/>
    <mergeCell ref="Z5:Z9"/>
    <mergeCell ref="AA5:AG5"/>
    <mergeCell ref="AH5:AH9"/>
    <mergeCell ref="AI5:AJ6"/>
    <mergeCell ref="AK5:AK9"/>
    <mergeCell ref="AL5:AU7"/>
    <mergeCell ref="AV5:AV9"/>
    <mergeCell ref="AW5:AX7"/>
    <mergeCell ref="AY5:AY9"/>
    <mergeCell ref="AZ5:BA6"/>
    <mergeCell ref="BB5:BB9"/>
    <mergeCell ref="BC5:BG5"/>
    <mergeCell ref="BH5:BH9"/>
    <mergeCell ref="BI5:BI9"/>
    <mergeCell ref="C6:F7"/>
    <mergeCell ref="G6:K7"/>
    <mergeCell ref="L6:L9"/>
    <mergeCell ref="AA6:AB7"/>
    <mergeCell ref="AC6:AF7"/>
    <mergeCell ref="AG6:AG9"/>
    <mergeCell ref="AI7:AI9"/>
    <mergeCell ref="AJ7:AJ9"/>
    <mergeCell ref="AZ7:AZ9"/>
    <mergeCell ref="BA7:BA9"/>
    <mergeCell ref="BC7:BC9"/>
    <mergeCell ref="BD7:BD9"/>
    <mergeCell ref="BE7:BE9"/>
    <mergeCell ref="BF7:BF9"/>
    <mergeCell ref="BG7:BG9"/>
    <mergeCell ref="C10:F10"/>
    <mergeCell ref="G10:K10"/>
    <mergeCell ref="N10:O10"/>
    <mergeCell ref="Q10:S10"/>
    <mergeCell ref="U10:Y10"/>
    <mergeCell ref="AA10:AB10"/>
    <mergeCell ref="AC10:AF10"/>
    <mergeCell ref="AL10:AU10"/>
    <mergeCell ref="AW10:AX10"/>
    <mergeCell ref="A12:A14"/>
    <mergeCell ref="BH12:BH14"/>
    <mergeCell ref="A16:A18"/>
    <mergeCell ref="BH16:BH18"/>
    <mergeCell ref="A20:A22"/>
    <mergeCell ref="BH20:BH22"/>
    <mergeCell ref="A24:A26"/>
    <mergeCell ref="BH24:BH26"/>
    <mergeCell ref="A28:A30"/>
    <mergeCell ref="BH28:BH30"/>
    <mergeCell ref="A32:A34"/>
    <mergeCell ref="BH32:BH34"/>
    <mergeCell ref="A36:A38"/>
    <mergeCell ref="BH36:BH38"/>
    <mergeCell ref="A40:A42"/>
    <mergeCell ref="BH40:BH42"/>
    <mergeCell ref="A44:A46"/>
    <mergeCell ref="BH44:BH46"/>
    <mergeCell ref="A48:A50"/>
    <mergeCell ref="BH48:BH50"/>
    <mergeCell ref="A52:A54"/>
    <mergeCell ref="BH52:BH54"/>
    <mergeCell ref="A56:A58"/>
    <mergeCell ref="BH56:BH58"/>
    <mergeCell ref="A60:A62"/>
    <mergeCell ref="BH60:BH62"/>
    <mergeCell ref="A64:A66"/>
    <mergeCell ref="BH64:BH66"/>
    <mergeCell ref="A68:A70"/>
    <mergeCell ref="BH68:BH70"/>
    <mergeCell ref="A72:A74"/>
    <mergeCell ref="BH72:BH74"/>
    <mergeCell ref="A76:A78"/>
    <mergeCell ref="BH76:BH78"/>
    <mergeCell ref="A80:A82"/>
    <mergeCell ref="BH80:BH82"/>
    <mergeCell ref="A84:A86"/>
    <mergeCell ref="BH84:BH86"/>
    <mergeCell ref="A88:A90"/>
    <mergeCell ref="BH88:BH90"/>
    <mergeCell ref="A92:A94"/>
    <mergeCell ref="BH92:BH94"/>
    <mergeCell ref="A96:A98"/>
    <mergeCell ref="BH96:BH98"/>
    <mergeCell ref="A100:A102"/>
    <mergeCell ref="BH100:BH102"/>
    <mergeCell ref="A104:A106"/>
    <mergeCell ref="BH104:BH106"/>
    <mergeCell ref="A108:A110"/>
    <mergeCell ref="BH108:BH110"/>
    <mergeCell ref="A112:A114"/>
    <mergeCell ref="BH112:BH114"/>
    <mergeCell ref="A116:A118"/>
    <mergeCell ref="BH116:BH118"/>
    <mergeCell ref="A120:A122"/>
    <mergeCell ref="BH120:BH122"/>
    <mergeCell ref="A124:A126"/>
    <mergeCell ref="BH124:BH126"/>
    <mergeCell ref="A128:A130"/>
    <mergeCell ref="BH128:BH130"/>
    <mergeCell ref="A132:A134"/>
    <mergeCell ref="BH132:BH134"/>
    <mergeCell ref="A136:B136"/>
    <mergeCell ref="A137:B137"/>
    <mergeCell ref="A138:B138"/>
    <mergeCell ref="AA139:AH139"/>
    <mergeCell ref="AK139:BE139"/>
  </mergeCells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V49"/>
  <sheetViews>
    <sheetView showFormulas="false" showGridLines="true" showRowColHeaders="true" showZeros="true" rightToLeft="false" tabSelected="false" showOutlineSymbols="true" defaultGridColor="true" view="normal" topLeftCell="A17" colorId="64" zoomScale="75" zoomScaleNormal="7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21"/>
    <col collapsed="false" customWidth="true" hidden="false" outlineLevel="0" max="3" min="3" style="1" width="9.29"/>
    <col collapsed="false" customWidth="true" hidden="false" outlineLevel="0" max="5" min="4" style="1" width="13.29"/>
    <col collapsed="false" customWidth="true" hidden="false" outlineLevel="0" max="6" min="6" style="1" width="13.71"/>
    <col collapsed="false" customWidth="true" hidden="false" outlineLevel="0" max="46" min="7" style="1" width="13.29"/>
    <col collapsed="false" customWidth="true" hidden="false" outlineLevel="0" max="47" min="47" style="1" width="13.71"/>
    <col collapsed="false" customWidth="true" hidden="false" outlineLevel="0" max="48" min="48" style="1" width="9.29"/>
    <col collapsed="false" customWidth="false" hidden="false" outlineLevel="0" max="16384" min="49" style="1" width="9.14"/>
  </cols>
  <sheetData>
    <row r="1" customFormat="false" ht="15" hidden="false" customHeight="true" outlineLevel="0" collapsed="false">
      <c r="A1" s="3" t="s">
        <v>137</v>
      </c>
      <c r="B1" s="4"/>
      <c r="C1" s="4"/>
      <c r="D1" s="4"/>
      <c r="E1" s="4"/>
      <c r="F1" s="285" t="s">
        <v>324</v>
      </c>
      <c r="G1" s="285"/>
      <c r="H1" s="285"/>
      <c r="I1" s="285"/>
      <c r="J1" s="285"/>
      <c r="K1" s="285"/>
      <c r="L1" s="28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customFormat="false" ht="15" hidden="false" customHeight="true" outlineLevel="0" collapsed="false">
      <c r="A2" s="4"/>
      <c r="B2" s="286" t="s">
        <v>325</v>
      </c>
      <c r="C2" s="287" t="s">
        <v>0</v>
      </c>
      <c r="D2" s="287"/>
      <c r="E2" s="287"/>
      <c r="F2" s="287"/>
      <c r="G2" s="287"/>
      <c r="H2" s="287"/>
      <c r="I2" s="287"/>
      <c r="J2" s="287"/>
      <c r="K2" s="287"/>
      <c r="L2" s="6"/>
      <c r="M2" s="6"/>
      <c r="N2" s="6"/>
      <c r="O2" s="6"/>
      <c r="P2" s="6"/>
      <c r="Q2" s="6"/>
      <c r="R2" s="6"/>
      <c r="S2" s="6"/>
      <c r="T2" s="6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customFormat="false" ht="15" hidden="false" customHeight="true" outlineLevel="0" collapsed="false">
      <c r="A3" s="4"/>
      <c r="B3" s="286" t="s">
        <v>326</v>
      </c>
      <c r="C3" s="288" t="n">
        <v>45292</v>
      </c>
      <c r="D3" s="288"/>
      <c r="E3" s="289"/>
      <c r="F3" s="289"/>
      <c r="G3" s="6"/>
      <c r="H3" s="6"/>
      <c r="I3" s="289"/>
      <c r="J3" s="289"/>
      <c r="K3" s="289"/>
      <c r="L3" s="289"/>
      <c r="M3" s="6"/>
      <c r="N3" s="6"/>
      <c r="O3" s="6"/>
      <c r="P3" s="6"/>
      <c r="Q3" s="6"/>
      <c r="R3" s="6"/>
      <c r="S3" s="6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customFormat="false" ht="1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customFormat="false" ht="15" hidden="false" customHeight="true" outlineLevel="0" collapsed="false">
      <c r="A5" s="4"/>
      <c r="B5" s="290" t="s">
        <v>327</v>
      </c>
      <c r="C5" s="291" t="s">
        <v>328</v>
      </c>
      <c r="D5" s="292" t="s">
        <v>329</v>
      </c>
      <c r="E5" s="292"/>
      <c r="F5" s="292"/>
      <c r="G5" s="292"/>
      <c r="H5" s="292"/>
      <c r="I5" s="292"/>
      <c r="J5" s="292"/>
      <c r="K5" s="292"/>
      <c r="L5" s="292"/>
      <c r="M5" s="293" t="s">
        <v>329</v>
      </c>
      <c r="N5" s="292" t="s">
        <v>330</v>
      </c>
      <c r="O5" s="292"/>
      <c r="P5" s="292"/>
      <c r="Q5" s="292"/>
      <c r="R5" s="292"/>
      <c r="S5" s="292"/>
      <c r="T5" s="292"/>
      <c r="U5" s="292"/>
      <c r="V5" s="292"/>
      <c r="W5" s="293" t="s">
        <v>330</v>
      </c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/>
      <c r="AO5" s="292"/>
      <c r="AP5" s="292"/>
      <c r="AQ5" s="292"/>
      <c r="AR5" s="292"/>
      <c r="AS5" s="292"/>
      <c r="AT5" s="293"/>
      <c r="AU5" s="294" t="s">
        <v>158</v>
      </c>
      <c r="AV5" s="6"/>
    </row>
    <row r="6" customFormat="false" ht="13.5" hidden="false" customHeight="true" outlineLevel="0" collapsed="false">
      <c r="A6" s="4"/>
      <c r="B6" s="290"/>
      <c r="C6" s="291"/>
      <c r="D6" s="290" t="s">
        <v>331</v>
      </c>
      <c r="E6" s="290" t="s">
        <v>331</v>
      </c>
      <c r="F6" s="290" t="s">
        <v>331</v>
      </c>
      <c r="G6" s="290" t="s">
        <v>331</v>
      </c>
      <c r="H6" s="290" t="s">
        <v>331</v>
      </c>
      <c r="I6" s="290" t="s">
        <v>331</v>
      </c>
      <c r="J6" s="290" t="s">
        <v>331</v>
      </c>
      <c r="K6" s="290" t="s">
        <v>331</v>
      </c>
      <c r="L6" s="290" t="s">
        <v>331</v>
      </c>
      <c r="M6" s="293"/>
      <c r="N6" s="290" t="s">
        <v>332</v>
      </c>
      <c r="O6" s="290" t="s">
        <v>332</v>
      </c>
      <c r="P6" s="290" t="s">
        <v>332</v>
      </c>
      <c r="Q6" s="290" t="s">
        <v>333</v>
      </c>
      <c r="R6" s="290" t="s">
        <v>333</v>
      </c>
      <c r="S6" s="290" t="s">
        <v>333</v>
      </c>
      <c r="T6" s="290" t="s">
        <v>333</v>
      </c>
      <c r="U6" s="290" t="s">
        <v>333</v>
      </c>
      <c r="V6" s="290" t="s">
        <v>333</v>
      </c>
      <c r="W6" s="293"/>
      <c r="X6" s="290" t="s">
        <v>334</v>
      </c>
      <c r="Y6" s="290" t="s">
        <v>334</v>
      </c>
      <c r="Z6" s="290" t="s">
        <v>334</v>
      </c>
      <c r="AA6" s="290" t="s">
        <v>334</v>
      </c>
      <c r="AB6" s="290" t="s">
        <v>334</v>
      </c>
      <c r="AC6" s="290" t="s">
        <v>334</v>
      </c>
      <c r="AD6" s="290" t="s">
        <v>335</v>
      </c>
      <c r="AE6" s="290" t="s">
        <v>335</v>
      </c>
      <c r="AF6" s="290" t="s">
        <v>335</v>
      </c>
      <c r="AG6" s="290" t="s">
        <v>335</v>
      </c>
      <c r="AH6" s="290" t="s">
        <v>335</v>
      </c>
      <c r="AI6" s="290" t="s">
        <v>335</v>
      </c>
      <c r="AJ6" s="290" t="s">
        <v>335</v>
      </c>
      <c r="AK6" s="290" t="s">
        <v>335</v>
      </c>
      <c r="AL6" s="290" t="s">
        <v>335</v>
      </c>
      <c r="AM6" s="290" t="s">
        <v>335</v>
      </c>
      <c r="AN6" s="290" t="s">
        <v>335</v>
      </c>
      <c r="AO6" s="290" t="s">
        <v>335</v>
      </c>
      <c r="AP6" s="290" t="s">
        <v>335</v>
      </c>
      <c r="AQ6" s="290" t="s">
        <v>336</v>
      </c>
      <c r="AR6" s="290" t="s">
        <v>336</v>
      </c>
      <c r="AS6" s="290" t="s">
        <v>336</v>
      </c>
      <c r="AT6" s="293"/>
      <c r="AU6" s="293"/>
      <c r="AV6" s="6"/>
    </row>
    <row r="7" customFormat="false" ht="36.75" hidden="false" customHeight="true" outlineLevel="0" collapsed="false">
      <c r="A7" s="4"/>
      <c r="B7" s="290"/>
      <c r="C7" s="291"/>
      <c r="D7" s="295" t="s">
        <v>337</v>
      </c>
      <c r="E7" s="295" t="s">
        <v>338</v>
      </c>
      <c r="F7" s="295" t="s">
        <v>339</v>
      </c>
      <c r="G7" s="295" t="s">
        <v>340</v>
      </c>
      <c r="H7" s="295" t="s">
        <v>341</v>
      </c>
      <c r="I7" s="295" t="s">
        <v>290</v>
      </c>
      <c r="J7" s="295" t="s">
        <v>342</v>
      </c>
      <c r="K7" s="295" t="s">
        <v>343</v>
      </c>
      <c r="L7" s="295" t="s">
        <v>344</v>
      </c>
      <c r="M7" s="293"/>
      <c r="N7" s="295" t="s">
        <v>345</v>
      </c>
      <c r="O7" s="295" t="s">
        <v>254</v>
      </c>
      <c r="P7" s="295" t="s">
        <v>346</v>
      </c>
      <c r="Q7" s="295" t="s">
        <v>347</v>
      </c>
      <c r="R7" s="295" t="s">
        <v>249</v>
      </c>
      <c r="S7" s="295" t="s">
        <v>348</v>
      </c>
      <c r="T7" s="295" t="s">
        <v>349</v>
      </c>
      <c r="U7" s="295" t="s">
        <v>350</v>
      </c>
      <c r="V7" s="295" t="s">
        <v>351</v>
      </c>
      <c r="W7" s="293"/>
      <c r="X7" s="295" t="s">
        <v>352</v>
      </c>
      <c r="Y7" s="295" t="s">
        <v>259</v>
      </c>
      <c r="Z7" s="295" t="s">
        <v>353</v>
      </c>
      <c r="AA7" s="295" t="s">
        <v>354</v>
      </c>
      <c r="AB7" s="295" t="s">
        <v>355</v>
      </c>
      <c r="AC7" s="295" t="s">
        <v>356</v>
      </c>
      <c r="AD7" s="295" t="s">
        <v>357</v>
      </c>
      <c r="AE7" s="295" t="s">
        <v>358</v>
      </c>
      <c r="AF7" s="295" t="s">
        <v>359</v>
      </c>
      <c r="AG7" s="295" t="s">
        <v>360</v>
      </c>
      <c r="AH7" s="295" t="s">
        <v>361</v>
      </c>
      <c r="AI7" s="295" t="s">
        <v>362</v>
      </c>
      <c r="AJ7" s="295" t="s">
        <v>363</v>
      </c>
      <c r="AK7" s="295" t="s">
        <v>364</v>
      </c>
      <c r="AL7" s="295" t="s">
        <v>365</v>
      </c>
      <c r="AM7" s="295" t="s">
        <v>366</v>
      </c>
      <c r="AN7" s="295" t="s">
        <v>367</v>
      </c>
      <c r="AO7" s="295" t="s">
        <v>368</v>
      </c>
      <c r="AP7" s="295" t="s">
        <v>369</v>
      </c>
      <c r="AQ7" s="295" t="s">
        <v>370</v>
      </c>
      <c r="AR7" s="295" t="s">
        <v>371</v>
      </c>
      <c r="AS7" s="295" t="s">
        <v>289</v>
      </c>
      <c r="AT7" s="293"/>
      <c r="AU7" s="293"/>
      <c r="AV7" s="6"/>
    </row>
    <row r="8" customFormat="false" ht="13.5" hidden="false" customHeight="true" outlineLevel="0" collapsed="false">
      <c r="A8" s="4"/>
      <c r="B8" s="296" t="s">
        <v>22</v>
      </c>
      <c r="C8" s="297" t="s">
        <v>17</v>
      </c>
      <c r="D8" s="298" t="n">
        <v>0</v>
      </c>
      <c r="E8" s="298" t="n">
        <v>2575.011</v>
      </c>
      <c r="F8" s="298" t="n">
        <v>717</v>
      </c>
      <c r="G8" s="298" t="n">
        <v>209.98</v>
      </c>
      <c r="H8" s="298" t="n">
        <v>0</v>
      </c>
      <c r="I8" s="298" t="n">
        <v>1180.011</v>
      </c>
      <c r="J8" s="298" t="n">
        <v>414.969</v>
      </c>
      <c r="K8" s="298" t="n">
        <v>868</v>
      </c>
      <c r="L8" s="298" t="n">
        <v>75</v>
      </c>
      <c r="M8" s="299" t="n">
        <f aca="false">SUMIF(D$9:L$9,"&gt;0",D8:L8)</f>
        <v>6039.971</v>
      </c>
      <c r="N8" s="298" t="n">
        <v>5344.976</v>
      </c>
      <c r="O8" s="298" t="n">
        <v>1119.957</v>
      </c>
      <c r="P8" s="298" t="n">
        <v>995.002</v>
      </c>
      <c r="Q8" s="298" t="n">
        <v>0</v>
      </c>
      <c r="R8" s="298" t="n">
        <v>6979.977</v>
      </c>
      <c r="S8" s="298" t="n">
        <v>0</v>
      </c>
      <c r="T8" s="298" t="n">
        <v>69.99</v>
      </c>
      <c r="U8" s="298" t="n">
        <v>150.047</v>
      </c>
      <c r="V8" s="298" t="n">
        <v>0</v>
      </c>
      <c r="W8" s="299" t="n">
        <f aca="false">SUMIF(N$9:V$9,"&gt;0",N8:V8)</f>
        <v>14659.949</v>
      </c>
      <c r="X8" s="298" t="n">
        <v>273.01</v>
      </c>
      <c r="Y8" s="298" t="n">
        <v>1201.986</v>
      </c>
      <c r="Z8" s="298" t="n">
        <v>0</v>
      </c>
      <c r="AA8" s="298" t="n">
        <v>7</v>
      </c>
      <c r="AB8" s="298" t="n">
        <v>2057.604</v>
      </c>
      <c r="AC8" s="298" t="n">
        <v>0</v>
      </c>
      <c r="AD8" s="298" t="n">
        <v>0</v>
      </c>
      <c r="AE8" s="298" t="n">
        <v>0</v>
      </c>
      <c r="AF8" s="298" t="n">
        <v>0</v>
      </c>
      <c r="AG8" s="298" t="n">
        <v>249.052</v>
      </c>
      <c r="AH8" s="298" t="n">
        <v>0</v>
      </c>
      <c r="AI8" s="298" t="n">
        <v>1389.985</v>
      </c>
      <c r="AJ8" s="298" t="n">
        <v>0</v>
      </c>
      <c r="AK8" s="298" t="n">
        <v>0</v>
      </c>
      <c r="AL8" s="298" t="n">
        <v>25.97</v>
      </c>
      <c r="AM8" s="298" t="n">
        <v>297.024</v>
      </c>
      <c r="AN8" s="298" t="n">
        <v>751.477</v>
      </c>
      <c r="AO8" s="298" t="n">
        <v>78.013</v>
      </c>
      <c r="AP8" s="298" t="n">
        <v>0</v>
      </c>
      <c r="AQ8" s="298" t="n">
        <v>90.014</v>
      </c>
      <c r="AR8" s="298" t="n">
        <v>2389.978</v>
      </c>
      <c r="AS8" s="298" t="n">
        <v>1639.926</v>
      </c>
      <c r="AT8" s="299" t="n">
        <f aca="false">SUMIF(X$9:AS$9,"&gt;0",X8:AS8)</f>
        <v>10451.039</v>
      </c>
      <c r="AU8" s="299" t="n">
        <f aca="false">SUMIF(D$9:AS$9,"&gt;0",D8:AS8)</f>
        <v>31150.959</v>
      </c>
      <c r="AV8" s="6"/>
    </row>
    <row r="9" customFormat="false" ht="13.5" hidden="false" customHeight="true" outlineLevel="0" collapsed="false">
      <c r="A9" s="4"/>
      <c r="B9" s="300" t="n">
        <v>0</v>
      </c>
      <c r="C9" s="6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1</v>
      </c>
      <c r="K9" s="3" t="n">
        <v>1</v>
      </c>
      <c r="L9" s="3" t="n">
        <v>1</v>
      </c>
      <c r="M9" s="3" t="n">
        <f aca="false">-1</f>
        <v>-1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1</v>
      </c>
      <c r="W9" s="3" t="n">
        <f aca="false">-1</f>
        <v>-1</v>
      </c>
      <c r="X9" s="3" t="n">
        <v>1</v>
      </c>
      <c r="Y9" s="3" t="n">
        <v>1</v>
      </c>
      <c r="Z9" s="3" t="n">
        <v>1</v>
      </c>
      <c r="AA9" s="3" t="n">
        <v>1</v>
      </c>
      <c r="AB9" s="3" t="n">
        <v>1</v>
      </c>
      <c r="AC9" s="3" t="n">
        <v>1</v>
      </c>
      <c r="AD9" s="3" t="n">
        <v>1</v>
      </c>
      <c r="AE9" s="3" t="n">
        <v>1</v>
      </c>
      <c r="AF9" s="3" t="n">
        <v>1</v>
      </c>
      <c r="AG9" s="3" t="n">
        <v>1</v>
      </c>
      <c r="AH9" s="3" t="n">
        <v>1</v>
      </c>
      <c r="AI9" s="3" t="n">
        <v>1</v>
      </c>
      <c r="AJ9" s="3" t="n">
        <v>1</v>
      </c>
      <c r="AK9" s="3" t="n">
        <v>1</v>
      </c>
      <c r="AL9" s="3" t="n">
        <v>1</v>
      </c>
      <c r="AM9" s="3" t="n">
        <v>1</v>
      </c>
      <c r="AN9" s="3" t="n">
        <v>1</v>
      </c>
      <c r="AO9" s="3" t="n">
        <v>1</v>
      </c>
      <c r="AP9" s="3" t="n">
        <v>1</v>
      </c>
      <c r="AQ9" s="3" t="n">
        <v>1</v>
      </c>
      <c r="AR9" s="3" t="n">
        <v>1</v>
      </c>
      <c r="AS9" s="3" t="n">
        <v>1</v>
      </c>
      <c r="AT9" s="3" t="n">
        <f aca="false">-1</f>
        <v>-1</v>
      </c>
      <c r="AU9" s="301" t="n">
        <v>32336.948</v>
      </c>
      <c r="AV9" s="302" t="n">
        <v>0</v>
      </c>
    </row>
    <row r="10" customFormat="false" ht="15" hidden="false" customHeight="true" outlineLevel="0" collapsed="false">
      <c r="A10" s="4"/>
      <c r="B10" s="303" t="n">
        <v>1</v>
      </c>
      <c r="C10" s="304" t="s">
        <v>17</v>
      </c>
      <c r="D10" s="305" t="n">
        <v>0</v>
      </c>
      <c r="E10" s="305" t="n">
        <v>2568.401</v>
      </c>
      <c r="F10" s="305" t="n">
        <v>716.8</v>
      </c>
      <c r="G10" s="305" t="n">
        <v>209.97</v>
      </c>
      <c r="H10" s="305" t="n">
        <v>0</v>
      </c>
      <c r="I10" s="305" t="n">
        <v>1179.011</v>
      </c>
      <c r="J10" s="305" t="n">
        <v>414.609</v>
      </c>
      <c r="K10" s="305" t="n">
        <v>867.8</v>
      </c>
      <c r="L10" s="305" t="n">
        <v>75</v>
      </c>
      <c r="M10" s="305" t="n">
        <f aca="false">SUMIF(D$9:L$9,"&gt;0",D10:L10)</f>
        <v>6031.591</v>
      </c>
      <c r="N10" s="305" t="n">
        <v>5334.066</v>
      </c>
      <c r="O10" s="305" t="n">
        <v>1111.557</v>
      </c>
      <c r="P10" s="305" t="n">
        <v>993.502</v>
      </c>
      <c r="Q10" s="305" t="n">
        <v>0</v>
      </c>
      <c r="R10" s="305" t="n">
        <v>6979.977</v>
      </c>
      <c r="S10" s="305" t="n">
        <v>0</v>
      </c>
      <c r="T10" s="305" t="n">
        <v>69.98</v>
      </c>
      <c r="U10" s="305" t="n">
        <v>149.997</v>
      </c>
      <c r="V10" s="305" t="n">
        <v>0</v>
      </c>
      <c r="W10" s="305" t="n">
        <f aca="false">SUMIF(N$9:V$9,"&gt;0",N10:V10)</f>
        <v>14639.079</v>
      </c>
      <c r="X10" s="305" t="n">
        <v>272.79</v>
      </c>
      <c r="Y10" s="305" t="n">
        <v>1199.827</v>
      </c>
      <c r="Z10" s="305" t="n">
        <v>0</v>
      </c>
      <c r="AA10" s="305" t="n">
        <v>7</v>
      </c>
      <c r="AB10" s="305" t="n">
        <v>2057.204</v>
      </c>
      <c r="AC10" s="305" t="n">
        <v>0</v>
      </c>
      <c r="AD10" s="305" t="n">
        <v>0</v>
      </c>
      <c r="AE10" s="305" t="n">
        <v>0</v>
      </c>
      <c r="AF10" s="305" t="n">
        <v>0</v>
      </c>
      <c r="AG10" s="305" t="n">
        <v>249.032</v>
      </c>
      <c r="AH10" s="305" t="n">
        <v>0</v>
      </c>
      <c r="AI10" s="305" t="n">
        <v>1386.785</v>
      </c>
      <c r="AJ10" s="305" t="n">
        <v>0</v>
      </c>
      <c r="AK10" s="305" t="n">
        <v>0</v>
      </c>
      <c r="AL10" s="305" t="n">
        <v>25.94</v>
      </c>
      <c r="AM10" s="305" t="n">
        <v>296.994</v>
      </c>
      <c r="AN10" s="305" t="n">
        <v>750.877</v>
      </c>
      <c r="AO10" s="305" t="n">
        <v>77.803</v>
      </c>
      <c r="AP10" s="305" t="n">
        <v>0</v>
      </c>
      <c r="AQ10" s="305" t="n">
        <v>89.824</v>
      </c>
      <c r="AR10" s="305" t="n">
        <v>2386.978</v>
      </c>
      <c r="AS10" s="305" t="n">
        <v>1638.426</v>
      </c>
      <c r="AT10" s="305" t="n">
        <f aca="false">SUMIF(X$9:AS$9,"&gt;0",X10:AS10)</f>
        <v>10439.48</v>
      </c>
      <c r="AU10" s="305" t="n">
        <f aca="false">SUMIF(D$9:AS$9,"&gt;0",D10:AS10)</f>
        <v>31110.15</v>
      </c>
      <c r="AV10" s="302" t="n">
        <v>1</v>
      </c>
    </row>
    <row r="11" customFormat="false" ht="15" hidden="false" customHeight="true" outlineLevel="0" collapsed="false">
      <c r="A11" s="4"/>
      <c r="B11" s="303" t="n">
        <v>2</v>
      </c>
      <c r="C11" s="304" t="s">
        <v>17</v>
      </c>
      <c r="D11" s="305" t="n">
        <v>0</v>
      </c>
      <c r="E11" s="305" t="n">
        <v>2523.317</v>
      </c>
      <c r="F11" s="305" t="n">
        <v>716.6</v>
      </c>
      <c r="G11" s="305" t="n">
        <v>209.96</v>
      </c>
      <c r="H11" s="305" t="n">
        <v>0</v>
      </c>
      <c r="I11" s="305" t="n">
        <v>1164.611</v>
      </c>
      <c r="J11" s="305" t="n">
        <v>414.249</v>
      </c>
      <c r="K11" s="305" t="n">
        <v>867.6</v>
      </c>
      <c r="L11" s="305" t="n">
        <v>75</v>
      </c>
      <c r="M11" s="305" t="n">
        <f aca="false">SUMIF(D$9:L$9,"&gt;0",D11:L11)</f>
        <v>5971.337</v>
      </c>
      <c r="N11" s="305" t="n">
        <v>5323.056</v>
      </c>
      <c r="O11" s="305" t="n">
        <v>1103.157</v>
      </c>
      <c r="P11" s="305" t="n">
        <v>992.002</v>
      </c>
      <c r="Q11" s="305" t="n">
        <v>0</v>
      </c>
      <c r="R11" s="305" t="n">
        <v>6980.077</v>
      </c>
      <c r="S11" s="305" t="n">
        <v>0</v>
      </c>
      <c r="T11" s="305" t="n">
        <v>69.97</v>
      </c>
      <c r="U11" s="305" t="n">
        <v>149.947</v>
      </c>
      <c r="V11" s="305" t="n">
        <v>0</v>
      </c>
      <c r="W11" s="305" t="n">
        <f aca="false">SUMIF(N$9:V$9,"&gt;0",N11:V11)</f>
        <v>14618.209</v>
      </c>
      <c r="X11" s="305" t="n">
        <v>272.57</v>
      </c>
      <c r="Y11" s="305" t="n">
        <v>1201.286</v>
      </c>
      <c r="Z11" s="305" t="n">
        <v>0</v>
      </c>
      <c r="AA11" s="305" t="n">
        <v>7</v>
      </c>
      <c r="AB11" s="305" t="n">
        <v>2056.504</v>
      </c>
      <c r="AC11" s="305" t="n">
        <v>0</v>
      </c>
      <c r="AD11" s="305" t="n">
        <v>0</v>
      </c>
      <c r="AE11" s="305" t="n">
        <v>0</v>
      </c>
      <c r="AF11" s="305" t="n">
        <v>0</v>
      </c>
      <c r="AG11" s="305" t="n">
        <v>249.012</v>
      </c>
      <c r="AH11" s="305" t="n">
        <v>0</v>
      </c>
      <c r="AI11" s="305" t="n">
        <v>1383.585</v>
      </c>
      <c r="AJ11" s="305" t="n">
        <v>0</v>
      </c>
      <c r="AK11" s="305" t="n">
        <v>0</v>
      </c>
      <c r="AL11" s="305" t="n">
        <v>25.91</v>
      </c>
      <c r="AM11" s="305" t="n">
        <v>296.964</v>
      </c>
      <c r="AN11" s="305" t="n">
        <v>750.226</v>
      </c>
      <c r="AO11" s="305" t="n">
        <v>77.593</v>
      </c>
      <c r="AP11" s="305" t="n">
        <v>0</v>
      </c>
      <c r="AQ11" s="305" t="n">
        <v>89.634</v>
      </c>
      <c r="AR11" s="305" t="n">
        <v>2367.356</v>
      </c>
      <c r="AS11" s="305" t="n">
        <v>1630.726</v>
      </c>
      <c r="AT11" s="305" t="n">
        <f aca="false">SUMIF(X$9:AS$9,"&gt;0",X11:AS11)</f>
        <v>10408.366</v>
      </c>
      <c r="AU11" s="305" t="n">
        <f aca="false">SUMIF(D$9:AS$9,"&gt;0",D11:AS11)</f>
        <v>30997.912</v>
      </c>
      <c r="AV11" s="302" t="n">
        <v>2</v>
      </c>
    </row>
    <row r="12" customFormat="false" ht="15" hidden="false" customHeight="true" outlineLevel="0" collapsed="false">
      <c r="A12" s="4"/>
      <c r="B12" s="303" t="n">
        <v>3</v>
      </c>
      <c r="C12" s="304" t="s">
        <v>17</v>
      </c>
      <c r="D12" s="305" t="n">
        <v>0</v>
      </c>
      <c r="E12" s="305" t="n">
        <v>2509.581</v>
      </c>
      <c r="F12" s="305" t="n">
        <v>716.4</v>
      </c>
      <c r="G12" s="305" t="n">
        <v>209.95</v>
      </c>
      <c r="H12" s="305" t="n">
        <v>0</v>
      </c>
      <c r="I12" s="305" t="n">
        <v>1163.611</v>
      </c>
      <c r="J12" s="305" t="n">
        <v>413.889</v>
      </c>
      <c r="K12" s="305" t="n">
        <v>867.4</v>
      </c>
      <c r="L12" s="305" t="n">
        <v>75</v>
      </c>
      <c r="M12" s="305" t="n">
        <f aca="false">SUMIF(D$9:L$9,"&gt;0",D12:L12)</f>
        <v>5955.831</v>
      </c>
      <c r="N12" s="305" t="n">
        <v>5296.25</v>
      </c>
      <c r="O12" s="305" t="n">
        <v>1094.757</v>
      </c>
      <c r="P12" s="305" t="n">
        <v>990.502</v>
      </c>
      <c r="Q12" s="305" t="n">
        <v>0</v>
      </c>
      <c r="R12" s="305" t="n">
        <v>6980.177</v>
      </c>
      <c r="S12" s="305" t="n">
        <v>0</v>
      </c>
      <c r="T12" s="305" t="n">
        <v>69.96</v>
      </c>
      <c r="U12" s="305" t="n">
        <v>149.897</v>
      </c>
      <c r="V12" s="305" t="n">
        <v>0</v>
      </c>
      <c r="W12" s="305" t="n">
        <f aca="false">SUMIF(N$9:V$9,"&gt;0",N12:V12)</f>
        <v>14581.543</v>
      </c>
      <c r="X12" s="305" t="n">
        <v>272.35</v>
      </c>
      <c r="Y12" s="305" t="n">
        <v>1200.936</v>
      </c>
      <c r="Z12" s="305" t="n">
        <v>0</v>
      </c>
      <c r="AA12" s="305" t="n">
        <v>7</v>
      </c>
      <c r="AB12" s="305" t="n">
        <v>2056.104</v>
      </c>
      <c r="AC12" s="305" t="n">
        <v>0</v>
      </c>
      <c r="AD12" s="305" t="n">
        <v>0</v>
      </c>
      <c r="AE12" s="305" t="n">
        <v>0</v>
      </c>
      <c r="AF12" s="305" t="n">
        <v>0</v>
      </c>
      <c r="AG12" s="305" t="n">
        <v>248.992</v>
      </c>
      <c r="AH12" s="305" t="n">
        <v>0</v>
      </c>
      <c r="AI12" s="305" t="n">
        <v>1380.385</v>
      </c>
      <c r="AJ12" s="305" t="n">
        <v>0</v>
      </c>
      <c r="AK12" s="305" t="n">
        <v>0</v>
      </c>
      <c r="AL12" s="305" t="n">
        <v>25.88</v>
      </c>
      <c r="AM12" s="305" t="n">
        <v>296.934</v>
      </c>
      <c r="AN12" s="305" t="n">
        <v>749.677</v>
      </c>
      <c r="AO12" s="305" t="n">
        <v>77.383</v>
      </c>
      <c r="AP12" s="305" t="n">
        <v>0</v>
      </c>
      <c r="AQ12" s="305" t="n">
        <v>89.444</v>
      </c>
      <c r="AR12" s="305" t="n">
        <v>2399.003</v>
      </c>
      <c r="AS12" s="305" t="n">
        <v>1611.929</v>
      </c>
      <c r="AT12" s="305" t="n">
        <f aca="false">SUMIF(X$9:AS$9,"&gt;0",X12:AS12)</f>
        <v>10416.017</v>
      </c>
      <c r="AU12" s="305" t="n">
        <f aca="false">SUMIF(D$9:AS$9,"&gt;0",D12:AS12)</f>
        <v>30953.391</v>
      </c>
      <c r="AV12" s="302" t="n">
        <v>3</v>
      </c>
    </row>
    <row r="13" customFormat="false" ht="15" hidden="false" customHeight="true" outlineLevel="0" collapsed="false">
      <c r="A13" s="4"/>
      <c r="B13" s="303" t="n">
        <v>4</v>
      </c>
      <c r="C13" s="304" t="s">
        <v>17</v>
      </c>
      <c r="D13" s="305" t="n">
        <v>0</v>
      </c>
      <c r="E13" s="305" t="n">
        <v>2532.971</v>
      </c>
      <c r="F13" s="305" t="n">
        <v>716.2</v>
      </c>
      <c r="G13" s="305" t="n">
        <v>209.94</v>
      </c>
      <c r="H13" s="305" t="n">
        <v>0</v>
      </c>
      <c r="I13" s="305" t="n">
        <v>1162.611</v>
      </c>
      <c r="J13" s="305" t="n">
        <v>413.529</v>
      </c>
      <c r="K13" s="305" t="n">
        <v>867.2</v>
      </c>
      <c r="L13" s="305" t="n">
        <v>75</v>
      </c>
      <c r="M13" s="305" t="n">
        <f aca="false">SUMIF(D$9:L$9,"&gt;0",D13:L13)</f>
        <v>5977.451</v>
      </c>
      <c r="N13" s="305" t="n">
        <v>5287.74</v>
      </c>
      <c r="O13" s="305" t="n">
        <v>1086.357</v>
      </c>
      <c r="P13" s="305" t="n">
        <v>963.002</v>
      </c>
      <c r="Q13" s="305" t="n">
        <v>0</v>
      </c>
      <c r="R13" s="305" t="n">
        <v>6980.177</v>
      </c>
      <c r="S13" s="305" t="n">
        <v>0</v>
      </c>
      <c r="T13" s="305" t="n">
        <v>69.95</v>
      </c>
      <c r="U13" s="305" t="n">
        <v>149.847</v>
      </c>
      <c r="V13" s="305" t="n">
        <v>0</v>
      </c>
      <c r="W13" s="305" t="n">
        <f aca="false">SUMIF(N$9:V$9,"&gt;0",N13:V13)</f>
        <v>14537.073</v>
      </c>
      <c r="X13" s="305" t="n">
        <v>272.13</v>
      </c>
      <c r="Y13" s="305" t="n">
        <v>1200.586</v>
      </c>
      <c r="Z13" s="305" t="n">
        <v>0</v>
      </c>
      <c r="AA13" s="305" t="n">
        <v>7</v>
      </c>
      <c r="AB13" s="305" t="n">
        <v>2055.704</v>
      </c>
      <c r="AC13" s="305" t="n">
        <v>0</v>
      </c>
      <c r="AD13" s="305" t="n">
        <v>0</v>
      </c>
      <c r="AE13" s="305" t="n">
        <v>0</v>
      </c>
      <c r="AF13" s="305" t="n">
        <v>0</v>
      </c>
      <c r="AG13" s="305" t="n">
        <v>248.972</v>
      </c>
      <c r="AH13" s="305" t="n">
        <v>0</v>
      </c>
      <c r="AI13" s="305" t="n">
        <v>1377.185</v>
      </c>
      <c r="AJ13" s="305" t="n">
        <v>0</v>
      </c>
      <c r="AK13" s="305" t="n">
        <v>0</v>
      </c>
      <c r="AL13" s="305" t="n">
        <v>25.85</v>
      </c>
      <c r="AM13" s="305" t="n">
        <v>296.904</v>
      </c>
      <c r="AN13" s="305" t="n">
        <v>749.077</v>
      </c>
      <c r="AO13" s="305" t="n">
        <v>77.173</v>
      </c>
      <c r="AP13" s="305" t="n">
        <v>0</v>
      </c>
      <c r="AQ13" s="305" t="n">
        <v>89.254</v>
      </c>
      <c r="AR13" s="305" t="n">
        <v>2403.028</v>
      </c>
      <c r="AS13" s="305" t="n">
        <v>1616.026</v>
      </c>
      <c r="AT13" s="305" t="n">
        <f aca="false">SUMIF(X$9:AS$9,"&gt;0",X13:AS13)</f>
        <v>10418.889</v>
      </c>
      <c r="AU13" s="305" t="n">
        <f aca="false">SUMIF(D$9:AS$9,"&gt;0",D13:AS13)</f>
        <v>30933.413</v>
      </c>
      <c r="AV13" s="302" t="n">
        <v>4</v>
      </c>
    </row>
    <row r="14" customFormat="false" ht="15" hidden="false" customHeight="true" outlineLevel="0" collapsed="false">
      <c r="A14" s="4"/>
      <c r="B14" s="303" t="n">
        <v>5</v>
      </c>
      <c r="C14" s="304" t="s">
        <v>17</v>
      </c>
      <c r="D14" s="305" t="n">
        <v>0</v>
      </c>
      <c r="E14" s="305" t="n">
        <v>2581.161</v>
      </c>
      <c r="F14" s="305" t="n">
        <v>716</v>
      </c>
      <c r="G14" s="305" t="n">
        <v>209.93</v>
      </c>
      <c r="H14" s="305" t="n">
        <v>0</v>
      </c>
      <c r="I14" s="305" t="n">
        <v>1180.811</v>
      </c>
      <c r="J14" s="305" t="n">
        <v>413.169</v>
      </c>
      <c r="K14" s="305" t="n">
        <v>866.9</v>
      </c>
      <c r="L14" s="305" t="n">
        <v>75</v>
      </c>
      <c r="M14" s="305" t="n">
        <f aca="false">SUMIF(D$9:L$9,"&gt;0",D14:L14)</f>
        <v>6042.971</v>
      </c>
      <c r="N14" s="305" t="n">
        <v>5276.83</v>
      </c>
      <c r="O14" s="305" t="n">
        <v>1077.957</v>
      </c>
      <c r="P14" s="305" t="n">
        <v>969.502</v>
      </c>
      <c r="Q14" s="305" t="n">
        <v>0</v>
      </c>
      <c r="R14" s="305" t="n">
        <v>6980.31</v>
      </c>
      <c r="S14" s="305" t="n">
        <v>0</v>
      </c>
      <c r="T14" s="305" t="n">
        <v>69.94</v>
      </c>
      <c r="U14" s="305" t="n">
        <v>149.797</v>
      </c>
      <c r="V14" s="305" t="n">
        <v>0</v>
      </c>
      <c r="W14" s="305" t="n">
        <f aca="false">SUMIF(N$9:V$9,"&gt;0",N14:V14)</f>
        <v>14524.336</v>
      </c>
      <c r="X14" s="305" t="n">
        <v>271.91</v>
      </c>
      <c r="Y14" s="305" t="n">
        <v>1200.236</v>
      </c>
      <c r="Z14" s="305" t="n">
        <v>0</v>
      </c>
      <c r="AA14" s="305" t="n">
        <v>7</v>
      </c>
      <c r="AB14" s="305" t="n">
        <v>2054.745</v>
      </c>
      <c r="AC14" s="305" t="n">
        <v>0</v>
      </c>
      <c r="AD14" s="305" t="n">
        <v>0</v>
      </c>
      <c r="AE14" s="305" t="n">
        <v>0</v>
      </c>
      <c r="AF14" s="305" t="n">
        <v>0</v>
      </c>
      <c r="AG14" s="305" t="n">
        <v>248.952</v>
      </c>
      <c r="AH14" s="305" t="n">
        <v>0</v>
      </c>
      <c r="AI14" s="305" t="n">
        <v>1369.965</v>
      </c>
      <c r="AJ14" s="305" t="n">
        <v>0</v>
      </c>
      <c r="AK14" s="305" t="n">
        <v>0</v>
      </c>
      <c r="AL14" s="305" t="n">
        <v>25.82</v>
      </c>
      <c r="AM14" s="305" t="n">
        <v>296.874</v>
      </c>
      <c r="AN14" s="305" t="n">
        <v>753.477</v>
      </c>
      <c r="AO14" s="305" t="n">
        <v>76.963</v>
      </c>
      <c r="AP14" s="305" t="n">
        <v>0</v>
      </c>
      <c r="AQ14" s="305" t="n">
        <v>89.064</v>
      </c>
      <c r="AR14" s="305" t="n">
        <v>2398.086</v>
      </c>
      <c r="AS14" s="305" t="n">
        <v>1637.879</v>
      </c>
      <c r="AT14" s="305" t="n">
        <f aca="false">SUMIF(X$9:AS$9,"&gt;0",X14:AS14)</f>
        <v>10430.971</v>
      </c>
      <c r="AU14" s="305" t="n">
        <f aca="false">SUMIF(D$9:AS$9,"&gt;0",D14:AS14)</f>
        <v>30998.278</v>
      </c>
      <c r="AV14" s="302" t="n">
        <v>5</v>
      </c>
    </row>
    <row r="15" customFormat="false" ht="15" hidden="false" customHeight="true" outlineLevel="0" collapsed="false">
      <c r="A15" s="4"/>
      <c r="B15" s="303" t="n">
        <v>6</v>
      </c>
      <c r="C15" s="304" t="s">
        <v>17</v>
      </c>
      <c r="D15" s="305" t="n">
        <v>0</v>
      </c>
      <c r="E15" s="305" t="n">
        <v>2574.551</v>
      </c>
      <c r="F15" s="305" t="n">
        <v>715.8</v>
      </c>
      <c r="G15" s="305" t="n">
        <v>209.92</v>
      </c>
      <c r="H15" s="305" t="n">
        <v>0</v>
      </c>
      <c r="I15" s="305" t="n">
        <v>1179.811</v>
      </c>
      <c r="J15" s="305" t="n">
        <v>412.809</v>
      </c>
      <c r="K15" s="305" t="n">
        <v>866.7</v>
      </c>
      <c r="L15" s="305" t="n">
        <v>75</v>
      </c>
      <c r="M15" s="305" t="n">
        <f aca="false">SUMIF(D$9:L$9,"&gt;0",D15:L15)</f>
        <v>6034.591</v>
      </c>
      <c r="N15" s="305" t="n">
        <v>5281.32</v>
      </c>
      <c r="O15" s="305" t="n">
        <v>1069.557</v>
      </c>
      <c r="P15" s="305" t="n">
        <v>942.002</v>
      </c>
      <c r="Q15" s="305" t="n">
        <v>0</v>
      </c>
      <c r="R15" s="305" t="n">
        <v>6980.277</v>
      </c>
      <c r="S15" s="305" t="n">
        <v>0</v>
      </c>
      <c r="T15" s="305" t="n">
        <v>69.93</v>
      </c>
      <c r="U15" s="305" t="n">
        <v>149.747</v>
      </c>
      <c r="V15" s="305" t="n">
        <v>0</v>
      </c>
      <c r="W15" s="305" t="n">
        <f aca="false">SUMIF(N$9:V$9,"&gt;0",N15:V15)</f>
        <v>14492.833</v>
      </c>
      <c r="X15" s="305" t="n">
        <v>271.69</v>
      </c>
      <c r="Y15" s="305" t="n">
        <v>1199.886</v>
      </c>
      <c r="Z15" s="305" t="n">
        <v>0</v>
      </c>
      <c r="AA15" s="305" t="n">
        <v>7</v>
      </c>
      <c r="AB15" s="305" t="n">
        <v>2054.904</v>
      </c>
      <c r="AC15" s="305" t="n">
        <v>0</v>
      </c>
      <c r="AD15" s="305" t="n">
        <v>0</v>
      </c>
      <c r="AE15" s="305" t="n">
        <v>0</v>
      </c>
      <c r="AF15" s="305" t="n">
        <v>0</v>
      </c>
      <c r="AG15" s="305" t="n">
        <v>248.932</v>
      </c>
      <c r="AH15" s="305" t="n">
        <v>0</v>
      </c>
      <c r="AI15" s="305" t="n">
        <v>1370.785</v>
      </c>
      <c r="AJ15" s="305" t="n">
        <v>0</v>
      </c>
      <c r="AK15" s="305" t="n">
        <v>0</v>
      </c>
      <c r="AL15" s="305" t="n">
        <v>25.79</v>
      </c>
      <c r="AM15" s="305" t="n">
        <v>296.844</v>
      </c>
      <c r="AN15" s="305" t="n">
        <v>752.877</v>
      </c>
      <c r="AO15" s="305" t="n">
        <v>76.753</v>
      </c>
      <c r="AP15" s="305" t="n">
        <v>0</v>
      </c>
      <c r="AQ15" s="305" t="n">
        <v>88.874</v>
      </c>
      <c r="AR15" s="305" t="n">
        <v>2400.028</v>
      </c>
      <c r="AS15" s="305" t="n">
        <v>1631.929</v>
      </c>
      <c r="AT15" s="305" t="n">
        <f aca="false">SUMIF(X$9:AS$9,"&gt;0",X15:AS15)</f>
        <v>10426.292</v>
      </c>
      <c r="AU15" s="305" t="n">
        <f aca="false">SUMIF(D$9:AS$9,"&gt;0",D15:AS15)</f>
        <v>30953.716</v>
      </c>
      <c r="AV15" s="302" t="n">
        <v>6</v>
      </c>
    </row>
    <row r="16" customFormat="false" ht="15" hidden="false" customHeight="true" outlineLevel="0" collapsed="false">
      <c r="A16" s="4"/>
      <c r="B16" s="303" t="n">
        <v>7</v>
      </c>
      <c r="C16" s="304" t="s">
        <v>17</v>
      </c>
      <c r="D16" s="305" t="n">
        <v>0</v>
      </c>
      <c r="E16" s="305" t="n">
        <v>2598.341</v>
      </c>
      <c r="F16" s="305" t="n">
        <v>715.6</v>
      </c>
      <c r="G16" s="305" t="n">
        <v>209.91</v>
      </c>
      <c r="H16" s="305" t="n">
        <v>0</v>
      </c>
      <c r="I16" s="305" t="n">
        <v>1145.911</v>
      </c>
      <c r="J16" s="305" t="n">
        <v>412.449</v>
      </c>
      <c r="K16" s="305" t="n">
        <v>866.5</v>
      </c>
      <c r="L16" s="305" t="n">
        <v>75</v>
      </c>
      <c r="M16" s="305" t="n">
        <f aca="false">SUMIF(D$9:L$9,"&gt;0",D16:L16)</f>
        <v>6023.711</v>
      </c>
      <c r="N16" s="305" t="n">
        <v>5297.41</v>
      </c>
      <c r="O16" s="305" t="n">
        <v>1061.157</v>
      </c>
      <c r="P16" s="305" t="n">
        <v>940.502</v>
      </c>
      <c r="Q16" s="305" t="n">
        <v>0</v>
      </c>
      <c r="R16" s="305" t="n">
        <v>6980.377</v>
      </c>
      <c r="S16" s="305" t="n">
        <v>0</v>
      </c>
      <c r="T16" s="305" t="n">
        <v>69.92</v>
      </c>
      <c r="U16" s="305" t="n">
        <v>149.697</v>
      </c>
      <c r="V16" s="305" t="n">
        <v>0</v>
      </c>
      <c r="W16" s="305" t="n">
        <f aca="false">SUMIF(N$9:V$9,"&gt;0",N16:V16)</f>
        <v>14499.063</v>
      </c>
      <c r="X16" s="305" t="n">
        <v>271.47</v>
      </c>
      <c r="Y16" s="305" t="n">
        <v>1199.536</v>
      </c>
      <c r="Z16" s="305" t="n">
        <v>0</v>
      </c>
      <c r="AA16" s="305" t="n">
        <v>7</v>
      </c>
      <c r="AB16" s="305" t="n">
        <v>2054.504</v>
      </c>
      <c r="AC16" s="305" t="n">
        <v>0</v>
      </c>
      <c r="AD16" s="305" t="n">
        <v>0</v>
      </c>
      <c r="AE16" s="305" t="n">
        <v>0</v>
      </c>
      <c r="AF16" s="305" t="n">
        <v>0</v>
      </c>
      <c r="AG16" s="305" t="n">
        <v>248.912</v>
      </c>
      <c r="AH16" s="305" t="n">
        <v>0</v>
      </c>
      <c r="AI16" s="305" t="n">
        <v>1367.585</v>
      </c>
      <c r="AJ16" s="305" t="n">
        <v>0</v>
      </c>
      <c r="AK16" s="305" t="n">
        <v>0</v>
      </c>
      <c r="AL16" s="305" t="n">
        <v>25.76</v>
      </c>
      <c r="AM16" s="305" t="n">
        <v>296.814</v>
      </c>
      <c r="AN16" s="305" t="n">
        <v>752.277</v>
      </c>
      <c r="AO16" s="305" t="n">
        <v>76.543</v>
      </c>
      <c r="AP16" s="305" t="n">
        <v>0</v>
      </c>
      <c r="AQ16" s="305" t="n">
        <v>88.684</v>
      </c>
      <c r="AR16" s="305" t="n">
        <v>2389.953</v>
      </c>
      <c r="AS16" s="305" t="n">
        <v>1641.526</v>
      </c>
      <c r="AT16" s="305" t="n">
        <f aca="false">SUMIF(X$9:AS$9,"&gt;0",X16:AS16)</f>
        <v>10420.564</v>
      </c>
      <c r="AU16" s="305" t="n">
        <f aca="false">SUMIF(D$9:AS$9,"&gt;0",D16:AS16)</f>
        <v>30943.338</v>
      </c>
      <c r="AV16" s="302" t="n">
        <v>7</v>
      </c>
    </row>
    <row r="17" customFormat="false" ht="15" hidden="false" customHeight="true" outlineLevel="0" collapsed="false">
      <c r="A17" s="4"/>
      <c r="B17" s="303" t="n">
        <v>8</v>
      </c>
      <c r="C17" s="304" t="s">
        <v>17</v>
      </c>
      <c r="D17" s="305" t="n">
        <v>0</v>
      </c>
      <c r="E17" s="305" t="n">
        <v>2588.631</v>
      </c>
      <c r="F17" s="305" t="n">
        <v>715.4</v>
      </c>
      <c r="G17" s="305" t="n">
        <v>209.9</v>
      </c>
      <c r="H17" s="305" t="n">
        <v>0</v>
      </c>
      <c r="I17" s="305" t="n">
        <v>1144.911</v>
      </c>
      <c r="J17" s="305" t="n">
        <v>412.089</v>
      </c>
      <c r="K17" s="305" t="n">
        <v>866.3</v>
      </c>
      <c r="L17" s="305" t="n">
        <v>75</v>
      </c>
      <c r="M17" s="305" t="n">
        <f aca="false">SUMIF(D$9:L$9,"&gt;0",D17:L17)</f>
        <v>6012.231</v>
      </c>
      <c r="N17" s="305" t="n">
        <v>5276.104</v>
      </c>
      <c r="O17" s="305" t="n">
        <v>1052.757</v>
      </c>
      <c r="P17" s="305" t="n">
        <v>939.002</v>
      </c>
      <c r="Q17" s="305" t="n">
        <v>0</v>
      </c>
      <c r="R17" s="305" t="n">
        <v>6980.477</v>
      </c>
      <c r="S17" s="305" t="n">
        <v>0</v>
      </c>
      <c r="T17" s="305" t="n">
        <v>69.91</v>
      </c>
      <c r="U17" s="305" t="n">
        <v>149.647</v>
      </c>
      <c r="V17" s="305" t="n">
        <v>0</v>
      </c>
      <c r="W17" s="305" t="n">
        <f aca="false">SUMIF(N$9:V$9,"&gt;0",N17:V17)</f>
        <v>14467.897</v>
      </c>
      <c r="X17" s="305" t="n">
        <v>271.25</v>
      </c>
      <c r="Y17" s="305" t="n">
        <v>1202.186</v>
      </c>
      <c r="Z17" s="305" t="n">
        <v>0</v>
      </c>
      <c r="AA17" s="305" t="n">
        <v>7</v>
      </c>
      <c r="AB17" s="305" t="n">
        <v>2054.104</v>
      </c>
      <c r="AC17" s="305" t="n">
        <v>0</v>
      </c>
      <c r="AD17" s="305" t="n">
        <v>0</v>
      </c>
      <c r="AE17" s="305" t="n">
        <v>0</v>
      </c>
      <c r="AF17" s="305" t="n">
        <v>0</v>
      </c>
      <c r="AG17" s="305" t="n">
        <v>248.892</v>
      </c>
      <c r="AH17" s="305" t="n">
        <v>0</v>
      </c>
      <c r="AI17" s="305" t="n">
        <v>1372.485</v>
      </c>
      <c r="AJ17" s="305" t="n">
        <v>0</v>
      </c>
      <c r="AK17" s="305" t="n">
        <v>0</v>
      </c>
      <c r="AL17" s="305" t="n">
        <v>25.73</v>
      </c>
      <c r="AM17" s="305" t="n">
        <v>296.784</v>
      </c>
      <c r="AN17" s="305" t="n">
        <v>743.791</v>
      </c>
      <c r="AO17" s="305" t="n">
        <v>76.333</v>
      </c>
      <c r="AP17" s="305" t="n">
        <v>0</v>
      </c>
      <c r="AQ17" s="305" t="n">
        <v>88.494</v>
      </c>
      <c r="AR17" s="305" t="n">
        <v>2411.457</v>
      </c>
      <c r="AS17" s="305" t="n">
        <v>1636.797</v>
      </c>
      <c r="AT17" s="305" t="n">
        <f aca="false">SUMIF(X$9:AS$9,"&gt;0",X17:AS17)</f>
        <v>10435.303</v>
      </c>
      <c r="AU17" s="305" t="n">
        <f aca="false">SUMIF(D$9:AS$9,"&gt;0",D17:AS17)</f>
        <v>30915.431</v>
      </c>
      <c r="AV17" s="302" t="n">
        <v>8</v>
      </c>
    </row>
    <row r="18" customFormat="false" ht="15" hidden="false" customHeight="true" outlineLevel="0" collapsed="false">
      <c r="A18" s="4"/>
      <c r="B18" s="303" t="n">
        <v>9</v>
      </c>
      <c r="C18" s="304" t="s">
        <v>17</v>
      </c>
      <c r="D18" s="305" t="n">
        <v>0</v>
      </c>
      <c r="E18" s="305" t="n">
        <v>2582.021</v>
      </c>
      <c r="F18" s="305" t="n">
        <v>715.2</v>
      </c>
      <c r="G18" s="305" t="n">
        <v>209.89</v>
      </c>
      <c r="H18" s="305" t="n">
        <v>0</v>
      </c>
      <c r="I18" s="305" t="n">
        <v>1143.911</v>
      </c>
      <c r="J18" s="305" t="n">
        <v>411.219</v>
      </c>
      <c r="K18" s="305" t="n">
        <v>866.1</v>
      </c>
      <c r="L18" s="305" t="n">
        <v>75</v>
      </c>
      <c r="M18" s="305" t="n">
        <f aca="false">SUMIF(D$9:L$9,"&gt;0",D18:L18)</f>
        <v>6003.341</v>
      </c>
      <c r="N18" s="305" t="n">
        <v>5261.807</v>
      </c>
      <c r="O18" s="305" t="n">
        <v>1044.357</v>
      </c>
      <c r="P18" s="305" t="n">
        <v>781.823</v>
      </c>
      <c r="Q18" s="305" t="n">
        <v>0</v>
      </c>
      <c r="R18" s="305" t="n">
        <v>6980.477</v>
      </c>
      <c r="S18" s="305" t="n">
        <v>0</v>
      </c>
      <c r="T18" s="305" t="n">
        <v>69.9</v>
      </c>
      <c r="U18" s="305" t="n">
        <v>149.597</v>
      </c>
      <c r="V18" s="305" t="n">
        <v>0</v>
      </c>
      <c r="W18" s="305" t="n">
        <f aca="false">SUMIF(N$9:V$9,"&gt;0",N18:V18)</f>
        <v>14287.961</v>
      </c>
      <c r="X18" s="305" t="n">
        <v>271.03</v>
      </c>
      <c r="Y18" s="305" t="n">
        <v>1197.718</v>
      </c>
      <c r="Z18" s="305" t="n">
        <v>0</v>
      </c>
      <c r="AA18" s="305" t="n">
        <v>7</v>
      </c>
      <c r="AB18" s="305" t="n">
        <v>2050.81</v>
      </c>
      <c r="AC18" s="305" t="n">
        <v>0</v>
      </c>
      <c r="AD18" s="305" t="n">
        <v>0</v>
      </c>
      <c r="AE18" s="305" t="n">
        <v>0</v>
      </c>
      <c r="AF18" s="305" t="n">
        <v>0</v>
      </c>
      <c r="AG18" s="305" t="n">
        <v>248.872</v>
      </c>
      <c r="AH18" s="305" t="n">
        <v>0</v>
      </c>
      <c r="AI18" s="305" t="n">
        <v>1361.275</v>
      </c>
      <c r="AJ18" s="305" t="n">
        <v>0</v>
      </c>
      <c r="AK18" s="305" t="n">
        <v>0</v>
      </c>
      <c r="AL18" s="305" t="n">
        <v>25.7</v>
      </c>
      <c r="AM18" s="305" t="n">
        <v>296.754</v>
      </c>
      <c r="AN18" s="305" t="n">
        <v>742.777</v>
      </c>
      <c r="AO18" s="305" t="n">
        <v>76.123</v>
      </c>
      <c r="AP18" s="305" t="n">
        <v>0</v>
      </c>
      <c r="AQ18" s="305" t="n">
        <v>88.304</v>
      </c>
      <c r="AR18" s="305" t="n">
        <v>2407.664</v>
      </c>
      <c r="AS18" s="305" t="n">
        <v>1640.526</v>
      </c>
      <c r="AT18" s="305" t="n">
        <f aca="false">SUMIF(X$9:AS$9,"&gt;0",X18:AS18)</f>
        <v>10414.553</v>
      </c>
      <c r="AU18" s="305" t="n">
        <f aca="false">SUMIF(D$9:AS$9,"&gt;0",D18:AS18)</f>
        <v>30705.855</v>
      </c>
      <c r="AV18" s="302" t="n">
        <v>9</v>
      </c>
    </row>
    <row r="19" customFormat="false" ht="15" hidden="false" customHeight="true" outlineLevel="0" collapsed="false">
      <c r="A19" s="4"/>
      <c r="B19" s="303" t="n">
        <v>10</v>
      </c>
      <c r="C19" s="304" t="s">
        <v>17</v>
      </c>
      <c r="D19" s="305" t="n">
        <v>0</v>
      </c>
      <c r="E19" s="305" t="n">
        <v>2575.389</v>
      </c>
      <c r="F19" s="305" t="n">
        <v>715</v>
      </c>
      <c r="G19" s="305" t="n">
        <v>229.88</v>
      </c>
      <c r="H19" s="305" t="n">
        <v>0</v>
      </c>
      <c r="I19" s="305" t="n">
        <v>1182.911</v>
      </c>
      <c r="J19" s="305" t="n">
        <v>408.383</v>
      </c>
      <c r="K19" s="305" t="n">
        <v>861.731</v>
      </c>
      <c r="L19" s="305" t="n">
        <v>75</v>
      </c>
      <c r="M19" s="305" t="n">
        <f aca="false">SUMIF(D$9:L$9,"&gt;0",D19:L19)</f>
        <v>6048.294</v>
      </c>
      <c r="N19" s="305" t="n">
        <v>5241.912</v>
      </c>
      <c r="O19" s="305" t="n">
        <v>1035.957</v>
      </c>
      <c r="P19" s="305" t="n">
        <v>936.002</v>
      </c>
      <c r="Q19" s="305" t="n">
        <v>0</v>
      </c>
      <c r="R19" s="305" t="n">
        <v>6980.543</v>
      </c>
      <c r="S19" s="305" t="n">
        <v>0</v>
      </c>
      <c r="T19" s="305" t="n">
        <v>69.89</v>
      </c>
      <c r="U19" s="305" t="n">
        <v>149.547</v>
      </c>
      <c r="V19" s="305" t="n">
        <v>0</v>
      </c>
      <c r="W19" s="305" t="n">
        <f aca="false">SUMIF(N$9:V$9,"&gt;0",N19:V19)</f>
        <v>14413.851</v>
      </c>
      <c r="X19" s="305" t="n">
        <v>270.81</v>
      </c>
      <c r="Y19" s="305" t="n">
        <v>1198.586</v>
      </c>
      <c r="Z19" s="305" t="n">
        <v>0</v>
      </c>
      <c r="AA19" s="305" t="n">
        <v>7</v>
      </c>
      <c r="AB19" s="305" t="n">
        <v>2035.673</v>
      </c>
      <c r="AC19" s="305" t="n">
        <v>0</v>
      </c>
      <c r="AD19" s="305" t="n">
        <v>0</v>
      </c>
      <c r="AE19" s="305" t="n">
        <v>0</v>
      </c>
      <c r="AF19" s="305" t="n">
        <v>0</v>
      </c>
      <c r="AG19" s="305" t="n">
        <v>248.852</v>
      </c>
      <c r="AH19" s="305" t="n">
        <v>0</v>
      </c>
      <c r="AI19" s="305" t="n">
        <v>1366.085</v>
      </c>
      <c r="AJ19" s="305" t="n">
        <v>0</v>
      </c>
      <c r="AK19" s="305" t="n">
        <v>0</v>
      </c>
      <c r="AL19" s="305" t="n">
        <v>25.67</v>
      </c>
      <c r="AM19" s="305" t="n">
        <v>296.724</v>
      </c>
      <c r="AN19" s="305" t="n">
        <v>736.147</v>
      </c>
      <c r="AO19" s="305" t="n">
        <v>75.356</v>
      </c>
      <c r="AP19" s="305" t="n">
        <v>0</v>
      </c>
      <c r="AQ19" s="305" t="n">
        <v>88.114</v>
      </c>
      <c r="AR19" s="305" t="n">
        <v>2398.716</v>
      </c>
      <c r="AS19" s="305" t="n">
        <v>1640.667</v>
      </c>
      <c r="AT19" s="305" t="n">
        <f aca="false">SUMIF(X$9:AS$9,"&gt;0",X19:AS19)</f>
        <v>10388.4</v>
      </c>
      <c r="AU19" s="305" t="n">
        <f aca="false">SUMIF(D$9:AS$9,"&gt;0",D19:AS19)</f>
        <v>30850.545</v>
      </c>
      <c r="AV19" s="302" t="n">
        <v>10</v>
      </c>
    </row>
    <row r="20" customFormat="false" ht="15" hidden="false" customHeight="true" outlineLevel="0" collapsed="false">
      <c r="A20" s="4"/>
      <c r="B20" s="303" t="n">
        <v>11</v>
      </c>
      <c r="C20" s="304" t="s">
        <v>17</v>
      </c>
      <c r="D20" s="305" t="n">
        <v>0</v>
      </c>
      <c r="E20" s="305" t="n">
        <v>2572.518</v>
      </c>
      <c r="F20" s="305" t="n">
        <v>714.8</v>
      </c>
      <c r="G20" s="305" t="n">
        <v>229.87</v>
      </c>
      <c r="H20" s="305" t="n">
        <v>0</v>
      </c>
      <c r="I20" s="305" t="n">
        <v>1181.911</v>
      </c>
      <c r="J20" s="305" t="n">
        <v>406.804</v>
      </c>
      <c r="K20" s="305" t="n">
        <v>863.4</v>
      </c>
      <c r="L20" s="305" t="n">
        <v>75</v>
      </c>
      <c r="M20" s="305" t="n">
        <f aca="false">SUMIF(D$9:L$9,"&gt;0",D20:L20)</f>
        <v>6044.303</v>
      </c>
      <c r="N20" s="305" t="n">
        <v>5232.205</v>
      </c>
      <c r="O20" s="305" t="n">
        <v>1057.557</v>
      </c>
      <c r="P20" s="305" t="n">
        <v>934.502</v>
      </c>
      <c r="Q20" s="305" t="n">
        <v>0</v>
      </c>
      <c r="R20" s="305" t="n">
        <v>6980.577</v>
      </c>
      <c r="S20" s="305" t="n">
        <v>0</v>
      </c>
      <c r="T20" s="305" t="n">
        <v>69.88</v>
      </c>
      <c r="U20" s="305" t="n">
        <v>149.497</v>
      </c>
      <c r="V20" s="305" t="n">
        <v>0</v>
      </c>
      <c r="W20" s="305" t="n">
        <f aca="false">SUMIF(N$9:V$9,"&gt;0",N20:V20)</f>
        <v>14424.218</v>
      </c>
      <c r="X20" s="305" t="n">
        <v>262.411</v>
      </c>
      <c r="Y20" s="305" t="n">
        <v>1197.436</v>
      </c>
      <c r="Z20" s="305" t="n">
        <v>0</v>
      </c>
      <c r="AA20" s="305" t="n">
        <v>7</v>
      </c>
      <c r="AB20" s="305" t="n">
        <v>2054.993</v>
      </c>
      <c r="AC20" s="305" t="n">
        <v>0</v>
      </c>
      <c r="AD20" s="305" t="n">
        <v>0</v>
      </c>
      <c r="AE20" s="305" t="n">
        <v>0</v>
      </c>
      <c r="AF20" s="305" t="n">
        <v>0</v>
      </c>
      <c r="AG20" s="305" t="n">
        <v>248.323</v>
      </c>
      <c r="AH20" s="305" t="n">
        <v>0</v>
      </c>
      <c r="AI20" s="305" t="n">
        <v>1412.885</v>
      </c>
      <c r="AJ20" s="305" t="n">
        <v>0</v>
      </c>
      <c r="AK20" s="305" t="n">
        <v>0</v>
      </c>
      <c r="AL20" s="305" t="n">
        <v>25.64</v>
      </c>
      <c r="AM20" s="305" t="n">
        <v>296.694</v>
      </c>
      <c r="AN20" s="305" t="n">
        <v>729.899</v>
      </c>
      <c r="AO20" s="305" t="n">
        <v>75.703</v>
      </c>
      <c r="AP20" s="305" t="n">
        <v>0</v>
      </c>
      <c r="AQ20" s="305" t="n">
        <v>87.924</v>
      </c>
      <c r="AR20" s="305" t="n">
        <v>2391.178</v>
      </c>
      <c r="AS20" s="305" t="n">
        <v>1654.226</v>
      </c>
      <c r="AT20" s="305" t="n">
        <f aca="false">SUMIF(X$9:AS$9,"&gt;0",X20:AS20)</f>
        <v>10444.312</v>
      </c>
      <c r="AU20" s="305" t="n">
        <f aca="false">SUMIF(D$9:AS$9,"&gt;0",D20:AS20)</f>
        <v>30912.833</v>
      </c>
      <c r="AV20" s="302" t="n">
        <v>11</v>
      </c>
    </row>
    <row r="21" customFormat="false" ht="15" hidden="false" customHeight="true" outlineLevel="0" collapsed="false">
      <c r="A21" s="4"/>
      <c r="B21" s="303" t="n">
        <v>12</v>
      </c>
      <c r="C21" s="304" t="s">
        <v>17</v>
      </c>
      <c r="D21" s="305" t="n">
        <v>0</v>
      </c>
      <c r="E21" s="305" t="n">
        <v>2541.291</v>
      </c>
      <c r="F21" s="305" t="n">
        <v>714.6</v>
      </c>
      <c r="G21" s="305" t="n">
        <v>229.86</v>
      </c>
      <c r="H21" s="305" t="n">
        <v>0</v>
      </c>
      <c r="I21" s="305" t="n">
        <v>1230.011</v>
      </c>
      <c r="J21" s="305" t="n">
        <v>406.521</v>
      </c>
      <c r="K21" s="305" t="n">
        <v>846.264</v>
      </c>
      <c r="L21" s="305" t="n">
        <v>75</v>
      </c>
      <c r="M21" s="305" t="n">
        <f aca="false">SUMIF(D$9:L$9,"&gt;0",D21:L21)</f>
        <v>6043.547</v>
      </c>
      <c r="N21" s="305" t="n">
        <v>5191.409</v>
      </c>
      <c r="O21" s="305" t="n">
        <v>1048.002</v>
      </c>
      <c r="P21" s="305" t="n">
        <v>943.938</v>
      </c>
      <c r="Q21" s="305" t="n">
        <v>0</v>
      </c>
      <c r="R21" s="305" t="n">
        <v>6980.677</v>
      </c>
      <c r="S21" s="305" t="n">
        <v>0</v>
      </c>
      <c r="T21" s="305" t="n">
        <v>69.87</v>
      </c>
      <c r="U21" s="305" t="n">
        <v>149.447</v>
      </c>
      <c r="V21" s="305" t="n">
        <v>0</v>
      </c>
      <c r="W21" s="305" t="n">
        <f aca="false">SUMIF(N$9:V$9,"&gt;0",N21:V21)</f>
        <v>14383.343</v>
      </c>
      <c r="X21" s="305" t="n">
        <v>264.57</v>
      </c>
      <c r="Y21" s="305" t="n">
        <v>1195.036</v>
      </c>
      <c r="Z21" s="305" t="n">
        <v>0</v>
      </c>
      <c r="AA21" s="305" t="n">
        <v>7</v>
      </c>
      <c r="AB21" s="305" t="n">
        <v>2056.504</v>
      </c>
      <c r="AC21" s="305" t="n">
        <v>0</v>
      </c>
      <c r="AD21" s="305" t="n">
        <v>0</v>
      </c>
      <c r="AE21" s="305" t="n">
        <v>0</v>
      </c>
      <c r="AF21" s="305" t="n">
        <v>0</v>
      </c>
      <c r="AG21" s="305" t="n">
        <v>248.812</v>
      </c>
      <c r="AH21" s="305" t="n">
        <v>0</v>
      </c>
      <c r="AI21" s="305" t="n">
        <v>1406.647</v>
      </c>
      <c r="AJ21" s="305" t="n">
        <v>0</v>
      </c>
      <c r="AK21" s="305" t="n">
        <v>0</v>
      </c>
      <c r="AL21" s="305" t="n">
        <v>25.61</v>
      </c>
      <c r="AM21" s="305" t="n">
        <v>296.664</v>
      </c>
      <c r="AN21" s="305" t="n">
        <v>740.977</v>
      </c>
      <c r="AO21" s="305" t="n">
        <v>75.493</v>
      </c>
      <c r="AP21" s="305" t="n">
        <v>0</v>
      </c>
      <c r="AQ21" s="305" t="n">
        <v>86.134</v>
      </c>
      <c r="AR21" s="305" t="n">
        <v>2336.602</v>
      </c>
      <c r="AS21" s="305" t="n">
        <v>1658.226</v>
      </c>
      <c r="AT21" s="305" t="n">
        <f aca="false">SUMIF(X$9:AS$9,"&gt;0",X21:AS21)</f>
        <v>10398.275</v>
      </c>
      <c r="AU21" s="305" t="n">
        <f aca="false">SUMIF(D$9:AS$9,"&gt;0",D21:AS21)</f>
        <v>30825.165</v>
      </c>
      <c r="AV21" s="302" t="n">
        <v>12</v>
      </c>
    </row>
    <row r="22" customFormat="false" ht="15" hidden="false" customHeight="true" outlineLevel="0" collapsed="false">
      <c r="A22" s="4"/>
      <c r="B22" s="303" t="n">
        <v>13</v>
      </c>
      <c r="C22" s="304" t="s">
        <v>17</v>
      </c>
      <c r="D22" s="305" t="n">
        <v>0</v>
      </c>
      <c r="E22" s="305" t="n">
        <v>2535.181</v>
      </c>
      <c r="F22" s="305" t="n">
        <v>714.4</v>
      </c>
      <c r="G22" s="305" t="n">
        <v>229.85</v>
      </c>
      <c r="H22" s="305" t="n">
        <v>0</v>
      </c>
      <c r="I22" s="305" t="n">
        <v>1229.011</v>
      </c>
      <c r="J22" s="305" t="n">
        <v>405.775</v>
      </c>
      <c r="K22" s="305" t="n">
        <v>852</v>
      </c>
      <c r="L22" s="305" t="n">
        <v>75</v>
      </c>
      <c r="M22" s="305" t="n">
        <f aca="false">SUMIF(D$9:L$9,"&gt;0",D22:L22)</f>
        <v>6041.217</v>
      </c>
      <c r="N22" s="305" t="n">
        <v>5190.627</v>
      </c>
      <c r="O22" s="305" t="n">
        <v>1045.757</v>
      </c>
      <c r="P22" s="305" t="n">
        <v>944.502</v>
      </c>
      <c r="Q22" s="305" t="n">
        <v>0</v>
      </c>
      <c r="R22" s="305" t="n">
        <v>6980.777</v>
      </c>
      <c r="S22" s="305" t="n">
        <v>0</v>
      </c>
      <c r="T22" s="305" t="n">
        <v>69.86</v>
      </c>
      <c r="U22" s="305" t="n">
        <v>149.397</v>
      </c>
      <c r="V22" s="305" t="n">
        <v>0</v>
      </c>
      <c r="W22" s="305" t="n">
        <f aca="false">SUMIF(N$9:V$9,"&gt;0",N22:V22)</f>
        <v>14380.92</v>
      </c>
      <c r="X22" s="305" t="n">
        <v>264.35</v>
      </c>
      <c r="Y22" s="305" t="n">
        <v>1201.736</v>
      </c>
      <c r="Z22" s="305" t="n">
        <v>0</v>
      </c>
      <c r="AA22" s="305" t="n">
        <v>7</v>
      </c>
      <c r="AB22" s="305" t="n">
        <v>2056.104</v>
      </c>
      <c r="AC22" s="305" t="n">
        <v>0</v>
      </c>
      <c r="AD22" s="305" t="n">
        <v>0</v>
      </c>
      <c r="AE22" s="305" t="n">
        <v>0</v>
      </c>
      <c r="AF22" s="305" t="n">
        <v>0</v>
      </c>
      <c r="AG22" s="305" t="n">
        <v>248.792</v>
      </c>
      <c r="AH22" s="305" t="n">
        <v>0</v>
      </c>
      <c r="AI22" s="305" t="n">
        <v>1406.485</v>
      </c>
      <c r="AJ22" s="305" t="n">
        <v>0</v>
      </c>
      <c r="AK22" s="305" t="n">
        <v>0</v>
      </c>
      <c r="AL22" s="305" t="n">
        <v>25.58</v>
      </c>
      <c r="AM22" s="305" t="n">
        <v>296.634</v>
      </c>
      <c r="AN22" s="305" t="n">
        <v>740.477</v>
      </c>
      <c r="AO22" s="305" t="n">
        <v>75.283</v>
      </c>
      <c r="AP22" s="305" t="n">
        <v>0</v>
      </c>
      <c r="AQ22" s="305" t="n">
        <v>85.944</v>
      </c>
      <c r="AR22" s="305" t="n">
        <v>2380.454</v>
      </c>
      <c r="AS22" s="305" t="n">
        <v>1653.379</v>
      </c>
      <c r="AT22" s="305" t="n">
        <f aca="false">SUMIF(X$9:AS$9,"&gt;0",X22:AS22)</f>
        <v>10442.218</v>
      </c>
      <c r="AU22" s="305" t="n">
        <f aca="false">SUMIF(D$9:AS$9,"&gt;0",D22:AS22)</f>
        <v>30864.355</v>
      </c>
      <c r="AV22" s="302" t="n">
        <v>13</v>
      </c>
    </row>
    <row r="23" customFormat="false" ht="15" hidden="false" customHeight="true" outlineLevel="0" collapsed="false">
      <c r="A23" s="4"/>
      <c r="B23" s="303" t="n">
        <v>14</v>
      </c>
      <c r="C23" s="304" t="s">
        <v>17</v>
      </c>
      <c r="D23" s="305" t="n">
        <v>0</v>
      </c>
      <c r="E23" s="305" t="n">
        <v>2512.248</v>
      </c>
      <c r="F23" s="305" t="n">
        <v>714.2</v>
      </c>
      <c r="G23" s="305" t="n">
        <v>229.84</v>
      </c>
      <c r="H23" s="305" t="n">
        <v>0</v>
      </c>
      <c r="I23" s="305" t="n">
        <v>1228.011</v>
      </c>
      <c r="J23" s="305" t="n">
        <v>406.829</v>
      </c>
      <c r="K23" s="305" t="n">
        <v>851.8</v>
      </c>
      <c r="L23" s="305" t="n">
        <v>75</v>
      </c>
      <c r="M23" s="305" t="n">
        <f aca="false">SUMIF(D$9:L$9,"&gt;0",D23:L23)</f>
        <v>6017.928</v>
      </c>
      <c r="N23" s="305" t="n">
        <v>5178.667</v>
      </c>
      <c r="O23" s="305" t="n">
        <v>1037.357</v>
      </c>
      <c r="P23" s="305" t="n">
        <v>943.002</v>
      </c>
      <c r="Q23" s="305" t="n">
        <v>0</v>
      </c>
      <c r="R23" s="305" t="n">
        <v>6980.777</v>
      </c>
      <c r="S23" s="305" t="n">
        <v>0</v>
      </c>
      <c r="T23" s="305" t="n">
        <v>69.85</v>
      </c>
      <c r="U23" s="305" t="n">
        <v>149.347</v>
      </c>
      <c r="V23" s="305" t="n">
        <v>0</v>
      </c>
      <c r="W23" s="305" t="n">
        <f aca="false">SUMIF(N$9:V$9,"&gt;0",N23:V23)</f>
        <v>14359</v>
      </c>
      <c r="X23" s="305" t="n">
        <v>264.13</v>
      </c>
      <c r="Y23" s="305" t="n">
        <v>1201.386</v>
      </c>
      <c r="Z23" s="305" t="n">
        <v>0</v>
      </c>
      <c r="AA23" s="305" t="n">
        <v>7</v>
      </c>
      <c r="AB23" s="305" t="n">
        <v>2054.504</v>
      </c>
      <c r="AC23" s="305" t="n">
        <v>0</v>
      </c>
      <c r="AD23" s="305" t="n">
        <v>0</v>
      </c>
      <c r="AE23" s="305" t="n">
        <v>0</v>
      </c>
      <c r="AF23" s="305" t="n">
        <v>0</v>
      </c>
      <c r="AG23" s="305" t="n">
        <v>248.772</v>
      </c>
      <c r="AH23" s="305" t="n">
        <v>0</v>
      </c>
      <c r="AI23" s="305" t="n">
        <v>1403.285</v>
      </c>
      <c r="AJ23" s="305" t="n">
        <v>0</v>
      </c>
      <c r="AK23" s="305" t="n">
        <v>0</v>
      </c>
      <c r="AL23" s="305" t="n">
        <v>25.55</v>
      </c>
      <c r="AM23" s="305" t="n">
        <v>296.604</v>
      </c>
      <c r="AN23" s="305" t="n">
        <v>739.877</v>
      </c>
      <c r="AO23" s="305" t="n">
        <v>75.073</v>
      </c>
      <c r="AP23" s="305" t="n">
        <v>0</v>
      </c>
      <c r="AQ23" s="305" t="n">
        <v>85.754</v>
      </c>
      <c r="AR23" s="305" t="n">
        <v>2385.202</v>
      </c>
      <c r="AS23" s="305" t="n">
        <v>1655.226</v>
      </c>
      <c r="AT23" s="305" t="n">
        <f aca="false">SUMIF(X$9:AS$9,"&gt;0",X23:AS23)</f>
        <v>10442.363</v>
      </c>
      <c r="AU23" s="305" t="n">
        <f aca="false">SUMIF(D$9:AS$9,"&gt;0",D23:AS23)</f>
        <v>30819.291</v>
      </c>
      <c r="AV23" s="302" t="n">
        <v>14</v>
      </c>
    </row>
    <row r="24" customFormat="false" ht="15" hidden="false" customHeight="true" outlineLevel="0" collapsed="false">
      <c r="A24" s="4"/>
      <c r="B24" s="303" t="n">
        <v>15</v>
      </c>
      <c r="C24" s="304" t="s">
        <v>17</v>
      </c>
      <c r="D24" s="305" t="n">
        <v>0</v>
      </c>
      <c r="E24" s="305" t="n">
        <v>2521.469</v>
      </c>
      <c r="F24" s="305" t="n">
        <v>714</v>
      </c>
      <c r="G24" s="305" t="n">
        <v>229.83</v>
      </c>
      <c r="H24" s="305" t="n">
        <v>0</v>
      </c>
      <c r="I24" s="305" t="n">
        <v>1225.594</v>
      </c>
      <c r="J24" s="305" t="n">
        <v>405.511</v>
      </c>
      <c r="K24" s="305" t="n">
        <v>851.6</v>
      </c>
      <c r="L24" s="305" t="n">
        <v>75</v>
      </c>
      <c r="M24" s="305" t="n">
        <f aca="false">SUMIF(D$9:L$9,"&gt;0",D24:L24)</f>
        <v>6023.004</v>
      </c>
      <c r="N24" s="305" t="n">
        <v>5208.698</v>
      </c>
      <c r="O24" s="305" t="n">
        <v>1028.78</v>
      </c>
      <c r="P24" s="305" t="n">
        <v>941.502</v>
      </c>
      <c r="Q24" s="305" t="n">
        <v>0</v>
      </c>
      <c r="R24" s="305" t="n">
        <v>6980.877</v>
      </c>
      <c r="S24" s="305" t="n">
        <v>0</v>
      </c>
      <c r="T24" s="305" t="n">
        <v>69.84</v>
      </c>
      <c r="U24" s="305" t="n">
        <v>149.297</v>
      </c>
      <c r="V24" s="305" t="n">
        <v>0</v>
      </c>
      <c r="W24" s="305" t="n">
        <f aca="false">SUMIF(N$9:V$9,"&gt;0",N24:V24)</f>
        <v>14378.994</v>
      </c>
      <c r="X24" s="305" t="n">
        <v>263.91</v>
      </c>
      <c r="Y24" s="305" t="n">
        <v>1179.873</v>
      </c>
      <c r="Z24" s="305" t="n">
        <v>0</v>
      </c>
      <c r="AA24" s="305" t="n">
        <v>7</v>
      </c>
      <c r="AB24" s="305" t="n">
        <v>2044.216</v>
      </c>
      <c r="AC24" s="305" t="n">
        <v>0</v>
      </c>
      <c r="AD24" s="305" t="n">
        <v>0</v>
      </c>
      <c r="AE24" s="305" t="n">
        <v>0</v>
      </c>
      <c r="AF24" s="305" t="n">
        <v>0</v>
      </c>
      <c r="AG24" s="305" t="n">
        <v>248.752</v>
      </c>
      <c r="AH24" s="305" t="n">
        <v>0</v>
      </c>
      <c r="AI24" s="305" t="n">
        <v>1400.085</v>
      </c>
      <c r="AJ24" s="305" t="n">
        <v>0</v>
      </c>
      <c r="AK24" s="305" t="n">
        <v>0</v>
      </c>
      <c r="AL24" s="305" t="n">
        <v>25.52</v>
      </c>
      <c r="AM24" s="305" t="n">
        <v>296.574</v>
      </c>
      <c r="AN24" s="305" t="n">
        <v>744.867</v>
      </c>
      <c r="AO24" s="305" t="n">
        <v>74.863</v>
      </c>
      <c r="AP24" s="305" t="n">
        <v>0</v>
      </c>
      <c r="AQ24" s="305" t="n">
        <v>85.564</v>
      </c>
      <c r="AR24" s="305" t="n">
        <v>2374.774</v>
      </c>
      <c r="AS24" s="305" t="n">
        <v>1657.726</v>
      </c>
      <c r="AT24" s="305" t="n">
        <f aca="false">SUMIF(X$9:AS$9,"&gt;0",X24:AS24)</f>
        <v>10403.724</v>
      </c>
      <c r="AU24" s="305" t="n">
        <f aca="false">SUMIF(D$9:AS$9,"&gt;0",D24:AS24)</f>
        <v>30805.722</v>
      </c>
      <c r="AV24" s="302" t="n">
        <v>15</v>
      </c>
    </row>
    <row r="25" customFormat="false" ht="15" hidden="false" customHeight="true" outlineLevel="0" collapsed="false">
      <c r="A25" s="4"/>
      <c r="B25" s="303" t="n">
        <v>16</v>
      </c>
      <c r="C25" s="304" t="s">
        <v>17</v>
      </c>
      <c r="D25" s="305" t="n">
        <v>0</v>
      </c>
      <c r="E25" s="305" t="n">
        <v>2515.016</v>
      </c>
      <c r="F25" s="305" t="n">
        <v>713.8</v>
      </c>
      <c r="G25" s="305" t="n">
        <v>229.82</v>
      </c>
      <c r="H25" s="305" t="n">
        <v>0</v>
      </c>
      <c r="I25" s="305" t="n">
        <v>1226.011</v>
      </c>
      <c r="J25" s="305" t="n">
        <v>402.106</v>
      </c>
      <c r="K25" s="305" t="n">
        <v>845.043</v>
      </c>
      <c r="L25" s="305" t="n">
        <v>75</v>
      </c>
      <c r="M25" s="305" t="n">
        <f aca="false">SUMIF(D$9:L$9,"&gt;0",D25:L25)</f>
        <v>6006.796</v>
      </c>
      <c r="N25" s="305" t="n">
        <v>5204.315</v>
      </c>
      <c r="O25" s="305" t="n">
        <v>1020.557</v>
      </c>
      <c r="P25" s="305" t="n">
        <v>940.002</v>
      </c>
      <c r="Q25" s="305" t="n">
        <v>0</v>
      </c>
      <c r="R25" s="305" t="n">
        <v>6980.877</v>
      </c>
      <c r="S25" s="305" t="n">
        <v>0</v>
      </c>
      <c r="T25" s="305" t="n">
        <v>69.83</v>
      </c>
      <c r="U25" s="305" t="n">
        <v>149.247</v>
      </c>
      <c r="V25" s="305" t="n">
        <v>0</v>
      </c>
      <c r="W25" s="305" t="n">
        <f aca="false">SUMIF(N$9:V$9,"&gt;0",N25:V25)</f>
        <v>14364.828</v>
      </c>
      <c r="X25" s="305" t="n">
        <v>263.69</v>
      </c>
      <c r="Y25" s="305" t="n">
        <v>1199.914</v>
      </c>
      <c r="Z25" s="305" t="n">
        <v>0</v>
      </c>
      <c r="AA25" s="305" t="n">
        <v>7</v>
      </c>
      <c r="AB25" s="305" t="n">
        <v>2048.904</v>
      </c>
      <c r="AC25" s="305" t="n">
        <v>0</v>
      </c>
      <c r="AD25" s="305" t="n">
        <v>0</v>
      </c>
      <c r="AE25" s="305" t="n">
        <v>0</v>
      </c>
      <c r="AF25" s="305" t="n">
        <v>0</v>
      </c>
      <c r="AG25" s="305" t="n">
        <v>248.732</v>
      </c>
      <c r="AH25" s="305" t="n">
        <v>0</v>
      </c>
      <c r="AI25" s="305" t="n">
        <v>1355.657</v>
      </c>
      <c r="AJ25" s="305" t="n">
        <v>0</v>
      </c>
      <c r="AK25" s="305" t="n">
        <v>0</v>
      </c>
      <c r="AL25" s="305" t="n">
        <v>25.49</v>
      </c>
      <c r="AM25" s="305" t="n">
        <v>292.144</v>
      </c>
      <c r="AN25" s="305" t="n">
        <v>751.977</v>
      </c>
      <c r="AO25" s="305" t="n">
        <v>74.653</v>
      </c>
      <c r="AP25" s="305" t="n">
        <v>0</v>
      </c>
      <c r="AQ25" s="305" t="n">
        <v>85.374</v>
      </c>
      <c r="AR25" s="305" t="n">
        <v>2376.103</v>
      </c>
      <c r="AS25" s="305" t="n">
        <v>1594.283</v>
      </c>
      <c r="AT25" s="305" t="n">
        <f aca="false">SUMIF(X$9:AS$9,"&gt;0",X25:AS25)</f>
        <v>10323.921</v>
      </c>
      <c r="AU25" s="305" t="n">
        <f aca="false">SUMIF(D$9:AS$9,"&gt;0",D25:AS25)</f>
        <v>30695.545</v>
      </c>
      <c r="AV25" s="302" t="n">
        <v>16</v>
      </c>
    </row>
    <row r="26" customFormat="false" ht="15" hidden="false" customHeight="true" outlineLevel="0" collapsed="false">
      <c r="A26" s="4"/>
      <c r="B26" s="303" t="n">
        <v>17</v>
      </c>
      <c r="C26" s="304" t="s">
        <v>17</v>
      </c>
      <c r="D26" s="305" t="n">
        <v>0</v>
      </c>
      <c r="E26" s="305" t="n">
        <v>2508.138</v>
      </c>
      <c r="F26" s="305" t="n">
        <v>713.6</v>
      </c>
      <c r="G26" s="305" t="n">
        <v>228.706</v>
      </c>
      <c r="H26" s="305" t="n">
        <v>0</v>
      </c>
      <c r="I26" s="305" t="n">
        <v>1225.011</v>
      </c>
      <c r="J26" s="305" t="n">
        <v>406.191</v>
      </c>
      <c r="K26" s="305" t="n">
        <v>836.302</v>
      </c>
      <c r="L26" s="305" t="n">
        <v>75</v>
      </c>
      <c r="M26" s="305" t="n">
        <f aca="false">SUMIF(D$9:L$9,"&gt;0",D26:L26)</f>
        <v>5992.948</v>
      </c>
      <c r="N26" s="305" t="n">
        <v>5196.934</v>
      </c>
      <c r="O26" s="305" t="n">
        <v>1012.157</v>
      </c>
      <c r="P26" s="305" t="n">
        <v>938.502</v>
      </c>
      <c r="Q26" s="305" t="n">
        <v>0</v>
      </c>
      <c r="R26" s="305" t="n">
        <v>6981</v>
      </c>
      <c r="S26" s="305" t="n">
        <v>0</v>
      </c>
      <c r="T26" s="305" t="n">
        <v>69.82</v>
      </c>
      <c r="U26" s="305" t="n">
        <v>149.197</v>
      </c>
      <c r="V26" s="305" t="n">
        <v>0</v>
      </c>
      <c r="W26" s="305" t="n">
        <f aca="false">SUMIF(N$9:V$9,"&gt;0",N26:V26)</f>
        <v>14347.61</v>
      </c>
      <c r="X26" s="305" t="n">
        <v>263.47</v>
      </c>
      <c r="Y26" s="305" t="n">
        <v>1199.424</v>
      </c>
      <c r="Z26" s="305" t="n">
        <v>0</v>
      </c>
      <c r="AA26" s="305" t="n">
        <v>7</v>
      </c>
      <c r="AB26" s="305" t="n">
        <v>2031.008</v>
      </c>
      <c r="AC26" s="305" t="n">
        <v>0</v>
      </c>
      <c r="AD26" s="305" t="n">
        <v>0</v>
      </c>
      <c r="AE26" s="305" t="n">
        <v>0</v>
      </c>
      <c r="AF26" s="305" t="n">
        <v>0</v>
      </c>
      <c r="AG26" s="305" t="n">
        <v>249.767</v>
      </c>
      <c r="AH26" s="305" t="n">
        <v>0</v>
      </c>
      <c r="AI26" s="305" t="n">
        <v>1393.685</v>
      </c>
      <c r="AJ26" s="305" t="n">
        <v>0</v>
      </c>
      <c r="AK26" s="305" t="n">
        <v>0</v>
      </c>
      <c r="AL26" s="305" t="n">
        <v>25.46</v>
      </c>
      <c r="AM26" s="305" t="n">
        <v>292.114</v>
      </c>
      <c r="AN26" s="305" t="n">
        <v>751.377</v>
      </c>
      <c r="AO26" s="305" t="n">
        <v>79.243</v>
      </c>
      <c r="AP26" s="305" t="n">
        <v>0</v>
      </c>
      <c r="AQ26" s="305" t="n">
        <v>85.184</v>
      </c>
      <c r="AR26" s="305" t="n">
        <v>2372.102</v>
      </c>
      <c r="AS26" s="305" t="n">
        <v>1654.726</v>
      </c>
      <c r="AT26" s="305" t="n">
        <f aca="false">SUMIF(X$9:AS$9,"&gt;0",X26:AS26)</f>
        <v>10404.56</v>
      </c>
      <c r="AU26" s="305" t="n">
        <f aca="false">SUMIF(D$9:AS$9,"&gt;0",D26:AS26)</f>
        <v>30745.118</v>
      </c>
      <c r="AV26" s="302" t="n">
        <v>17</v>
      </c>
    </row>
    <row r="27" customFormat="false" ht="15" hidden="false" customHeight="true" outlineLevel="0" collapsed="false">
      <c r="A27" s="4"/>
      <c r="B27" s="303" t="n">
        <v>18</v>
      </c>
      <c r="C27" s="304" t="s">
        <v>17</v>
      </c>
      <c r="D27" s="305" t="n">
        <v>0</v>
      </c>
      <c r="E27" s="305" t="n">
        <v>2517.914</v>
      </c>
      <c r="F27" s="305" t="n">
        <v>713.4</v>
      </c>
      <c r="G27" s="305" t="n">
        <v>229.8</v>
      </c>
      <c r="H27" s="305" t="n">
        <v>0</v>
      </c>
      <c r="I27" s="305" t="n">
        <v>1219.211</v>
      </c>
      <c r="J27" s="305" t="n">
        <v>408.228</v>
      </c>
      <c r="K27" s="305" t="n">
        <v>835.481</v>
      </c>
      <c r="L27" s="305" t="n">
        <v>75</v>
      </c>
      <c r="M27" s="305" t="n">
        <f aca="false">SUMIF(D$9:L$9,"&gt;0",D27:L27)</f>
        <v>5999.034</v>
      </c>
      <c r="N27" s="305" t="n">
        <v>5192.906</v>
      </c>
      <c r="O27" s="305" t="n">
        <v>1003.757</v>
      </c>
      <c r="P27" s="305" t="n">
        <v>937.002</v>
      </c>
      <c r="Q27" s="305" t="n">
        <v>0</v>
      </c>
      <c r="R27" s="305" t="n">
        <v>6981.077</v>
      </c>
      <c r="S27" s="305" t="n">
        <v>0</v>
      </c>
      <c r="T27" s="305" t="n">
        <v>69.81</v>
      </c>
      <c r="U27" s="305" t="n">
        <v>149.147</v>
      </c>
      <c r="V27" s="305" t="n">
        <v>0</v>
      </c>
      <c r="W27" s="305" t="n">
        <f aca="false">SUMIF(N$9:V$9,"&gt;0",N27:V27)</f>
        <v>14333.699</v>
      </c>
      <c r="X27" s="305" t="n">
        <v>263.25</v>
      </c>
      <c r="Y27" s="305" t="n">
        <v>1198.406</v>
      </c>
      <c r="Z27" s="305" t="n">
        <v>0</v>
      </c>
      <c r="AA27" s="305" t="n">
        <v>7</v>
      </c>
      <c r="AB27" s="305" t="n">
        <v>2043.472</v>
      </c>
      <c r="AC27" s="305" t="n">
        <v>0</v>
      </c>
      <c r="AD27" s="305" t="n">
        <v>0</v>
      </c>
      <c r="AE27" s="305" t="n">
        <v>0</v>
      </c>
      <c r="AF27" s="305" t="n">
        <v>0</v>
      </c>
      <c r="AG27" s="305" t="n">
        <v>249.747</v>
      </c>
      <c r="AH27" s="305" t="n">
        <v>0</v>
      </c>
      <c r="AI27" s="305" t="n">
        <v>1388.585</v>
      </c>
      <c r="AJ27" s="305" t="n">
        <v>0</v>
      </c>
      <c r="AK27" s="305" t="n">
        <v>0</v>
      </c>
      <c r="AL27" s="305" t="n">
        <v>25.43</v>
      </c>
      <c r="AM27" s="305" t="n">
        <v>292.084</v>
      </c>
      <c r="AN27" s="305" t="n">
        <v>750.473</v>
      </c>
      <c r="AO27" s="305" t="n">
        <v>79.033</v>
      </c>
      <c r="AP27" s="305" t="n">
        <v>0</v>
      </c>
      <c r="AQ27" s="305" t="n">
        <v>84.994</v>
      </c>
      <c r="AR27" s="305" t="n">
        <v>2368.308</v>
      </c>
      <c r="AS27" s="305" t="n">
        <v>1653.226</v>
      </c>
      <c r="AT27" s="305" t="n">
        <f aca="false">SUMIF(X$9:AS$9,"&gt;0",X27:AS27)</f>
        <v>10404.008</v>
      </c>
      <c r="AU27" s="305" t="n">
        <f aca="false">SUMIF(D$9:AS$9,"&gt;0",D27:AS27)</f>
        <v>30736.741</v>
      </c>
      <c r="AV27" s="302" t="n">
        <v>18</v>
      </c>
    </row>
    <row r="28" customFormat="false" ht="15" hidden="false" customHeight="true" outlineLevel="0" collapsed="false">
      <c r="A28" s="4"/>
      <c r="B28" s="303" t="n">
        <v>19</v>
      </c>
      <c r="C28" s="304" t="s">
        <v>17</v>
      </c>
      <c r="D28" s="305" t="n">
        <v>0</v>
      </c>
      <c r="E28" s="305" t="n">
        <v>2476.035</v>
      </c>
      <c r="F28" s="305" t="n">
        <v>713.2</v>
      </c>
      <c r="G28" s="305" t="n">
        <v>229.79</v>
      </c>
      <c r="H28" s="305" t="n">
        <v>0</v>
      </c>
      <c r="I28" s="305" t="n">
        <v>1218.211</v>
      </c>
      <c r="J28" s="305" t="n">
        <v>406.585</v>
      </c>
      <c r="K28" s="305" t="n">
        <v>844.209</v>
      </c>
      <c r="L28" s="305" t="n">
        <v>75</v>
      </c>
      <c r="M28" s="305" t="n">
        <f aca="false">SUMIF(D$9:L$9,"&gt;0",D28:L28)</f>
        <v>5963.03</v>
      </c>
      <c r="N28" s="305" t="n">
        <v>5234.395</v>
      </c>
      <c r="O28" s="305" t="n">
        <v>995.357</v>
      </c>
      <c r="P28" s="305" t="n">
        <v>935.502</v>
      </c>
      <c r="Q28" s="305" t="n">
        <v>0</v>
      </c>
      <c r="R28" s="305" t="n">
        <v>6981.077</v>
      </c>
      <c r="S28" s="305" t="n">
        <v>0</v>
      </c>
      <c r="T28" s="305" t="n">
        <v>69.8</v>
      </c>
      <c r="U28" s="305" t="n">
        <v>149.097</v>
      </c>
      <c r="V28" s="305" t="n">
        <v>0</v>
      </c>
      <c r="W28" s="305" t="n">
        <f aca="false">SUMIF(N$9:V$9,"&gt;0",N28:V28)</f>
        <v>14365.228</v>
      </c>
      <c r="X28" s="305" t="n">
        <v>263.03</v>
      </c>
      <c r="Y28" s="305" t="n">
        <v>1191.905</v>
      </c>
      <c r="Z28" s="305" t="n">
        <v>0</v>
      </c>
      <c r="AA28" s="305" t="n">
        <v>7</v>
      </c>
      <c r="AB28" s="305" t="n">
        <v>2055.471</v>
      </c>
      <c r="AC28" s="305" t="n">
        <v>0</v>
      </c>
      <c r="AD28" s="305" t="n">
        <v>0</v>
      </c>
      <c r="AE28" s="305" t="n">
        <v>0</v>
      </c>
      <c r="AF28" s="305" t="n">
        <v>0</v>
      </c>
      <c r="AG28" s="305" t="n">
        <v>249.727</v>
      </c>
      <c r="AH28" s="305" t="n">
        <v>0</v>
      </c>
      <c r="AI28" s="305" t="n">
        <v>1385.385</v>
      </c>
      <c r="AJ28" s="305" t="n">
        <v>0</v>
      </c>
      <c r="AK28" s="305" t="n">
        <v>0</v>
      </c>
      <c r="AL28" s="305" t="n">
        <v>23</v>
      </c>
      <c r="AM28" s="305" t="n">
        <v>292.054</v>
      </c>
      <c r="AN28" s="305" t="n">
        <v>701.309</v>
      </c>
      <c r="AO28" s="305" t="n">
        <v>78.823</v>
      </c>
      <c r="AP28" s="305" t="n">
        <v>0</v>
      </c>
      <c r="AQ28" s="305" t="n">
        <v>84.804</v>
      </c>
      <c r="AR28" s="305" t="n">
        <v>2359.849</v>
      </c>
      <c r="AS28" s="305" t="n">
        <v>1651.726</v>
      </c>
      <c r="AT28" s="305" t="n">
        <f aca="false">SUMIF(X$9:AS$9,"&gt;0",X28:AS28)</f>
        <v>10344.083</v>
      </c>
      <c r="AU28" s="305" t="n">
        <f aca="false">SUMIF(D$9:AS$9,"&gt;0",D28:AS28)</f>
        <v>30672.341</v>
      </c>
      <c r="AV28" s="302" t="n">
        <v>19</v>
      </c>
    </row>
    <row r="29" customFormat="false" ht="15" hidden="false" customHeight="true" outlineLevel="0" collapsed="false">
      <c r="A29" s="4"/>
      <c r="B29" s="303" t="n">
        <v>20</v>
      </c>
      <c r="C29" s="304" t="s">
        <v>17</v>
      </c>
      <c r="D29" s="305" t="n">
        <v>0</v>
      </c>
      <c r="E29" s="305" t="n">
        <v>2506.911</v>
      </c>
      <c r="F29" s="305" t="n">
        <v>713</v>
      </c>
      <c r="G29" s="305" t="n">
        <v>229.78</v>
      </c>
      <c r="H29" s="305" t="n">
        <v>0</v>
      </c>
      <c r="I29" s="305" t="n">
        <v>1217.211</v>
      </c>
      <c r="J29" s="305" t="n">
        <v>409.223</v>
      </c>
      <c r="K29" s="305" t="n">
        <v>852.9</v>
      </c>
      <c r="L29" s="305" t="n">
        <v>75</v>
      </c>
      <c r="M29" s="305" t="n">
        <f aca="false">SUMIF(D$9:L$9,"&gt;0",D29:L29)</f>
        <v>6004.025</v>
      </c>
      <c r="N29" s="305" t="n">
        <v>5230.425</v>
      </c>
      <c r="O29" s="305" t="n">
        <v>986.957</v>
      </c>
      <c r="P29" s="305" t="n">
        <v>945.399</v>
      </c>
      <c r="Q29" s="305" t="n">
        <v>0</v>
      </c>
      <c r="R29" s="305" t="n">
        <v>6981.134</v>
      </c>
      <c r="S29" s="305" t="n">
        <v>0</v>
      </c>
      <c r="T29" s="305" t="n">
        <v>69.79</v>
      </c>
      <c r="U29" s="305" t="n">
        <v>149.047</v>
      </c>
      <c r="V29" s="305" t="n">
        <v>0</v>
      </c>
      <c r="W29" s="305" t="n">
        <f aca="false">SUMIF(N$9:V$9,"&gt;0",N29:V29)</f>
        <v>14362.752</v>
      </c>
      <c r="X29" s="305" t="n">
        <v>262.81</v>
      </c>
      <c r="Y29" s="305" t="n">
        <v>1199.286</v>
      </c>
      <c r="Z29" s="305" t="n">
        <v>0</v>
      </c>
      <c r="AA29" s="305" t="n">
        <v>7</v>
      </c>
      <c r="AB29" s="305" t="n">
        <v>2055.345</v>
      </c>
      <c r="AC29" s="305" t="n">
        <v>0</v>
      </c>
      <c r="AD29" s="305" t="n">
        <v>0</v>
      </c>
      <c r="AE29" s="305" t="n">
        <v>0</v>
      </c>
      <c r="AF29" s="305" t="n">
        <v>0</v>
      </c>
      <c r="AG29" s="305" t="n">
        <v>249.707</v>
      </c>
      <c r="AH29" s="305" t="n">
        <v>0</v>
      </c>
      <c r="AI29" s="305" t="n">
        <v>1382.185</v>
      </c>
      <c r="AJ29" s="305" t="n">
        <v>0</v>
      </c>
      <c r="AK29" s="305" t="n">
        <v>0</v>
      </c>
      <c r="AL29" s="305" t="n">
        <v>22.97</v>
      </c>
      <c r="AM29" s="305" t="n">
        <v>292.024</v>
      </c>
      <c r="AN29" s="305" t="n">
        <v>749.477</v>
      </c>
      <c r="AO29" s="305" t="n">
        <v>78.613</v>
      </c>
      <c r="AP29" s="305" t="n">
        <v>0</v>
      </c>
      <c r="AQ29" s="305" t="n">
        <v>84.614</v>
      </c>
      <c r="AR29" s="305" t="n">
        <v>2381.402</v>
      </c>
      <c r="AS29" s="305" t="n">
        <v>1650.226</v>
      </c>
      <c r="AT29" s="305" t="n">
        <f aca="false">SUMIF(X$9:AS$9,"&gt;0",X29:AS29)</f>
        <v>10415.659</v>
      </c>
      <c r="AU29" s="305" t="n">
        <f aca="false">SUMIF(D$9:AS$9,"&gt;0",D29:AS29)</f>
        <v>30782.436</v>
      </c>
      <c r="AV29" s="302" t="n">
        <v>20</v>
      </c>
    </row>
    <row r="30" customFormat="false" ht="15" hidden="false" customHeight="true" outlineLevel="0" collapsed="false">
      <c r="A30" s="4"/>
      <c r="B30" s="303" t="n">
        <v>21</v>
      </c>
      <c r="C30" s="304" t="s">
        <v>17</v>
      </c>
      <c r="D30" s="305" t="n">
        <v>0</v>
      </c>
      <c r="E30" s="305" t="n">
        <v>2550.301</v>
      </c>
      <c r="F30" s="305" t="n">
        <v>712.8</v>
      </c>
      <c r="G30" s="305" t="n">
        <v>229.77</v>
      </c>
      <c r="H30" s="305" t="n">
        <v>0</v>
      </c>
      <c r="I30" s="305" t="n">
        <v>1216.211</v>
      </c>
      <c r="J30" s="305" t="n">
        <v>409.96</v>
      </c>
      <c r="K30" s="305" t="n">
        <v>852.7</v>
      </c>
      <c r="L30" s="305" t="n">
        <v>75</v>
      </c>
      <c r="M30" s="305" t="n">
        <f aca="false">SUMIF(D$9:L$9,"&gt;0",D30:L30)</f>
        <v>6046.742</v>
      </c>
      <c r="N30" s="305" t="n">
        <v>5224.574</v>
      </c>
      <c r="O30" s="305" t="n">
        <v>1098.749</v>
      </c>
      <c r="P30" s="305" t="n">
        <v>953.502</v>
      </c>
      <c r="Q30" s="305" t="n">
        <v>0</v>
      </c>
      <c r="R30" s="305" t="n">
        <v>6981.177</v>
      </c>
      <c r="S30" s="305" t="n">
        <v>0</v>
      </c>
      <c r="T30" s="305" t="n">
        <v>69.78</v>
      </c>
      <c r="U30" s="305" t="n">
        <v>148.997</v>
      </c>
      <c r="V30" s="305" t="n">
        <v>0</v>
      </c>
      <c r="W30" s="305" t="n">
        <f aca="false">SUMIF(N$9:V$9,"&gt;0",N30:V30)</f>
        <v>14476.779</v>
      </c>
      <c r="X30" s="305" t="n">
        <v>268.39</v>
      </c>
      <c r="Y30" s="305" t="n">
        <v>1199.736</v>
      </c>
      <c r="Z30" s="305" t="n">
        <v>0</v>
      </c>
      <c r="AA30" s="305" t="n">
        <v>7</v>
      </c>
      <c r="AB30" s="305" t="n">
        <v>2056.404</v>
      </c>
      <c r="AC30" s="305" t="n">
        <v>0</v>
      </c>
      <c r="AD30" s="305" t="n">
        <v>0</v>
      </c>
      <c r="AE30" s="305" t="n">
        <v>0</v>
      </c>
      <c r="AF30" s="305" t="n">
        <v>0</v>
      </c>
      <c r="AG30" s="305" t="n">
        <v>249.687</v>
      </c>
      <c r="AH30" s="305" t="n">
        <v>0</v>
      </c>
      <c r="AI30" s="305" t="n">
        <v>1378.985</v>
      </c>
      <c r="AJ30" s="305" t="n">
        <v>0</v>
      </c>
      <c r="AK30" s="305" t="n">
        <v>0</v>
      </c>
      <c r="AL30" s="305" t="n">
        <v>22.94</v>
      </c>
      <c r="AM30" s="305" t="n">
        <v>291.994</v>
      </c>
      <c r="AN30" s="305" t="n">
        <v>748.877</v>
      </c>
      <c r="AO30" s="305" t="n">
        <v>78.403</v>
      </c>
      <c r="AP30" s="305" t="n">
        <v>0</v>
      </c>
      <c r="AQ30" s="305" t="n">
        <v>84.242</v>
      </c>
      <c r="AR30" s="305" t="n">
        <v>2392.002</v>
      </c>
      <c r="AS30" s="305" t="n">
        <v>1649.726</v>
      </c>
      <c r="AT30" s="305" t="n">
        <f aca="false">SUMIF(X$9:AS$9,"&gt;0",X30:AS30)</f>
        <v>10428.386</v>
      </c>
      <c r="AU30" s="305" t="n">
        <f aca="false">SUMIF(D$9:AS$9,"&gt;0",D30:AS30)</f>
        <v>30951.907</v>
      </c>
      <c r="AV30" s="302" t="n">
        <v>21</v>
      </c>
    </row>
    <row r="31" customFormat="false" ht="15" hidden="false" customHeight="true" outlineLevel="0" collapsed="false">
      <c r="A31" s="4"/>
      <c r="B31" s="303" t="n">
        <v>22</v>
      </c>
      <c r="C31" s="304" t="s">
        <v>17</v>
      </c>
      <c r="D31" s="305" t="n">
        <v>0</v>
      </c>
      <c r="E31" s="305" t="n">
        <v>2517.606</v>
      </c>
      <c r="F31" s="305" t="n">
        <v>712.6</v>
      </c>
      <c r="G31" s="305" t="n">
        <v>229.76</v>
      </c>
      <c r="H31" s="305" t="n">
        <v>0</v>
      </c>
      <c r="I31" s="305" t="n">
        <v>1215.211</v>
      </c>
      <c r="J31" s="305" t="n">
        <v>397.141</v>
      </c>
      <c r="K31" s="305" t="n">
        <v>843.997</v>
      </c>
      <c r="L31" s="305" t="n">
        <v>75</v>
      </c>
      <c r="M31" s="305" t="n">
        <f aca="false">SUMIF(D$9:L$9,"&gt;0",D31:L31)</f>
        <v>5991.315</v>
      </c>
      <c r="N31" s="305" t="n">
        <v>5230.168</v>
      </c>
      <c r="O31" s="305" t="n">
        <v>1110.157</v>
      </c>
      <c r="P31" s="305" t="n">
        <v>952.002</v>
      </c>
      <c r="Q31" s="305" t="n">
        <v>0</v>
      </c>
      <c r="R31" s="305" t="n">
        <v>6981.277</v>
      </c>
      <c r="S31" s="305" t="n">
        <v>0</v>
      </c>
      <c r="T31" s="305" t="n">
        <v>69.77</v>
      </c>
      <c r="U31" s="305" t="n">
        <v>148.947</v>
      </c>
      <c r="V31" s="305" t="n">
        <v>0</v>
      </c>
      <c r="W31" s="305" t="n">
        <f aca="false">SUMIF(N$9:V$9,"&gt;0",N31:V31)</f>
        <v>14492.321</v>
      </c>
      <c r="X31" s="305" t="n">
        <v>268.17</v>
      </c>
      <c r="Y31" s="305" t="n">
        <v>1229.178</v>
      </c>
      <c r="Z31" s="305" t="n">
        <v>0</v>
      </c>
      <c r="AA31" s="305" t="n">
        <v>7</v>
      </c>
      <c r="AB31" s="305" t="n">
        <v>2050.319</v>
      </c>
      <c r="AC31" s="305" t="n">
        <v>0</v>
      </c>
      <c r="AD31" s="305" t="n">
        <v>0</v>
      </c>
      <c r="AE31" s="305" t="n">
        <v>0</v>
      </c>
      <c r="AF31" s="305" t="n">
        <v>0</v>
      </c>
      <c r="AG31" s="305" t="n">
        <v>249.667</v>
      </c>
      <c r="AH31" s="305" t="n">
        <v>0</v>
      </c>
      <c r="AI31" s="305" t="n">
        <v>1375.785</v>
      </c>
      <c r="AJ31" s="305" t="n">
        <v>0</v>
      </c>
      <c r="AK31" s="305" t="n">
        <v>0</v>
      </c>
      <c r="AL31" s="305" t="n">
        <v>22.91</v>
      </c>
      <c r="AM31" s="305" t="n">
        <v>291.964</v>
      </c>
      <c r="AN31" s="305" t="n">
        <v>748.277</v>
      </c>
      <c r="AO31" s="305" t="n">
        <v>78.193</v>
      </c>
      <c r="AP31" s="305" t="n">
        <v>0</v>
      </c>
      <c r="AQ31" s="305" t="n">
        <v>84.234</v>
      </c>
      <c r="AR31" s="305" t="n">
        <v>2393.717</v>
      </c>
      <c r="AS31" s="305" t="n">
        <v>1648.226</v>
      </c>
      <c r="AT31" s="305" t="n">
        <f aca="false">SUMIF(X$9:AS$9,"&gt;0",X31:AS31)</f>
        <v>10447.64</v>
      </c>
      <c r="AU31" s="305" t="n">
        <f aca="false">SUMIF(D$9:AS$9,"&gt;0",D31:AS31)</f>
        <v>30931.276</v>
      </c>
      <c r="AV31" s="302" t="n">
        <v>22</v>
      </c>
    </row>
    <row r="32" customFormat="false" ht="15" hidden="false" customHeight="true" outlineLevel="0" collapsed="false">
      <c r="A32" s="4"/>
      <c r="B32" s="303" t="n">
        <v>23</v>
      </c>
      <c r="C32" s="304" t="s">
        <v>17</v>
      </c>
      <c r="D32" s="305" t="n">
        <v>0</v>
      </c>
      <c r="E32" s="305" t="n">
        <v>2443.906</v>
      </c>
      <c r="F32" s="305" t="n">
        <v>712.4</v>
      </c>
      <c r="G32" s="305" t="n">
        <v>153.829</v>
      </c>
      <c r="H32" s="305" t="n">
        <v>0</v>
      </c>
      <c r="I32" s="305" t="n">
        <v>1219.011</v>
      </c>
      <c r="J32" s="305" t="n">
        <v>409.077</v>
      </c>
      <c r="K32" s="305" t="n">
        <v>840.642</v>
      </c>
      <c r="L32" s="305" t="n">
        <v>75</v>
      </c>
      <c r="M32" s="305" t="n">
        <f aca="false">SUMIF(D$9:L$9,"&gt;0",D32:L32)</f>
        <v>5853.865</v>
      </c>
      <c r="N32" s="305" t="n">
        <v>5239.941</v>
      </c>
      <c r="O32" s="305" t="n">
        <v>1101.757</v>
      </c>
      <c r="P32" s="305" t="n">
        <v>950.502</v>
      </c>
      <c r="Q32" s="305" t="n">
        <v>0</v>
      </c>
      <c r="R32" s="305" t="n">
        <v>6981.377</v>
      </c>
      <c r="S32" s="305" t="n">
        <v>0</v>
      </c>
      <c r="T32" s="305" t="n">
        <v>69.76</v>
      </c>
      <c r="U32" s="305" t="n">
        <v>148.897</v>
      </c>
      <c r="V32" s="305" t="n">
        <v>0</v>
      </c>
      <c r="W32" s="305" t="n">
        <f aca="false">SUMIF(N$9:V$9,"&gt;0",N32:V32)</f>
        <v>14492.234</v>
      </c>
      <c r="X32" s="305" t="n">
        <v>267.95</v>
      </c>
      <c r="Y32" s="305" t="n">
        <v>1226.355</v>
      </c>
      <c r="Z32" s="305" t="n">
        <v>0</v>
      </c>
      <c r="AA32" s="305" t="n">
        <v>7</v>
      </c>
      <c r="AB32" s="305" t="n">
        <v>2056.904</v>
      </c>
      <c r="AC32" s="305" t="n">
        <v>0</v>
      </c>
      <c r="AD32" s="305" t="n">
        <v>0</v>
      </c>
      <c r="AE32" s="305" t="n">
        <v>0</v>
      </c>
      <c r="AF32" s="305" t="n">
        <v>0</v>
      </c>
      <c r="AG32" s="305" t="n">
        <v>249.647</v>
      </c>
      <c r="AH32" s="305" t="n">
        <v>0</v>
      </c>
      <c r="AI32" s="305" t="n">
        <v>1371.359</v>
      </c>
      <c r="AJ32" s="305" t="n">
        <v>0</v>
      </c>
      <c r="AK32" s="305" t="n">
        <v>0</v>
      </c>
      <c r="AL32" s="305" t="n">
        <v>22.88</v>
      </c>
      <c r="AM32" s="305" t="n">
        <v>291.934</v>
      </c>
      <c r="AN32" s="305" t="n">
        <v>750.677</v>
      </c>
      <c r="AO32" s="305" t="n">
        <v>77.983</v>
      </c>
      <c r="AP32" s="305" t="n">
        <v>0</v>
      </c>
      <c r="AQ32" s="305" t="n">
        <v>84.044</v>
      </c>
      <c r="AR32" s="305" t="n">
        <v>2348.891</v>
      </c>
      <c r="AS32" s="305" t="n">
        <v>1641.129</v>
      </c>
      <c r="AT32" s="305" t="n">
        <f aca="false">SUMIF(X$9:AS$9,"&gt;0",X32:AS32)</f>
        <v>10396.753</v>
      </c>
      <c r="AU32" s="305" t="n">
        <f aca="false">SUMIF(D$9:AS$9,"&gt;0",D32:AS32)</f>
        <v>30742.852</v>
      </c>
      <c r="AV32" s="302" t="n">
        <v>23</v>
      </c>
    </row>
    <row r="33" customFormat="false" ht="15" hidden="false" customHeight="true" outlineLevel="0" collapsed="false">
      <c r="A33" s="4"/>
      <c r="B33" s="303" t="n">
        <v>24</v>
      </c>
      <c r="C33" s="304" t="s">
        <v>17</v>
      </c>
      <c r="D33" s="305" t="n">
        <v>0</v>
      </c>
      <c r="E33" s="305" t="n">
        <v>2517.09</v>
      </c>
      <c r="F33" s="305" t="n">
        <v>712.2</v>
      </c>
      <c r="G33" s="305" t="n">
        <v>229.74</v>
      </c>
      <c r="H33" s="305" t="n">
        <v>0</v>
      </c>
      <c r="I33" s="305" t="n">
        <v>1218.011</v>
      </c>
      <c r="J33" s="305" t="n">
        <v>406.304</v>
      </c>
      <c r="K33" s="305" t="n">
        <v>842.472</v>
      </c>
      <c r="L33" s="305" t="n">
        <v>75</v>
      </c>
      <c r="M33" s="305" t="n">
        <f aca="false">SUMIF(D$9:L$9,"&gt;0",D33:L33)</f>
        <v>6000.817</v>
      </c>
      <c r="N33" s="305" t="n">
        <v>5251.476</v>
      </c>
      <c r="O33" s="305" t="n">
        <v>1093.357</v>
      </c>
      <c r="P33" s="305" t="n">
        <v>907.635</v>
      </c>
      <c r="Q33" s="305" t="n">
        <v>0</v>
      </c>
      <c r="R33" s="305" t="n">
        <v>6981.377</v>
      </c>
      <c r="S33" s="305" t="n">
        <v>0</v>
      </c>
      <c r="T33" s="305" t="n">
        <v>69.75</v>
      </c>
      <c r="U33" s="305" t="n">
        <v>148.847</v>
      </c>
      <c r="V33" s="305" t="n">
        <v>0</v>
      </c>
      <c r="W33" s="305" t="n">
        <f aca="false">SUMIF(N$9:V$9,"&gt;0",N33:V33)</f>
        <v>14452.442</v>
      </c>
      <c r="X33" s="305" t="n">
        <v>267.73</v>
      </c>
      <c r="Y33" s="305" t="n">
        <v>1228.686</v>
      </c>
      <c r="Z33" s="305" t="n">
        <v>0</v>
      </c>
      <c r="AA33" s="305" t="n">
        <v>7</v>
      </c>
      <c r="AB33" s="305" t="n">
        <v>2063.52</v>
      </c>
      <c r="AC33" s="305" t="n">
        <v>0</v>
      </c>
      <c r="AD33" s="305" t="n">
        <v>0</v>
      </c>
      <c r="AE33" s="305" t="n">
        <v>0</v>
      </c>
      <c r="AF33" s="305" t="n">
        <v>0</v>
      </c>
      <c r="AG33" s="305" t="n">
        <v>249.627</v>
      </c>
      <c r="AH33" s="305" t="n">
        <v>0</v>
      </c>
      <c r="AI33" s="305" t="n">
        <v>1371.285</v>
      </c>
      <c r="AJ33" s="305" t="n">
        <v>0</v>
      </c>
      <c r="AK33" s="305" t="n">
        <v>0</v>
      </c>
      <c r="AL33" s="305" t="n">
        <v>25.25</v>
      </c>
      <c r="AM33" s="305" t="n">
        <v>291.904</v>
      </c>
      <c r="AN33" s="305" t="n">
        <v>750.077</v>
      </c>
      <c r="AO33" s="305" t="n">
        <v>77.773</v>
      </c>
      <c r="AP33" s="305" t="n">
        <v>0</v>
      </c>
      <c r="AQ33" s="305" t="n">
        <v>88.854</v>
      </c>
      <c r="AR33" s="305" t="n">
        <v>2328.693</v>
      </c>
      <c r="AS33" s="305" t="n">
        <v>1645.226</v>
      </c>
      <c r="AT33" s="305" t="n">
        <f aca="false">SUMIF(X$9:AS$9,"&gt;0",X33:AS33)</f>
        <v>10395.625</v>
      </c>
      <c r="AU33" s="305" t="n">
        <f aca="false">SUMIF(D$9:AS$9,"&gt;0",D33:AS33)</f>
        <v>30848.884</v>
      </c>
      <c r="AV33" s="302" t="n">
        <v>24</v>
      </c>
    </row>
    <row r="34" customFormat="false" ht="15" hidden="false" customHeight="true" outlineLevel="0" collapsed="false">
      <c r="A34" s="4"/>
      <c r="B34" s="303" t="n">
        <v>25</v>
      </c>
      <c r="C34" s="304" t="s">
        <v>17</v>
      </c>
      <c r="D34" s="305" t="n">
        <v>0</v>
      </c>
      <c r="E34" s="305" t="n">
        <v>2528.761</v>
      </c>
      <c r="F34" s="305" t="n">
        <v>712</v>
      </c>
      <c r="G34" s="305" t="n">
        <v>229.73</v>
      </c>
      <c r="H34" s="305" t="n">
        <v>0</v>
      </c>
      <c r="I34" s="305" t="n">
        <v>1191.251</v>
      </c>
      <c r="J34" s="305" t="n">
        <v>408.423</v>
      </c>
      <c r="K34" s="305" t="n">
        <v>851.9</v>
      </c>
      <c r="L34" s="305" t="n">
        <v>75</v>
      </c>
      <c r="M34" s="305" t="n">
        <f aca="false">SUMIF(D$9:L$9,"&gt;0",D34:L34)</f>
        <v>5997.065</v>
      </c>
      <c r="N34" s="305" t="n">
        <v>5263.939</v>
      </c>
      <c r="O34" s="305" t="n">
        <v>1084.957</v>
      </c>
      <c r="P34" s="305" t="n">
        <v>947.502</v>
      </c>
      <c r="Q34" s="305" t="n">
        <v>0</v>
      </c>
      <c r="R34" s="305" t="n">
        <v>6981.443</v>
      </c>
      <c r="S34" s="305" t="n">
        <v>0</v>
      </c>
      <c r="T34" s="305" t="n">
        <v>69.74</v>
      </c>
      <c r="U34" s="305" t="n">
        <v>148.797</v>
      </c>
      <c r="V34" s="305" t="n">
        <v>0</v>
      </c>
      <c r="W34" s="305" t="n">
        <f aca="false">SUMIF(N$9:V$9,"&gt;0",N34:V34)</f>
        <v>14496.378</v>
      </c>
      <c r="X34" s="305" t="n">
        <v>267.51</v>
      </c>
      <c r="Y34" s="305" t="n">
        <v>1228.336</v>
      </c>
      <c r="Z34" s="305" t="n">
        <v>0</v>
      </c>
      <c r="AA34" s="305" t="n">
        <v>7</v>
      </c>
      <c r="AB34" s="305" t="n">
        <v>2059.514</v>
      </c>
      <c r="AC34" s="305" t="n">
        <v>0</v>
      </c>
      <c r="AD34" s="305" t="n">
        <v>0</v>
      </c>
      <c r="AE34" s="305" t="n">
        <v>0</v>
      </c>
      <c r="AF34" s="305" t="n">
        <v>0</v>
      </c>
      <c r="AG34" s="305" t="n">
        <v>249.607</v>
      </c>
      <c r="AH34" s="305" t="n">
        <v>0</v>
      </c>
      <c r="AI34" s="305" t="n">
        <v>1368.085</v>
      </c>
      <c r="AJ34" s="305" t="n">
        <v>0</v>
      </c>
      <c r="AK34" s="305" t="n">
        <v>0</v>
      </c>
      <c r="AL34" s="305" t="n">
        <v>25.22</v>
      </c>
      <c r="AM34" s="305" t="n">
        <v>279.642</v>
      </c>
      <c r="AN34" s="305" t="n">
        <v>769.477</v>
      </c>
      <c r="AO34" s="305" t="n">
        <v>77.563</v>
      </c>
      <c r="AP34" s="305" t="n">
        <v>0</v>
      </c>
      <c r="AQ34" s="305" t="n">
        <v>88.664</v>
      </c>
      <c r="AR34" s="305" t="n">
        <v>2424.915</v>
      </c>
      <c r="AS34" s="305" t="n">
        <v>1673.726</v>
      </c>
      <c r="AT34" s="305" t="n">
        <f aca="false">SUMIF(X$9:AS$9,"&gt;0",X34:AS34)</f>
        <v>10519.259</v>
      </c>
      <c r="AU34" s="305" t="n">
        <f aca="false">SUMIF(D$9:AS$9,"&gt;0",D34:AS34)</f>
        <v>31012.702</v>
      </c>
      <c r="AV34" s="302" t="n">
        <v>25</v>
      </c>
    </row>
    <row r="35" customFormat="false" ht="15" hidden="false" customHeight="true" outlineLevel="0" collapsed="false">
      <c r="A35" s="4"/>
      <c r="B35" s="303" t="n">
        <v>26</v>
      </c>
      <c r="C35" s="304" t="s">
        <v>17</v>
      </c>
      <c r="D35" s="305" t="n">
        <v>0</v>
      </c>
      <c r="E35" s="305" t="n">
        <v>2522.151</v>
      </c>
      <c r="F35" s="305" t="n">
        <v>711.8</v>
      </c>
      <c r="G35" s="305" t="n">
        <v>226.054</v>
      </c>
      <c r="H35" s="305" t="n">
        <v>0</v>
      </c>
      <c r="I35" s="305" t="n">
        <v>1208.711</v>
      </c>
      <c r="J35" s="305" t="n">
        <v>408.609</v>
      </c>
      <c r="K35" s="305" t="n">
        <v>862.7</v>
      </c>
      <c r="L35" s="305" t="n">
        <v>62.292</v>
      </c>
      <c r="M35" s="305" t="n">
        <f aca="false">SUMIF(D$9:L$9,"&gt;0",D35:L35)</f>
        <v>6002.317</v>
      </c>
      <c r="N35" s="305" t="n">
        <v>5266.688</v>
      </c>
      <c r="O35" s="305" t="n">
        <v>1070.529</v>
      </c>
      <c r="P35" s="305" t="n">
        <v>946.002</v>
      </c>
      <c r="Q35" s="305" t="n">
        <v>0</v>
      </c>
      <c r="R35" s="305" t="n">
        <v>6981.477</v>
      </c>
      <c r="S35" s="305" t="n">
        <v>0</v>
      </c>
      <c r="T35" s="305" t="n">
        <v>69.73</v>
      </c>
      <c r="U35" s="305" t="n">
        <v>148.747</v>
      </c>
      <c r="V35" s="305" t="n">
        <v>0</v>
      </c>
      <c r="W35" s="305" t="n">
        <f aca="false">SUMIF(N$9:V$9,"&gt;0",N35:V35)</f>
        <v>14483.173</v>
      </c>
      <c r="X35" s="305" t="n">
        <v>267.29</v>
      </c>
      <c r="Y35" s="305" t="n">
        <v>1220.404</v>
      </c>
      <c r="Z35" s="305" t="n">
        <v>0</v>
      </c>
      <c r="AA35" s="305" t="n">
        <v>7</v>
      </c>
      <c r="AB35" s="305" t="n">
        <v>2063.004</v>
      </c>
      <c r="AC35" s="305" t="n">
        <v>0</v>
      </c>
      <c r="AD35" s="305" t="n">
        <v>0</v>
      </c>
      <c r="AE35" s="305" t="n">
        <v>0</v>
      </c>
      <c r="AF35" s="305" t="n">
        <v>0</v>
      </c>
      <c r="AG35" s="305" t="n">
        <v>249.587</v>
      </c>
      <c r="AH35" s="305" t="n">
        <v>0</v>
      </c>
      <c r="AI35" s="305" t="n">
        <v>1364.885</v>
      </c>
      <c r="AJ35" s="305" t="n">
        <v>0</v>
      </c>
      <c r="AK35" s="305" t="n">
        <v>0</v>
      </c>
      <c r="AL35" s="305" t="n">
        <v>25.19</v>
      </c>
      <c r="AM35" s="305" t="n">
        <v>291.844</v>
      </c>
      <c r="AN35" s="305" t="n">
        <v>768.877</v>
      </c>
      <c r="AO35" s="305" t="n">
        <v>77.353</v>
      </c>
      <c r="AP35" s="305" t="n">
        <v>0</v>
      </c>
      <c r="AQ35" s="305" t="n">
        <v>88.474</v>
      </c>
      <c r="AR35" s="305" t="n">
        <v>2432.802</v>
      </c>
      <c r="AS35" s="305" t="n">
        <v>1675.226</v>
      </c>
      <c r="AT35" s="305" t="n">
        <f aca="false">SUMIF(X$9:AS$9,"&gt;0",X35:AS35)</f>
        <v>10531.936</v>
      </c>
      <c r="AU35" s="305" t="n">
        <f aca="false">SUMIF(D$9:AS$9,"&gt;0",D35:AS35)</f>
        <v>31017.426</v>
      </c>
      <c r="AV35" s="302" t="n">
        <v>26</v>
      </c>
    </row>
    <row r="36" customFormat="false" ht="15" hidden="false" customHeight="true" outlineLevel="0" collapsed="false">
      <c r="A36" s="4"/>
      <c r="B36" s="303" t="n">
        <v>27</v>
      </c>
      <c r="C36" s="304" t="s">
        <v>17</v>
      </c>
      <c r="D36" s="305" t="n">
        <v>0</v>
      </c>
      <c r="E36" s="305" t="n">
        <v>2485.179</v>
      </c>
      <c r="F36" s="305" t="n">
        <v>711.6</v>
      </c>
      <c r="G36" s="305" t="n">
        <v>227.21</v>
      </c>
      <c r="H36" s="305" t="n">
        <v>0</v>
      </c>
      <c r="I36" s="305" t="n">
        <v>1207.711</v>
      </c>
      <c r="J36" s="305" t="n">
        <v>408.249</v>
      </c>
      <c r="K36" s="305" t="n">
        <v>862.5</v>
      </c>
      <c r="L36" s="305" t="n">
        <v>75</v>
      </c>
      <c r="M36" s="305" t="n">
        <f aca="false">SUMIF(D$9:L$9,"&gt;0",D36:L36)</f>
        <v>5977.449</v>
      </c>
      <c r="N36" s="305" t="n">
        <v>5233.226</v>
      </c>
      <c r="O36" s="305" t="n">
        <v>1173.157</v>
      </c>
      <c r="P36" s="305" t="n">
        <v>970.502</v>
      </c>
      <c r="Q36" s="305" t="n">
        <v>0</v>
      </c>
      <c r="R36" s="305" t="n">
        <v>6981.577</v>
      </c>
      <c r="S36" s="305" t="n">
        <v>0</v>
      </c>
      <c r="T36" s="305" t="n">
        <v>69.72</v>
      </c>
      <c r="U36" s="305" t="n">
        <v>148.697</v>
      </c>
      <c r="V36" s="305" t="n">
        <v>0</v>
      </c>
      <c r="W36" s="305" t="n">
        <f aca="false">SUMIF(N$9:V$9,"&gt;0",N36:V36)</f>
        <v>14576.879</v>
      </c>
      <c r="X36" s="305" t="n">
        <v>267.07</v>
      </c>
      <c r="Y36" s="305" t="n">
        <v>1227.636</v>
      </c>
      <c r="Z36" s="305" t="n">
        <v>0</v>
      </c>
      <c r="AA36" s="305" t="n">
        <v>7</v>
      </c>
      <c r="AB36" s="305" t="n">
        <v>2063.304</v>
      </c>
      <c r="AC36" s="305" t="n">
        <v>0</v>
      </c>
      <c r="AD36" s="305" t="n">
        <v>0</v>
      </c>
      <c r="AE36" s="305" t="n">
        <v>0</v>
      </c>
      <c r="AF36" s="305" t="n">
        <v>0</v>
      </c>
      <c r="AG36" s="305" t="n">
        <v>249.567</v>
      </c>
      <c r="AH36" s="305" t="n">
        <v>0</v>
      </c>
      <c r="AI36" s="305" t="n">
        <v>1361.685</v>
      </c>
      <c r="AJ36" s="305" t="n">
        <v>0</v>
      </c>
      <c r="AK36" s="305" t="n">
        <v>0</v>
      </c>
      <c r="AL36" s="305" t="n">
        <v>25.16</v>
      </c>
      <c r="AM36" s="305" t="n">
        <v>291.814</v>
      </c>
      <c r="AN36" s="305" t="n">
        <v>768.277</v>
      </c>
      <c r="AO36" s="305" t="n">
        <v>77.143</v>
      </c>
      <c r="AP36" s="305" t="n">
        <v>0</v>
      </c>
      <c r="AQ36" s="305" t="n">
        <v>88.284</v>
      </c>
      <c r="AR36" s="305" t="n">
        <v>2429.802</v>
      </c>
      <c r="AS36" s="305" t="n">
        <v>1673.726</v>
      </c>
      <c r="AT36" s="305" t="n">
        <f aca="false">SUMIF(X$9:AS$9,"&gt;0",X36:AS36)</f>
        <v>10530.468</v>
      </c>
      <c r="AU36" s="305" t="n">
        <f aca="false">SUMIF(D$9:AS$9,"&gt;0",D36:AS36)</f>
        <v>31084.796</v>
      </c>
      <c r="AV36" s="302" t="n">
        <v>27</v>
      </c>
    </row>
    <row r="37" customFormat="false" ht="15" hidden="false" customHeight="true" outlineLevel="0" collapsed="false">
      <c r="A37" s="4"/>
      <c r="B37" s="303" t="n">
        <v>28</v>
      </c>
      <c r="C37" s="304" t="s">
        <v>17</v>
      </c>
      <c r="D37" s="305" t="n">
        <v>0</v>
      </c>
      <c r="E37" s="305" t="n">
        <v>2508.931</v>
      </c>
      <c r="F37" s="305" t="n">
        <v>711.4</v>
      </c>
      <c r="G37" s="305" t="n">
        <v>227.2</v>
      </c>
      <c r="H37" s="305" t="n">
        <v>0</v>
      </c>
      <c r="I37" s="305" t="n">
        <v>1206.711</v>
      </c>
      <c r="J37" s="305" t="n">
        <v>407.889</v>
      </c>
      <c r="K37" s="305" t="n">
        <v>862.3</v>
      </c>
      <c r="L37" s="305" t="n">
        <v>75</v>
      </c>
      <c r="M37" s="305" t="n">
        <f aca="false">SUMIF(D$9:L$9,"&gt;0",D37:L37)</f>
        <v>5999.431</v>
      </c>
      <c r="N37" s="305" t="n">
        <v>5243.316</v>
      </c>
      <c r="O37" s="305" t="n">
        <v>1164.757</v>
      </c>
      <c r="P37" s="305" t="n">
        <v>969.002</v>
      </c>
      <c r="Q37" s="305" t="n">
        <v>0</v>
      </c>
      <c r="R37" s="305" t="n">
        <v>6981.677</v>
      </c>
      <c r="S37" s="305" t="n">
        <v>0</v>
      </c>
      <c r="T37" s="305" t="n">
        <v>69.71</v>
      </c>
      <c r="U37" s="305" t="n">
        <v>148.647</v>
      </c>
      <c r="V37" s="305" t="n">
        <v>0</v>
      </c>
      <c r="W37" s="305" t="n">
        <f aca="false">SUMIF(N$9:V$9,"&gt;0",N37:V37)</f>
        <v>14577.109</v>
      </c>
      <c r="X37" s="305" t="n">
        <v>266.85</v>
      </c>
      <c r="Y37" s="305" t="n">
        <v>1227.286</v>
      </c>
      <c r="Z37" s="305" t="n">
        <v>0</v>
      </c>
      <c r="AA37" s="305" t="n">
        <v>7</v>
      </c>
      <c r="AB37" s="305" t="n">
        <v>2067.404</v>
      </c>
      <c r="AC37" s="305" t="n">
        <v>0</v>
      </c>
      <c r="AD37" s="305" t="n">
        <v>0</v>
      </c>
      <c r="AE37" s="305" t="n">
        <v>0</v>
      </c>
      <c r="AF37" s="305" t="n">
        <v>0</v>
      </c>
      <c r="AG37" s="305" t="n">
        <v>249.547</v>
      </c>
      <c r="AH37" s="305" t="n">
        <v>0</v>
      </c>
      <c r="AI37" s="305" t="n">
        <v>1358.485</v>
      </c>
      <c r="AJ37" s="305" t="n">
        <v>0</v>
      </c>
      <c r="AK37" s="305" t="n">
        <v>0</v>
      </c>
      <c r="AL37" s="305" t="n">
        <v>25.13</v>
      </c>
      <c r="AM37" s="305" t="n">
        <v>291.784</v>
      </c>
      <c r="AN37" s="305" t="n">
        <v>770.677</v>
      </c>
      <c r="AO37" s="305" t="n">
        <v>76.933</v>
      </c>
      <c r="AP37" s="305" t="n">
        <v>0</v>
      </c>
      <c r="AQ37" s="305" t="n">
        <v>88.094</v>
      </c>
      <c r="AR37" s="305" t="n">
        <v>2426.802</v>
      </c>
      <c r="AS37" s="305" t="n">
        <v>1672.226</v>
      </c>
      <c r="AT37" s="305" t="n">
        <f aca="false">SUMIF(X$9:AS$9,"&gt;0",X37:AS37)</f>
        <v>10528.218</v>
      </c>
      <c r="AU37" s="305" t="n">
        <f aca="false">SUMIF(D$9:AS$9,"&gt;0",D37:AS37)</f>
        <v>31104.758</v>
      </c>
      <c r="AV37" s="302" t="n">
        <v>28</v>
      </c>
    </row>
    <row r="38" customFormat="false" ht="15" hidden="false" customHeight="true" outlineLevel="0" collapsed="false">
      <c r="A38" s="4"/>
      <c r="B38" s="303" t="n">
        <v>29</v>
      </c>
      <c r="C38" s="304" t="s">
        <v>17</v>
      </c>
      <c r="D38" s="305" t="n">
        <v>0</v>
      </c>
      <c r="E38" s="305" t="n">
        <v>2502.321</v>
      </c>
      <c r="F38" s="305" t="n">
        <v>711.2</v>
      </c>
      <c r="G38" s="305" t="n">
        <v>227.19</v>
      </c>
      <c r="H38" s="305" t="n">
        <v>0</v>
      </c>
      <c r="I38" s="305" t="n">
        <v>1245.711</v>
      </c>
      <c r="J38" s="305" t="n">
        <v>407.529</v>
      </c>
      <c r="K38" s="305" t="n">
        <v>862.1</v>
      </c>
      <c r="L38" s="305" t="n">
        <v>75</v>
      </c>
      <c r="M38" s="305" t="n">
        <f aca="false">SUMIF(D$9:L$9,"&gt;0",D38:L38)</f>
        <v>6031.051</v>
      </c>
      <c r="N38" s="305" t="n">
        <v>5239.106</v>
      </c>
      <c r="O38" s="305" t="n">
        <v>1156.357</v>
      </c>
      <c r="P38" s="305" t="n">
        <v>967.502</v>
      </c>
      <c r="Q38" s="305" t="n">
        <v>0</v>
      </c>
      <c r="R38" s="305" t="n">
        <v>6981.677</v>
      </c>
      <c r="S38" s="305" t="n">
        <v>0</v>
      </c>
      <c r="T38" s="305" t="n">
        <v>69.7</v>
      </c>
      <c r="U38" s="305" t="n">
        <v>148.597</v>
      </c>
      <c r="V38" s="305" t="n">
        <v>0</v>
      </c>
      <c r="W38" s="305" t="n">
        <f aca="false">SUMIF(N$9:V$9,"&gt;0",N38:V38)</f>
        <v>14562.939</v>
      </c>
      <c r="X38" s="305" t="n">
        <v>266.63</v>
      </c>
      <c r="Y38" s="305" t="n">
        <v>1226.936</v>
      </c>
      <c r="Z38" s="305" t="n">
        <v>0</v>
      </c>
      <c r="AA38" s="305" t="n">
        <v>7</v>
      </c>
      <c r="AB38" s="305" t="n">
        <v>2067.004</v>
      </c>
      <c r="AC38" s="305" t="n">
        <v>0</v>
      </c>
      <c r="AD38" s="305" t="n">
        <v>0</v>
      </c>
      <c r="AE38" s="305" t="n">
        <v>0</v>
      </c>
      <c r="AF38" s="305" t="n">
        <v>0</v>
      </c>
      <c r="AG38" s="305" t="n">
        <v>249.527</v>
      </c>
      <c r="AH38" s="305" t="n">
        <v>0</v>
      </c>
      <c r="AI38" s="305" t="n">
        <v>1355.285</v>
      </c>
      <c r="AJ38" s="305" t="n">
        <v>0</v>
      </c>
      <c r="AK38" s="305" t="n">
        <v>0</v>
      </c>
      <c r="AL38" s="305" t="n">
        <v>25.1</v>
      </c>
      <c r="AM38" s="305" t="n">
        <v>291.754</v>
      </c>
      <c r="AN38" s="305" t="n">
        <v>770.077</v>
      </c>
      <c r="AO38" s="305" t="n">
        <v>76.723</v>
      </c>
      <c r="AP38" s="305" t="n">
        <v>0</v>
      </c>
      <c r="AQ38" s="305" t="n">
        <v>87.904</v>
      </c>
      <c r="AR38" s="305" t="n">
        <v>2419.971</v>
      </c>
      <c r="AS38" s="305" t="n">
        <v>1703.726</v>
      </c>
      <c r="AT38" s="305" t="n">
        <f aca="false">SUMIF(X$9:AS$9,"&gt;0",X38:AS38)</f>
        <v>10547.637</v>
      </c>
      <c r="AU38" s="305" t="n">
        <f aca="false">SUMIF(D$9:AS$9,"&gt;0",D38:AS38)</f>
        <v>31141.627</v>
      </c>
      <c r="AV38" s="302" t="n">
        <v>29</v>
      </c>
    </row>
    <row r="39" customFormat="false" ht="15" hidden="false" customHeight="true" outlineLevel="0" collapsed="false">
      <c r="A39" s="4"/>
      <c r="B39" s="303" t="n">
        <v>30</v>
      </c>
      <c r="C39" s="304" t="s">
        <v>17</v>
      </c>
      <c r="D39" s="305" t="n">
        <v>0</v>
      </c>
      <c r="E39" s="305" t="n">
        <v>2484.915</v>
      </c>
      <c r="F39" s="305" t="n">
        <v>711</v>
      </c>
      <c r="G39" s="305" t="n">
        <v>227.18</v>
      </c>
      <c r="H39" s="305" t="n">
        <v>0</v>
      </c>
      <c r="I39" s="305" t="n">
        <v>1244.711</v>
      </c>
      <c r="J39" s="305" t="n">
        <v>407.169</v>
      </c>
      <c r="K39" s="305" t="n">
        <v>883.9</v>
      </c>
      <c r="L39" s="305" t="n">
        <v>75</v>
      </c>
      <c r="M39" s="305" t="n">
        <f aca="false">SUMIF(D$9:L$9,"&gt;0",D39:L39)</f>
        <v>6033.875</v>
      </c>
      <c r="N39" s="305" t="n">
        <v>5249.196</v>
      </c>
      <c r="O39" s="305" t="n">
        <v>1147.957</v>
      </c>
      <c r="P39" s="305" t="n">
        <v>966.002</v>
      </c>
      <c r="Q39" s="305" t="n">
        <v>0</v>
      </c>
      <c r="R39" s="305" t="n">
        <v>6981.777</v>
      </c>
      <c r="S39" s="305" t="n">
        <v>0</v>
      </c>
      <c r="T39" s="305" t="n">
        <v>69.69</v>
      </c>
      <c r="U39" s="305" t="n">
        <v>148.547</v>
      </c>
      <c r="V39" s="305" t="n">
        <v>0</v>
      </c>
      <c r="W39" s="305" t="n">
        <f aca="false">SUMIF(N$9:V$9,"&gt;0",N39:V39)</f>
        <v>14563.169</v>
      </c>
      <c r="X39" s="305" t="n">
        <v>265.779</v>
      </c>
      <c r="Y39" s="305" t="n">
        <v>1226.586</v>
      </c>
      <c r="Z39" s="305" t="n">
        <v>0</v>
      </c>
      <c r="AA39" s="305" t="n">
        <v>7</v>
      </c>
      <c r="AB39" s="305" t="n">
        <v>2066.19</v>
      </c>
      <c r="AC39" s="305" t="n">
        <v>0</v>
      </c>
      <c r="AD39" s="305" t="n">
        <v>0</v>
      </c>
      <c r="AE39" s="305" t="n">
        <v>0</v>
      </c>
      <c r="AF39" s="305" t="n">
        <v>0</v>
      </c>
      <c r="AG39" s="305" t="n">
        <v>249.507</v>
      </c>
      <c r="AH39" s="305" t="n">
        <v>0</v>
      </c>
      <c r="AI39" s="305" t="n">
        <v>1352.085</v>
      </c>
      <c r="AJ39" s="305" t="n">
        <v>0</v>
      </c>
      <c r="AK39" s="305" t="n">
        <v>0</v>
      </c>
      <c r="AL39" s="305" t="n">
        <v>25.07</v>
      </c>
      <c r="AM39" s="305" t="n">
        <v>291.724</v>
      </c>
      <c r="AN39" s="305" t="n">
        <v>772.477</v>
      </c>
      <c r="AO39" s="305" t="n">
        <v>95.513</v>
      </c>
      <c r="AP39" s="305" t="n">
        <v>0</v>
      </c>
      <c r="AQ39" s="305" t="n">
        <v>87.714</v>
      </c>
      <c r="AR39" s="305" t="n">
        <v>2444.802</v>
      </c>
      <c r="AS39" s="305" t="n">
        <v>1702.226</v>
      </c>
      <c r="AT39" s="305" t="n">
        <f aca="false">SUMIF(X$9:AS$9,"&gt;0",X39:AS39)</f>
        <v>10586.673</v>
      </c>
      <c r="AU39" s="305" t="n">
        <f aca="false">SUMIF(D$9:AS$9,"&gt;0",D39:AS39)</f>
        <v>31183.717</v>
      </c>
      <c r="AV39" s="302" t="n">
        <v>30</v>
      </c>
    </row>
    <row r="40" customFormat="false" ht="15" hidden="false" customHeight="true" outlineLevel="0" collapsed="false">
      <c r="A40" s="4"/>
      <c r="B40" s="303" t="n">
        <v>31</v>
      </c>
      <c r="C40" s="304" t="s">
        <v>17</v>
      </c>
      <c r="D40" s="305" t="n">
        <v>0</v>
      </c>
      <c r="E40" s="305" t="n">
        <v>2489.101</v>
      </c>
      <c r="F40" s="305" t="n">
        <v>710.8</v>
      </c>
      <c r="G40" s="305" t="n">
        <v>229.67</v>
      </c>
      <c r="H40" s="305" t="n">
        <v>0</v>
      </c>
      <c r="I40" s="305" t="n">
        <v>1243.711</v>
      </c>
      <c r="J40" s="305" t="n">
        <v>406.809</v>
      </c>
      <c r="K40" s="305" t="n">
        <v>881.4</v>
      </c>
      <c r="L40" s="305" t="n">
        <v>75</v>
      </c>
      <c r="M40" s="305" t="n">
        <f aca="false">SUMIF(D$9:L$9,"&gt;0",D40:L40)</f>
        <v>6036.491</v>
      </c>
      <c r="N40" s="305" t="n">
        <v>5278.99</v>
      </c>
      <c r="O40" s="305" t="n">
        <v>1147.591</v>
      </c>
      <c r="P40" s="305" t="n">
        <v>995.502</v>
      </c>
      <c r="Q40" s="305" t="n">
        <v>0</v>
      </c>
      <c r="R40" s="305" t="n">
        <v>6981.777</v>
      </c>
      <c r="S40" s="305" t="n">
        <v>0</v>
      </c>
      <c r="T40" s="305" t="n">
        <v>69.68</v>
      </c>
      <c r="U40" s="305" t="n">
        <v>148.497</v>
      </c>
      <c r="V40" s="305" t="n">
        <v>0</v>
      </c>
      <c r="W40" s="305" t="n">
        <f aca="false">SUMIF(N$9:V$9,"&gt;0",N40:V40)</f>
        <v>14622.037</v>
      </c>
      <c r="X40" s="305" t="n">
        <v>266.19</v>
      </c>
      <c r="Y40" s="305" t="n">
        <v>1226.236</v>
      </c>
      <c r="Z40" s="305" t="n">
        <v>0</v>
      </c>
      <c r="AA40" s="305" t="n">
        <v>7</v>
      </c>
      <c r="AB40" s="305" t="n">
        <v>2065.79</v>
      </c>
      <c r="AC40" s="305" t="n">
        <v>0</v>
      </c>
      <c r="AD40" s="305" t="n">
        <v>0</v>
      </c>
      <c r="AE40" s="305" t="n">
        <v>0</v>
      </c>
      <c r="AF40" s="305" t="n">
        <v>0</v>
      </c>
      <c r="AG40" s="305" t="n">
        <v>249.487</v>
      </c>
      <c r="AH40" s="305" t="n">
        <v>0</v>
      </c>
      <c r="AI40" s="305" t="n">
        <v>1378.885</v>
      </c>
      <c r="AJ40" s="305" t="n">
        <v>0</v>
      </c>
      <c r="AK40" s="305" t="n">
        <v>0</v>
      </c>
      <c r="AL40" s="305" t="n">
        <v>25.04</v>
      </c>
      <c r="AM40" s="305" t="n">
        <v>296.094</v>
      </c>
      <c r="AN40" s="305" t="n">
        <v>769.477</v>
      </c>
      <c r="AO40" s="305" t="n">
        <v>95.303</v>
      </c>
      <c r="AP40" s="305" t="n">
        <v>0</v>
      </c>
      <c r="AQ40" s="305" t="n">
        <v>87.524</v>
      </c>
      <c r="AR40" s="305" t="n">
        <v>2447.802</v>
      </c>
      <c r="AS40" s="305" t="n">
        <v>1730.726</v>
      </c>
      <c r="AT40" s="305" t="n">
        <f aca="false">SUMIF(X$9:AS$9,"&gt;0",X40:AS40)</f>
        <v>10645.554</v>
      </c>
      <c r="AU40" s="305" t="n">
        <f aca="false">SUMIF(D$9:AS$9,"&gt;0",D40:AS40)</f>
        <v>31304.082</v>
      </c>
      <c r="AV40" s="302" t="n">
        <v>31</v>
      </c>
    </row>
    <row r="41" customFormat="false" ht="15" hidden="false" customHeight="true" outlineLevel="0" collapsed="false">
      <c r="A41" s="4"/>
      <c r="B41" s="306" t="s">
        <v>372</v>
      </c>
      <c r="C41" s="307" t="s">
        <v>373</v>
      </c>
      <c r="D41" s="308" t="n">
        <f aca="false">SUM(D$10:D40)/1000</f>
        <v>0</v>
      </c>
      <c r="E41" s="308" t="n">
        <f aca="false">SUM(E$10:E40)/1000</f>
        <v>78.391347</v>
      </c>
      <c r="F41" s="308" t="n">
        <f aca="false">SUM(F$10:F40)/1000</f>
        <v>22.1278</v>
      </c>
      <c r="G41" s="308" t="n">
        <f aca="false">SUM(G$10:G40)/1000</f>
        <v>6.853729</v>
      </c>
      <c r="H41" s="308" t="n">
        <f aca="false">SUM(H$10:H40)/1000</f>
        <v>0</v>
      </c>
      <c r="I41" s="308" t="n">
        <f aca="false">SUM(I$10:I40)/1000</f>
        <v>37.265264</v>
      </c>
      <c r="J41" s="308" t="n">
        <f aca="false">SUM(J$10:J40)/1000</f>
        <v>12.667326</v>
      </c>
      <c r="K41" s="308" t="n">
        <f aca="false">SUM(K$10:K40)/1000</f>
        <v>26.589841</v>
      </c>
      <c r="L41" s="308" t="n">
        <f aca="false">SUM(L$10:L40)/1000</f>
        <v>2.312292</v>
      </c>
      <c r="M41" s="308" t="n">
        <f aca="false">SUM(M$10:M40)/1000</f>
        <v>186.207599</v>
      </c>
      <c r="N41" s="308" t="n">
        <f aca="false">SUM(N$10:N40)/1000</f>
        <v>162.657696</v>
      </c>
      <c r="O41" s="308" t="n">
        <f aca="false">SUM(O$10:O40)/1000</f>
        <v>33.323133</v>
      </c>
      <c r="P41" s="308" t="n">
        <f aca="false">SUM(P$10:P40)/1000</f>
        <v>29.377349</v>
      </c>
      <c r="Q41" s="308" t="n">
        <f aca="false">SUM(Q$10:Q40)/1000</f>
        <v>0</v>
      </c>
      <c r="R41" s="308" t="n">
        <f aca="false">SUM(R$10:R40)/1000</f>
        <v>216.408332</v>
      </c>
      <c r="S41" s="308" t="n">
        <f aca="false">SUM(S$10:S40)/1000</f>
        <v>0</v>
      </c>
      <c r="T41" s="308" t="n">
        <f aca="false">SUM(T$10:T40)/1000</f>
        <v>2.16473</v>
      </c>
      <c r="U41" s="308" t="n">
        <f aca="false">SUM(U$10:U40)/1000</f>
        <v>4.626657</v>
      </c>
      <c r="V41" s="308" t="n">
        <f aca="false">SUM(V$10:V40)/1000</f>
        <v>0</v>
      </c>
      <c r="W41" s="308" t="n">
        <f aca="false">SUM(W$10:W40)/1000</f>
        <v>448.557897</v>
      </c>
      <c r="X41" s="308" t="n">
        <f aca="false">SUM(X$10:X40)/1000</f>
        <v>8.29318</v>
      </c>
      <c r="Y41" s="308" t="n">
        <f aca="false">SUM(Y$10:Y40)/1000</f>
        <v>37.43256</v>
      </c>
      <c r="Z41" s="308" t="n">
        <f aca="false">SUM(Z$10:Z40)/1000</f>
        <v>0</v>
      </c>
      <c r="AA41" s="308" t="n">
        <f aca="false">SUM(AA$10:AA40)/1000</f>
        <v>0.217</v>
      </c>
      <c r="AB41" s="308" t="n">
        <f aca="false">SUM(AB$10:AB40)/1000</f>
        <v>63.710134</v>
      </c>
      <c r="AC41" s="308" t="n">
        <f aca="false">SUM(AC$10:AC40)/1000</f>
        <v>0</v>
      </c>
      <c r="AD41" s="308" t="n">
        <f aca="false">SUM(AD$10:AD40)/1000</f>
        <v>0</v>
      </c>
      <c r="AE41" s="308" t="n">
        <f aca="false">SUM(AE$10:AE40)/1000</f>
        <v>0</v>
      </c>
      <c r="AF41" s="308" t="n">
        <f aca="false">SUM(AF$10:AF40)/1000</f>
        <v>0</v>
      </c>
      <c r="AG41" s="308" t="n">
        <f aca="false">SUM(AG$10:AG40)/1000</f>
        <v>7.726008</v>
      </c>
      <c r="AH41" s="308" t="n">
        <f aca="false">SUM(AH$10:AH40)/1000</f>
        <v>0</v>
      </c>
      <c r="AI41" s="308" t="n">
        <f aca="false">SUM(AI$10:AI40)/1000</f>
        <v>42.707813</v>
      </c>
      <c r="AJ41" s="308" t="n">
        <f aca="false">SUM(AJ$10:AJ40)/1000</f>
        <v>0</v>
      </c>
      <c r="AK41" s="308" t="n">
        <f aca="false">SUM(AK$10:AK40)/1000</f>
        <v>0</v>
      </c>
      <c r="AL41" s="308" t="n">
        <f aca="false">SUM(AL$10:AL40)/1000</f>
        <v>0.77819</v>
      </c>
      <c r="AM41" s="308" t="n">
        <f aca="false">SUM(AM$10:AM40)/1000</f>
        <v>9.114632</v>
      </c>
      <c r="AN41" s="308" t="n">
        <f aca="false">SUM(AN$10:AN40)/1000</f>
        <v>23.26916</v>
      </c>
      <c r="AO41" s="308" t="n">
        <f aca="false">SUM(AO$10:AO40)/1000</f>
        <v>2.423686</v>
      </c>
      <c r="AP41" s="308" t="n">
        <f aca="false">SUM(AP$10:AP40)/1000</f>
        <v>0</v>
      </c>
      <c r="AQ41" s="308" t="n">
        <f aca="false">SUM(AQ$10:AQ40)/1000</f>
        <v>2.704012</v>
      </c>
      <c r="AR41" s="308" t="n">
        <f aca="false">SUM(AR$10:AR40)/1000</f>
        <v>74.178442</v>
      </c>
      <c r="AS41" s="308" t="n">
        <f aca="false">SUM(AS$10:AS40)/1000</f>
        <v>51.22529</v>
      </c>
      <c r="AT41" s="308" t="n">
        <f aca="false">SUM(AT$10:AT40)/1000</f>
        <v>323.780107</v>
      </c>
      <c r="AU41" s="308" t="n">
        <f aca="false">SUM(AU$10:AU40)/1000</f>
        <v>958.545603</v>
      </c>
      <c r="AV41" s="4"/>
    </row>
    <row r="42" customFormat="false" ht="15" hidden="false" customHeight="true" outlineLevel="0" collapsed="false">
      <c r="A42" s="4"/>
      <c r="B42" s="6"/>
      <c r="C42" s="6"/>
      <c r="D42" s="3"/>
      <c r="E42" s="3"/>
      <c r="F42" s="3"/>
      <c r="G42" s="3"/>
      <c r="H42" s="3"/>
      <c r="I42" s="3"/>
      <c r="J42" s="3"/>
      <c r="K42" s="3"/>
      <c r="L42" s="3"/>
      <c r="M42" s="309"/>
      <c r="N42" s="3"/>
      <c r="O42" s="3"/>
      <c r="P42" s="3"/>
      <c r="Q42" s="3"/>
      <c r="R42" s="3"/>
      <c r="S42" s="3"/>
      <c r="T42" s="3"/>
      <c r="U42" s="3"/>
      <c r="V42" s="3"/>
      <c r="W42" s="3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09"/>
      <c r="AU42" s="309"/>
      <c r="AV42" s="4"/>
    </row>
    <row r="43" customFormat="false" ht="15" hidden="false" customHeight="true" outlineLevel="0" collapsed="false">
      <c r="A43" s="4"/>
      <c r="B43" s="310" t="s">
        <v>374</v>
      </c>
      <c r="C43" s="311" t="s">
        <v>373</v>
      </c>
      <c r="D43" s="312" t="n">
        <v>0</v>
      </c>
      <c r="E43" s="312" t="n">
        <v>75.668</v>
      </c>
      <c r="F43" s="312" t="n">
        <v>21.137</v>
      </c>
      <c r="G43" s="312" t="n">
        <v>6.499</v>
      </c>
      <c r="H43" s="313"/>
      <c r="I43" s="312" t="n">
        <v>35.574</v>
      </c>
      <c r="J43" s="312" t="n">
        <v>0.27</v>
      </c>
      <c r="K43" s="312" t="n">
        <v>26.605</v>
      </c>
      <c r="L43" s="312" t="n">
        <v>1.44</v>
      </c>
      <c r="M43" s="312" t="n">
        <f aca="false">SUMIF(D$9:L$9,"&gt;-1",D43:L43)</f>
        <v>167.193</v>
      </c>
      <c r="N43" s="312" t="n">
        <v>116.895</v>
      </c>
      <c r="O43" s="312" t="n">
        <v>27.461</v>
      </c>
      <c r="P43" s="312" t="n">
        <v>36.917</v>
      </c>
      <c r="Q43" s="312" t="n">
        <v>0</v>
      </c>
      <c r="R43" s="312" t="n">
        <v>190.357</v>
      </c>
      <c r="S43" s="312" t="n">
        <v>0</v>
      </c>
      <c r="T43" s="312" t="n">
        <v>1.793</v>
      </c>
      <c r="U43" s="312" t="n">
        <v>5.525</v>
      </c>
      <c r="V43" s="312" t="n">
        <v>0</v>
      </c>
      <c r="W43" s="312" t="n">
        <f aca="false">SUMIF(N$9:V$9,"&gt;-1",N43:V43)</f>
        <v>378.948</v>
      </c>
      <c r="X43" s="312" t="n">
        <v>8.951</v>
      </c>
      <c r="Y43" s="312" t="n">
        <v>28.61</v>
      </c>
      <c r="Z43" s="313"/>
      <c r="AA43" s="312" t="n">
        <v>14.807</v>
      </c>
      <c r="AB43" s="312" t="n">
        <v>66.295</v>
      </c>
      <c r="AC43" s="313"/>
      <c r="AD43" s="313"/>
      <c r="AE43" s="313"/>
      <c r="AF43" s="312" t="n">
        <v>0.12</v>
      </c>
      <c r="AG43" s="312" t="n">
        <v>9.15</v>
      </c>
      <c r="AH43" s="312" t="n">
        <v>0</v>
      </c>
      <c r="AI43" s="312" t="n">
        <v>49.001</v>
      </c>
      <c r="AJ43" s="313"/>
      <c r="AK43" s="313"/>
      <c r="AL43" s="312" t="n">
        <v>0.363</v>
      </c>
      <c r="AM43" s="312" t="n">
        <v>8.102</v>
      </c>
      <c r="AN43" s="312" t="n">
        <v>27.165</v>
      </c>
      <c r="AO43" s="312" t="n">
        <v>2.147</v>
      </c>
      <c r="AP43" s="313"/>
      <c r="AQ43" s="312" t="n">
        <v>3.605</v>
      </c>
      <c r="AR43" s="312" t="n">
        <v>83.588</v>
      </c>
      <c r="AS43" s="312" t="n">
        <v>47.721</v>
      </c>
      <c r="AT43" s="312" t="n">
        <f aca="false">SUMIF(X$9:AS$9,"&gt;-1",X43:AS43)</f>
        <v>349.625</v>
      </c>
      <c r="AU43" s="312" t="n">
        <f aca="false">SUMIF(D$9:AS$9,"&gt;-1",D43:AS43)</f>
        <v>895.766</v>
      </c>
      <c r="AV43" s="4"/>
    </row>
    <row r="44" customFormat="false" ht="15" hidden="false" customHeight="true" outlineLevel="0" collapsed="false">
      <c r="A44" s="4"/>
      <c r="B44" s="314"/>
      <c r="C44" s="314"/>
      <c r="D44" s="6"/>
      <c r="E44" s="6"/>
      <c r="F44" s="6"/>
      <c r="G44" s="6"/>
      <c r="H44" s="6"/>
      <c r="I44" s="6"/>
      <c r="J44" s="6"/>
      <c r="K44" s="6"/>
      <c r="L44" s="6"/>
      <c r="M44" s="309"/>
      <c r="N44" s="6"/>
      <c r="O44" s="6"/>
      <c r="P44" s="6"/>
      <c r="Q44" s="6"/>
      <c r="R44" s="6"/>
      <c r="S44" s="6"/>
      <c r="T44" s="6"/>
      <c r="U44" s="6"/>
      <c r="V44" s="6"/>
      <c r="W44" s="309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309"/>
      <c r="AU44" s="309"/>
      <c r="AV44" s="4"/>
    </row>
    <row r="45" customFormat="false" ht="15" hidden="false" customHeight="true" outlineLevel="0" collapsed="false">
      <c r="A45" s="4"/>
      <c r="B45" s="315" t="s">
        <v>375</v>
      </c>
      <c r="C45" s="316" t="s">
        <v>373</v>
      </c>
      <c r="D45" s="317" t="n">
        <f aca="false">IF(D43="",0,D41-D43)</f>
        <v>0</v>
      </c>
      <c r="E45" s="317" t="n">
        <f aca="false">IF(E43="",0,E41-E43)</f>
        <v>2.72334699999998</v>
      </c>
      <c r="F45" s="317" t="n">
        <f aca="false">IF(F43="",0,F41-F43)</f>
        <v>0.9908</v>
      </c>
      <c r="G45" s="317" t="n">
        <f aca="false">IF(G43="",0,G41-G43)</f>
        <v>0.354729000000001</v>
      </c>
      <c r="H45" s="317" t="n">
        <f aca="false">IF(H43="",0,H41-H43)</f>
        <v>0</v>
      </c>
      <c r="I45" s="317" t="n">
        <f aca="false">IF(I43="",0,I41-I43)</f>
        <v>1.691264</v>
      </c>
      <c r="J45" s="317" t="n">
        <f aca="false">IF(J43="",0,J41-J43)</f>
        <v>12.397326</v>
      </c>
      <c r="K45" s="317" t="n">
        <f aca="false">IF(K43="",0,K41-K43)</f>
        <v>-0.015158999999997</v>
      </c>
      <c r="L45" s="317" t="n">
        <f aca="false">IF(L43="",0,L41-L43)</f>
        <v>0.872292</v>
      </c>
      <c r="M45" s="317" t="n">
        <f aca="false">IF(M43="",0,M41-M43)</f>
        <v>19.0145990000001</v>
      </c>
      <c r="N45" s="317" t="n">
        <f aca="false">IF(N43="",0,N41-N43)</f>
        <v>45.762696</v>
      </c>
      <c r="O45" s="317" t="n">
        <f aca="false">IF(O43="",0,O41-O43)</f>
        <v>5.86213299999999</v>
      </c>
      <c r="P45" s="317" t="n">
        <f aca="false">IF(P43="",0,P41-P43)</f>
        <v>-7.53965099999999</v>
      </c>
      <c r="Q45" s="317" t="n">
        <f aca="false">IF(Q43="",0,Q41-Q43)</f>
        <v>0</v>
      </c>
      <c r="R45" s="317" t="n">
        <f aca="false">IF(R43="",0,R41-R43)</f>
        <v>26.051332</v>
      </c>
      <c r="S45" s="317" t="n">
        <f aca="false">IF(S43="",0,S41-S43)</f>
        <v>0</v>
      </c>
      <c r="T45" s="317" t="n">
        <f aca="false">IF(T43="",0,T41-T43)</f>
        <v>0.37173</v>
      </c>
      <c r="U45" s="317" t="n">
        <f aca="false">IF(U43="",0,U41-U43)</f>
        <v>-0.898343000000001</v>
      </c>
      <c r="V45" s="317" t="n">
        <f aca="false">IF(V43="",0,V41-V43)</f>
        <v>0</v>
      </c>
      <c r="W45" s="317" t="n">
        <f aca="false">IF(W43="",0,W41-W43)</f>
        <v>69.6098969999999</v>
      </c>
      <c r="X45" s="317" t="n">
        <f aca="false">IF(X43="",0,X41-X43)</f>
        <v>-0.657819999999999</v>
      </c>
      <c r="Y45" s="317" t="n">
        <f aca="false">IF(Y43="",0,Y41-Y43)</f>
        <v>8.82256</v>
      </c>
      <c r="Z45" s="317" t="n">
        <f aca="false">IF(Z43="",0,Z41-Z43)</f>
        <v>0</v>
      </c>
      <c r="AA45" s="317" t="n">
        <f aca="false">IF(AA43="",0,AA41-AA43)</f>
        <v>-14.59</v>
      </c>
      <c r="AB45" s="317" t="n">
        <f aca="false">IF(AB43="",0,AB41-AB43)</f>
        <v>-2.58486599999998</v>
      </c>
      <c r="AC45" s="317" t="n">
        <f aca="false">IF(AC43="",0,AC41-AC43)</f>
        <v>0</v>
      </c>
      <c r="AD45" s="317" t="n">
        <f aca="false">IF(AD43="",0,AD41-AD43)</f>
        <v>0</v>
      </c>
      <c r="AE45" s="317" t="n">
        <f aca="false">IF(AE43="",0,AE41-AE43)</f>
        <v>0</v>
      </c>
      <c r="AF45" s="317" t="n">
        <f aca="false">IF(AF43="",0,AF41-AF43)</f>
        <v>-0.12</v>
      </c>
      <c r="AG45" s="317" t="n">
        <f aca="false">IF(AG43="",0,AG41-AG43)</f>
        <v>-1.423992</v>
      </c>
      <c r="AH45" s="317" t="n">
        <f aca="false">IF(AH43="",0,AH41-AH43)</f>
        <v>0</v>
      </c>
      <c r="AI45" s="317" t="n">
        <f aca="false">IF(AI43="",0,AI41-AI43)</f>
        <v>-6.29318699999999</v>
      </c>
      <c r="AJ45" s="317" t="n">
        <f aca="false">IF(AJ43="",0,AJ41-AJ43)</f>
        <v>0</v>
      </c>
      <c r="AK45" s="317" t="n">
        <f aca="false">IF(AK43="",0,AK41-AK43)</f>
        <v>0</v>
      </c>
      <c r="AL45" s="317" t="n">
        <f aca="false">IF(AL43="",0,AL41-AL43)</f>
        <v>0.41519</v>
      </c>
      <c r="AM45" s="317" t="n">
        <f aca="false">IF(AM43="",0,AM41-AM43)</f>
        <v>1.012632</v>
      </c>
      <c r="AN45" s="317" t="n">
        <f aca="false">IF(AN43="",0,AN41-AN43)</f>
        <v>-3.89584</v>
      </c>
      <c r="AO45" s="317" t="n">
        <f aca="false">IF(AO43="",0,AO41-AO43)</f>
        <v>0.276686</v>
      </c>
      <c r="AP45" s="317" t="n">
        <f aca="false">IF(AP43="",0,AP41-AP43)</f>
        <v>0</v>
      </c>
      <c r="AQ45" s="317" t="n">
        <f aca="false">IF(AQ43="",0,AQ41-AQ43)</f>
        <v>-0.900988</v>
      </c>
      <c r="AR45" s="317" t="n">
        <f aca="false">IF(AR43="",0,AR41-AR43)</f>
        <v>-9.40955799999999</v>
      </c>
      <c r="AS45" s="317" t="n">
        <f aca="false">IF(AS43="",0,AS41-AS43)</f>
        <v>3.50429000000002</v>
      </c>
      <c r="AT45" s="317" t="n">
        <f aca="false">IF(AT43="",0,AT41-AT43)</f>
        <v>-25.844893</v>
      </c>
      <c r="AU45" s="317" t="n">
        <f aca="false">AU41-AU43</f>
        <v>62.7796029999998</v>
      </c>
      <c r="AV45" s="4"/>
    </row>
    <row r="46" customFormat="false" ht="15" hidden="false" customHeight="true" outlineLevel="0" collapsed="false">
      <c r="A46" s="4"/>
      <c r="B46" s="314"/>
      <c r="C46" s="314"/>
      <c r="D46" s="6"/>
      <c r="E46" s="6"/>
      <c r="F46" s="6"/>
      <c r="G46" s="6"/>
      <c r="H46" s="6"/>
      <c r="I46" s="6"/>
      <c r="J46" s="6"/>
      <c r="K46" s="6"/>
      <c r="L46" s="6"/>
      <c r="M46" s="309"/>
      <c r="N46" s="6"/>
      <c r="O46" s="6"/>
      <c r="P46" s="6"/>
      <c r="Q46" s="6"/>
      <c r="R46" s="6"/>
      <c r="S46" s="6"/>
      <c r="T46" s="6"/>
      <c r="U46" s="6"/>
      <c r="V46" s="6"/>
      <c r="W46" s="309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09"/>
      <c r="AU46" s="309"/>
      <c r="AV46" s="4"/>
    </row>
    <row r="47" customFormat="false" ht="15" hidden="false" customHeight="true" outlineLevel="0" collapsed="false">
      <c r="A47" s="4"/>
      <c r="B47" s="318" t="s">
        <v>376</v>
      </c>
      <c r="C47" s="319" t="s">
        <v>377</v>
      </c>
      <c r="D47" s="320"/>
      <c r="E47" s="321" t="n">
        <v>204.91</v>
      </c>
      <c r="F47" s="321" t="n">
        <v>6.2</v>
      </c>
      <c r="G47" s="321" t="n">
        <v>0.31</v>
      </c>
      <c r="H47" s="320"/>
      <c r="I47" s="321" t="n">
        <v>31</v>
      </c>
      <c r="J47" s="321" t="n">
        <v>11.16</v>
      </c>
      <c r="K47" s="321" t="n">
        <v>6.2</v>
      </c>
      <c r="L47" s="321" t="n">
        <v>0</v>
      </c>
      <c r="M47" s="321" t="n">
        <f aca="false">SUMIF(D$9:L$9,"&gt;0",D47:L47)</f>
        <v>259.78</v>
      </c>
      <c r="N47" s="321" t="n">
        <v>338.21</v>
      </c>
      <c r="O47" s="321" t="n">
        <v>260.4</v>
      </c>
      <c r="P47" s="321" t="n">
        <v>46.5</v>
      </c>
      <c r="Q47" s="321" t="n">
        <v>0</v>
      </c>
      <c r="R47" s="321" t="n">
        <v>341</v>
      </c>
      <c r="S47" s="320"/>
      <c r="T47" s="321" t="n">
        <v>0.31</v>
      </c>
      <c r="U47" s="321" t="n">
        <v>1.55</v>
      </c>
      <c r="V47" s="320"/>
      <c r="W47" s="321" t="n">
        <f aca="false">SUMIF(N$9:V$9,"&gt;0",N47:V47)</f>
        <v>987.97</v>
      </c>
      <c r="X47" s="321" t="n">
        <v>6.82</v>
      </c>
      <c r="Y47" s="321" t="n">
        <v>10.85</v>
      </c>
      <c r="Z47" s="320"/>
      <c r="AA47" s="320"/>
      <c r="AB47" s="321" t="n">
        <v>12.4</v>
      </c>
      <c r="AC47" s="320"/>
      <c r="AD47" s="320"/>
      <c r="AE47" s="320"/>
      <c r="AF47" s="320"/>
      <c r="AG47" s="321" t="n">
        <v>0.62</v>
      </c>
      <c r="AH47" s="320"/>
      <c r="AI47" s="321" t="n">
        <v>99.2</v>
      </c>
      <c r="AJ47" s="320"/>
      <c r="AK47" s="320"/>
      <c r="AL47" s="321" t="n">
        <v>0.93</v>
      </c>
      <c r="AM47" s="321" t="n">
        <v>0.93</v>
      </c>
      <c r="AN47" s="321" t="n">
        <v>18.6</v>
      </c>
      <c r="AO47" s="321" t="n">
        <v>6.51</v>
      </c>
      <c r="AP47" s="320"/>
      <c r="AQ47" s="321" t="n">
        <v>5.89</v>
      </c>
      <c r="AR47" s="321" t="n">
        <v>93</v>
      </c>
      <c r="AS47" s="321" t="n">
        <v>46.5</v>
      </c>
      <c r="AT47" s="321" t="n">
        <f aca="false">SUMIF(X$9:AS$9,"&gt;0",X47:AS47)</f>
        <v>302.25</v>
      </c>
      <c r="AU47" s="321" t="n">
        <f aca="false">SUMIF(D$9:AS$9,"&gt;0",D47:AS47)</f>
        <v>1550</v>
      </c>
      <c r="AV47" s="4"/>
    </row>
    <row r="48" customFormat="false" ht="15" hidden="false" customHeight="true" outlineLevel="0" collapsed="false">
      <c r="A48" s="4"/>
      <c r="B48" s="4"/>
      <c r="C48" s="4"/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customFormat="false" ht="15" hidden="false" customHeight="true" outlineLevel="0" collapsed="false">
      <c r="A49" s="4"/>
      <c r="B49" s="322" t="s">
        <v>378</v>
      </c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</sheetData>
  <mergeCells count="13">
    <mergeCell ref="F1:L1"/>
    <mergeCell ref="C2:K2"/>
    <mergeCell ref="C3:D3"/>
    <mergeCell ref="B5:B7"/>
    <mergeCell ref="C5:C7"/>
    <mergeCell ref="D5:L5"/>
    <mergeCell ref="M5:M7"/>
    <mergeCell ref="N5:V5"/>
    <mergeCell ref="W5:W7"/>
    <mergeCell ref="X5:AS5"/>
    <mergeCell ref="AT5:AT7"/>
    <mergeCell ref="AU5:AU7"/>
    <mergeCell ref="B49:T49"/>
  </mergeCells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2023-12-31T10:39:25Z</dcterms:created>
  <dc:creator>Сивак Александр Иванович</dc:creator>
  <dc:description/>
  <dc:language>ru-RU</dc:language>
  <cp:lastModifiedBy/>
  <dcterms:modified xsi:type="dcterms:W3CDTF">2024-03-25T17:58:38Z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