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私人文件夹\明德善言分享网_2025备份\studyGoodArticle\"/>
    </mc:Choice>
  </mc:AlternateContent>
  <xr:revisionPtr revIDLastSave="0" documentId="13_ncr:1_{9B8AFC22-80AA-4D0F-B0FE-51660D95637F}" xr6:coauthVersionLast="47" xr6:coauthVersionMax="47" xr10:uidLastSave="{00000000-0000-0000-0000-000000000000}"/>
  <bookViews>
    <workbookView xWindow="-110" yWindow="-110" windowWidth="25820" windowHeight="15500" tabRatio="651" activeTab="2" xr2:uid="{00000000-000D-0000-FFFF-FFFF00000000}"/>
  </bookViews>
  <sheets>
    <sheet name="单位换算等前期杂乱部分" sheetId="1" r:id="rId1"/>
    <sheet name="钢筋表查询" sheetId="5" r:id="rId2"/>
    <sheet name="典型通用计算书" sheetId="4" r:id="rId3"/>
    <sheet name="外来物资和设备运输量" sheetId="7" r:id="rId4"/>
    <sheet name="(场内土石方)运距表" sheetId="13" r:id="rId5"/>
    <sheet name="单位换算" sheetId="6" r:id="rId6"/>
    <sheet name="导流特性表" sheetId="10" r:id="rId7"/>
    <sheet name="水工隧洞水力计算" sheetId="14" r:id="rId8"/>
    <sheet name="倒计时" sheetId="8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0" i="4" l="1"/>
  <c r="F110" i="4"/>
  <c r="E110" i="4"/>
  <c r="B110" i="4"/>
  <c r="D107" i="4"/>
  <c r="F107" i="4" s="1"/>
  <c r="R105" i="4"/>
  <c r="P105" i="4"/>
  <c r="F105" i="4"/>
  <c r="Q103" i="4"/>
  <c r="P103" i="4"/>
  <c r="F103" i="4"/>
  <c r="D103" i="4"/>
  <c r="E107" i="4" l="1"/>
  <c r="F101" i="4" l="1"/>
  <c r="E101" i="4"/>
  <c r="D101" i="4"/>
  <c r="R99" i="4"/>
  <c r="P99" i="4"/>
  <c r="F99" i="4"/>
  <c r="Q97" i="4"/>
  <c r="P97" i="4"/>
  <c r="F97" i="4"/>
  <c r="H94" i="4"/>
  <c r="G94" i="4"/>
  <c r="E91" i="4"/>
  <c r="F91" i="4" s="1"/>
  <c r="C88" i="4"/>
  <c r="F88" i="4"/>
  <c r="D100" i="14"/>
  <c r="F97" i="14"/>
  <c r="C100" i="14"/>
  <c r="B100" i="14"/>
  <c r="D93" i="14"/>
  <c r="D21" i="14"/>
  <c r="E97" i="14"/>
  <c r="C41" i="14"/>
  <c r="I5" i="14"/>
  <c r="C97" i="14"/>
  <c r="D97" i="14"/>
  <c r="B97" i="14"/>
  <c r="I89" i="14"/>
  <c r="J89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J46" i="14"/>
  <c r="I46" i="14"/>
  <c r="F47" i="14" l="1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46" i="14"/>
  <c r="B29" i="14"/>
  <c r="D26" i="14"/>
  <c r="B26" i="14"/>
  <c r="E53" i="14"/>
  <c r="E54" i="14"/>
  <c r="E55" i="14"/>
  <c r="E56" i="14"/>
  <c r="E57" i="14"/>
  <c r="E58" i="14"/>
  <c r="E63" i="14"/>
  <c r="E64" i="14"/>
  <c r="E65" i="14"/>
  <c r="E66" i="14"/>
  <c r="E67" i="14"/>
  <c r="E68" i="14"/>
  <c r="E69" i="14"/>
  <c r="E70" i="14"/>
  <c r="E71" i="14"/>
  <c r="C60" i="14"/>
  <c r="E60" i="14" s="1"/>
  <c r="C61" i="14"/>
  <c r="E61" i="14" s="1"/>
  <c r="C62" i="14"/>
  <c r="E62" i="14" s="1"/>
  <c r="C63" i="14"/>
  <c r="C64" i="14"/>
  <c r="C65" i="14"/>
  <c r="C66" i="14"/>
  <c r="C67" i="14"/>
  <c r="C68" i="14"/>
  <c r="C69" i="14"/>
  <c r="C70" i="14"/>
  <c r="C71" i="14"/>
  <c r="C47" i="14"/>
  <c r="E47" i="14" s="1"/>
  <c r="C48" i="14"/>
  <c r="E48" i="14" s="1"/>
  <c r="C49" i="14"/>
  <c r="E49" i="14" s="1"/>
  <c r="C50" i="14"/>
  <c r="E50" i="14" s="1"/>
  <c r="C51" i="14"/>
  <c r="E51" i="14" s="1"/>
  <c r="C52" i="14"/>
  <c r="E52" i="14" s="1"/>
  <c r="C53" i="14"/>
  <c r="C54" i="14"/>
  <c r="C55" i="14"/>
  <c r="C56" i="14"/>
  <c r="C57" i="14"/>
  <c r="C58" i="14"/>
  <c r="C59" i="14"/>
  <c r="E59" i="14" s="1"/>
  <c r="C46" i="14"/>
  <c r="D29" i="14"/>
  <c r="F41" i="14"/>
  <c r="G41" i="14" s="1"/>
  <c r="H41" i="14" s="1"/>
  <c r="H39" i="14" l="1"/>
  <c r="I39" i="14" s="1"/>
  <c r="C42" i="14" s="1"/>
  <c r="G81" i="14" l="1"/>
  <c r="G84" i="14"/>
  <c r="G72" i="14"/>
  <c r="G88" i="14"/>
  <c r="G73" i="14"/>
  <c r="G89" i="14"/>
  <c r="G75" i="14"/>
  <c r="G74" i="14"/>
  <c r="G78" i="14"/>
  <c r="G79" i="14"/>
  <c r="G80" i="14"/>
  <c r="G82" i="14"/>
  <c r="G83" i="14"/>
  <c r="G85" i="14"/>
  <c r="G86" i="14"/>
  <c r="G87" i="14"/>
  <c r="G76" i="14"/>
  <c r="G77" i="14"/>
  <c r="G48" i="14"/>
  <c r="G64" i="14"/>
  <c r="G47" i="14"/>
  <c r="G49" i="14"/>
  <c r="G65" i="14"/>
  <c r="G50" i="14"/>
  <c r="G66" i="14"/>
  <c r="G51" i="14"/>
  <c r="G67" i="14"/>
  <c r="G52" i="14"/>
  <c r="G68" i="14"/>
  <c r="G53" i="14"/>
  <c r="G69" i="14"/>
  <c r="G54" i="14"/>
  <c r="G70" i="14"/>
  <c r="G55" i="14"/>
  <c r="G71" i="14"/>
  <c r="G56" i="14"/>
  <c r="G57" i="14"/>
  <c r="G58" i="14"/>
  <c r="G59" i="14"/>
  <c r="G60" i="14"/>
  <c r="G61" i="14"/>
  <c r="G62" i="14"/>
  <c r="G63" i="14"/>
  <c r="G18" i="14"/>
  <c r="H18" i="14" s="1"/>
  <c r="E18" i="14"/>
  <c r="F11" i="14"/>
  <c r="F12" i="14"/>
  <c r="F13" i="14"/>
  <c r="F14" i="14"/>
  <c r="F15" i="14"/>
  <c r="F16" i="14"/>
  <c r="F17" i="14"/>
  <c r="F10" i="14"/>
  <c r="D11" i="14"/>
  <c r="D12" i="14"/>
  <c r="D13" i="14"/>
  <c r="D14" i="14"/>
  <c r="D15" i="14"/>
  <c r="E15" i="14" s="1"/>
  <c r="D16" i="14"/>
  <c r="E16" i="14" s="1"/>
  <c r="D17" i="14"/>
  <c r="E17" i="14" s="1"/>
  <c r="D10" i="14"/>
  <c r="E10" i="14" s="1"/>
  <c r="G12" i="14" l="1"/>
  <c r="H12" i="14" s="1"/>
  <c r="G11" i="14"/>
  <c r="H11" i="14" s="1"/>
  <c r="G10" i="14"/>
  <c r="H10" i="14" s="1"/>
  <c r="G17" i="14"/>
  <c r="H17" i="14" s="1"/>
  <c r="I10" i="14"/>
  <c r="G14" i="14"/>
  <c r="H14" i="14" s="1"/>
  <c r="G13" i="14"/>
  <c r="H13" i="14" s="1"/>
  <c r="I17" i="14"/>
  <c r="G15" i="14"/>
  <c r="H15" i="14" s="1"/>
  <c r="I15" i="14" s="1"/>
  <c r="E14" i="14"/>
  <c r="I14" i="14" s="1"/>
  <c r="E13" i="14"/>
  <c r="I13" i="14" s="1"/>
  <c r="E12" i="14"/>
  <c r="I12" i="14" s="1"/>
  <c r="G16" i="14"/>
  <c r="H16" i="14" s="1"/>
  <c r="I16" i="14" s="1"/>
  <c r="E11" i="14"/>
  <c r="I11" i="14" s="1"/>
  <c r="I18" i="14"/>
  <c r="C21" i="14" l="1"/>
  <c r="C29" i="14" l="1"/>
  <c r="C26" i="14"/>
  <c r="E26" i="14" s="1"/>
  <c r="P53" i="7"/>
  <c r="D53" i="7"/>
  <c r="E53" i="7"/>
  <c r="F53" i="7"/>
  <c r="G53" i="7"/>
  <c r="H53" i="7"/>
  <c r="I53" i="7"/>
  <c r="J53" i="7"/>
  <c r="K53" i="7"/>
  <c r="L53" i="7"/>
  <c r="M53" i="7"/>
  <c r="N53" i="7"/>
  <c r="C53" i="7"/>
  <c r="N48" i="7"/>
  <c r="C48" i="7" s="1"/>
  <c r="P13" i="7"/>
  <c r="E29" i="14" l="1"/>
  <c r="D46" i="14" s="1"/>
  <c r="E46" i="14" s="1"/>
  <c r="G46" i="14" s="1"/>
  <c r="L48" i="7"/>
  <c r="J48" i="7"/>
  <c r="G48" i="7"/>
  <c r="D48" i="7"/>
  <c r="Q48" i="7" s="1"/>
  <c r="M48" i="7"/>
  <c r="K48" i="7"/>
  <c r="I48" i="7"/>
  <c r="H48" i="7"/>
  <c r="F48" i="7"/>
  <c r="E48" i="7"/>
  <c r="N43" i="7"/>
  <c r="N44" i="7"/>
  <c r="N45" i="7"/>
  <c r="N46" i="7"/>
  <c r="N47" i="7"/>
  <c r="N49" i="7"/>
  <c r="N50" i="7"/>
  <c r="N51" i="7"/>
  <c r="N52" i="7"/>
  <c r="N42" i="7"/>
  <c r="J84" i="4"/>
  <c r="I84" i="4"/>
  <c r="C84" i="4"/>
  <c r="K7" i="1"/>
  <c r="G7" i="1"/>
  <c r="C7" i="1"/>
  <c r="N40" i="13"/>
  <c r="K40" i="13"/>
  <c r="J40" i="13"/>
  <c r="N39" i="13"/>
  <c r="K39" i="13"/>
  <c r="J39" i="13"/>
  <c r="N38" i="13"/>
  <c r="K38" i="13"/>
  <c r="J38" i="13"/>
  <c r="N37" i="13"/>
  <c r="K37" i="13"/>
  <c r="J37" i="13"/>
  <c r="N36" i="13"/>
  <c r="K36" i="13"/>
  <c r="J36" i="13"/>
  <c r="N35" i="13"/>
  <c r="K35" i="13"/>
  <c r="J35" i="13"/>
  <c r="N34" i="13"/>
  <c r="K34" i="13"/>
  <c r="J34" i="13"/>
  <c r="N33" i="13"/>
  <c r="K33" i="13"/>
  <c r="J33" i="13"/>
  <c r="N32" i="13"/>
  <c r="K32" i="13"/>
  <c r="J32" i="13"/>
  <c r="N31" i="13"/>
  <c r="K31" i="13"/>
  <c r="J31" i="13"/>
  <c r="N30" i="13"/>
  <c r="K30" i="13"/>
  <c r="J30" i="13"/>
  <c r="N29" i="13"/>
  <c r="K29" i="13"/>
  <c r="J29" i="13"/>
  <c r="N28" i="13"/>
  <c r="K28" i="13"/>
  <c r="J28" i="13"/>
  <c r="N27" i="13"/>
  <c r="K27" i="13"/>
  <c r="J27" i="13"/>
  <c r="N26" i="13"/>
  <c r="K26" i="13"/>
  <c r="J26" i="13"/>
  <c r="N25" i="13"/>
  <c r="K25" i="13"/>
  <c r="J25" i="13"/>
  <c r="N24" i="13"/>
  <c r="K24" i="13"/>
  <c r="J24" i="13"/>
  <c r="N23" i="13"/>
  <c r="K23" i="13"/>
  <c r="J23" i="13"/>
  <c r="N22" i="13"/>
  <c r="K22" i="13"/>
  <c r="J22" i="13"/>
  <c r="N21" i="13"/>
  <c r="K21" i="13"/>
  <c r="J21" i="13"/>
  <c r="N20" i="13"/>
  <c r="K20" i="13"/>
  <c r="J20" i="13"/>
  <c r="N19" i="13"/>
  <c r="K19" i="13"/>
  <c r="J19" i="13"/>
  <c r="N18" i="13"/>
  <c r="K18" i="13"/>
  <c r="J18" i="13"/>
  <c r="N17" i="13"/>
  <c r="K17" i="13"/>
  <c r="J17" i="13"/>
  <c r="N16" i="13"/>
  <c r="K16" i="13"/>
  <c r="J16" i="13"/>
  <c r="N15" i="13"/>
  <c r="K15" i="13"/>
  <c r="J15" i="13"/>
  <c r="N14" i="13"/>
  <c r="K14" i="13"/>
  <c r="J14" i="13"/>
  <c r="N13" i="13"/>
  <c r="K13" i="13"/>
  <c r="J13" i="13"/>
  <c r="N12" i="13"/>
  <c r="K12" i="13"/>
  <c r="J12" i="13"/>
  <c r="N11" i="13"/>
  <c r="K11" i="13"/>
  <c r="J11" i="13"/>
  <c r="N10" i="13"/>
  <c r="K10" i="13"/>
  <c r="J10" i="13"/>
  <c r="N9" i="13"/>
  <c r="K9" i="13"/>
  <c r="J9" i="13"/>
  <c r="N8" i="13"/>
  <c r="K8" i="13"/>
  <c r="J8" i="13"/>
  <c r="N7" i="13"/>
  <c r="K7" i="13"/>
  <c r="J7" i="13"/>
  <c r="N6" i="13"/>
  <c r="K6" i="13"/>
  <c r="J6" i="13"/>
  <c r="I76" i="4"/>
  <c r="E26" i="4"/>
  <c r="D76" i="4"/>
  <c r="F76" i="4" s="1"/>
  <c r="H76" i="4" s="1"/>
  <c r="C52" i="7" l="1"/>
  <c r="G52" i="7"/>
  <c r="D52" i="7"/>
  <c r="L52" i="7"/>
  <c r="F52" i="7"/>
  <c r="K52" i="7"/>
  <c r="J52" i="7"/>
  <c r="H52" i="7"/>
  <c r="M52" i="7"/>
  <c r="E52" i="7"/>
  <c r="I52" i="7"/>
  <c r="L47" i="7"/>
  <c r="J47" i="7"/>
  <c r="H47" i="7"/>
  <c r="F47" i="7"/>
  <c r="E47" i="7"/>
  <c r="K47" i="7"/>
  <c r="I47" i="7"/>
  <c r="C47" i="7"/>
  <c r="G47" i="7"/>
  <c r="M47" i="7"/>
  <c r="D47" i="7"/>
  <c r="C51" i="7"/>
  <c r="G51" i="7"/>
  <c r="D51" i="7"/>
  <c r="L51" i="7"/>
  <c r="J51" i="7"/>
  <c r="H51" i="7"/>
  <c r="F51" i="7"/>
  <c r="M51" i="7"/>
  <c r="K51" i="7"/>
  <c r="I51" i="7"/>
  <c r="E51" i="7"/>
  <c r="J46" i="7"/>
  <c r="H46" i="7"/>
  <c r="I46" i="7"/>
  <c r="C46" i="7"/>
  <c r="G46" i="7"/>
  <c r="D46" i="7"/>
  <c r="L46" i="7"/>
  <c r="F46" i="7"/>
  <c r="M46" i="7"/>
  <c r="E46" i="7"/>
  <c r="K46" i="7"/>
  <c r="D50" i="7"/>
  <c r="L50" i="7"/>
  <c r="G50" i="7"/>
  <c r="F50" i="7"/>
  <c r="M50" i="7"/>
  <c r="E50" i="7"/>
  <c r="K50" i="7"/>
  <c r="I50" i="7"/>
  <c r="C50" i="7"/>
  <c r="J50" i="7"/>
  <c r="H50" i="7"/>
  <c r="J45" i="7"/>
  <c r="H45" i="7"/>
  <c r="F45" i="7"/>
  <c r="E45" i="7"/>
  <c r="K45" i="7"/>
  <c r="C45" i="7"/>
  <c r="L45" i="7"/>
  <c r="M45" i="7"/>
  <c r="G45" i="7"/>
  <c r="D45" i="7"/>
  <c r="I45" i="7"/>
  <c r="I42" i="7"/>
  <c r="H42" i="7"/>
  <c r="G42" i="7"/>
  <c r="C42" i="7"/>
  <c r="F42" i="7"/>
  <c r="D42" i="7"/>
  <c r="M42" i="7"/>
  <c r="L42" i="7"/>
  <c r="J42" i="7"/>
  <c r="E42" i="7"/>
  <c r="K42" i="7"/>
  <c r="J44" i="7"/>
  <c r="H44" i="7"/>
  <c r="F44" i="7"/>
  <c r="M44" i="7"/>
  <c r="E44" i="7"/>
  <c r="D44" i="7"/>
  <c r="K44" i="7"/>
  <c r="I44" i="7"/>
  <c r="G44" i="7"/>
  <c r="L44" i="7"/>
  <c r="C44" i="7"/>
  <c r="C49" i="7"/>
  <c r="D49" i="7"/>
  <c r="L49" i="7"/>
  <c r="J49" i="7"/>
  <c r="H49" i="7"/>
  <c r="M49" i="7"/>
  <c r="E49" i="7"/>
  <c r="F49" i="7"/>
  <c r="K49" i="7"/>
  <c r="I49" i="7"/>
  <c r="G49" i="7"/>
  <c r="J43" i="7"/>
  <c r="H43" i="7"/>
  <c r="F43" i="7"/>
  <c r="M43" i="7"/>
  <c r="E43" i="7"/>
  <c r="D43" i="7"/>
  <c r="K43" i="7"/>
  <c r="I43" i="7"/>
  <c r="G43" i="7"/>
  <c r="L43" i="7"/>
  <c r="C43" i="7"/>
  <c r="G79" i="4"/>
  <c r="H79" i="4" s="1"/>
  <c r="G71" i="4"/>
  <c r="H71" i="4" s="1"/>
  <c r="B4" i="8"/>
  <c r="K4" i="8"/>
  <c r="N4" i="7"/>
  <c r="O13" i="7" s="1"/>
  <c r="N13" i="7" s="1"/>
  <c r="P8" i="7"/>
  <c r="P9" i="7"/>
  <c r="P10" i="7"/>
  <c r="P11" i="7"/>
  <c r="P12" i="7"/>
  <c r="P14" i="7"/>
  <c r="P15" i="7"/>
  <c r="P16" i="7"/>
  <c r="P17" i="7"/>
  <c r="P7" i="7"/>
  <c r="N5" i="7"/>
  <c r="C13" i="7" l="1"/>
  <c r="F13" i="7"/>
  <c r="G13" i="7"/>
  <c r="H13" i="7"/>
  <c r="I13" i="7"/>
  <c r="J13" i="7"/>
  <c r="L13" i="7"/>
  <c r="D13" i="7"/>
  <c r="K13" i="7"/>
  <c r="M13" i="7"/>
  <c r="E13" i="7"/>
  <c r="Q43" i="7"/>
  <c r="Q49" i="7"/>
  <c r="Q44" i="7"/>
  <c r="Q51" i="7"/>
  <c r="Q42" i="7"/>
  <c r="Q45" i="7"/>
  <c r="Q46" i="7"/>
  <c r="Q50" i="7"/>
  <c r="Q47" i="7"/>
  <c r="Q52" i="7"/>
  <c r="P18" i="7"/>
  <c r="O10" i="7"/>
  <c r="N10" i="7" s="1"/>
  <c r="O7" i="7"/>
  <c r="N7" i="7" s="1"/>
  <c r="O12" i="7"/>
  <c r="N12" i="7" s="1"/>
  <c r="O8" i="7"/>
  <c r="N8" i="7" s="1"/>
  <c r="O17" i="7"/>
  <c r="N17" i="7" s="1"/>
  <c r="O4" i="7"/>
  <c r="O16" i="7"/>
  <c r="N16" i="7" s="1"/>
  <c r="O11" i="7"/>
  <c r="N11" i="7" s="1"/>
  <c r="O14" i="7"/>
  <c r="N14" i="7" s="1"/>
  <c r="O9" i="7"/>
  <c r="N9" i="7" s="1"/>
  <c r="O15" i="7"/>
  <c r="N15" i="7" s="1"/>
  <c r="H62" i="4"/>
  <c r="Q53" i="7" l="1"/>
  <c r="N18" i="7"/>
  <c r="M11" i="7"/>
  <c r="C11" i="7"/>
  <c r="D11" i="7"/>
  <c r="E11" i="7"/>
  <c r="I11" i="7"/>
  <c r="F11" i="7"/>
  <c r="K11" i="7"/>
  <c r="G11" i="7"/>
  <c r="H11" i="7"/>
  <c r="J11" i="7"/>
  <c r="L11" i="7"/>
  <c r="D17" i="7"/>
  <c r="E17" i="7"/>
  <c r="F17" i="7"/>
  <c r="I17" i="7"/>
  <c r="K17" i="7"/>
  <c r="G17" i="7"/>
  <c r="C17" i="7"/>
  <c r="H17" i="7"/>
  <c r="L17" i="7"/>
  <c r="J17" i="7"/>
  <c r="M17" i="7"/>
  <c r="D9" i="7"/>
  <c r="E9" i="7"/>
  <c r="F9" i="7"/>
  <c r="I9" i="7"/>
  <c r="K9" i="7"/>
  <c r="L9" i="7"/>
  <c r="G9" i="7"/>
  <c r="H9" i="7"/>
  <c r="M9" i="7"/>
  <c r="J9" i="7"/>
  <c r="C9" i="7"/>
  <c r="K8" i="7"/>
  <c r="M8" i="7"/>
  <c r="J8" i="7"/>
  <c r="L8" i="7"/>
  <c r="F8" i="7"/>
  <c r="G8" i="7"/>
  <c r="D8" i="7"/>
  <c r="H8" i="7"/>
  <c r="E8" i="7"/>
  <c r="C8" i="7"/>
  <c r="I8" i="7"/>
  <c r="E15" i="7"/>
  <c r="G15" i="7"/>
  <c r="F15" i="7"/>
  <c r="H15" i="7"/>
  <c r="I15" i="7"/>
  <c r="C15" i="7"/>
  <c r="J15" i="7"/>
  <c r="M15" i="7"/>
  <c r="K15" i="7"/>
  <c r="L15" i="7"/>
  <c r="D15" i="7"/>
  <c r="K16" i="7"/>
  <c r="J16" i="7"/>
  <c r="L16" i="7"/>
  <c r="M16" i="7"/>
  <c r="H16" i="7"/>
  <c r="C16" i="7"/>
  <c r="F16" i="7"/>
  <c r="E16" i="7"/>
  <c r="G16" i="7"/>
  <c r="D16" i="7"/>
  <c r="I16" i="7"/>
  <c r="E7" i="7"/>
  <c r="F7" i="7"/>
  <c r="G7" i="7"/>
  <c r="H7" i="7"/>
  <c r="I7" i="7"/>
  <c r="J7" i="7"/>
  <c r="C7" i="7"/>
  <c r="K7" i="7"/>
  <c r="L7" i="7"/>
  <c r="M7" i="7"/>
  <c r="D7" i="7"/>
  <c r="C14" i="7"/>
  <c r="D14" i="7"/>
  <c r="E14" i="7"/>
  <c r="F14" i="7"/>
  <c r="G14" i="7"/>
  <c r="J14" i="7"/>
  <c r="H14" i="7"/>
  <c r="L14" i="7"/>
  <c r="M14" i="7"/>
  <c r="I14" i="7"/>
  <c r="K14" i="7"/>
  <c r="E12" i="7"/>
  <c r="D12" i="7"/>
  <c r="C12" i="7"/>
  <c r="F12" i="7"/>
  <c r="G12" i="7"/>
  <c r="H12" i="7"/>
  <c r="K12" i="7"/>
  <c r="M12" i="7"/>
  <c r="I12" i="7"/>
  <c r="J12" i="7"/>
  <c r="L12" i="7"/>
  <c r="G10" i="7"/>
  <c r="H10" i="7"/>
  <c r="I10" i="7"/>
  <c r="J10" i="7"/>
  <c r="D10" i="7"/>
  <c r="E10" i="7"/>
  <c r="K10" i="7"/>
  <c r="L10" i="7"/>
  <c r="M10" i="7"/>
  <c r="F10" i="7"/>
  <c r="C10" i="7"/>
  <c r="J41" i="4"/>
  <c r="C18" i="7" l="1"/>
  <c r="M18" i="7"/>
  <c r="I18" i="7"/>
  <c r="F18" i="7"/>
  <c r="L18" i="7"/>
  <c r="H18" i="7"/>
  <c r="E18" i="7"/>
  <c r="G18" i="7"/>
  <c r="D18" i="7"/>
  <c r="K18" i="7"/>
  <c r="J18" i="7"/>
  <c r="C39" i="4"/>
  <c r="E39" i="4" s="1"/>
  <c r="I41" i="4"/>
  <c r="C42" i="4"/>
  <c r="D42" i="4" s="1"/>
  <c r="G39" i="4"/>
  <c r="J39" i="4" s="1"/>
  <c r="I42" i="4" l="1"/>
  <c r="H42" i="4" s="1"/>
  <c r="J42" i="4" s="1"/>
  <c r="L39" i="4"/>
  <c r="C34" i="4"/>
  <c r="E34" i="4" s="1"/>
  <c r="G34" i="4" s="1"/>
  <c r="G13" i="4"/>
  <c r="C13" i="4"/>
  <c r="D10" i="4"/>
  <c r="C10" i="4"/>
  <c r="E10" i="4" s="1"/>
  <c r="J34" i="4" l="1"/>
  <c r="I34" i="4"/>
  <c r="H16" i="4"/>
  <c r="I16" i="4" s="1"/>
  <c r="C30" i="4" l="1"/>
  <c r="E30" i="4" s="1"/>
  <c r="G30" i="4" s="1"/>
  <c r="I30" i="4" l="1"/>
  <c r="J30" i="4"/>
  <c r="C127" i="1"/>
  <c r="C129" i="1" s="1"/>
  <c r="C122" i="1"/>
  <c r="C123" i="1" s="1"/>
  <c r="C125" i="1" s="1"/>
  <c r="C115" i="1"/>
  <c r="C117" i="1" s="1"/>
  <c r="C106" i="1"/>
  <c r="C108" i="1" s="1"/>
  <c r="C101" i="1"/>
  <c r="C102" i="1" s="1"/>
  <c r="C104" i="1" s="1"/>
  <c r="C94" i="1"/>
  <c r="C96" i="1" s="1"/>
  <c r="C85" i="1"/>
  <c r="C87" i="1" s="1"/>
  <c r="C80" i="1"/>
  <c r="C81" i="1" s="1"/>
  <c r="C83" i="1" s="1"/>
  <c r="C73" i="1"/>
  <c r="C75" i="1" s="1"/>
  <c r="U64" i="1"/>
  <c r="U66" i="1" s="1"/>
  <c r="U59" i="1"/>
  <c r="U60" i="1" s="1"/>
  <c r="U62" i="1" s="1"/>
  <c r="U52" i="1"/>
  <c r="U54" i="1" s="1"/>
  <c r="O64" i="1"/>
  <c r="O66" i="1" s="1"/>
  <c r="O59" i="1"/>
  <c r="O60" i="1" s="1"/>
  <c r="O62" i="1" s="1"/>
  <c r="O52" i="1"/>
  <c r="O54" i="1" s="1"/>
  <c r="I64" i="1"/>
  <c r="I66" i="1" s="1"/>
  <c r="I59" i="1"/>
  <c r="I60" i="1" s="1"/>
  <c r="I62" i="1" s="1"/>
  <c r="I52" i="1"/>
  <c r="I54" i="1" s="1"/>
  <c r="C64" i="1"/>
  <c r="C66" i="1" s="1"/>
  <c r="C59" i="1"/>
  <c r="C60" i="1" s="1"/>
  <c r="C62" i="1" s="1"/>
  <c r="C52" i="1"/>
  <c r="C54" i="1" s="1"/>
  <c r="C43" i="1"/>
  <c r="C45" i="1" s="1"/>
  <c r="C31" i="1"/>
  <c r="C33" i="1" s="1"/>
  <c r="C38" i="1"/>
  <c r="C39" i="1" s="1"/>
  <c r="C41" i="1" s="1"/>
  <c r="J22" i="6" l="1"/>
  <c r="C23" i="6"/>
  <c r="Q6" i="6" l="1"/>
  <c r="Q9" i="6"/>
  <c r="R6" i="6"/>
  <c r="R9" i="6"/>
  <c r="M9" i="6"/>
  <c r="M6" i="6"/>
  <c r="S9" i="6"/>
  <c r="P9" i="6"/>
  <c r="O9" i="6"/>
  <c r="N9" i="6"/>
  <c r="L9" i="6"/>
  <c r="K9" i="6"/>
  <c r="J9" i="6"/>
  <c r="I9" i="6"/>
  <c r="H9" i="6"/>
  <c r="G9" i="6"/>
  <c r="F9" i="6"/>
  <c r="E9" i="6"/>
  <c r="D9" i="6"/>
  <c r="C9" i="6"/>
  <c r="B9" i="6"/>
  <c r="K22" i="6"/>
  <c r="I22" i="6"/>
  <c r="D23" i="6"/>
  <c r="B23" i="6"/>
  <c r="S6" i="6"/>
  <c r="P6" i="6"/>
  <c r="O6" i="6"/>
  <c r="N6" i="6"/>
  <c r="L6" i="6"/>
  <c r="K6" i="6"/>
  <c r="J6" i="6"/>
  <c r="I6" i="6"/>
  <c r="H6" i="6"/>
  <c r="G6" i="6"/>
  <c r="F6" i="6"/>
  <c r="E6" i="6"/>
  <c r="D6" i="6"/>
  <c r="C6" i="6"/>
  <c r="B6" i="6"/>
  <c r="F22" i="4" l="1"/>
  <c r="D22" i="4"/>
  <c r="B22" i="4"/>
  <c r="J24" i="5" l="1"/>
  <c r="M4" i="5" l="1"/>
  <c r="M6" i="5" s="1"/>
  <c r="M9" i="5" l="1"/>
  <c r="M16" i="5"/>
  <c r="M20" i="5"/>
  <c r="M19" i="5"/>
  <c r="M18" i="5"/>
  <c r="M17" i="5"/>
  <c r="M13" i="5"/>
  <c r="M12" i="5"/>
  <c r="M5" i="5"/>
  <c r="M11" i="5"/>
  <c r="M10" i="5"/>
  <c r="M8" i="5"/>
  <c r="M15" i="5"/>
  <c r="M7" i="5"/>
  <c r="M14" i="5"/>
  <c r="E4" i="4"/>
  <c r="D24" i="5" l="1"/>
  <c r="C16" i="4" l="1"/>
  <c r="D16" i="4" s="1"/>
  <c r="C7" i="4"/>
  <c r="C19" i="4" l="1"/>
  <c r="D19" i="4" l="1"/>
  <c r="B19" i="4"/>
  <c r="G4" i="1" l="1"/>
  <c r="L22" i="1" l="1"/>
  <c r="K22" i="1"/>
  <c r="J22" i="1"/>
  <c r="M22" i="1" l="1"/>
  <c r="N22" i="1"/>
  <c r="O22" i="1"/>
  <c r="E17" i="1"/>
  <c r="D17" i="1"/>
  <c r="F17" i="1" s="1"/>
  <c r="P22" i="1" l="1"/>
  <c r="Q22" i="1" s="1"/>
  <c r="C13" i="1"/>
  <c r="F13" i="1" l="1"/>
  <c r="E13" i="1" l="1"/>
  <c r="C4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陈俊</author>
  </authors>
  <commentList>
    <comment ref="P96" authorId="0" shapeId="0" xr:uid="{129450E9-C4DD-4590-931B-30E9010F1535}">
      <text>
        <r>
          <rPr>
            <b/>
            <sz val="9"/>
            <color indexed="81"/>
            <rFont val="宋体"/>
            <family val="3"/>
            <charset val="134"/>
          </rPr>
          <t>陈俊:</t>
        </r>
        <r>
          <rPr>
            <sz val="9"/>
            <color indexed="81"/>
            <rFont val="宋体"/>
            <family val="3"/>
            <charset val="134"/>
          </rPr>
          <t xml:space="preserve">
非城门洞型断面时，计算出Sλ综合值后，直接修改此值填入此处即可</t>
        </r>
      </text>
    </comment>
    <comment ref="P98" authorId="0" shapeId="0" xr:uid="{7FDD74D3-72DF-4ACC-9309-C94179A33186}">
      <text>
        <r>
          <rPr>
            <b/>
            <sz val="9"/>
            <color indexed="81"/>
            <rFont val="宋体"/>
            <family val="3"/>
            <charset val="134"/>
          </rPr>
          <t>陈俊:</t>
        </r>
        <r>
          <rPr>
            <sz val="9"/>
            <color indexed="81"/>
            <rFont val="宋体"/>
            <family val="3"/>
            <charset val="134"/>
          </rPr>
          <t xml:space="preserve">
非城门洞型断面时，计算出Sλ综合值后，直接修改此值填入此处即可</t>
        </r>
      </text>
    </comment>
    <comment ref="P102" authorId="0" shapeId="0" xr:uid="{72529F73-BB82-4700-BE24-1FAAA2D1AFCB}">
      <text>
        <r>
          <rPr>
            <b/>
            <sz val="9"/>
            <color indexed="81"/>
            <rFont val="宋体"/>
            <family val="3"/>
            <charset val="134"/>
          </rPr>
          <t>陈俊:</t>
        </r>
        <r>
          <rPr>
            <sz val="9"/>
            <color indexed="81"/>
            <rFont val="宋体"/>
            <family val="3"/>
            <charset val="134"/>
          </rPr>
          <t xml:space="preserve">
非城门洞型断面时，计算出Sλ综合值后，直接修改此值填入此处即可</t>
        </r>
      </text>
    </comment>
    <comment ref="P104" authorId="0" shapeId="0" xr:uid="{5AACAA62-C9B9-4873-9008-4F5516903A1E}">
      <text>
        <r>
          <rPr>
            <b/>
            <sz val="9"/>
            <color indexed="81"/>
            <rFont val="宋体"/>
            <family val="3"/>
            <charset val="134"/>
          </rPr>
          <t>陈俊:</t>
        </r>
        <r>
          <rPr>
            <sz val="9"/>
            <color indexed="81"/>
            <rFont val="宋体"/>
            <family val="3"/>
            <charset val="134"/>
          </rPr>
          <t xml:space="preserve">
非城门洞型断面时，计算出Sλ综合值后，直接修改此值填入此处即可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陈俊</author>
  </authors>
  <commentList>
    <comment ref="I4" authorId="0" shapeId="0" xr:uid="{9E905BB2-AB10-4010-8382-67E1DF8F36B4}">
      <text>
        <r>
          <rPr>
            <b/>
            <sz val="9"/>
            <color indexed="81"/>
            <rFont val="宋体"/>
            <family val="3"/>
            <charset val="134"/>
          </rPr>
          <t>陈俊:</t>
        </r>
        <r>
          <rPr>
            <sz val="9"/>
            <color indexed="81"/>
            <rFont val="宋体"/>
            <family val="3"/>
            <charset val="134"/>
          </rPr>
          <t xml:space="preserve">
包含了进口进水塔长度以及出口明管段长度？</t>
        </r>
      </text>
    </comment>
    <comment ref="D21" authorId="0" shapeId="0" xr:uid="{F94A8EA3-9210-41D4-9F16-1FFDB84661A0}">
      <text>
        <r>
          <rPr>
            <b/>
            <sz val="9"/>
            <color indexed="81"/>
            <rFont val="宋体"/>
            <family val="3"/>
            <charset val="134"/>
          </rPr>
          <t>陈俊:</t>
        </r>
        <r>
          <rPr>
            <sz val="9"/>
            <color indexed="81"/>
            <rFont val="宋体"/>
            <family val="3"/>
            <charset val="134"/>
          </rPr>
          <t xml:space="preserve">
缓坡情况下，暂定i&lt;0.1%时，为缓坡且趋于平坡</t>
        </r>
      </text>
    </comment>
    <comment ref="C41" authorId="0" shapeId="0" xr:uid="{2F4E0E00-107E-4B6C-AE37-53DD14924E5A}">
      <text>
        <r>
          <rPr>
            <b/>
            <sz val="9"/>
            <color indexed="81"/>
            <rFont val="宋体"/>
            <family val="3"/>
            <charset val="134"/>
          </rPr>
          <t>陈俊:</t>
        </r>
        <r>
          <rPr>
            <sz val="9"/>
            <color indexed="81"/>
            <rFont val="宋体"/>
            <family val="3"/>
            <charset val="134"/>
          </rPr>
          <t xml:space="preserve">
整个洞子的长度吧？还是只有前面一截长度？更不会只根据进水塔长度按照有压短管计算吧(拿林州举例，这个长度l不会只等于进水塔长度10m吧)？</t>
        </r>
      </text>
    </comment>
  </commentList>
</comments>
</file>

<file path=xl/sharedStrings.xml><?xml version="1.0" encoding="utf-8"?>
<sst xmlns="http://schemas.openxmlformats.org/spreadsheetml/2006/main" count="1117" uniqueCount="679">
  <si>
    <t>内摩擦角（°）</t>
    <phoneticPr fontId="3" type="noConversion"/>
  </si>
  <si>
    <t>对应的</t>
    <phoneticPr fontId="3" type="noConversion"/>
  </si>
  <si>
    <t>摩擦系数</t>
  </si>
  <si>
    <t>密度（kg/m3）</t>
    <phoneticPr fontId="3" type="noConversion"/>
  </si>
  <si>
    <t>（天然）容重ρ(KN/m3)</t>
    <phoneticPr fontId="3" type="noConversion"/>
  </si>
  <si>
    <t>围岩C值(MPa)</t>
    <phoneticPr fontId="3" type="noConversion"/>
  </si>
  <si>
    <t>围岩摩擦系数f</t>
    <phoneticPr fontId="3" type="noConversion"/>
  </si>
  <si>
    <t>则，摩擦角φ为（°）</t>
    <phoneticPr fontId="3" type="noConversion"/>
  </si>
  <si>
    <t>其对应的DP模型中的相关参数为</t>
    <phoneticPr fontId="3" type="noConversion"/>
  </si>
  <si>
    <t>备注</t>
    <phoneticPr fontId="3" type="noConversion"/>
  </si>
  <si>
    <t>填C、f值便可</t>
    <phoneticPr fontId="3" type="noConversion"/>
  </si>
  <si>
    <t>由一般应力求最大最小主应力及最大主应力与X轴的夹角</t>
    <phoneticPr fontId="3" type="noConversion"/>
  </si>
  <si>
    <r>
      <t>S</t>
    </r>
    <r>
      <rPr>
        <sz val="12"/>
        <rFont val="宋体"/>
        <family val="3"/>
        <charset val="134"/>
      </rPr>
      <t>x</t>
    </r>
  </si>
  <si>
    <r>
      <t>S</t>
    </r>
    <r>
      <rPr>
        <sz val="12"/>
        <rFont val="宋体"/>
        <family val="3"/>
        <charset val="134"/>
      </rPr>
      <t>y</t>
    </r>
  </si>
  <si>
    <r>
      <t>S</t>
    </r>
    <r>
      <rPr>
        <sz val="12"/>
        <rFont val="宋体"/>
        <family val="3"/>
        <charset val="134"/>
      </rPr>
      <t>z</t>
    </r>
  </si>
  <si>
    <r>
      <t>S</t>
    </r>
    <r>
      <rPr>
        <sz val="12"/>
        <rFont val="宋体"/>
        <family val="3"/>
        <charset val="134"/>
      </rPr>
      <t>xy</t>
    </r>
  </si>
  <si>
    <r>
      <t>S</t>
    </r>
    <r>
      <rPr>
        <sz val="12"/>
        <rFont val="宋体"/>
        <family val="3"/>
        <charset val="134"/>
      </rPr>
      <t>yz</t>
    </r>
  </si>
  <si>
    <r>
      <t>S</t>
    </r>
    <r>
      <rPr>
        <sz val="12"/>
        <rFont val="宋体"/>
        <family val="3"/>
        <charset val="134"/>
      </rPr>
      <t>zx</t>
    </r>
  </si>
  <si>
    <t>6个应力分量</t>
    <phoneticPr fontId="3" type="noConversion"/>
  </si>
  <si>
    <t>某一任意斜面外法线的方向余弦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</si>
  <si>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</si>
  <si>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</si>
  <si>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</si>
  <si>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全应力P在坐标轴上的投影</t>
    <phoneticPr fontId="3" type="noConversion"/>
  </si>
  <si>
    <t>Px</t>
    <phoneticPr fontId="3" type="noConversion"/>
  </si>
  <si>
    <t>Py</t>
    <phoneticPr fontId="3" type="noConversion"/>
  </si>
  <si>
    <t>Pz</t>
    <phoneticPr fontId="3" type="noConversion"/>
  </si>
  <si>
    <t>某一任意斜面外法线与坐标轴的夹角</t>
    <phoneticPr fontId="3" type="noConversion"/>
  </si>
  <si>
    <t>应力在截面上分量</t>
  </si>
  <si>
    <t>由空间上的6个应力分量求某点任意截面上的正应力及剪应力</t>
    <phoneticPr fontId="3" type="noConversion"/>
  </si>
  <si>
    <t>(n,x)（°）</t>
    <phoneticPr fontId="3" type="noConversion"/>
  </si>
  <si>
    <t>(n,y)（°）</t>
    <phoneticPr fontId="3" type="noConversion"/>
  </si>
  <si>
    <t>(n,z)（°）</t>
    <phoneticPr fontId="3" type="noConversion"/>
  </si>
  <si>
    <t>等效围岩压力（MPa）</t>
    <phoneticPr fontId="3" type="noConversion"/>
  </si>
  <si>
    <t>埋深(m)</t>
    <phoneticPr fontId="3" type="noConversion"/>
  </si>
  <si>
    <t>sinα</t>
  </si>
  <si>
    <t>角度(°)</t>
    <phoneticPr fontId="3" type="noConversion"/>
  </si>
  <si>
    <t>弧长(m)</t>
    <phoneticPr fontId="3" type="noConversion"/>
  </si>
  <si>
    <t>半径(m)</t>
    <phoneticPr fontId="3" type="noConversion"/>
  </si>
  <si>
    <t>h(m)</t>
    <phoneticPr fontId="3" type="noConversion"/>
  </si>
  <si>
    <t>L(m)</t>
    <phoneticPr fontId="3" type="noConversion"/>
  </si>
  <si>
    <t>斜边长(m)</t>
  </si>
  <si>
    <t>α(°)</t>
    <phoneticPr fontId="3" type="noConversion"/>
  </si>
  <si>
    <t>tanα</t>
    <phoneticPr fontId="3" type="noConversion"/>
  </si>
  <si>
    <t>cosα</t>
    <phoneticPr fontId="3" type="noConversion"/>
  </si>
  <si>
    <t>度(°)</t>
    <phoneticPr fontId="3" type="noConversion"/>
  </si>
  <si>
    <t>分(')</t>
    <phoneticPr fontId="3" type="noConversion"/>
  </si>
  <si>
    <t>秒(")</t>
    <phoneticPr fontId="3" type="noConversion"/>
  </si>
  <si>
    <t>转化为带小数点的度(°)</t>
    <phoneticPr fontId="3" type="noConversion"/>
  </si>
  <si>
    <t>表C.1钢筋的公称直径、计算截面面积及理论质量</t>
  </si>
  <si>
    <t xml:space="preserve">3695 </t>
  </si>
  <si>
    <t xml:space="preserve">8796 </t>
  </si>
  <si>
    <t>根数</t>
    <phoneticPr fontId="3" type="noConversion"/>
  </si>
  <si>
    <r>
      <rPr>
        <sz val="11"/>
        <color indexed="8"/>
        <rFont val="宋体"/>
        <family val="3"/>
        <charset val="134"/>
      </rPr>
      <t xml:space="preserve">公称直径
</t>
    </r>
    <r>
      <rPr>
        <sz val="11"/>
        <color indexed="8"/>
        <rFont val="Calibri"/>
        <family val="2"/>
      </rPr>
      <t>mm</t>
    </r>
    <phoneticPr fontId="3" type="noConversion"/>
  </si>
  <si>
    <t>不同根数钢筋的计算截面面积mm2</t>
  </si>
  <si>
    <t>请选择配筋根数及公称直径，便可</t>
    <phoneticPr fontId="3" type="noConversion"/>
  </si>
  <si>
    <t>白底为输入值</t>
    <phoneticPr fontId="3" type="noConversion"/>
  </si>
  <si>
    <t>黄底公式自动计算值</t>
    <phoneticPr fontId="3" type="noConversion"/>
  </si>
  <si>
    <t>蓝底为下拉菜单选择值</t>
    <phoneticPr fontId="3" type="noConversion"/>
  </si>
  <si>
    <r>
      <rPr>
        <sz val="11"/>
        <color indexed="8"/>
        <rFont val="宋体"/>
        <family val="3"/>
        <charset val="134"/>
      </rPr>
      <t>不同根数钢筋的计算截面面积</t>
    </r>
    <r>
      <rPr>
        <sz val="11"/>
        <color indexed="8"/>
        <rFont val="Calibri"/>
        <family val="2"/>
      </rPr>
      <t>mm</t>
    </r>
    <r>
      <rPr>
        <vertAlign val="superscript"/>
        <sz val="11"/>
        <color indexed="8"/>
        <rFont val="Calibri"/>
        <family val="2"/>
      </rPr>
      <t>2</t>
    </r>
    <phoneticPr fontId="3" type="noConversion"/>
  </si>
  <si>
    <r>
      <rPr>
        <sz val="11"/>
        <color indexed="8"/>
        <rFont val="宋体"/>
        <family val="3"/>
        <charset val="134"/>
      </rPr>
      <t xml:space="preserve">单根钢筋
理论质量
</t>
    </r>
    <r>
      <rPr>
        <sz val="11"/>
        <color indexed="8"/>
        <rFont val="Calibri"/>
        <family val="2"/>
      </rPr>
      <t>kg/m</t>
    </r>
    <phoneticPr fontId="3" type="noConversion"/>
  </si>
  <si>
    <t>单根钢筋理论质量
kg/m</t>
    <phoneticPr fontId="3" type="noConversion"/>
  </si>
  <si>
    <t>公称直径
mm</t>
    <phoneticPr fontId="3" type="noConversion"/>
  </si>
  <si>
    <t>请选择钢筋公称直径，便可</t>
  </si>
  <si>
    <t>σx</t>
    <phoneticPr fontId="3" type="noConversion"/>
  </si>
  <si>
    <t>σy</t>
    <phoneticPr fontId="3" type="noConversion"/>
  </si>
  <si>
    <t>τxy</t>
    <phoneticPr fontId="3" type="noConversion"/>
  </si>
  <si>
    <t>σmax</t>
    <phoneticPr fontId="3" type="noConversion"/>
  </si>
  <si>
    <t>σmin</t>
    <phoneticPr fontId="3" type="noConversion"/>
  </si>
  <si>
    <t>α(max)</t>
  </si>
  <si>
    <r>
      <rPr>
        <sz val="12"/>
        <rFont val="Calibri"/>
        <family val="2"/>
      </rPr>
      <t>σ</t>
    </r>
    <r>
      <rPr>
        <vertAlign val="subscript"/>
        <sz val="12"/>
        <rFont val="宋体"/>
        <family val="3"/>
        <charset val="134"/>
      </rPr>
      <t>n</t>
    </r>
    <r>
      <rPr>
        <sz val="12"/>
        <rFont val="宋体"/>
        <family val="3"/>
        <charset val="134"/>
      </rPr>
      <t>法向</t>
    </r>
    <phoneticPr fontId="3" type="noConversion"/>
  </si>
  <si>
    <r>
      <rPr>
        <sz val="12"/>
        <rFont val="等线"/>
        <family val="3"/>
        <charset val="134"/>
      </rPr>
      <t>τ</t>
    </r>
    <r>
      <rPr>
        <vertAlign val="subscript"/>
        <sz val="12"/>
        <rFont val="宋体"/>
        <family val="3"/>
        <charset val="134"/>
      </rPr>
      <t>n</t>
    </r>
    <r>
      <rPr>
        <sz val="12"/>
        <rFont val="宋体"/>
        <family val="3"/>
        <charset val="134"/>
      </rPr>
      <t>剪向</t>
    </r>
    <phoneticPr fontId="3" type="noConversion"/>
  </si>
  <si>
    <t>白底为输入值</t>
    <phoneticPr fontId="3" type="noConversion"/>
  </si>
  <si>
    <t>黄底公式自动计算值</t>
    <phoneticPr fontId="3" type="noConversion"/>
  </si>
  <si>
    <t>摩擦角β
(°)</t>
    <phoneticPr fontId="3" type="noConversion"/>
  </si>
  <si>
    <t>屈服应力σ_c
(MPa)</t>
    <phoneticPr fontId="3" type="noConversion"/>
  </si>
  <si>
    <t>需换算的单位</t>
    <phoneticPr fontId="3" type="noConversion"/>
  </si>
  <si>
    <t>需换算的值</t>
    <phoneticPr fontId="3" type="noConversion"/>
  </si>
  <si>
    <t>换算结果(m)</t>
    <phoneticPr fontId="3" type="noConversion"/>
  </si>
  <si>
    <t>Mm</t>
    <phoneticPr fontId="3" type="noConversion"/>
  </si>
  <si>
    <t>Km</t>
    <phoneticPr fontId="3" type="noConversion"/>
  </si>
  <si>
    <t>dm</t>
    <phoneticPr fontId="3" type="noConversion"/>
  </si>
  <si>
    <t>cm</t>
    <phoneticPr fontId="3" type="noConversion"/>
  </si>
  <si>
    <t>mm</t>
    <phoneticPr fontId="3" type="noConversion"/>
  </si>
  <si>
    <t>μm</t>
    <phoneticPr fontId="3" type="noConversion"/>
  </si>
  <si>
    <t>nm</t>
    <phoneticPr fontId="3" type="noConversion"/>
  </si>
  <si>
    <t>埃</t>
    <phoneticPr fontId="3" type="noConversion"/>
  </si>
  <si>
    <t>pm</t>
    <phoneticPr fontId="3" type="noConversion"/>
  </si>
  <si>
    <t>fm</t>
    <phoneticPr fontId="3" type="noConversion"/>
  </si>
  <si>
    <t>am</t>
    <phoneticPr fontId="3" type="noConversion"/>
  </si>
  <si>
    <t>丈</t>
    <phoneticPr fontId="3" type="noConversion"/>
  </si>
  <si>
    <t>尺</t>
    <phoneticPr fontId="3" type="noConversion"/>
  </si>
  <si>
    <t>寸</t>
    <phoneticPr fontId="3" type="noConversion"/>
  </si>
  <si>
    <t>光年</t>
    <phoneticPr fontId="3" type="noConversion"/>
  </si>
  <si>
    <t>备注：</t>
    <phoneticPr fontId="3" type="noConversion"/>
  </si>
  <si>
    <t>▲其他的长度单位还有兆米(Mm)、千米(km)、分米(dm)、厘米(cm)、毫米(mm)、微米(μm)、纳米(nm)、皮米（pm)、飞米（ fm)、阿米（am)等。他们同米的换算关系如下：</t>
  </si>
  <si>
    <t>1Mm=1×10^6m；      1km=1×10^3m；      1米 ＝10分米 ＝100厘米 ＝1000毫米 ＝1e6微米 ＝1e9纳米 ＝1e10埃 ＝1e12皮米 ＝1e15飞米=1e18阿米</t>
  </si>
  <si>
    <t xml:space="preserve">１米＝０.３（丈）＝３（尺）＝３０（寸）  ；                      1（丈）＝10（尺）＝100（寸）      </t>
  </si>
  <si>
    <t>▲在天文学中常用“光年”来做长度单位，它是真空状态下光１年所走过的距离，也因此被称为光年。１光年＝9.04653×10^12km</t>
    <phoneticPr fontId="3" type="noConversion"/>
  </si>
  <si>
    <t>①长度单位：国际单位制中，长度的标准单位是“米”，用符号“m”表示。</t>
    <phoneticPr fontId="3" type="noConversion"/>
  </si>
  <si>
    <t>②面积单位：</t>
    <phoneticPr fontId="3" type="noConversion"/>
  </si>
  <si>
    <t>▲我国传统的长度单位还有尺、寸、丈、里等。它们和米之间的换算关系为：</t>
    <phoneticPr fontId="3" type="noConversion"/>
  </si>
  <si>
    <r>
      <t>换算结果(m</t>
    </r>
    <r>
      <rPr>
        <vertAlign val="superscript"/>
        <sz val="11"/>
        <color rgb="FF000000"/>
        <rFont val="等线"/>
        <family val="3"/>
        <charset val="134"/>
      </rPr>
      <t>2</t>
    </r>
    <r>
      <rPr>
        <sz val="11"/>
        <color rgb="FF000000"/>
        <rFont val="等线"/>
        <family val="3"/>
        <charset val="134"/>
      </rPr>
      <t>)</t>
    </r>
    <phoneticPr fontId="3" type="noConversion"/>
  </si>
  <si>
    <t>公顷</t>
    <phoneticPr fontId="3" type="noConversion"/>
  </si>
  <si>
    <t>(市)亩</t>
  </si>
  <si>
    <t>公亩</t>
  </si>
  <si>
    <t>反之</t>
    <phoneticPr fontId="3" type="noConversion"/>
  </si>
  <si>
    <r>
      <t>m</t>
    </r>
    <r>
      <rPr>
        <vertAlign val="superscript"/>
        <sz val="12"/>
        <rFont val="等线"/>
        <family val="3"/>
        <charset val="134"/>
      </rPr>
      <t>2</t>
    </r>
    <phoneticPr fontId="3" type="noConversion"/>
  </si>
  <si>
    <t>换算为：</t>
    <phoneticPr fontId="3" type="noConversion"/>
  </si>
  <si>
    <t>换算结果单位</t>
    <phoneticPr fontId="3" type="noConversion"/>
  </si>
  <si>
    <t>换算结果单位：</t>
    <phoneticPr fontId="3" type="noConversion"/>
  </si>
  <si>
    <t>里</t>
    <phoneticPr fontId="3" type="noConversion"/>
  </si>
  <si>
    <t>英寸</t>
    <phoneticPr fontId="3" type="noConversion"/>
  </si>
  <si>
    <t>英尺</t>
    <phoneticPr fontId="3" type="noConversion"/>
  </si>
  <si>
    <t>▲1里=500m； 2里=1km；   1m=39.3700787英寸；    1英尺=12英寸；   1m=3.2808399英尺</t>
    <phoneticPr fontId="3" type="noConversion"/>
  </si>
  <si>
    <t>▲1公顷=15亩=100公亩=10000平方米；   1公顷=10000平方米 ;       1(市)亩=10000/15(平方米)；     1公亩=100平方米</t>
    <phoneticPr fontId="3" type="noConversion"/>
  </si>
  <si>
    <t>客厅：</t>
    <phoneticPr fontId="3" type="noConversion"/>
  </si>
  <si>
    <t>客厅长(m):</t>
    <phoneticPr fontId="3" type="noConversion"/>
  </si>
  <si>
    <t>客厅宽(m):</t>
    <phoneticPr fontId="3" type="noConversion"/>
  </si>
  <si>
    <t>长(m):</t>
    <phoneticPr fontId="3" type="noConversion"/>
  </si>
  <si>
    <t>宽(m):</t>
    <phoneticPr fontId="3" type="noConversion"/>
  </si>
  <si>
    <t>所需块数(块):</t>
    <phoneticPr fontId="3" type="noConversion"/>
  </si>
  <si>
    <t>所用地板砖</t>
    <phoneticPr fontId="3" type="noConversion"/>
  </si>
  <si>
    <t>所用墙砖</t>
    <phoneticPr fontId="3" type="noConversion"/>
  </si>
  <si>
    <t>横着贴还是竖着贴：</t>
    <phoneticPr fontId="3" type="noConversion"/>
  </si>
  <si>
    <t>竖着贴</t>
  </si>
  <si>
    <t>在高度方向上贴几块:</t>
    <phoneticPr fontId="3" type="noConversion"/>
  </si>
  <si>
    <t>竖着贴=块数×瓷砖长
横着贴=块数×瓷砖宽</t>
    <phoneticPr fontId="3" type="noConversion"/>
  </si>
  <si>
    <t>所贴瓷砖高度(m):</t>
    <phoneticPr fontId="3" type="noConversion"/>
  </si>
  <si>
    <t>客厅基本数据</t>
    <phoneticPr fontId="3" type="noConversion"/>
  </si>
  <si>
    <t>所需件数(件)：</t>
    <phoneticPr fontId="3" type="noConversion"/>
  </si>
  <si>
    <t>每件有多少块(块/件):</t>
    <phoneticPr fontId="3" type="noConversion"/>
  </si>
  <si>
    <t>所用扫脚线</t>
    <phoneticPr fontId="3" type="noConversion"/>
  </si>
  <si>
    <t>备注</t>
    <phoneticPr fontId="3" type="noConversion"/>
  </si>
  <si>
    <t>是否需要该类型的瓷砖</t>
    <phoneticPr fontId="3" type="noConversion"/>
  </si>
  <si>
    <t>——</t>
    <phoneticPr fontId="3" type="noConversion"/>
  </si>
  <si>
    <t>是</t>
  </si>
  <si>
    <t>主卧：</t>
    <phoneticPr fontId="3" type="noConversion"/>
  </si>
  <si>
    <t>主卧基本数据</t>
  </si>
  <si>
    <t>主卧长(m):</t>
  </si>
  <si>
    <t>主卧宽(m):</t>
  </si>
  <si>
    <t>次卧1：</t>
    <phoneticPr fontId="3" type="noConversion"/>
  </si>
  <si>
    <t>次卧1基本数据</t>
    <phoneticPr fontId="3" type="noConversion"/>
  </si>
  <si>
    <t>次卧1长(m):</t>
    <phoneticPr fontId="3" type="noConversion"/>
  </si>
  <si>
    <t>次卧1宽(m):</t>
    <phoneticPr fontId="3" type="noConversion"/>
  </si>
  <si>
    <t>次卧2：</t>
    <phoneticPr fontId="3" type="noConversion"/>
  </si>
  <si>
    <t>次卧2基本数据</t>
    <phoneticPr fontId="3" type="noConversion"/>
  </si>
  <si>
    <t>次卧2长(m):</t>
    <phoneticPr fontId="3" type="noConversion"/>
  </si>
  <si>
    <t>次卧2宽(m):</t>
    <phoneticPr fontId="3" type="noConversion"/>
  </si>
  <si>
    <t>次卧3：</t>
    <phoneticPr fontId="3" type="noConversion"/>
  </si>
  <si>
    <t>次卧3基本数据</t>
    <phoneticPr fontId="3" type="noConversion"/>
  </si>
  <si>
    <t>次卧3长(m):</t>
    <phoneticPr fontId="3" type="noConversion"/>
  </si>
  <si>
    <t>次卧3宽(m):</t>
    <phoneticPr fontId="3" type="noConversion"/>
  </si>
  <si>
    <t>厨房：</t>
    <phoneticPr fontId="3" type="noConversion"/>
  </si>
  <si>
    <t>厨房基本数据</t>
    <phoneticPr fontId="3" type="noConversion"/>
  </si>
  <si>
    <t>厨房长(m):</t>
    <phoneticPr fontId="3" type="noConversion"/>
  </si>
  <si>
    <t>厨房宽(m):</t>
    <phoneticPr fontId="3" type="noConversion"/>
  </si>
  <si>
    <t>餐厅：</t>
    <phoneticPr fontId="3" type="noConversion"/>
  </si>
  <si>
    <t>餐厅基本数据</t>
    <phoneticPr fontId="3" type="noConversion"/>
  </si>
  <si>
    <t>餐厅长(m):</t>
    <phoneticPr fontId="3" type="noConversion"/>
  </si>
  <si>
    <t>餐厅宽(m):</t>
    <phoneticPr fontId="3" type="noConversion"/>
  </si>
  <si>
    <t>厕所：</t>
    <phoneticPr fontId="3" type="noConversion"/>
  </si>
  <si>
    <t>厕所基本数据</t>
    <phoneticPr fontId="3" type="noConversion"/>
  </si>
  <si>
    <t>厕所长(m):</t>
    <phoneticPr fontId="3" type="noConversion"/>
  </si>
  <si>
    <t>厕所宽(m):</t>
    <phoneticPr fontId="3" type="noConversion"/>
  </si>
  <si>
    <t>浅蓝下拉选择</t>
    <phoneticPr fontId="3" type="noConversion"/>
  </si>
  <si>
    <t>进场交通洞洞口到施工支洞进洞口的水平距离L(m)</t>
    <phoneticPr fontId="3" type="noConversion"/>
  </si>
  <si>
    <t>高差Δh(进场交通洞洞口——施工支洞进洞口)(m)</t>
    <phoneticPr fontId="3" type="noConversion"/>
  </si>
  <si>
    <t>∴该施工支洞进出口底板高差Δh为(m)</t>
    <phoneticPr fontId="3" type="noConversion"/>
  </si>
  <si>
    <t>求输水发电系统施工支洞底坡(一般为下平洞及其下游的施工支洞)</t>
    <phoneticPr fontId="3" type="noConversion"/>
  </si>
  <si>
    <t>h(m)</t>
    <phoneticPr fontId="3" type="noConversion"/>
  </si>
  <si>
    <t>sinα</t>
    <phoneticPr fontId="3" type="noConversion"/>
  </si>
  <si>
    <t>tanα（即底坡i）</t>
    <phoneticPr fontId="3" type="noConversion"/>
  </si>
  <si>
    <t>sinα</t>
    <phoneticPr fontId="3" type="noConversion"/>
  </si>
  <si>
    <t>L(m)</t>
    <phoneticPr fontId="3" type="noConversion"/>
  </si>
  <si>
    <t>h(m)</t>
    <phoneticPr fontId="3" type="noConversion"/>
  </si>
  <si>
    <t>tanα（即底坡i)</t>
    <phoneticPr fontId="3" type="noConversion"/>
  </si>
  <si>
    <t>求输水发电系统施工支洞底坡(一般为下平洞及其下游的施工支洞)</t>
    <phoneticPr fontId="3" type="noConversion"/>
  </si>
  <si>
    <r>
      <t>备注:sinα</t>
    </r>
    <r>
      <rPr>
        <vertAlign val="subscript"/>
        <sz val="12"/>
        <rFont val="宋体"/>
        <family val="3"/>
        <charset val="134"/>
      </rPr>
      <t>2</t>
    </r>
    <phoneticPr fontId="3" type="noConversion"/>
  </si>
  <si>
    <r>
      <t>又∵进场交通洞进口底板高程H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(m)</t>
    </r>
    <phoneticPr fontId="3" type="noConversion"/>
  </si>
  <si>
    <r>
      <t>∴施工支洞进洞口底板高程H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(m)</t>
    </r>
    <phoneticPr fontId="3" type="noConversion"/>
  </si>
  <si>
    <r>
      <t>而，施工支洞在输水发电系统中出口底板高程H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(m)为</t>
    </r>
    <phoneticPr fontId="3" type="noConversion"/>
  </si>
  <si>
    <r>
      <t>且，规划的该施工支洞水平投影长度L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(m)为</t>
    </r>
    <phoneticPr fontId="3" type="noConversion"/>
  </si>
  <si>
    <r>
      <t>进场交通洞底坡i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(即tanα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)</t>
    </r>
  </si>
  <si>
    <r>
      <t>∴该施工支洞的底坡i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(即tanα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)为</t>
    </r>
    <phoneticPr fontId="3" type="noConversion"/>
  </si>
  <si>
    <r>
      <t>进场交通洞底坡i</t>
    </r>
    <r>
      <rPr>
        <strike/>
        <vertAlign val="subscript"/>
        <sz val="12"/>
        <rFont val="宋体"/>
        <family val="3"/>
        <charset val="134"/>
      </rPr>
      <t>1</t>
    </r>
    <r>
      <rPr>
        <strike/>
        <sz val="12"/>
        <rFont val="宋体"/>
        <family val="3"/>
        <charset val="134"/>
      </rPr>
      <t>(即sinα</t>
    </r>
    <r>
      <rPr>
        <strike/>
        <vertAlign val="subscript"/>
        <sz val="12"/>
        <rFont val="宋体"/>
        <family val="3"/>
        <charset val="134"/>
      </rPr>
      <t>1</t>
    </r>
    <r>
      <rPr>
        <strike/>
        <sz val="12"/>
        <rFont val="宋体"/>
        <family val="3"/>
        <charset val="134"/>
      </rPr>
      <t>)</t>
    </r>
    <phoneticPr fontId="3" type="noConversion"/>
  </si>
  <si>
    <r>
      <t>又∵进场交通洞进口底板高程H</t>
    </r>
    <r>
      <rPr>
        <strike/>
        <vertAlign val="subscript"/>
        <sz val="12"/>
        <rFont val="宋体"/>
        <family val="3"/>
        <charset val="134"/>
      </rPr>
      <t>1</t>
    </r>
    <r>
      <rPr>
        <strike/>
        <sz val="12"/>
        <rFont val="宋体"/>
        <family val="3"/>
        <charset val="134"/>
      </rPr>
      <t>(m)</t>
    </r>
    <phoneticPr fontId="3" type="noConversion"/>
  </si>
  <si>
    <r>
      <t>∴施工支洞进洞口底板高程H</t>
    </r>
    <r>
      <rPr>
        <strike/>
        <vertAlign val="subscript"/>
        <sz val="12"/>
        <rFont val="宋体"/>
        <family val="3"/>
        <charset val="134"/>
      </rPr>
      <t>2</t>
    </r>
    <r>
      <rPr>
        <strike/>
        <sz val="12"/>
        <rFont val="宋体"/>
        <family val="3"/>
        <charset val="134"/>
      </rPr>
      <t>(m)</t>
    </r>
    <phoneticPr fontId="3" type="noConversion"/>
  </si>
  <si>
    <r>
      <t>而，施工支洞在输水发电系统中出口底板高程H</t>
    </r>
    <r>
      <rPr>
        <strike/>
        <vertAlign val="subscript"/>
        <sz val="12"/>
        <rFont val="宋体"/>
        <family val="3"/>
        <charset val="134"/>
      </rPr>
      <t>3</t>
    </r>
    <r>
      <rPr>
        <strike/>
        <sz val="12"/>
        <rFont val="宋体"/>
        <family val="3"/>
        <charset val="134"/>
      </rPr>
      <t>(m)为</t>
    </r>
    <phoneticPr fontId="3" type="noConversion"/>
  </si>
  <si>
    <r>
      <t>且，规划的该施工支洞水平投影长度L</t>
    </r>
    <r>
      <rPr>
        <strike/>
        <vertAlign val="subscript"/>
        <sz val="12"/>
        <rFont val="宋体"/>
        <family val="3"/>
        <charset val="134"/>
      </rPr>
      <t>2</t>
    </r>
    <r>
      <rPr>
        <strike/>
        <sz val="12"/>
        <rFont val="宋体"/>
        <family val="3"/>
        <charset val="134"/>
      </rPr>
      <t>(m)为</t>
    </r>
    <phoneticPr fontId="3" type="noConversion"/>
  </si>
  <si>
    <r>
      <t>∴该施工支洞的底坡i</t>
    </r>
    <r>
      <rPr>
        <strike/>
        <vertAlign val="subscript"/>
        <sz val="12"/>
        <rFont val="宋体"/>
        <family val="3"/>
        <charset val="134"/>
      </rPr>
      <t>2</t>
    </r>
    <r>
      <rPr>
        <strike/>
        <sz val="12"/>
        <rFont val="宋体"/>
        <family val="3"/>
        <charset val="134"/>
      </rPr>
      <t>(即sinα</t>
    </r>
    <r>
      <rPr>
        <strike/>
        <vertAlign val="subscript"/>
        <sz val="12"/>
        <rFont val="宋体"/>
        <family val="3"/>
        <charset val="134"/>
      </rPr>
      <t>2</t>
    </r>
    <r>
      <rPr>
        <strike/>
        <sz val="12"/>
        <rFont val="宋体"/>
        <family val="3"/>
        <charset val="134"/>
      </rPr>
      <t>)为</t>
    </r>
    <phoneticPr fontId="3" type="noConversion"/>
  </si>
  <si>
    <r>
      <t>备注:tanα</t>
    </r>
    <r>
      <rPr>
        <strike/>
        <vertAlign val="subscript"/>
        <sz val="12"/>
        <rFont val="宋体"/>
        <family val="3"/>
        <charset val="134"/>
      </rPr>
      <t>2</t>
    </r>
    <phoneticPr fontId="3" type="noConversion"/>
  </si>
  <si>
    <r>
      <t>龙口抛投总工程量V(m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)(包括流失量)</t>
    </r>
    <phoneticPr fontId="3" type="noConversion"/>
  </si>
  <si>
    <t>设计完成龙口抛投工程量的时间T(h)</t>
    <phoneticPr fontId="3" type="noConversion"/>
  </si>
  <si>
    <r>
      <t>抛投强度R(m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/h)</t>
    </r>
    <phoneticPr fontId="3" type="noConversion"/>
  </si>
  <si>
    <t>抛投不均匀系数K</t>
    <phoneticPr fontId="3" type="noConversion"/>
  </si>
  <si>
    <t>选用的单独使用的车辆</t>
    <phoneticPr fontId="3" type="noConversion"/>
  </si>
  <si>
    <r>
      <t>最大抛投强度Rmax(m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/h)</t>
    </r>
    <phoneticPr fontId="3" type="noConversion"/>
  </si>
  <si>
    <r>
      <t>自卸汽车装载量ω(m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</si>
  <si>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t>32t</t>
  </si>
  <si>
    <t>单车循环时间t(min)</t>
    <phoneticPr fontId="3" type="noConversion"/>
  </si>
  <si>
    <r>
      <t>时间利用数K</t>
    </r>
    <r>
      <rPr>
        <vertAlign val="subscript"/>
        <sz val="12"/>
        <rFont val="宋体"/>
        <family val="3"/>
        <charset val="134"/>
      </rPr>
      <t>B</t>
    </r>
    <phoneticPr fontId="3" type="noConversion"/>
  </si>
  <si>
    <r>
      <t>自卸汽车小时产量W(m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/h)</t>
    </r>
    <phoneticPr fontId="3" type="noConversion"/>
  </si>
  <si>
    <r>
      <t>自卸汽车备用量K</t>
    </r>
    <r>
      <rPr>
        <vertAlign val="subscript"/>
        <sz val="12"/>
        <rFont val="宋体"/>
        <family val="3"/>
        <charset val="134"/>
      </rPr>
      <t>1</t>
    </r>
    <phoneticPr fontId="3" type="noConversion"/>
  </si>
  <si>
    <t>单独使用该自卸汽车所需台数n</t>
    <phoneticPr fontId="3" type="noConversion"/>
  </si>
  <si>
    <t>3、卸车强度</t>
    <phoneticPr fontId="3" type="noConversion"/>
  </si>
  <si>
    <t>卸车点数量(个)</t>
    <phoneticPr fontId="3" type="noConversion"/>
  </si>
  <si>
    <t>最终安排的总车辆台数(台)</t>
    <phoneticPr fontId="3" type="noConversion"/>
  </si>
  <si>
    <t>每个卸车点安排的自卸汽车台数</t>
    <phoneticPr fontId="3" type="noConversion"/>
  </si>
  <si>
    <t>每个卸车点单位时间内的卸车数量(车/min)</t>
    <phoneticPr fontId="3" type="noConversion"/>
  </si>
  <si>
    <t>4、车辆组合</t>
    <phoneticPr fontId="3" type="noConversion"/>
  </si>
  <si>
    <t>类型</t>
    <phoneticPr fontId="3" type="noConversion"/>
  </si>
  <si>
    <t>20t</t>
    <phoneticPr fontId="3" type="noConversion"/>
  </si>
  <si>
    <t>32t</t>
    <phoneticPr fontId="3" type="noConversion"/>
  </si>
  <si>
    <t>一台自卸汽车小时产量(m3/h)</t>
    <phoneticPr fontId="3" type="noConversion"/>
  </si>
  <si>
    <t>需要用的台数</t>
    <phoneticPr fontId="3" type="noConversion"/>
  </si>
  <si>
    <t>该型所有自卸汽车小时产量</t>
    <phoneticPr fontId="3" type="noConversion"/>
  </si>
  <si>
    <t>备用总台数</t>
    <phoneticPr fontId="3" type="noConversion"/>
  </si>
  <si>
    <r>
      <t>截流施工机械设备配置计算(20t车按12m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、32t车按15m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、45t车按20m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考虑)(下面表格的计算顺序应为1、2、4、3)</t>
    </r>
    <phoneticPr fontId="3" type="noConversion"/>
  </si>
  <si>
    <t>1、截流抛投强度计算</t>
    <phoneticPr fontId="3" type="noConversion"/>
  </si>
  <si>
    <t>2、龙口段所需施工机械数量计算</t>
  </si>
  <si>
    <t>2、龙口段所需施工机械数量计算</t>
    <phoneticPr fontId="3" type="noConversion"/>
  </si>
  <si>
    <t>龙口段抛投强度应按下式计算：</t>
    <phoneticPr fontId="3" type="noConversion"/>
  </si>
  <si>
    <t>龙口段小时最大抛投强度应按下式计算：</t>
    <phoneticPr fontId="3" type="noConversion"/>
  </si>
  <si>
    <r>
      <t>式中：</t>
    </r>
    <r>
      <rPr>
        <i/>
        <sz val="12"/>
        <rFont val="宋体"/>
        <family val="3"/>
        <charset val="134"/>
      </rPr>
      <t>R</t>
    </r>
    <r>
      <rPr>
        <sz val="12"/>
        <rFont val="宋体"/>
        <family val="3"/>
        <charset val="134"/>
      </rPr>
      <t>—抛投小时强度(m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/h)</t>
    </r>
    <phoneticPr fontId="3" type="noConversion"/>
  </si>
  <si>
    <r>
      <t xml:space="preserve">      </t>
    </r>
    <r>
      <rPr>
        <i/>
        <sz val="12"/>
        <rFont val="宋体"/>
        <family val="3"/>
        <charset val="134"/>
      </rPr>
      <t>V</t>
    </r>
    <r>
      <rPr>
        <sz val="12"/>
        <rFont val="宋体"/>
        <family val="3"/>
        <charset val="134"/>
      </rPr>
      <t>—龙口抛投总工程量(m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</si>
  <si>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r>
      <t xml:space="preserve">      </t>
    </r>
    <r>
      <rPr>
        <i/>
        <sz val="12"/>
        <rFont val="宋体"/>
        <family val="3"/>
        <charset val="134"/>
      </rPr>
      <t>T</t>
    </r>
    <r>
      <rPr>
        <sz val="12"/>
        <rFont val="宋体"/>
        <family val="3"/>
        <charset val="134"/>
      </rPr>
      <t>—设计完成龙口抛投工程量的时间(h)</t>
    </r>
    <phoneticPr fontId="3" type="noConversion"/>
  </si>
  <si>
    <t>式中：K—抛投不均匀系数，取1.2～1. 5 ，工程规模较大时取小值。</t>
    <phoneticPr fontId="3" type="noConversion"/>
  </si>
  <si>
    <t>施工机械小时产量应按下式计算:</t>
    <phoneticPr fontId="3" type="noConversion"/>
  </si>
  <si>
    <r>
      <t>式中:</t>
    </r>
    <r>
      <rPr>
        <i/>
        <sz val="12"/>
        <rFont val="Times New Roman"/>
        <family val="1"/>
      </rPr>
      <t>W</t>
    </r>
    <r>
      <rPr>
        <sz val="12"/>
        <rFont val="宋体"/>
        <family val="3"/>
        <charset val="134"/>
      </rPr>
      <t>一施工机械小时产量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/h)</t>
    </r>
    <phoneticPr fontId="3" type="noConversion"/>
  </si>
  <si>
    <r>
      <rPr>
        <i/>
        <sz val="12"/>
        <rFont val="Times New Roman"/>
        <family val="1"/>
      </rPr>
      <t xml:space="preserve">          K</t>
    </r>
    <r>
      <rPr>
        <i/>
        <vertAlign val="subscript"/>
        <sz val="12"/>
        <rFont val="Times New Roman"/>
        <family val="1"/>
      </rPr>
      <t>B</t>
    </r>
    <r>
      <rPr>
        <sz val="12"/>
        <rFont val="宋体"/>
        <family val="3"/>
        <charset val="134"/>
      </rPr>
      <t>一时间利用系数，一般取80%;</t>
    </r>
    <phoneticPr fontId="3" type="noConversion"/>
  </si>
  <si>
    <r>
      <rPr>
        <i/>
        <sz val="12"/>
        <rFont val="宋体"/>
        <family val="3"/>
        <charset val="134"/>
      </rPr>
      <t xml:space="preserve">     </t>
    </r>
    <r>
      <rPr>
        <i/>
        <sz val="12"/>
        <rFont val="Times New Roman"/>
        <family val="1"/>
      </rPr>
      <t>ω</t>
    </r>
    <r>
      <rPr>
        <sz val="12"/>
        <rFont val="宋体"/>
        <family val="3"/>
        <charset val="134"/>
      </rPr>
      <t>—机械装载量，挖掘机及装载机对应斗容，自卸汽车对应车厢容量(m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);</t>
    </r>
    <phoneticPr fontId="3" type="noConversion"/>
  </si>
  <si>
    <r>
      <rPr>
        <i/>
        <sz val="12"/>
        <rFont val="宋体"/>
        <family val="3"/>
        <charset val="134"/>
      </rPr>
      <t xml:space="preserve">     </t>
    </r>
    <r>
      <rPr>
        <i/>
        <sz val="12"/>
        <rFont val="Times New Roman"/>
        <family val="1"/>
      </rPr>
      <t>t</t>
    </r>
    <r>
      <rPr>
        <sz val="12"/>
        <rFont val="宋体"/>
        <family val="3"/>
        <charset val="134"/>
      </rPr>
      <t>一施工机械运转一个循环所需的时间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min)</t>
    </r>
    <phoneticPr fontId="3" type="noConversion"/>
  </si>
  <si>
    <t>施工机械数量计算应按下式计算:</t>
    <phoneticPr fontId="3" type="noConversion"/>
  </si>
  <si>
    <r>
      <t xml:space="preserve">式中: </t>
    </r>
    <r>
      <rPr>
        <i/>
        <sz val="12"/>
        <rFont val="Times New Roman"/>
        <family val="1"/>
      </rPr>
      <t>n</t>
    </r>
    <r>
      <rPr>
        <sz val="12"/>
        <rFont val="宋体"/>
        <family val="3"/>
        <charset val="134"/>
      </rPr>
      <t>一机械配置数量(台);</t>
    </r>
  </si>
  <si>
    <t>备注：计算原理(源自《DL/T 5741-2016 水电水利工程截流施工技术规范》附录C)</t>
    <phoneticPr fontId="3" type="noConversion"/>
  </si>
  <si>
    <r>
      <rPr>
        <i/>
        <sz val="12"/>
        <rFont val="宋体"/>
        <family val="3"/>
        <charset val="134"/>
      </rPr>
      <t xml:space="preserve">     </t>
    </r>
    <r>
      <rPr>
        <i/>
        <sz val="12"/>
        <rFont val="Times New Roman"/>
        <family val="1"/>
      </rPr>
      <t>K</t>
    </r>
    <r>
      <rPr>
        <i/>
        <vertAlign val="subscript"/>
        <sz val="12"/>
        <rFont val="Times New Roman"/>
        <family val="1"/>
      </rPr>
      <t>1</t>
    </r>
    <r>
      <rPr>
        <sz val="12"/>
        <rFont val="宋体"/>
        <family val="3"/>
        <charset val="134"/>
      </rPr>
      <t>一机械备用量，取</t>
    </r>
    <r>
      <rPr>
        <sz val="12"/>
        <rFont val="Times New Roman"/>
        <family val="1"/>
      </rPr>
      <t>1.0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1.3</t>
    </r>
    <r>
      <rPr>
        <sz val="12"/>
        <rFont val="宋体"/>
        <family val="3"/>
        <charset val="134"/>
      </rPr>
      <t>，龙口段取大值。</t>
    </r>
    <phoneticPr fontId="3" type="noConversion"/>
  </si>
  <si>
    <t>备注：</t>
    <phoneticPr fontId="3" type="noConversion"/>
  </si>
  <si>
    <t>原理</t>
    <phoneticPr fontId="3" type="noConversion"/>
  </si>
  <si>
    <t>所有类型,小时产量的和不小于抛投强度R</t>
    <phoneticPr fontId="3" type="noConversion"/>
  </si>
  <si>
    <t>先算32t的,再看需要多少45t的</t>
    <phoneticPr fontId="3" type="noConversion"/>
  </si>
  <si>
    <t>枢纽建筑物安全管理用地范围应以建筑物开挖轮廓线、顶部截水或防护设施边坡开口线为基准线，按开挖边坡高度H确定，并应符合下列规定：</t>
    <phoneticPr fontId="3" type="noConversion"/>
  </si>
  <si>
    <t>用地范围线向外延伸长度(m)</t>
    <phoneticPr fontId="3" type="noConversion"/>
  </si>
  <si>
    <t>H(m)</t>
    <phoneticPr fontId="3" type="noConversion"/>
  </si>
  <si>
    <t>+∞</t>
    <phoneticPr fontId="3" type="noConversion"/>
  </si>
  <si>
    <t>需查询H值：</t>
    <phoneticPr fontId="3" type="noConversion"/>
  </si>
  <si>
    <t>查询结果：</t>
    <phoneticPr fontId="3" type="noConversion"/>
  </si>
  <si>
    <t>项目</t>
    <phoneticPr fontId="38" type="noConversion"/>
  </si>
  <si>
    <t>筹建期</t>
    <phoneticPr fontId="38" type="noConversion"/>
  </si>
  <si>
    <t>第一年</t>
    <phoneticPr fontId="38" type="noConversion"/>
  </si>
  <si>
    <t>第二年</t>
    <phoneticPr fontId="38" type="noConversion"/>
  </si>
  <si>
    <t>第三年</t>
    <phoneticPr fontId="38" type="noConversion"/>
  </si>
  <si>
    <t>第四年</t>
    <phoneticPr fontId="38" type="noConversion"/>
  </si>
  <si>
    <t>第五年</t>
    <phoneticPr fontId="38" type="noConversion"/>
  </si>
  <si>
    <t>第六年</t>
    <phoneticPr fontId="38" type="noConversion"/>
  </si>
  <si>
    <t>第七年</t>
    <phoneticPr fontId="38" type="noConversion"/>
  </si>
  <si>
    <t>合计</t>
    <phoneticPr fontId="38" type="noConversion"/>
  </si>
  <si>
    <t>第八年</t>
    <phoneticPr fontId="38" type="noConversion"/>
  </si>
  <si>
    <t>第九年</t>
    <phoneticPr fontId="38" type="noConversion"/>
  </si>
  <si>
    <t>第十年</t>
    <phoneticPr fontId="38" type="noConversion"/>
  </si>
  <si>
    <t>水泥</t>
  </si>
  <si>
    <t>木材</t>
  </si>
  <si>
    <t>钢材</t>
  </si>
  <si>
    <t>施工机械</t>
  </si>
  <si>
    <t>永久机电设备</t>
  </si>
  <si>
    <t>爆破材料</t>
  </si>
  <si>
    <t>煤炭</t>
  </si>
  <si>
    <t>油料</t>
  </si>
  <si>
    <t>房建筑料</t>
  </si>
  <si>
    <t>生活物资</t>
  </si>
  <si>
    <t>其他</t>
  </si>
  <si>
    <t>黄底:公式自动计算值</t>
    <phoneticPr fontId="40" type="noConversion"/>
  </si>
  <si>
    <t>白底:手动输入值</t>
    <phoneticPr fontId="40" type="noConversion"/>
  </si>
  <si>
    <t>绿底:固定不变值</t>
    <phoneticPr fontId="40" type="noConversion"/>
  </si>
  <si>
    <t>蓝底:下拉选择</t>
    <phoneticPr fontId="40" type="noConversion"/>
  </si>
  <si>
    <t>合计</t>
    <phoneticPr fontId="3" type="noConversion"/>
  </si>
  <si>
    <t>混凝土总工程量占土石总填筑量的比值</t>
    <phoneticPr fontId="3" type="noConversion"/>
  </si>
  <si>
    <t>项 目</t>
  </si>
  <si>
    <t>混凝土总工程量占土石总填筑量百分比</t>
  </si>
  <si>
    <t>1m3混凝土外来物资和
设备运输量</t>
  </si>
  <si>
    <t/>
  </si>
  <si>
    <t>-</t>
  </si>
  <si>
    <t>1m3土石填筑外来物资和
设备运输量</t>
  </si>
  <si>
    <t>其中</t>
  </si>
  <si>
    <r>
      <rPr>
        <sz val="10"/>
        <rFont val="宋体"/>
        <family val="3"/>
        <charset val="134"/>
      </rPr>
      <t>附：</t>
    </r>
    <r>
      <rPr>
        <sz val="10"/>
        <rFont val="Arial"/>
        <family val="2"/>
      </rPr>
      <t xml:space="preserve">                                                                          </t>
    </r>
    <r>
      <rPr>
        <sz val="10"/>
        <rFont val="宋体"/>
        <family val="3"/>
        <charset val="134"/>
      </rPr>
      <t>土石坝枢纽外来物资和设备运输量指标表</t>
    </r>
    <r>
      <rPr>
        <sz val="10"/>
        <rFont val="Arial"/>
        <family val="2"/>
      </rPr>
      <t xml:space="preserve">                                                                   </t>
    </r>
    <r>
      <rPr>
        <sz val="10"/>
        <rFont val="宋体"/>
        <family val="3"/>
        <charset val="134"/>
      </rPr>
      <t>单位：</t>
    </r>
    <r>
      <rPr>
        <sz val="10"/>
        <rFont val="Arial"/>
        <family val="2"/>
      </rPr>
      <t>t/m</t>
    </r>
    <r>
      <rPr>
        <vertAlign val="superscript"/>
        <sz val="10"/>
        <rFont val="Arial"/>
        <family val="2"/>
      </rPr>
      <t>3</t>
    </r>
    <phoneticPr fontId="3" type="noConversion"/>
  </si>
  <si>
    <t>计算值</t>
    <phoneticPr fontId="3" type="noConversion"/>
  </si>
  <si>
    <t>取值</t>
    <phoneticPr fontId="3" type="noConversion"/>
  </si>
  <si>
    <r>
      <rPr>
        <sz val="10"/>
        <rFont val="宋体"/>
        <family val="3"/>
        <charset val="134"/>
      </rPr>
      <t>合计</t>
    </r>
    <phoneticPr fontId="3" type="noConversion"/>
  </si>
  <si>
    <t>D的取值</t>
    <phoneticPr fontId="3" type="noConversion"/>
  </si>
  <si>
    <t>选用的混凝土或土石的总量V</t>
    <phoneticPr fontId="3" type="noConversion"/>
  </si>
  <si>
    <r>
      <t>每年的混凝土量(万m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</si>
  <si>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r>
      <t>每年的土石填筑量(万m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</si>
  <si>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t>天</t>
    <phoneticPr fontId="3" type="noConversion"/>
  </si>
  <si>
    <t xml:space="preserve">备注：2022年度一级建造师考试时间为2022年11月19日、20日；
    </t>
    <phoneticPr fontId="3" type="noConversion"/>
  </si>
  <si>
    <t xml:space="preserve">      2022年一级建造师报名时间预测可能集中在8、9月份</t>
    <phoneticPr fontId="3" type="noConversion"/>
  </si>
  <si>
    <t>距离2022年一级建造师考试还有</t>
    <phoneticPr fontId="3" type="noConversion"/>
  </si>
  <si>
    <t>距离</t>
    <phoneticPr fontId="3" type="noConversion"/>
  </si>
  <si>
    <t>年</t>
    <phoneticPr fontId="3" type="noConversion"/>
  </si>
  <si>
    <t>月</t>
    <phoneticPr fontId="3" type="noConversion"/>
  </si>
  <si>
    <t>日还有</t>
    <phoneticPr fontId="3" type="noConversion"/>
  </si>
  <si>
    <t>直接计算例子：</t>
    <phoneticPr fontId="3" type="noConversion"/>
  </si>
  <si>
    <t>备注：绿底时间修改后，自动计算还有多少天</t>
    <phoneticPr fontId="3" type="noConversion"/>
  </si>
  <si>
    <t>枢纽建筑物施工用地</t>
    <phoneticPr fontId="3" type="noConversion"/>
  </si>
  <si>
    <t>其他项目施工用地</t>
    <phoneticPr fontId="3" type="noConversion"/>
  </si>
  <si>
    <t>项目</t>
    <phoneticPr fontId="3" type="noConversion"/>
  </si>
  <si>
    <t>用地范围偏移</t>
    <phoneticPr fontId="3" type="noConversion"/>
  </si>
  <si>
    <t>砂石加工系统和混凝土生产系统</t>
    <phoneticPr fontId="3" type="noConversion"/>
  </si>
  <si>
    <t>开挖边坡开口线或填筑坡脚线</t>
    <phoneticPr fontId="3" type="noConversion"/>
  </si>
  <si>
    <t>基准线</t>
    <phoneticPr fontId="3" type="noConversion"/>
  </si>
  <si>
    <t>5m～30m</t>
    <phoneticPr fontId="3" type="noConversion"/>
  </si>
  <si>
    <t>渣场</t>
    <phoneticPr fontId="3" type="noConversion"/>
  </si>
  <si>
    <t>挡排水设施：开挖开口线或填筑坡脚线</t>
    <phoneticPr fontId="3" type="noConversion"/>
  </si>
  <si>
    <t>堆渣体：
堆渣外轮廓线</t>
    <phoneticPr fontId="3" type="noConversion"/>
  </si>
  <si>
    <t>均为5m～20m</t>
    <phoneticPr fontId="3" type="noConversion"/>
  </si>
  <si>
    <t>转存料场</t>
    <phoneticPr fontId="3" type="noConversion"/>
  </si>
  <si>
    <t>5m～20m</t>
    <phoneticPr fontId="3" type="noConversion"/>
  </si>
  <si>
    <t>营地</t>
    <phoneticPr fontId="3" type="noConversion"/>
  </si>
  <si>
    <t>施工工厂与仓库；施工供水泵站与水池；压缩空气站；施工变电站</t>
    <phoneticPr fontId="3" type="noConversion"/>
  </si>
  <si>
    <t>施工供水和供风线路</t>
  </si>
  <si>
    <t>自管线中心线向两侧宽度</t>
    <phoneticPr fontId="3" type="noConversion"/>
  </si>
  <si>
    <t>不小于2. 5m</t>
    <phoneticPr fontId="3" type="noConversion"/>
  </si>
  <si>
    <t>前期交通规划</t>
    <phoneticPr fontId="3" type="noConversion"/>
  </si>
  <si>
    <t>按公路等级和路面宽度以道路中心线两侧</t>
    <phoneticPr fontId="3" type="noConversion"/>
  </si>
  <si>
    <t>各15m～ 30m</t>
    <phoneticPr fontId="3" type="noConversion"/>
  </si>
  <si>
    <t>备注：1、围堰、导流洞的施工用地呢？？？转存料场填筑边坡很高呢？？？等等</t>
    <phoneticPr fontId="3" type="noConversion"/>
  </si>
  <si>
    <r>
      <t xml:space="preserve">      2、施工</t>
    </r>
    <r>
      <rPr>
        <b/>
        <sz val="12"/>
        <rFont val="宋体"/>
        <family val="3"/>
        <charset val="134"/>
      </rPr>
      <t>爆破</t>
    </r>
    <r>
      <rPr>
        <sz val="12"/>
        <rFont val="宋体"/>
        <family val="3"/>
        <charset val="134"/>
      </rPr>
      <t>飞石、爆破振动和爆破冲击波的影响区</t>
    </r>
    <r>
      <rPr>
        <b/>
        <sz val="12"/>
        <rFont val="宋体"/>
        <family val="3"/>
        <charset val="134"/>
      </rPr>
      <t>超出</t>
    </r>
    <r>
      <rPr>
        <sz val="12"/>
        <rFont val="宋体"/>
        <family val="3"/>
        <charset val="134"/>
      </rPr>
      <t>施工场地及工程管理区用地范围</t>
    </r>
    <r>
      <rPr>
        <b/>
        <sz val="12"/>
        <rFont val="宋体"/>
        <family val="3"/>
        <charset val="134"/>
      </rPr>
      <t>部分</t>
    </r>
    <r>
      <rPr>
        <sz val="12"/>
        <rFont val="宋体"/>
        <family val="3"/>
        <charset val="134"/>
      </rPr>
      <t>，</t>
    </r>
    <r>
      <rPr>
        <b/>
        <sz val="12"/>
        <rFont val="宋体"/>
        <family val="3"/>
        <charset val="134"/>
      </rPr>
      <t>可纳入工程防护范围，不列入施工用地</t>
    </r>
    <phoneticPr fontId="3" type="noConversion"/>
  </si>
  <si>
    <t>（水库工程或者说挡泄水建筑物工程）施工导流特性表（含导流程序或者说导流时段）</t>
    <phoneticPr fontId="40" type="noConversion"/>
  </si>
  <si>
    <t>导流阶段</t>
    <phoneticPr fontId="40" type="noConversion"/>
  </si>
  <si>
    <t>单位</t>
    <phoneticPr fontId="40" type="noConversion"/>
  </si>
  <si>
    <t>前期导流
(主要指围堰挡水阶段。～坝体高程未超过围堰顶高程）</t>
    <phoneticPr fontId="40" type="noConversion"/>
  </si>
  <si>
    <t>中期导流
（坝体高程超过围堰顶高程～导流泄水建筑物下闸封堵（导流泄水建筑物完全封堵））</t>
    <phoneticPr fontId="40" type="noConversion"/>
  </si>
  <si>
    <t>后期导流
（主要指施工蓄水阶段。导流泄水建筑物下闸封堵（导流泄水建筑物完全封堵）～工程完建）</t>
    <phoneticPr fontId="40" type="noConversion"/>
  </si>
  <si>
    <t>原河床过流期(或者说施工准备期)、导流建筑物过流期</t>
    <phoneticPr fontId="40" type="noConversion"/>
  </si>
  <si>
    <t>截流</t>
    <phoneticPr fontId="40" type="noConversion"/>
  </si>
  <si>
    <t>围堰挡水期、过水围堰的基坑过流期</t>
    <phoneticPr fontId="40" type="noConversion"/>
  </si>
  <si>
    <t>......</t>
    <phoneticPr fontId="40" type="noConversion"/>
  </si>
  <si>
    <t>蓄水前坝体临时挡水度汛期</t>
    <phoneticPr fontId="40" type="noConversion"/>
  </si>
  <si>
    <t>(枯水期)围堰
挡水期</t>
    <phoneticPr fontId="40" type="noConversion"/>
  </si>
  <si>
    <t>导流洞下闸</t>
    <phoneticPr fontId="40" type="noConversion"/>
  </si>
  <si>
    <t>导流泄水建筑物封堵期(导流洞闸门挡水期)</t>
    <phoneticPr fontId="40" type="noConversion"/>
  </si>
  <si>
    <t>水库蓄水后坝体挡水度汛期</t>
    <phoneticPr fontId="40" type="noConversion"/>
  </si>
  <si>
    <t>导流
建筑物</t>
    <phoneticPr fontId="40" type="noConversion"/>
  </si>
  <si>
    <t>导流挡水建筑物</t>
    <phoneticPr fontId="40" type="noConversion"/>
  </si>
  <si>
    <t>导流泄水建筑物</t>
    <phoneticPr fontId="40" type="noConversion"/>
  </si>
  <si>
    <t>导流建筑物级别</t>
    <phoneticPr fontId="40" type="noConversion"/>
  </si>
  <si>
    <t>导流标准</t>
    <phoneticPr fontId="40" type="noConversion"/>
  </si>
  <si>
    <t>导流时段</t>
    <phoneticPr fontId="40" type="noConversion"/>
  </si>
  <si>
    <t>导流频率</t>
    <phoneticPr fontId="40" type="noConversion"/>
  </si>
  <si>
    <t>导流流量/洪量</t>
    <phoneticPr fontId="40" type="noConversion"/>
  </si>
  <si>
    <t>洪峰流量</t>
    <phoneticPr fontId="40" type="noConversion"/>
  </si>
  <si>
    <t>上游围堰</t>
    <phoneticPr fontId="40" type="noConversion"/>
  </si>
  <si>
    <t>上游水位</t>
    <phoneticPr fontId="40" type="noConversion"/>
  </si>
  <si>
    <t>上游堰顶高程</t>
    <phoneticPr fontId="40" type="noConversion"/>
  </si>
  <si>
    <t>上游围堰最大堰高</t>
    <phoneticPr fontId="40" type="noConversion"/>
  </si>
  <si>
    <t>上游堰顶宽度</t>
    <phoneticPr fontId="40" type="noConversion"/>
  </si>
  <si>
    <t>下游围堰</t>
    <phoneticPr fontId="40" type="noConversion"/>
  </si>
  <si>
    <t>下游水位</t>
    <phoneticPr fontId="40" type="noConversion"/>
  </si>
  <si>
    <t>下游堰顶高程</t>
    <phoneticPr fontId="40" type="noConversion"/>
  </si>
  <si>
    <t>下游围堰最大堰高</t>
    <phoneticPr fontId="40" type="noConversion"/>
  </si>
  <si>
    <t>下游堰顶宽度</t>
    <phoneticPr fontId="40" type="noConversion"/>
  </si>
  <si>
    <t>施工项目</t>
    <phoneticPr fontId="40" type="noConversion"/>
  </si>
  <si>
    <t>（进出水口工程）施工导流特性表</t>
    <phoneticPr fontId="40" type="noConversion"/>
  </si>
  <si>
    <t>注：以上2表中均可再加上下泄流量及洞内流速</t>
  </si>
  <si>
    <t>进出水口与地下厂房洞室群贯通前</t>
    <phoneticPr fontId="40" type="noConversion"/>
  </si>
  <si>
    <t>进出水口与地下厂房洞室群贯通后</t>
    <phoneticPr fontId="40" type="noConversion"/>
  </si>
  <si>
    <t>水库蓄水期间</t>
    <phoneticPr fontId="40" type="noConversion"/>
  </si>
  <si>
    <t>原河床过流</t>
    <phoneticPr fontId="40" type="noConversion"/>
  </si>
  <si>
    <t>导流挡水建筑物挡水期</t>
    <phoneticPr fontId="40" type="noConversion"/>
  </si>
  <si>
    <t>导流
建筑物</t>
    <phoneticPr fontId="40" type="noConversion"/>
  </si>
  <si>
    <t>自：导流挡水建筑物
挡水水位</t>
    <phoneticPr fontId="40" type="noConversion"/>
  </si>
  <si>
    <t>自：导流挡水建筑物
顶高程</t>
    <phoneticPr fontId="40" type="noConversion"/>
  </si>
  <si>
    <t>自：导流挡水建筑物
最大高度</t>
    <phoneticPr fontId="40" type="noConversion"/>
  </si>
  <si>
    <t>自：导流挡水建筑物
顶宽</t>
    <phoneticPr fontId="40" type="noConversion"/>
  </si>
  <si>
    <t>蓄水前坝体正式挡水度汛期</t>
    <phoneticPr fontId="40" type="noConversion"/>
  </si>
  <si>
    <t>Q</t>
    <phoneticPr fontId="40" type="noConversion"/>
  </si>
  <si>
    <t>流量系数m</t>
    <phoneticPr fontId="40" type="noConversion"/>
  </si>
  <si>
    <r>
      <t>淹没系数б</t>
    </r>
    <r>
      <rPr>
        <vertAlign val="subscript"/>
        <sz val="11"/>
        <color theme="1"/>
        <rFont val="等线"/>
        <family val="3"/>
        <charset val="134"/>
      </rPr>
      <t>s</t>
    </r>
    <phoneticPr fontId="40" type="noConversion"/>
  </si>
  <si>
    <t>过水断面宽度b
(m)</t>
    <phoneticPr fontId="40" type="noConversion"/>
  </si>
  <si>
    <r>
      <t>g
(m/s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2"/>
        <rFont val="宋体"/>
        <family val="3"/>
        <charset val="134"/>
      </rPr>
      <t>)</t>
    </r>
    <phoneticPr fontId="40" type="noConversion"/>
  </si>
  <si>
    <r>
      <t>H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2"/>
        <rFont val="宋体"/>
        <family val="3"/>
        <charset val="134"/>
      </rPr>
      <t xml:space="preserve">
(m)</t>
    </r>
    <phoneticPr fontId="40" type="noConversion"/>
  </si>
  <si>
    <t>洞高a
(m)</t>
    <phoneticPr fontId="40" type="noConversion"/>
  </si>
  <si>
    <r>
      <t>注：1、保证无压流需满足H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2"/>
        <rFont val="宋体"/>
        <family val="3"/>
        <charset val="134"/>
      </rPr>
      <t>&lt;1.2a</t>
    </r>
    <phoneticPr fontId="40" type="noConversion"/>
  </si>
  <si>
    <r>
      <t xml:space="preserve">    2、当h</t>
    </r>
    <r>
      <rPr>
        <vertAlign val="subscript"/>
        <sz val="11"/>
        <color theme="1"/>
        <rFont val="等线"/>
        <family val="3"/>
        <charset val="134"/>
        <scheme val="minor"/>
      </rPr>
      <t>c</t>
    </r>
    <r>
      <rPr>
        <sz val="12"/>
        <rFont val="宋体"/>
        <family val="3"/>
        <charset val="134"/>
      </rPr>
      <t>'&lt;0.75H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2"/>
        <rFont val="宋体"/>
        <family val="3"/>
        <charset val="134"/>
      </rPr>
      <t>时，为自由出流，</t>
    </r>
    <r>
      <rPr>
        <sz val="12"/>
        <rFont val="Calibri"/>
        <family val="3"/>
        <charset val="204"/>
      </rPr>
      <t>б</t>
    </r>
    <r>
      <rPr>
        <vertAlign val="subscript"/>
        <sz val="11"/>
        <color theme="1"/>
        <rFont val="等线"/>
        <family val="3"/>
        <charset val="134"/>
        <scheme val="minor"/>
      </rPr>
      <t>s</t>
    </r>
    <r>
      <rPr>
        <sz val="12"/>
        <rFont val="宋体"/>
        <family val="3"/>
        <charset val="134"/>
      </rPr>
      <t>=1；h</t>
    </r>
    <r>
      <rPr>
        <vertAlign val="subscript"/>
        <sz val="11"/>
        <color theme="1"/>
        <rFont val="等线"/>
        <family val="3"/>
        <charset val="134"/>
        <scheme val="minor"/>
      </rPr>
      <t>c</t>
    </r>
    <r>
      <rPr>
        <sz val="12"/>
        <rFont val="宋体"/>
        <family val="3"/>
        <charset val="134"/>
      </rPr>
      <t>'为进口断面处水深，H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2"/>
        <rFont val="宋体"/>
        <family val="3"/>
        <charset val="134"/>
      </rPr>
      <t>为以隧洞进口断面底板高程起算的上游总水头</t>
    </r>
    <phoneticPr fontId="40" type="noConversion"/>
  </si>
  <si>
    <t>流速(m/s)</t>
    <phoneticPr fontId="3" type="noConversion"/>
  </si>
  <si>
    <r>
      <t>水的密度
ρ(kg/m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2"/>
        <rFont val="宋体"/>
        <family val="3"/>
        <charset val="134"/>
      </rPr>
      <t>)</t>
    </r>
    <phoneticPr fontId="40" type="noConversion"/>
  </si>
  <si>
    <r>
      <t>块石密度
ρ</t>
    </r>
    <r>
      <rPr>
        <vertAlign val="subscript"/>
        <sz val="11"/>
        <color theme="1"/>
        <rFont val="等线"/>
        <family val="3"/>
        <charset val="134"/>
        <scheme val="minor"/>
      </rPr>
      <t>m</t>
    </r>
    <r>
      <rPr>
        <sz val="12"/>
        <rFont val="宋体"/>
        <family val="3"/>
        <charset val="134"/>
      </rPr>
      <t>(kg/m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2"/>
        <rFont val="宋体"/>
        <family val="3"/>
        <charset val="134"/>
      </rPr>
      <t>)</t>
    </r>
    <phoneticPr fontId="40" type="noConversion"/>
  </si>
  <si>
    <t>综合稳定系数κ</t>
    <phoneticPr fontId="3" type="noConversion"/>
  </si>
  <si>
    <t>块石粒径(m)</t>
  </si>
  <si>
    <r>
      <t>重力加速度g(m/s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)</t>
    </r>
    <phoneticPr fontId="40" type="noConversion"/>
  </si>
  <si>
    <t>块石质量(kg)</t>
    <phoneticPr fontId="3" type="noConversion"/>
  </si>
  <si>
    <t>根据流速求抗冲块石粒径及质量</t>
    <phoneticPr fontId="3" type="noConversion"/>
  </si>
  <si>
    <t>备注：当量直径1.0m以上为特大石、当量直径0.7m～1.0m为大石、当量直径0.4m～0.7m为中石、当量直径小于0.4m为石渣</t>
    <phoneticPr fontId="3" type="noConversion"/>
  </si>
  <si>
    <r>
      <rPr>
        <sz val="12"/>
        <rFont val="宋体"/>
        <family val="3"/>
        <charset val="134"/>
      </rPr>
      <t xml:space="preserve">      另外，对于混凝土骨料，</t>
    </r>
    <r>
      <rPr>
        <sz val="12"/>
        <rFont val="Times New Roman"/>
        <family val="1"/>
      </rPr>
      <t>&lt;5mm</t>
    </r>
    <r>
      <rPr>
        <sz val="12"/>
        <rFont val="宋体"/>
        <family val="3"/>
        <charset val="134"/>
      </rPr>
      <t>为砂、</t>
    </r>
    <r>
      <rPr>
        <sz val="12"/>
        <rFont val="Times New Roman"/>
        <family val="1"/>
      </rPr>
      <t>5⁓20mm</t>
    </r>
    <r>
      <rPr>
        <sz val="12"/>
        <rFont val="宋体"/>
        <family val="3"/>
        <charset val="134"/>
      </rPr>
      <t>为小石、</t>
    </r>
    <r>
      <rPr>
        <sz val="12"/>
        <rFont val="Times New Roman"/>
        <family val="1"/>
      </rPr>
      <t>20⁓40mm</t>
    </r>
    <r>
      <rPr>
        <sz val="12"/>
        <rFont val="宋体"/>
        <family val="3"/>
        <charset val="134"/>
      </rPr>
      <t>为中石、</t>
    </r>
    <r>
      <rPr>
        <sz val="12"/>
        <rFont val="Times New Roman"/>
        <family val="1"/>
      </rPr>
      <t>40⁓80mm</t>
    </r>
    <r>
      <rPr>
        <sz val="12"/>
        <rFont val="宋体"/>
        <family val="3"/>
        <charset val="134"/>
      </rPr>
      <t>为大石。</t>
    </r>
    <phoneticPr fontId="3" type="noConversion"/>
  </si>
  <si>
    <r>
      <t>过水断面面积A
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</t>
    </r>
    <phoneticPr fontId="3" type="noConversion"/>
  </si>
  <si>
    <r>
      <t>湿周</t>
    </r>
    <r>
      <rPr>
        <sz val="12"/>
        <rFont val="Calibri"/>
        <family val="3"/>
        <charset val="161"/>
      </rPr>
      <t>χ</t>
    </r>
    <r>
      <rPr>
        <sz val="12"/>
        <rFont val="宋体"/>
        <family val="3"/>
        <charset val="134"/>
      </rPr>
      <t xml:space="preserve">
(m)</t>
    </r>
    <phoneticPr fontId="3" type="noConversion"/>
  </si>
  <si>
    <r>
      <t>水力半径R(R=A/</t>
    </r>
    <r>
      <rPr>
        <sz val="12"/>
        <rFont val="Calibri"/>
        <family val="3"/>
        <charset val="161"/>
      </rPr>
      <t>χ</t>
    </r>
    <r>
      <rPr>
        <sz val="12"/>
        <rFont val="宋体"/>
        <family val="3"/>
        <charset val="134"/>
      </rPr>
      <t>)
(m)</t>
    </r>
    <phoneticPr fontId="3" type="noConversion"/>
  </si>
  <si>
    <t>糙率n</t>
    <phoneticPr fontId="3" type="noConversion"/>
  </si>
  <si>
    <r>
      <t>谢才系数C(C=R</t>
    </r>
    <r>
      <rPr>
        <vertAlign val="superscript"/>
        <sz val="12"/>
        <rFont val="宋体"/>
        <family val="3"/>
        <charset val="134"/>
      </rPr>
      <t>1/6</t>
    </r>
    <r>
      <rPr>
        <sz val="12"/>
        <rFont val="宋体"/>
        <family val="3"/>
        <charset val="134"/>
      </rPr>
      <t>/n)</t>
    </r>
    <phoneticPr fontId="3" type="noConversion"/>
  </si>
  <si>
    <r>
      <t>用均匀流基本公式Q=AC(Ri)</t>
    </r>
    <r>
      <rPr>
        <vertAlign val="superscript"/>
        <sz val="12"/>
        <rFont val="宋体"/>
        <family val="3"/>
        <charset val="134"/>
      </rPr>
      <t>0.5</t>
    </r>
    <r>
      <rPr>
        <sz val="12"/>
        <rFont val="宋体"/>
        <family val="3"/>
        <charset val="134"/>
      </rPr>
      <t>复核排水明渠的排水能力</t>
    </r>
    <phoneticPr fontId="3" type="noConversion"/>
  </si>
  <si>
    <t>排水明渠底坡i</t>
    <phoneticPr fontId="3" type="noConversion"/>
  </si>
  <si>
    <r>
      <t>明渠排水能力Q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/s)</t>
    </r>
    <phoneticPr fontId="3" type="noConversion"/>
  </si>
  <si>
    <t>线性插值计算</t>
    <phoneticPr fontId="3" type="noConversion"/>
  </si>
  <si>
    <t>X</t>
    <phoneticPr fontId="3" type="noConversion"/>
  </si>
  <si>
    <t>Y</t>
    <phoneticPr fontId="3" type="noConversion"/>
  </si>
  <si>
    <t>第一组数据</t>
    <phoneticPr fontId="3" type="noConversion"/>
  </si>
  <si>
    <t>第二组数据</t>
    <phoneticPr fontId="3" type="noConversion"/>
  </si>
  <si>
    <t>所求组的X、Y值</t>
    <phoneticPr fontId="3" type="noConversion"/>
  </si>
  <si>
    <t>此排水能力及过流断面下的平均流速(m/s)</t>
    <phoneticPr fontId="3" type="noConversion"/>
  </si>
  <si>
    <t>物料来源情况</t>
    <phoneticPr fontId="40" type="noConversion"/>
  </si>
  <si>
    <t>运输情况</t>
    <phoneticPr fontId="40" type="noConversion"/>
  </si>
  <si>
    <t>石料</t>
    <phoneticPr fontId="40" type="noConversion"/>
  </si>
  <si>
    <t>土料</t>
    <phoneticPr fontId="40" type="noConversion"/>
  </si>
  <si>
    <t>弃渣料</t>
    <phoneticPr fontId="40" type="noConversion"/>
  </si>
  <si>
    <t>混凝土</t>
    <phoneticPr fontId="40" type="noConversion"/>
  </si>
  <si>
    <t>开挖区</t>
    <phoneticPr fontId="40" type="noConversion"/>
  </si>
  <si>
    <t>实际利用情况区</t>
    <phoneticPr fontId="40" type="noConversion"/>
  </si>
  <si>
    <t>开挖部位</t>
    <phoneticPr fontId="40" type="noConversion"/>
  </si>
  <si>
    <t>土石明挖情况</t>
  </si>
  <si>
    <t>石方洞挖情况</t>
  </si>
  <si>
    <t>合计开挖</t>
    <phoneticPr fontId="40" type="noConversion"/>
  </si>
  <si>
    <t>合计可利用量</t>
    <phoneticPr fontId="40" type="noConversion"/>
  </si>
  <si>
    <t>明挖实际利用</t>
    <phoneticPr fontId="40" type="noConversion"/>
  </si>
  <si>
    <t>洞挖实际利用</t>
    <phoneticPr fontId="40" type="noConversion"/>
  </si>
  <si>
    <t>实际利用合计</t>
    <phoneticPr fontId="40" type="noConversion"/>
  </si>
  <si>
    <t>直接上坝</t>
    <phoneticPr fontId="40" type="noConversion"/>
  </si>
  <si>
    <t>至中转场</t>
    <phoneticPr fontId="40" type="noConversion"/>
  </si>
  <si>
    <t>从中转场上坝</t>
    <phoneticPr fontId="40" type="noConversion"/>
  </si>
  <si>
    <t>从中转场至弃渣场</t>
    <phoneticPr fontId="40" type="noConversion"/>
  </si>
  <si>
    <t>至砂石加工系统（或者毛料堆存场）</t>
    <phoneticPr fontId="40" type="noConversion"/>
  </si>
  <si>
    <t>直接利用</t>
    <phoneticPr fontId="40" type="noConversion"/>
  </si>
  <si>
    <t>从中转场至利用部位</t>
    <phoneticPr fontId="40" type="noConversion"/>
  </si>
  <si>
    <t>至弃渣场</t>
    <phoneticPr fontId="40" type="noConversion"/>
  </si>
  <si>
    <t>从弃渣场回采利用</t>
    <phoneticPr fontId="40" type="noConversion"/>
  </si>
  <si>
    <t>从混凝土系统至利用部位</t>
    <phoneticPr fontId="40" type="noConversion"/>
  </si>
  <si>
    <t>土方
明挖量</t>
  </si>
  <si>
    <t>石方
明挖量</t>
  </si>
  <si>
    <t>石方明挖可利用量</t>
    <phoneticPr fontId="40" type="noConversion"/>
  </si>
  <si>
    <t>石方洞挖量</t>
  </si>
  <si>
    <t>石方洞挖可利用量</t>
    <phoneticPr fontId="40" type="noConversion"/>
  </si>
  <si>
    <t>数量</t>
    <phoneticPr fontId="40" type="noConversion"/>
  </si>
  <si>
    <t>洞内运距</t>
    <phoneticPr fontId="40" type="noConversion"/>
  </si>
  <si>
    <t>洞外运距</t>
    <phoneticPr fontId="40" type="noConversion"/>
  </si>
  <si>
    <t>上水库</t>
  </si>
  <si>
    <t>上水库工程</t>
  </si>
  <si>
    <t>大坝</t>
  </si>
  <si>
    <t>库岸填方区</t>
  </si>
  <si>
    <t>库盆防渗及处理</t>
  </si>
  <si>
    <t>输水系统工程</t>
  </si>
  <si>
    <t>上水库进/出水口</t>
  </si>
  <si>
    <t>引水
隧洞</t>
  </si>
  <si>
    <t>上平段</t>
  </si>
  <si>
    <t>①施工支洞</t>
  </si>
  <si>
    <t>上水库工程量合计</t>
  </si>
  <si>
    <t>下水库</t>
  </si>
  <si>
    <t>导流</t>
  </si>
  <si>
    <t>导流工程</t>
  </si>
  <si>
    <t>下水库工程</t>
  </si>
  <si>
    <t>大坝改造</t>
  </si>
  <si>
    <t>库岸防护</t>
  </si>
  <si>
    <t>泄水消能建筑物</t>
  </si>
  <si>
    <t>引水隧洞</t>
  </si>
  <si>
    <t>上竖井、中平洞</t>
  </si>
  <si>
    <t>下竖井、下平段</t>
  </si>
  <si>
    <t>引支段</t>
  </si>
  <si>
    <t>②③施工支洞</t>
  </si>
  <si>
    <t>尾水隧洞</t>
  </si>
  <si>
    <t>尾闸及其辅助洞室</t>
  </si>
  <si>
    <t>尾调及其辅助洞室</t>
  </si>
  <si>
    <t>钢管外排水廊道</t>
  </si>
  <si>
    <t>下水库进/出水口</t>
  </si>
  <si>
    <t>⑤施工支洞</t>
  </si>
  <si>
    <t>地下厂房工程</t>
  </si>
  <si>
    <t>发电厂房及基础工程</t>
  </si>
  <si>
    <t>排风竖井</t>
  </si>
  <si>
    <t>主变洞及母线洞</t>
  </si>
  <si>
    <t>电缆交通洞</t>
  </si>
  <si>
    <t>通风兼安全洞</t>
  </si>
  <si>
    <t>开关站及出线场</t>
  </si>
  <si>
    <t>进场交通洞</t>
  </si>
  <si>
    <t>排水廊道</t>
  </si>
  <si>
    <t>高压电缆平洞及竖井</t>
  </si>
  <si>
    <t>主变运输洞</t>
  </si>
  <si>
    <t>主变排风洞</t>
  </si>
  <si>
    <t>排水洞</t>
  </si>
  <si>
    <t>④⑥施工支洞</t>
  </si>
  <si>
    <t>下库工程量合计</t>
  </si>
  <si>
    <t>无需砂石加工系统加工的填筑料，如堆石料、过渡料等（注：对于沥青坝，过渡料需砂石系统加工）</t>
    <phoneticPr fontId="40" type="noConversion"/>
  </si>
  <si>
    <t>混凝土骨料；需砂石加工系统加工的填筑料，如反滤料、垫层料等；</t>
    <phoneticPr fontId="40" type="noConversion"/>
  </si>
  <si>
    <t>（混凝土骨料）从砂石系统至砼系统</t>
    <phoneticPr fontId="40" type="noConversion"/>
  </si>
  <si>
    <r>
      <t>计算（无压、陡坡、短洞）隧洞上游水深H</t>
    </r>
    <r>
      <rPr>
        <vertAlign val="subscript"/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以及进口洞高a</t>
    </r>
    <phoneticPr fontId="40" type="noConversion"/>
  </si>
  <si>
    <t>否</t>
  </si>
  <si>
    <r>
      <rPr>
        <b/>
        <sz val="12"/>
        <rFont val="Microsoft YaHei UI"/>
        <family val="2"/>
        <charset val="134"/>
      </rPr>
      <t>密度（</t>
    </r>
    <r>
      <rPr>
        <b/>
        <sz val="12"/>
        <rFont val="Calibri"/>
        <family val="2"/>
      </rPr>
      <t>g/cm</t>
    </r>
    <r>
      <rPr>
        <b/>
        <vertAlign val="superscript"/>
        <sz val="12"/>
        <rFont val="Calibri"/>
        <family val="2"/>
      </rPr>
      <t>3</t>
    </r>
    <r>
      <rPr>
        <b/>
        <sz val="12"/>
        <rFont val="Calibri"/>
        <family val="2"/>
      </rPr>
      <t>=t/m</t>
    </r>
    <r>
      <rPr>
        <b/>
        <vertAlign val="superscript"/>
        <sz val="12"/>
        <rFont val="Calibri"/>
        <family val="2"/>
      </rPr>
      <t>3</t>
    </r>
    <r>
      <rPr>
        <b/>
        <sz val="12"/>
        <rFont val="Calibri"/>
        <family val="2"/>
      </rPr>
      <t>=1000kg/m</t>
    </r>
    <r>
      <rPr>
        <b/>
        <vertAlign val="superscript"/>
        <sz val="12"/>
        <rFont val="Calibri"/>
        <family val="2"/>
      </rPr>
      <t>3</t>
    </r>
    <r>
      <rPr>
        <b/>
        <sz val="12"/>
        <rFont val="Microsoft YaHei UI"/>
        <family val="2"/>
        <charset val="134"/>
      </rPr>
      <t>）</t>
    </r>
    <phoneticPr fontId="3" type="noConversion"/>
  </si>
  <si>
    <t>对应的</t>
    <phoneticPr fontId="3" type="noConversion"/>
  </si>
  <si>
    <r>
      <t>容重</t>
    </r>
    <r>
      <rPr>
        <b/>
        <sz val="12"/>
        <rFont val="Calibri"/>
        <family val="3"/>
        <charset val="161"/>
      </rPr>
      <t>ρ</t>
    </r>
    <r>
      <rPr>
        <b/>
        <sz val="12"/>
        <rFont val="宋体"/>
        <family val="3"/>
        <charset val="134"/>
      </rPr>
      <t>(KN/m3)</t>
    </r>
    <phoneticPr fontId="3" type="noConversion"/>
  </si>
  <si>
    <r>
      <t>容重(KN/m</t>
    </r>
    <r>
      <rPr>
        <b/>
        <vertAlign val="superscript"/>
        <sz val="12"/>
        <rFont val="宋体"/>
        <family val="3"/>
        <charset val="134"/>
      </rPr>
      <t>3</t>
    </r>
    <r>
      <rPr>
        <b/>
        <sz val="12"/>
        <rFont val="宋体"/>
        <family val="3"/>
        <charset val="134"/>
      </rPr>
      <t>)</t>
    </r>
    <phoneticPr fontId="3" type="noConversion"/>
  </si>
  <si>
    <r>
      <rPr>
        <b/>
        <sz val="12"/>
        <rFont val="Microsoft YaHei UI"/>
        <family val="2"/>
        <charset val="134"/>
      </rPr>
      <t>密度（</t>
    </r>
    <r>
      <rPr>
        <b/>
        <sz val="12"/>
        <rFont val="Calibri"/>
        <family val="2"/>
      </rPr>
      <t>kg/m</t>
    </r>
    <r>
      <rPr>
        <b/>
        <vertAlign val="superscript"/>
        <sz val="12"/>
        <rFont val="Calibri"/>
        <family val="2"/>
      </rPr>
      <t>3</t>
    </r>
    <r>
      <rPr>
        <b/>
        <sz val="12"/>
        <rFont val="Microsoft YaHei UI"/>
        <family val="2"/>
        <charset val="134"/>
      </rPr>
      <t>）</t>
    </r>
    <phoneticPr fontId="3" type="noConversion"/>
  </si>
  <si>
    <t>质量(t)</t>
    <phoneticPr fontId="3" type="noConversion"/>
  </si>
  <si>
    <t>力（KN）</t>
    <phoneticPr fontId="3" type="noConversion"/>
  </si>
  <si>
    <t>安全系数Ka</t>
    <phoneticPr fontId="3" type="noConversion"/>
  </si>
  <si>
    <t>单根预应力锚索
超张拉力Pm
(kN)</t>
    <phoneticPr fontId="3" type="noConversion"/>
  </si>
  <si>
    <t>锚索孔直径D
(mm)</t>
    <phoneticPr fontId="3" type="noConversion"/>
  </si>
  <si>
    <r>
      <t>胶结材料与围岩的粘结强度f</t>
    </r>
    <r>
      <rPr>
        <vertAlign val="subscript"/>
        <sz val="12"/>
        <rFont val="宋体"/>
        <family val="3"/>
        <charset val="134"/>
      </rPr>
      <t xml:space="preserve">mg
</t>
    </r>
    <r>
      <rPr>
        <sz val="12"/>
        <rFont val="宋体"/>
        <family val="3"/>
        <charset val="134"/>
      </rPr>
      <t>(MPa)</t>
    </r>
    <phoneticPr fontId="3" type="noConversion"/>
  </si>
  <si>
    <r>
      <t>胶结材料与预应力钢丝或钢绞线的粘结强度f'</t>
    </r>
    <r>
      <rPr>
        <vertAlign val="subscript"/>
        <sz val="12"/>
        <rFont val="宋体"/>
        <family val="3"/>
        <charset val="134"/>
      </rPr>
      <t xml:space="preserve">ms
</t>
    </r>
    <r>
      <rPr>
        <sz val="12"/>
        <rFont val="宋体"/>
        <family val="3"/>
        <charset val="134"/>
      </rPr>
      <t>(MPa)</t>
    </r>
    <phoneticPr fontId="3" type="noConversion"/>
  </si>
  <si>
    <t>单根预应力钢丝或预应力钢绞线直径d
(mm)</t>
    <phoneticPr fontId="3" type="noConversion"/>
  </si>
  <si>
    <t>同根锚索中预应力钢丝或钢绞线的股数n</t>
    <phoneticPr fontId="3" type="noConversion"/>
  </si>
  <si>
    <r>
      <t>预应力锚索
胶结式锚固段长度L</t>
    </r>
    <r>
      <rPr>
        <vertAlign val="subscript"/>
        <sz val="12"/>
        <rFont val="宋体"/>
        <family val="3"/>
        <charset val="134"/>
      </rPr>
      <t>1</t>
    </r>
    <phoneticPr fontId="3" type="noConversion"/>
  </si>
  <si>
    <r>
      <t>锚固段最小长度L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 xml:space="preserve">
(按照胶结材料与围岩粘结安全计算)
(m)</t>
    </r>
    <phoneticPr fontId="3" type="noConversion"/>
  </si>
  <si>
    <r>
      <t>锚固段最小长度L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 xml:space="preserve">
(</t>
    </r>
    <r>
      <rPr>
        <sz val="11"/>
        <rFont val="宋体"/>
        <family val="3"/>
        <charset val="134"/>
      </rPr>
      <t>按照胶结材料与预应力钢丝或钢绞线粘结安全计算</t>
    </r>
    <r>
      <rPr>
        <sz val="12"/>
        <rFont val="宋体"/>
        <family val="3"/>
        <charset val="134"/>
      </rPr>
      <t>)
(m)</t>
    </r>
    <phoneticPr fontId="3" type="noConversion"/>
  </si>
  <si>
    <t>——————————</t>
    <phoneticPr fontId="3" type="noConversion"/>
  </si>
  <si>
    <t>土石坝</t>
    <phoneticPr fontId="3" type="noConversion"/>
  </si>
  <si>
    <t>项目</t>
    <phoneticPr fontId="3" type="noConversion"/>
  </si>
  <si>
    <t>水泥</t>
    <phoneticPr fontId="3" type="noConversion"/>
  </si>
  <si>
    <t>木材</t>
    <phoneticPr fontId="3" type="noConversion"/>
  </si>
  <si>
    <t>钢材</t>
    <phoneticPr fontId="3" type="noConversion"/>
  </si>
  <si>
    <t>施工机械</t>
    <phoneticPr fontId="3" type="noConversion"/>
  </si>
  <si>
    <t>永久机电设备</t>
    <phoneticPr fontId="3" type="noConversion"/>
  </si>
  <si>
    <t>爆破材料</t>
    <phoneticPr fontId="3" type="noConversion"/>
  </si>
  <si>
    <t>煤炭</t>
    <phoneticPr fontId="3" type="noConversion"/>
  </si>
  <si>
    <t>油料</t>
    <phoneticPr fontId="3" type="noConversion"/>
  </si>
  <si>
    <t>房建材料</t>
    <phoneticPr fontId="3" type="noConversion"/>
  </si>
  <si>
    <t>生活物资</t>
    <phoneticPr fontId="3" type="noConversion"/>
  </si>
  <si>
    <t>其他</t>
    <phoneticPr fontId="3" type="noConversion"/>
  </si>
  <si>
    <t>合计</t>
    <phoneticPr fontId="3" type="noConversion"/>
  </si>
  <si>
    <r>
      <t>D的取值t/m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(取手册上的中限)</t>
    </r>
    <phoneticPr fontId="3" type="noConversion"/>
  </si>
  <si>
    <r>
      <t>枢纽混凝土总工程量V(万m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</si>
  <si>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t>以"合计"复核</t>
    <phoneticPr fontId="3" type="noConversion"/>
  </si>
  <si>
    <t>备注：本方法使用扩大指标进行估算，手册(水利水电工程施工组织设计指南第二版)上说适用于规划、可研以及初步设计初期等各阶段，废止的规范上说适用于规划、项目建议书、可研等</t>
    <phoneticPr fontId="3" type="noConversion"/>
  </si>
  <si>
    <t>混凝土坝</t>
    <phoneticPr fontId="3" type="noConversion"/>
  </si>
  <si>
    <r>
      <t>备注：合计列均未加"煤炭"</t>
    </r>
    <r>
      <rPr>
        <sz val="10"/>
        <rFont val="宋体"/>
        <family val="2"/>
        <charset val="134"/>
      </rPr>
      <t>项</t>
    </r>
    <phoneticPr fontId="3" type="noConversion"/>
  </si>
  <si>
    <t>备注：合计列均未加"煤炭"项</t>
  </si>
  <si>
    <t>隧洞洞高a
(m)</t>
    <phoneticPr fontId="3" type="noConversion"/>
  </si>
  <si>
    <t>上游水深H
(以隧洞进口断面底板高程起算)
应大于(m)</t>
    <phoneticPr fontId="3" type="noConversion"/>
  </si>
  <si>
    <r>
      <t>上游水位Z</t>
    </r>
    <r>
      <rPr>
        <vertAlign val="subscript"/>
        <sz val="12"/>
        <rFont val="宋体"/>
        <family val="3"/>
        <charset val="134"/>
      </rPr>
      <t>上</t>
    </r>
    <r>
      <rPr>
        <sz val="12"/>
        <rFont val="宋体"/>
        <family val="3"/>
        <charset val="134"/>
      </rPr>
      <t xml:space="preserve">
(小于下值时为无压流)
(m)</t>
    </r>
    <phoneticPr fontId="3" type="noConversion"/>
  </si>
  <si>
    <t>上游水深H
(以隧洞进口断面底板高程起算)应小于
(m)</t>
    <phoneticPr fontId="3" type="noConversion"/>
  </si>
  <si>
    <t>隧洞进口
底板高程E1
(m)</t>
    <phoneticPr fontId="3" type="noConversion"/>
  </si>
  <si>
    <r>
      <t>上游水位Z</t>
    </r>
    <r>
      <rPr>
        <vertAlign val="subscript"/>
        <sz val="12"/>
        <rFont val="宋体"/>
        <family val="3"/>
        <charset val="134"/>
      </rPr>
      <t>上</t>
    </r>
    <r>
      <rPr>
        <sz val="12"/>
        <rFont val="宋体"/>
        <family val="3"/>
        <charset val="134"/>
      </rPr>
      <t xml:space="preserve">
(大于下值时为有压流)
(m)</t>
    </r>
    <phoneticPr fontId="3" type="noConversion"/>
  </si>
  <si>
    <r>
      <t xml:space="preserve">局部能量损失系数之和
</t>
    </r>
    <r>
      <rPr>
        <sz val="12"/>
        <rFont val="Times New Roman"/>
        <family val="1"/>
      </rPr>
      <t>Σζ</t>
    </r>
    <phoneticPr fontId="3" type="noConversion"/>
  </si>
  <si>
    <t>g</t>
    <phoneticPr fontId="3" type="noConversion"/>
  </si>
  <si>
    <t>…..........</t>
    <phoneticPr fontId="3" type="noConversion"/>
  </si>
  <si>
    <t>1 隧洞底坡判别</t>
    <phoneticPr fontId="3" type="noConversion"/>
  </si>
  <si>
    <r>
      <t>A、由临界流公式推出，矩形断面临界水深为h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=((αQ</t>
    </r>
    <r>
      <rPr>
        <b/>
        <vertAlign val="superscript"/>
        <sz val="11"/>
        <color theme="1"/>
        <rFont val="等线"/>
        <family val="3"/>
        <charset val="134"/>
        <scheme val="minor"/>
      </rPr>
      <t>2</t>
    </r>
    <r>
      <rPr>
        <b/>
        <sz val="11"/>
        <color theme="1"/>
        <rFont val="等线"/>
        <family val="3"/>
        <charset val="134"/>
        <scheme val="minor"/>
      </rPr>
      <t>)/(gb</t>
    </r>
    <r>
      <rPr>
        <b/>
        <vertAlign val="superscript"/>
        <sz val="11"/>
        <color theme="1"/>
        <rFont val="等线"/>
        <family val="3"/>
        <charset val="134"/>
        <scheme val="minor"/>
      </rPr>
      <t>2</t>
    </r>
    <r>
      <rPr>
        <b/>
        <sz val="11"/>
        <color theme="1"/>
        <rFont val="等线"/>
        <family val="3"/>
        <charset val="134"/>
        <scheme val="minor"/>
      </rPr>
      <t>))</t>
    </r>
    <r>
      <rPr>
        <b/>
        <vertAlign val="superscript"/>
        <sz val="11"/>
        <color theme="1"/>
        <rFont val="等线"/>
        <family val="3"/>
        <charset val="134"/>
        <scheme val="minor"/>
      </rPr>
      <t>(1/3)</t>
    </r>
    <phoneticPr fontId="40" type="noConversion"/>
  </si>
  <si>
    <r>
      <t>B、湿周χ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=b+2h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phoneticPr fontId="40" type="noConversion"/>
  </si>
  <si>
    <r>
      <t>E、谢才系数C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=R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vertAlign val="superscript"/>
        <sz val="11"/>
        <color theme="1"/>
        <rFont val="等线"/>
        <family val="3"/>
        <charset val="134"/>
        <scheme val="minor"/>
      </rPr>
      <t>1/6</t>
    </r>
    <r>
      <rPr>
        <b/>
        <sz val="11"/>
        <color theme="1"/>
        <rFont val="等线"/>
        <family val="3"/>
        <charset val="134"/>
        <scheme val="minor"/>
      </rPr>
      <t>/n</t>
    </r>
    <phoneticPr fontId="40" type="noConversion"/>
  </si>
  <si>
    <r>
      <t>D、水力半径R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=A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/χ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phoneticPr fontId="40" type="noConversion"/>
  </si>
  <si>
    <r>
      <t>C、过水面积A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=bh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phoneticPr fontId="40" type="noConversion"/>
  </si>
  <si>
    <r>
      <t>F、临界坡i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=(gχ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)/(αbc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vertAlign val="superscript"/>
        <sz val="11"/>
        <color theme="1"/>
        <rFont val="等线"/>
        <family val="3"/>
        <charset val="134"/>
        <scheme val="minor"/>
      </rPr>
      <t>2</t>
    </r>
    <r>
      <rPr>
        <b/>
        <sz val="11"/>
        <color theme="1"/>
        <rFont val="等线"/>
        <family val="3"/>
        <charset val="134"/>
        <scheme val="minor"/>
      </rPr>
      <t>)</t>
    </r>
    <phoneticPr fontId="40" type="noConversion"/>
  </si>
  <si>
    <r>
      <t>临界水深h</t>
    </r>
    <r>
      <rPr>
        <vertAlign val="subscript"/>
        <sz val="12"/>
        <rFont val="宋体"/>
        <family val="3"/>
        <charset val="134"/>
      </rPr>
      <t>k</t>
    </r>
    <r>
      <rPr>
        <sz val="12"/>
        <rFont val="宋体"/>
        <family val="3"/>
        <charset val="134"/>
      </rPr>
      <t xml:space="preserve">
(m)</t>
    </r>
    <phoneticPr fontId="3" type="noConversion"/>
  </si>
  <si>
    <r>
      <t>临界水深对应的流量Q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/s)</t>
    </r>
    <phoneticPr fontId="3" type="noConversion"/>
  </si>
  <si>
    <t>0 常数</t>
    <phoneticPr fontId="3" type="noConversion"/>
  </si>
  <si>
    <t>重力加速度g</t>
    <phoneticPr fontId="3" type="noConversion"/>
  </si>
  <si>
    <r>
      <t>过水断面面积Ak
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</t>
    </r>
    <phoneticPr fontId="3" type="noConversion"/>
  </si>
  <si>
    <r>
      <t>隧洞水面宽B</t>
    </r>
    <r>
      <rPr>
        <vertAlign val="subscript"/>
        <sz val="12"/>
        <rFont val="宋体"/>
        <family val="3"/>
        <charset val="134"/>
      </rPr>
      <t>k</t>
    </r>
    <r>
      <rPr>
        <sz val="12"/>
        <rFont val="宋体"/>
        <family val="3"/>
        <charset val="134"/>
      </rPr>
      <t xml:space="preserve">
(矩形过流面即底宽)
(m)</t>
    </r>
    <phoneticPr fontId="3" type="noConversion"/>
  </si>
  <si>
    <t>动能修整系数ɑ</t>
    <phoneticPr fontId="3" type="noConversion"/>
  </si>
  <si>
    <r>
      <t>湿周</t>
    </r>
    <r>
      <rPr>
        <sz val="12"/>
        <rFont val="Calibri"/>
        <family val="3"/>
        <charset val="161"/>
      </rPr>
      <t>χ</t>
    </r>
    <r>
      <rPr>
        <sz val="12"/>
        <rFont val="宋体"/>
        <family val="3"/>
        <charset val="134"/>
      </rPr>
      <t>k
(m)</t>
    </r>
    <phoneticPr fontId="3" type="noConversion"/>
  </si>
  <si>
    <t>水力半径Rk
(m)</t>
    <phoneticPr fontId="3" type="noConversion"/>
  </si>
  <si>
    <t>谢才系数Ck</t>
    <phoneticPr fontId="3" type="noConversion"/>
  </si>
  <si>
    <t>糙率n</t>
    <phoneticPr fontId="3" type="noConversion"/>
  </si>
  <si>
    <t>临界底坡ik</t>
    <phoneticPr fontId="3" type="noConversion"/>
  </si>
  <si>
    <t>矩形断面</t>
    <phoneticPr fontId="3" type="noConversion"/>
  </si>
  <si>
    <t>非矩形断面到洞顶0.5m净空</t>
    <phoneticPr fontId="3" type="noConversion"/>
  </si>
  <si>
    <t>1.1 各流量下临界底坡</t>
    <phoneticPr fontId="3" type="noConversion"/>
  </si>
  <si>
    <t>1.2 底坡判别</t>
    <phoneticPr fontId="3" type="noConversion"/>
  </si>
  <si>
    <t>隧道底坡i</t>
    <phoneticPr fontId="3" type="noConversion"/>
  </si>
  <si>
    <t>与临界底坡的关系</t>
    <phoneticPr fontId="3" type="noConversion"/>
  </si>
  <si>
    <t>底坡类别</t>
    <phoneticPr fontId="3" type="noConversion"/>
  </si>
  <si>
    <t>自：陡坡或缓坡，均为针对明流而言</t>
    <phoneticPr fontId="3" type="noConversion"/>
  </si>
  <si>
    <t>2 流态判别</t>
    <phoneticPr fontId="3" type="noConversion"/>
  </si>
  <si>
    <r>
      <t>2.1 至无压流(界限值k1的变动范围在1.1</t>
    </r>
    <r>
      <rPr>
        <sz val="12"/>
        <rFont val="Tahoma"/>
        <family val="3"/>
        <charset val="1"/>
      </rPr>
      <t>⁓</t>
    </r>
    <r>
      <rPr>
        <sz val="12"/>
        <rFont val="宋体"/>
        <family val="3"/>
        <charset val="134"/>
      </rPr>
      <t>1.3，之间，一般取1.2)</t>
    </r>
    <phoneticPr fontId="3" type="noConversion"/>
  </si>
  <si>
    <t>2.2 陡坡隧洞至有压流</t>
    <phoneticPr fontId="3" type="noConversion"/>
  </si>
  <si>
    <t>2.3 缓坡隧洞至有压流</t>
    <phoneticPr fontId="3" type="noConversion"/>
  </si>
  <si>
    <t>3.1 流量系数µ的计算</t>
    <phoneticPr fontId="3" type="noConversion"/>
  </si>
  <si>
    <t>先假定为自由出流</t>
    <phoneticPr fontId="3" type="noConversion"/>
  </si>
  <si>
    <t>进口局部损失系数</t>
    <phoneticPr fontId="3" type="noConversion"/>
  </si>
  <si>
    <t>门槽局部损失系数</t>
    <phoneticPr fontId="3" type="noConversion"/>
  </si>
  <si>
    <t>弯段局部损失系数</t>
    <phoneticPr fontId="3" type="noConversion"/>
  </si>
  <si>
    <t>转弯半径R
(m)</t>
    <phoneticPr fontId="3" type="noConversion"/>
  </si>
  <si>
    <r>
      <t>转角</t>
    </r>
    <r>
      <rPr>
        <sz val="12"/>
        <rFont val="Calibri"/>
        <family val="3"/>
        <charset val="161"/>
      </rPr>
      <t>θ</t>
    </r>
    <r>
      <rPr>
        <sz val="12"/>
        <rFont val="宋体"/>
        <family val="3"/>
        <charset val="134"/>
      </rPr>
      <t xml:space="preserve">
(°)</t>
    </r>
    <phoneticPr fontId="3" type="noConversion"/>
  </si>
  <si>
    <t>导流洞底宽b
(手册上的d)</t>
    <phoneticPr fontId="3" type="noConversion"/>
  </si>
  <si>
    <r>
      <t>沿程损失系数2gl/（C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R）
简化计算</t>
    </r>
    <phoneticPr fontId="3" type="noConversion"/>
  </si>
  <si>
    <t>隧洞长度l
(m)</t>
    <phoneticPr fontId="3" type="noConversion"/>
  </si>
  <si>
    <r>
      <t>过水断面面积A
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</t>
    </r>
    <phoneticPr fontId="3" type="noConversion"/>
  </si>
  <si>
    <r>
      <t>湿周</t>
    </r>
    <r>
      <rPr>
        <sz val="12"/>
        <rFont val="Calibri"/>
        <family val="3"/>
        <charset val="161"/>
      </rPr>
      <t xml:space="preserve">χ
</t>
    </r>
    <r>
      <rPr>
        <sz val="12"/>
        <rFont val="宋体"/>
        <family val="3"/>
        <charset val="134"/>
      </rPr>
      <t>(m)</t>
    </r>
    <phoneticPr fontId="3" type="noConversion"/>
  </si>
  <si>
    <t>水力半径R
(m)</t>
    <phoneticPr fontId="3" type="noConversion"/>
  </si>
  <si>
    <t>谢才系数C</t>
    <phoneticPr fontId="3" type="noConversion"/>
  </si>
  <si>
    <r>
      <t>沿程损失系数2gl/（C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R）</t>
    </r>
    <phoneticPr fontId="3" type="noConversion"/>
  </si>
  <si>
    <t>局部损失系数
∑ξ简化计算</t>
    <phoneticPr fontId="3" type="noConversion"/>
  </si>
  <si>
    <r>
      <t>局部损失系数合计∑</t>
    </r>
    <r>
      <rPr>
        <sz val="12"/>
        <rFont val="Calibri"/>
        <family val="3"/>
        <charset val="161"/>
      </rPr>
      <t>ξ</t>
    </r>
    <phoneticPr fontId="3" type="noConversion"/>
  </si>
  <si>
    <t>综上，
流量系数µ为</t>
    <phoneticPr fontId="3" type="noConversion"/>
  </si>
  <si>
    <t>3.2 泄流能力Q的计算</t>
    <phoneticPr fontId="3" type="noConversion"/>
  </si>
  <si>
    <r>
      <t>隧洞出口
断面面积</t>
    </r>
    <r>
      <rPr>
        <sz val="12"/>
        <rFont val="等线"/>
        <family val="3"/>
        <charset val="134"/>
      </rPr>
      <t>ω</t>
    </r>
    <r>
      <rPr>
        <sz val="12"/>
        <rFont val="宋体"/>
        <family val="3"/>
        <charset val="134"/>
      </rPr>
      <t xml:space="preserve">
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</t>
    </r>
    <phoneticPr fontId="3" type="noConversion"/>
  </si>
  <si>
    <t>导流隧洞出口底板高程E2
(m)</t>
    <phoneticPr fontId="3" type="noConversion"/>
  </si>
  <si>
    <t>导流隧洞出口
底板高程E2
(m)</t>
    <phoneticPr fontId="3" type="noConversion"/>
  </si>
  <si>
    <t>导流隧洞出口底板高程E1
(m)</t>
    <phoneticPr fontId="3" type="noConversion"/>
  </si>
  <si>
    <r>
      <t>上游水面与出口底板高差T（近似为T</t>
    </r>
    <r>
      <rPr>
        <vertAlign val="subscript"/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）
(m)</t>
    </r>
    <phoneticPr fontId="3" type="noConversion"/>
  </si>
  <si>
    <t>隧洞洞高a
(m)</t>
    <phoneticPr fontId="3" type="noConversion"/>
  </si>
  <si>
    <r>
      <rPr>
        <b/>
        <sz val="12"/>
        <rFont val="宋体"/>
        <family val="3"/>
        <charset val="134"/>
      </rPr>
      <t>自由出流时</t>
    </r>
    <r>
      <rPr>
        <sz val="12"/>
        <rFont val="宋体"/>
        <family val="3"/>
        <charset val="134"/>
      </rPr>
      <t>隧洞出口断面水流的平均单位势能h</t>
    </r>
    <r>
      <rPr>
        <vertAlign val="subscript"/>
        <sz val="12"/>
        <rFont val="宋体"/>
        <family val="3"/>
        <charset val="134"/>
      </rPr>
      <t>p</t>
    </r>
    <r>
      <rPr>
        <sz val="12"/>
        <rFont val="宋体"/>
        <family val="3"/>
        <charset val="134"/>
      </rPr>
      <t>即近似为洞高a
(m)</t>
    </r>
    <phoneticPr fontId="3" type="noConversion"/>
  </si>
  <si>
    <r>
      <t>泄流能力Q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/s)</t>
    </r>
    <phoneticPr fontId="3" type="noConversion"/>
  </si>
  <si>
    <r>
      <t>上游水位Z</t>
    </r>
    <r>
      <rPr>
        <vertAlign val="subscript"/>
        <sz val="12"/>
        <rFont val="宋体"/>
        <family val="3"/>
        <charset val="134"/>
      </rPr>
      <t>上</t>
    </r>
    <r>
      <rPr>
        <sz val="12"/>
        <rFont val="宋体"/>
        <family val="3"/>
        <charset val="134"/>
      </rPr>
      <t xml:space="preserve">
(m)</t>
    </r>
    <phoneticPr fontId="3" type="noConversion"/>
  </si>
  <si>
    <r>
      <t>此时(查下游水位流量关系曲线)对应的下游水位Z</t>
    </r>
    <r>
      <rPr>
        <vertAlign val="subscript"/>
        <sz val="12"/>
        <rFont val="宋体"/>
        <family val="3"/>
        <charset val="134"/>
      </rPr>
      <t>下</t>
    </r>
    <r>
      <rPr>
        <sz val="12"/>
        <rFont val="宋体"/>
        <family val="3"/>
        <charset val="134"/>
      </rPr>
      <t xml:space="preserve">
(m)</t>
    </r>
    <phoneticPr fontId="3" type="noConversion"/>
  </si>
  <si>
    <t>出口洞顶高程
(m)</t>
    <phoneticPr fontId="3" type="noConversion"/>
  </si>
  <si>
    <t>是否为自由出流？是否符合假定</t>
    <phoneticPr fontId="3" type="noConversion"/>
  </si>
  <si>
    <t>一般来说，只要最大下泄流量都是自由出流的话，其他流量下都是自由出流（因为其他流量对应的下游水位更小，更会低于出口洞顶高程）</t>
    <phoneticPr fontId="3" type="noConversion"/>
  </si>
  <si>
    <r>
      <t>3 隧洞</t>
    </r>
    <r>
      <rPr>
        <b/>
        <sz val="16"/>
        <color rgb="FFFF0000"/>
        <rFont val="宋体"/>
        <family val="3"/>
        <charset val="134"/>
      </rPr>
      <t>有压流</t>
    </r>
    <r>
      <rPr>
        <b/>
        <sz val="16"/>
        <rFont val="宋体"/>
        <family val="3"/>
        <charset val="134"/>
      </rPr>
      <t>的基本水力计算</t>
    </r>
    <phoneticPr fontId="3" type="noConversion"/>
  </si>
  <si>
    <r>
      <t>4 隧洞</t>
    </r>
    <r>
      <rPr>
        <b/>
        <sz val="16"/>
        <color rgb="FFFF0000"/>
        <rFont val="宋体"/>
        <family val="3"/>
        <charset val="134"/>
      </rPr>
      <t>无压流</t>
    </r>
    <r>
      <rPr>
        <b/>
        <sz val="16"/>
        <rFont val="宋体"/>
        <family val="3"/>
        <charset val="134"/>
      </rPr>
      <t>的基本水力计算</t>
    </r>
    <phoneticPr fontId="3" type="noConversion"/>
  </si>
  <si>
    <t>4.1 短洞与长洞的判别</t>
    <phoneticPr fontId="3" type="noConversion"/>
  </si>
  <si>
    <t>通过1的判断底坡类别为：</t>
    <phoneticPr fontId="3" type="noConversion"/>
  </si>
  <si>
    <t>(1)当底坡为陡坡时，泄流能力不受洞长影响，按短洞工作状态考虑。</t>
    <phoneticPr fontId="3" type="noConversion"/>
  </si>
  <si>
    <r>
      <t>(隧洞进口的)流量系数m(一般取0.36</t>
    </r>
    <r>
      <rPr>
        <sz val="12"/>
        <rFont val="Tahoma"/>
        <family val="3"/>
        <charset val="1"/>
      </rPr>
      <t>⁓</t>
    </r>
    <r>
      <rPr>
        <sz val="12"/>
        <rFont val="宋体"/>
        <family val="3"/>
        <charset val="134"/>
      </rPr>
      <t>0.32)</t>
    </r>
    <phoneticPr fontId="3" type="noConversion"/>
  </si>
  <si>
    <t>流量系数m</t>
    <phoneticPr fontId="3" type="noConversion"/>
  </si>
  <si>
    <r>
      <t>长短洞的界限长度l</t>
    </r>
    <r>
      <rPr>
        <vertAlign val="subscript"/>
        <sz val="12"/>
        <rFont val="宋体"/>
        <family val="3"/>
        <charset val="134"/>
      </rPr>
      <t>k</t>
    </r>
    <r>
      <rPr>
        <sz val="12"/>
        <rFont val="宋体"/>
        <family val="3"/>
        <charset val="134"/>
      </rPr>
      <t xml:space="preserve">
(m)</t>
    </r>
    <phoneticPr fontId="3" type="noConversion"/>
  </si>
  <si>
    <t>上游水深最大值Hmax
(以隧洞进口断面底板高程起算)
(m)</t>
    <phoneticPr fontId="3" type="noConversion"/>
  </si>
  <si>
    <t>隧洞长度l
(m)</t>
    <phoneticPr fontId="3" type="noConversion"/>
  </si>
  <si>
    <t>长短洞判别结果</t>
    <phoneticPr fontId="3" type="noConversion"/>
  </si>
  <si>
    <t>(2)当底坡为缓坡且趋于平坡时，</t>
    <phoneticPr fontId="3" type="noConversion"/>
  </si>
  <si>
    <t>(3)当底坡为缓坡且接近于临界坡时，</t>
    <phoneticPr fontId="3" type="noConversion"/>
  </si>
  <si>
    <r>
      <t>（以下，</t>
    </r>
    <r>
      <rPr>
        <b/>
        <sz val="12"/>
        <rFont val="宋体"/>
        <family val="3"/>
        <charset val="134"/>
      </rPr>
      <t>绿底单元格</t>
    </r>
    <r>
      <rPr>
        <sz val="12"/>
        <rFont val="宋体"/>
        <family val="3"/>
        <charset val="134"/>
      </rPr>
      <t>为对应情况下分析长短洞）</t>
    </r>
    <phoneticPr fontId="3" type="noConversion"/>
  </si>
  <si>
    <t>4.2 短洞的水力计算</t>
    <phoneticPr fontId="3" type="noConversion"/>
  </si>
  <si>
    <t>混凝土拌合系统
生产能力</t>
    <phoneticPr fontId="3" type="noConversion"/>
  </si>
  <si>
    <r>
      <t>混凝土高峰浇筑强度Qm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/月)</t>
    </r>
    <phoneticPr fontId="3" type="noConversion"/>
  </si>
  <si>
    <r>
      <t>不均衡系数K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 xml:space="preserve">
(一般取1.3</t>
    </r>
    <r>
      <rPr>
        <sz val="12"/>
        <rFont val="Tahoma"/>
        <family val="3"/>
        <charset val="1"/>
      </rPr>
      <t>⁓1.5)</t>
    </r>
    <phoneticPr fontId="3" type="noConversion"/>
  </si>
  <si>
    <t>每天工作小时数n
(h)(取20h)</t>
    <phoneticPr fontId="3" type="noConversion"/>
  </si>
  <si>
    <t>每月工作天数m
(d)(取25d)</t>
    <phoneticPr fontId="3" type="noConversion"/>
  </si>
  <si>
    <r>
      <t>最大混凝土块的
浇筑面积S
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</t>
    </r>
    <phoneticPr fontId="3" type="noConversion"/>
  </si>
  <si>
    <t>最大混凝土块浇筑分层厚度D
(m)</t>
    <phoneticPr fontId="3" type="noConversion"/>
  </si>
  <si>
    <t>混凝土初凝时间t1
(h)</t>
    <phoneticPr fontId="3" type="noConversion"/>
  </si>
  <si>
    <t>混凝土出机后浇筑入仓所经历的时间t2
(h)</t>
    <phoneticPr fontId="3" type="noConversion"/>
  </si>
  <si>
    <r>
      <t>小时生产能力Q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 xml:space="preserve">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/h)</t>
    </r>
    <phoneticPr fontId="3" type="noConversion"/>
  </si>
  <si>
    <t>浇筑块短边长度L
(m)</t>
    <phoneticPr fontId="3" type="noConversion"/>
  </si>
  <si>
    <r>
      <t>吊灌容积v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</si>
  <si>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t>1 小时生产能力按高峰月强度计算</t>
    <phoneticPr fontId="3" type="noConversion"/>
  </si>
  <si>
    <t>2.1 小时生产能力按混凝土初凝条件校核（平铺法）</t>
    <phoneticPr fontId="3" type="noConversion"/>
  </si>
  <si>
    <t>2.2 小时生产能力按混凝土初凝条件校核（台阶法）</t>
    <phoneticPr fontId="3" type="noConversion"/>
  </si>
  <si>
    <r>
      <t>铺料厚度(即台阶高度)</t>
    </r>
    <r>
      <rPr>
        <sz val="12"/>
        <rFont val="等线"/>
        <family val="3"/>
        <charset val="134"/>
      </rPr>
      <t>δ</t>
    </r>
    <r>
      <rPr>
        <sz val="12"/>
        <rFont val="宋体"/>
        <family val="3"/>
        <charset val="134"/>
      </rPr>
      <t xml:space="preserve">
(m)</t>
    </r>
    <phoneticPr fontId="3" type="noConversion"/>
  </si>
  <si>
    <t>台阶数n？？</t>
    <phoneticPr fontId="3" type="noConversion"/>
  </si>
  <si>
    <t>安全系数K</t>
    <phoneticPr fontId="3" type="noConversion"/>
  </si>
  <si>
    <t>设计水头的总推力P
(kN)</t>
    <phoneticPr fontId="3" type="noConversion"/>
  </si>
  <si>
    <r>
      <t>混凝土容重</t>
    </r>
    <r>
      <rPr>
        <sz val="12"/>
        <rFont val="Calibri"/>
        <family val="3"/>
        <charset val="161"/>
      </rPr>
      <t xml:space="preserve">γ
</t>
    </r>
    <r>
      <rPr>
        <sz val="12"/>
        <rFont val="宋体"/>
        <family val="3"/>
        <charset val="134"/>
      </rPr>
      <t>(kN/m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)(偏安全一般取浮容重)</t>
    </r>
    <phoneticPr fontId="3" type="noConversion"/>
  </si>
  <si>
    <t>自：抗剪断有效面积计算</t>
    <phoneticPr fontId="3" type="noConversion"/>
  </si>
  <si>
    <t>堵头断面底板长S1
(m)</t>
    <phoneticPr fontId="3" type="noConversion"/>
  </si>
  <si>
    <r>
      <t>底板抗剪断面积有效系数</t>
    </r>
    <r>
      <rPr>
        <sz val="12"/>
        <rFont val="Calibri"/>
        <family val="3"/>
        <charset val="161"/>
      </rPr>
      <t>λ1</t>
    </r>
    <phoneticPr fontId="3" type="noConversion"/>
  </si>
  <si>
    <r>
      <t>边墙抗剪断面积有效系数</t>
    </r>
    <r>
      <rPr>
        <sz val="12"/>
        <rFont val="Calibri"/>
        <family val="3"/>
        <charset val="161"/>
      </rPr>
      <t>λ2</t>
    </r>
    <phoneticPr fontId="3" type="noConversion"/>
  </si>
  <si>
    <t>堵头断面单侧边墙长S2
(m)</t>
    <phoneticPr fontId="3" type="noConversion"/>
  </si>
  <si>
    <t>堵头断面顶拱弧长S3
(m)</t>
    <phoneticPr fontId="3" type="noConversion"/>
  </si>
  <si>
    <r>
      <t>顶拱抗剪断面积有效系数</t>
    </r>
    <r>
      <rPr>
        <sz val="12"/>
        <rFont val="Calibri"/>
        <family val="3"/>
        <charset val="161"/>
      </rPr>
      <t>λ3</t>
    </r>
    <phoneticPr fontId="3" type="noConversion"/>
  </si>
  <si>
    <t>堵头长度l
(m)</t>
    <phoneticPr fontId="3" type="noConversion"/>
  </si>
  <si>
    <r>
      <t>高差</t>
    </r>
    <r>
      <rPr>
        <sz val="12"/>
        <rFont val="Calibri"/>
        <family val="3"/>
        <charset val="161"/>
      </rPr>
      <t>Δ</t>
    </r>
    <r>
      <rPr>
        <sz val="12"/>
        <rFont val="宋体"/>
        <family val="3"/>
        <charset val="134"/>
      </rPr>
      <t>h(进场交通洞洞口——施工支洞进洞口)(m)</t>
    </r>
    <phoneticPr fontId="3" type="noConversion"/>
  </si>
  <si>
    <t>摩擦力的安全系数K1</t>
    <phoneticPr fontId="3" type="noConversion"/>
  </si>
  <si>
    <t>凝聚力的安全系数K2</t>
    <phoneticPr fontId="3" type="noConversion"/>
  </si>
  <si>
    <t>摩擦力与凝聚力二者要求的安全系数分别取用(即按式2-8-241计算)</t>
    <phoneticPr fontId="3" type="noConversion"/>
  </si>
  <si>
    <t>堵头挡水断面面积A(m2)</t>
    <phoneticPr fontId="3" type="noConversion"/>
  </si>
  <si>
    <r>
      <t>堵头等效直径d(m)
(d=2*sqrt(A/</t>
    </r>
    <r>
      <rPr>
        <sz val="12"/>
        <rFont val="Calibri"/>
        <family val="3"/>
        <charset val="161"/>
      </rPr>
      <t>π</t>
    </r>
    <r>
      <rPr>
        <sz val="12"/>
        <rFont val="宋体"/>
        <family val="3"/>
        <charset val="134"/>
      </rPr>
      <t>))</t>
    </r>
    <phoneticPr fontId="3" type="noConversion"/>
  </si>
  <si>
    <t>2d(m)</t>
    <phoneticPr fontId="3" type="noConversion"/>
  </si>
  <si>
    <t>3d(m)</t>
    <phoneticPr fontId="3" type="noConversion"/>
  </si>
  <si>
    <t>堵头体挡水断面质心(即形心)处的挡水水头H(m)</t>
    <phoneticPr fontId="3" type="noConversion"/>
  </si>
  <si>
    <r>
      <t>堵头体挡水断面面积A(m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)（和力的作用方向垂直）</t>
    </r>
    <phoneticPr fontId="3" type="noConversion"/>
  </si>
  <si>
    <t>混凝土与岩石（或混凝土）的摩擦系数f</t>
    <phoneticPr fontId="3" type="noConversion"/>
  </si>
  <si>
    <t>混凝土与岩石（或混凝土）接触面的抗剪断凝聚力C
(MPa)</t>
    <phoneticPr fontId="3" type="noConversion"/>
  </si>
  <si>
    <r>
      <t>堵头长度计算
（</t>
    </r>
    <r>
      <rPr>
        <b/>
        <sz val="12"/>
        <rFont val="宋体"/>
        <family val="3"/>
        <charset val="134"/>
      </rPr>
      <t>堵头直接接触面的计算</t>
    </r>
    <r>
      <rPr>
        <sz val="12"/>
        <rFont val="宋体"/>
        <family val="3"/>
        <charset val="134"/>
      </rPr>
      <t>。分2种情况：1、堵头与岩石接触(c,f取值0.3、0.55)；2、堵头与衬砌接触(c,f取值1.1、1.1)。此2种工况只有c、f值的区别）</t>
    </r>
    <phoneticPr fontId="3" type="noConversion"/>
  </si>
  <si>
    <r>
      <t>联合体体挡水断面面积A(m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)（和力的作用方向垂直）</t>
    </r>
    <phoneticPr fontId="3" type="noConversion"/>
  </si>
  <si>
    <t>联合体与岩石的摩擦系数f</t>
    <phoneticPr fontId="3" type="noConversion"/>
  </si>
  <si>
    <t>联合体与岩石接触面的抗剪断凝聚力C
(MPa)</t>
    <phoneticPr fontId="3" type="noConversion"/>
  </si>
  <si>
    <t>联合体断面底板长S1
(m)</t>
    <phoneticPr fontId="3" type="noConversion"/>
  </si>
  <si>
    <t>联合体断面单侧边墙长S2
(m)</t>
    <phoneticPr fontId="3" type="noConversion"/>
  </si>
  <si>
    <t>联合体断面顶拱弧长S3
(m)</t>
    <phoneticPr fontId="3" type="noConversion"/>
  </si>
  <si>
    <t>联合体挡水断面质心(即形心)处的挡水水头H(m)</t>
    <phoneticPr fontId="3" type="noConversion"/>
  </si>
  <si>
    <r>
      <t>联合体挡水断面面积A(m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)（和力的作用方向垂直）</t>
    </r>
    <phoneticPr fontId="3" type="noConversion"/>
  </si>
  <si>
    <r>
      <t>联合体混凝土容重</t>
    </r>
    <r>
      <rPr>
        <sz val="12"/>
        <rFont val="Calibri"/>
        <family val="3"/>
        <charset val="161"/>
      </rPr>
      <t>γ</t>
    </r>
    <r>
      <rPr>
        <sz val="12"/>
        <rFont val="宋体"/>
        <family val="3"/>
        <charset val="134"/>
      </rPr>
      <t xml:space="preserve">
(kN/m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)(偏安全一般取浮容重)</t>
    </r>
    <phoneticPr fontId="3" type="noConversion"/>
  </si>
  <si>
    <r>
      <t>联合体混凝土容重</t>
    </r>
    <r>
      <rPr>
        <sz val="12"/>
        <rFont val="Calibri"/>
        <family val="3"/>
        <charset val="161"/>
      </rPr>
      <t xml:space="preserve">γ
</t>
    </r>
    <r>
      <rPr>
        <sz val="12"/>
        <rFont val="宋体"/>
        <family val="3"/>
        <charset val="134"/>
      </rPr>
      <t>(kN/m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)(偏安全一般取浮容重)</t>
    </r>
    <phoneticPr fontId="3" type="noConversion"/>
  </si>
  <si>
    <r>
      <t>抗剪断有效面积S</t>
    </r>
    <r>
      <rPr>
        <sz val="12"/>
        <rFont val="Calibri"/>
        <family val="3"/>
        <charset val="161"/>
      </rPr>
      <t xml:space="preserve">λ
</t>
    </r>
    <r>
      <rPr>
        <sz val="12"/>
        <rFont val="宋体"/>
        <family val="3"/>
        <charset val="134"/>
      </rPr>
      <t>=S1×</t>
    </r>
    <r>
      <rPr>
        <sz val="12"/>
        <rFont val="Calibri"/>
        <family val="3"/>
        <charset val="161"/>
      </rPr>
      <t>λ</t>
    </r>
    <r>
      <rPr>
        <sz val="12"/>
        <rFont val="宋体"/>
        <family val="3"/>
        <charset val="134"/>
      </rPr>
      <t>1+2×S2×</t>
    </r>
    <r>
      <rPr>
        <sz val="12"/>
        <rFont val="Calibri"/>
        <family val="3"/>
        <charset val="161"/>
      </rPr>
      <t>λ</t>
    </r>
    <r>
      <rPr>
        <sz val="12"/>
        <rFont val="宋体"/>
        <family val="3"/>
        <charset val="134"/>
      </rPr>
      <t>2+S3×</t>
    </r>
    <r>
      <rPr>
        <sz val="12"/>
        <rFont val="Calibri"/>
        <family val="3"/>
        <charset val="161"/>
      </rPr>
      <t>λ</t>
    </r>
    <r>
      <rPr>
        <sz val="12"/>
        <rFont val="宋体"/>
        <family val="3"/>
        <charset val="134"/>
      </rPr>
      <t>3
(m)</t>
    </r>
    <phoneticPr fontId="3" type="noConversion"/>
  </si>
  <si>
    <r>
      <t>堵头长度计算
（“堵头混凝土+原支护</t>
    </r>
    <r>
      <rPr>
        <b/>
        <sz val="12"/>
        <rFont val="宋体"/>
        <family val="3"/>
        <charset val="134"/>
      </rPr>
      <t>联合体与基岩接触面</t>
    </r>
    <r>
      <rPr>
        <sz val="12"/>
        <rFont val="宋体"/>
        <family val="3"/>
        <charset val="134"/>
      </rPr>
      <t>”的计算）(c,f取值0.5、0.55)</t>
    </r>
    <phoneticPr fontId="3" type="noConversion"/>
  </si>
  <si>
    <t>摩擦力与凝聚力二者要求的安全系数统筹考虑取用
(即按式2-8-240计算)</t>
    <phoneticPr fontId="3" type="noConversion"/>
  </si>
  <si>
    <t>堵头长度一般不宜小于2.0～3.0倍洞径</t>
    <phoneticPr fontId="3" type="noConversion"/>
  </si>
  <si>
    <t>达西定律初步估算渗流量（网搜）</t>
    <phoneticPr fontId="3" type="noConversion"/>
  </si>
  <si>
    <t>水力梯度i</t>
    <phoneticPr fontId="3" type="noConversion"/>
  </si>
  <si>
    <t>渗透系数K
（m/s）</t>
    <phoneticPr fontId="3" type="noConversion"/>
  </si>
  <si>
    <t>垂直于渗流方向的过水断面面积A（m²）</t>
    <phoneticPr fontId="3" type="noConversion"/>
  </si>
  <si>
    <r>
      <t>渗流量Q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/s)</t>
    </r>
    <phoneticPr fontId="3" type="noConversion"/>
  </si>
  <si>
    <r>
      <t>120min渗水量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</si>
  <si>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r>
      <t>1d渗水量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</si>
</sst>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0.000E+00"/>
    <numFmt numFmtId="178" formatCode="0.000_ "/>
    <numFmt numFmtId="179" formatCode="0_ "/>
    <numFmt numFmtId="180" formatCode="0.000%"/>
    <numFmt numFmtId="181" formatCode="0.0000%"/>
    <numFmt numFmtId="182" formatCode="0.0000_ "/>
    <numFmt numFmtId="183" formatCode="0.000_);[Red]\(0.000\)"/>
    <numFmt numFmtId="184" formatCode="0.0_ "/>
  </numFmts>
  <fonts count="75" x14ac:knownFonts="1">
    <font>
      <sz val="12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Calibri"/>
      <family val="2"/>
    </font>
    <font>
      <b/>
      <sz val="10.5"/>
      <name val="宋体"/>
      <family val="3"/>
      <charset val="134"/>
    </font>
    <font>
      <b/>
      <sz val="11"/>
      <color rgb="FF0070C0"/>
      <name val="Calibri"/>
      <family val="2"/>
    </font>
    <font>
      <b/>
      <sz val="12"/>
      <name val="Times New Roman"/>
      <family val="1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name val="Calibri"/>
      <family val="2"/>
    </font>
    <font>
      <sz val="12"/>
      <name val="宋体"/>
      <family val="2"/>
      <charset val="134"/>
    </font>
    <font>
      <sz val="12"/>
      <name val="等线"/>
      <family val="3"/>
      <charset val="134"/>
    </font>
    <font>
      <vertAlign val="subscript"/>
      <sz val="12"/>
      <name val="宋体"/>
      <family val="3"/>
      <charset val="134"/>
    </font>
    <font>
      <sz val="11"/>
      <color indexed="8"/>
      <name val="Calibri"/>
      <family val="2"/>
    </font>
    <font>
      <sz val="11"/>
      <color indexed="8"/>
      <name val="宋体"/>
      <family val="3"/>
      <charset val="134"/>
    </font>
    <font>
      <vertAlign val="superscript"/>
      <sz val="11"/>
      <color indexed="8"/>
      <name val="Calibri"/>
      <family val="2"/>
    </font>
    <font>
      <sz val="11"/>
      <color indexed="8"/>
      <name val="Calibri"/>
      <family val="3"/>
      <charset val="134"/>
    </font>
    <font>
      <b/>
      <sz val="16"/>
      <name val="宋体"/>
      <family val="3"/>
      <charset val="134"/>
    </font>
    <font>
      <b/>
      <u/>
      <sz val="11"/>
      <color indexed="8"/>
      <name val="Calibri"/>
      <family val="2"/>
    </font>
    <font>
      <sz val="11"/>
      <color rgb="FF00B050"/>
      <name val="Calibri"/>
      <family val="2"/>
    </font>
    <font>
      <sz val="11"/>
      <color rgb="FF000000"/>
      <name val="等线"/>
      <family val="3"/>
      <charset val="134"/>
    </font>
    <font>
      <i/>
      <sz val="11"/>
      <color rgb="FF000000"/>
      <name val="等线"/>
      <family val="3"/>
      <charset val="134"/>
    </font>
    <font>
      <vertAlign val="superscript"/>
      <sz val="11"/>
      <color rgb="FF000000"/>
      <name val="等线"/>
      <family val="3"/>
      <charset val="134"/>
    </font>
    <font>
      <vertAlign val="superscript"/>
      <sz val="12"/>
      <name val="等线"/>
      <family val="3"/>
      <charset val="134"/>
    </font>
    <font>
      <sz val="16"/>
      <color rgb="FF000000"/>
      <name val="等线"/>
      <family val="3"/>
      <charset val="134"/>
    </font>
    <font>
      <sz val="16"/>
      <name val="等线"/>
      <family val="3"/>
      <charset val="134"/>
    </font>
    <font>
      <strike/>
      <sz val="12"/>
      <name val="宋体"/>
      <family val="3"/>
      <charset val="134"/>
    </font>
    <font>
      <strike/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i/>
      <sz val="12"/>
      <name val="宋体"/>
      <family val="3"/>
      <charset val="134"/>
    </font>
    <font>
      <i/>
      <sz val="12"/>
      <name val="Times New Roman"/>
      <family val="1"/>
    </font>
    <font>
      <sz val="12"/>
      <name val="Times New Roman"/>
      <family val="1"/>
    </font>
    <font>
      <vertAlign val="superscript"/>
      <sz val="12"/>
      <name val="Times New Roman"/>
      <family val="1"/>
    </font>
    <font>
      <i/>
      <vertAlign val="subscript"/>
      <sz val="12"/>
      <name val="Times New Roman"/>
      <family val="1"/>
    </font>
    <font>
      <sz val="12"/>
      <name val="宋体"/>
      <family val="1"/>
      <charset val="134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0"/>
      <name val="Arial"/>
      <family val="3"/>
      <charset val="134"/>
    </font>
    <font>
      <sz val="10"/>
      <name val="宋体"/>
      <family val="3"/>
      <charset val="134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8"/>
      <name val="华文行楷"/>
      <family val="3"/>
      <charset val="134"/>
    </font>
    <font>
      <b/>
      <sz val="36"/>
      <color rgb="FFFF0000"/>
      <name val="Times New Roman"/>
      <family val="1"/>
    </font>
    <font>
      <sz val="18"/>
      <name val="华文行楷"/>
      <family val="3"/>
      <charset val="134"/>
    </font>
    <font>
      <strike/>
      <sz val="10"/>
      <name val="等线 Light"/>
      <family val="3"/>
      <charset val="134"/>
    </font>
    <font>
      <strike/>
      <sz val="12"/>
      <name val="等线 Light"/>
      <family val="3"/>
      <charset val="134"/>
    </font>
    <font>
      <strike/>
      <sz val="10"/>
      <name val="Arial"/>
      <family val="2"/>
    </font>
    <font>
      <sz val="10"/>
      <name val="宋体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vertAlign val="subscript"/>
      <sz val="11"/>
      <color theme="1"/>
      <name val="等线"/>
      <family val="3"/>
      <charset val="134"/>
    </font>
    <font>
      <vertAlign val="superscript"/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sz val="12"/>
      <name val="Calibri"/>
      <family val="3"/>
      <charset val="204"/>
    </font>
    <font>
      <sz val="11"/>
      <color theme="1"/>
      <name val="Times New Roman"/>
      <family val="1"/>
    </font>
    <font>
      <sz val="12"/>
      <name val="Times New Roman"/>
      <family val="3"/>
      <charset val="134"/>
    </font>
    <font>
      <sz val="12"/>
      <name val="Calibri"/>
      <family val="3"/>
      <charset val="161"/>
    </font>
    <font>
      <b/>
      <sz val="12"/>
      <name val="Microsoft YaHei UI"/>
      <family val="2"/>
      <charset val="134"/>
    </font>
    <font>
      <b/>
      <sz val="12"/>
      <name val="Calibri"/>
      <family val="2"/>
      <charset val="134"/>
    </font>
    <font>
      <b/>
      <vertAlign val="superscript"/>
      <sz val="12"/>
      <name val="Calibri"/>
      <family val="2"/>
    </font>
    <font>
      <b/>
      <sz val="12"/>
      <name val="Calibri"/>
      <family val="3"/>
      <charset val="161"/>
    </font>
    <font>
      <b/>
      <vertAlign val="superscript"/>
      <sz val="12"/>
      <name val="宋体"/>
      <family val="3"/>
      <charset val="134"/>
    </font>
    <font>
      <sz val="11"/>
      <name val="宋体"/>
      <family val="3"/>
      <charset val="134"/>
    </font>
    <font>
      <sz val="12"/>
      <name val="Tahoma"/>
      <family val="3"/>
      <charset val="1"/>
    </font>
    <font>
      <b/>
      <sz val="11"/>
      <color theme="1"/>
      <name val="等线"/>
      <family val="3"/>
      <charset val="134"/>
      <scheme val="minor"/>
    </font>
    <font>
      <b/>
      <vertAlign val="subscript"/>
      <sz val="11"/>
      <color theme="1"/>
      <name val="等线"/>
      <family val="3"/>
      <charset val="134"/>
      <scheme val="minor"/>
    </font>
    <font>
      <b/>
      <vertAlign val="superscript"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6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6" fillId="0" borderId="0" applyFill="0" applyProtection="0"/>
    <xf numFmtId="0" fontId="1" fillId="0" borderId="0"/>
    <xf numFmtId="0" fontId="10" fillId="0" borderId="0"/>
  </cellStyleXfs>
  <cellXfs count="489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177" fontId="0" fillId="0" borderId="1" xfId="0" applyNumberFormat="1" applyBorder="1" applyAlignment="1" applyProtection="1">
      <alignment horizontal="center" vertical="center"/>
      <protection locked="0"/>
    </xf>
    <xf numFmtId="179" fontId="13" fillId="0" borderId="1" xfId="0" applyNumberFormat="1" applyFont="1" applyBorder="1" applyAlignment="1" applyProtection="1">
      <alignment horizontal="center" vertical="center"/>
      <protection locked="0"/>
    </xf>
    <xf numFmtId="179" fontId="0" fillId="0" borderId="1" xfId="0" applyNumberFormat="1" applyBorder="1" applyAlignment="1" applyProtection="1">
      <alignment horizontal="center" vertical="center"/>
      <protection locked="0"/>
    </xf>
    <xf numFmtId="178" fontId="0" fillId="2" borderId="1" xfId="0" applyNumberFormat="1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vertical="center"/>
      <protection locked="0"/>
    </xf>
    <xf numFmtId="181" fontId="0" fillId="0" borderId="0" xfId="0" applyNumberFormat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19" fillId="0" borderId="1" xfId="2" applyFont="1" applyFill="1" applyBorder="1" applyAlignment="1" applyProtection="1">
      <alignment horizontal="center" vertical="center" wrapText="1"/>
    </xf>
    <xf numFmtId="0" fontId="16" fillId="0" borderId="1" xfId="2" applyFill="1" applyBorder="1" applyAlignment="1" applyProtection="1">
      <alignment horizontal="center" vertical="center" wrapText="1"/>
    </xf>
    <xf numFmtId="0" fontId="16" fillId="0" borderId="15" xfId="2" applyFill="1" applyBorder="1" applyAlignment="1" applyProtection="1">
      <alignment horizontal="center" vertical="center" wrapText="1"/>
    </xf>
    <xf numFmtId="0" fontId="16" fillId="0" borderId="6" xfId="2" applyFill="1" applyBorder="1" applyAlignment="1" applyProtection="1">
      <alignment horizontal="center" vertical="center" wrapText="1"/>
    </xf>
    <xf numFmtId="0" fontId="16" fillId="0" borderId="7" xfId="2" applyFill="1" applyBorder="1" applyAlignment="1" applyProtection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6" fillId="3" borderId="6" xfId="2" applyFill="1" applyBorder="1" applyAlignment="1" applyProtection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21" fillId="0" borderId="1" xfId="2" applyFont="1" applyFill="1" applyBorder="1" applyAlignment="1" applyProtection="1">
      <alignment horizontal="center" vertical="center" wrapText="1"/>
    </xf>
    <xf numFmtId="0" fontId="22" fillId="0" borderId="1" xfId="2" applyFont="1" applyFill="1" applyBorder="1" applyAlignment="1" applyProtection="1">
      <alignment horizontal="center" vertical="center" wrapText="1"/>
    </xf>
    <xf numFmtId="0" fontId="22" fillId="0" borderId="14" xfId="2" applyFont="1" applyFill="1" applyBorder="1" applyAlignment="1" applyProtection="1">
      <alignment horizontal="center" vertical="center" wrapText="1"/>
    </xf>
    <xf numFmtId="0" fontId="22" fillId="0" borderId="5" xfId="2" applyFont="1" applyFill="1" applyBorder="1" applyAlignment="1" applyProtection="1">
      <alignment horizontal="center" vertical="center" wrapText="1"/>
    </xf>
    <xf numFmtId="0" fontId="22" fillId="0" borderId="15" xfId="2" applyFont="1" applyFill="1" applyBorder="1" applyAlignment="1" applyProtection="1">
      <alignment horizontal="center" vertical="center" wrapText="1"/>
    </xf>
    <xf numFmtId="178" fontId="22" fillId="0" borderId="15" xfId="2" applyNumberFormat="1" applyFont="1" applyFill="1" applyBorder="1" applyAlignment="1" applyProtection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10" fillId="4" borderId="1" xfId="0" applyFont="1" applyFill="1" applyBorder="1" applyAlignment="1" applyProtection="1">
      <alignment vertical="center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178" fontId="0" fillId="4" borderId="1" xfId="0" applyNumberFormat="1" applyFill="1" applyBorder="1" applyAlignment="1" applyProtection="1">
      <alignment horizontal="center" vertical="center"/>
      <protection locked="0"/>
    </xf>
    <xf numFmtId="0" fontId="23" fillId="0" borderId="0" xfId="0" applyFont="1"/>
    <xf numFmtId="0" fontId="14" fillId="0" borderId="0" xfId="0" applyFont="1"/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24" fillId="0" borderId="1" xfId="0" applyFont="1" applyBorder="1" applyAlignment="1">
      <alignment horizontal="center" vertical="center"/>
    </xf>
    <xf numFmtId="0" fontId="14" fillId="2" borderId="1" xfId="0" applyFont="1" applyFill="1" applyBorder="1"/>
    <xf numFmtId="0" fontId="1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1" fontId="14" fillId="0" borderId="5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2" borderId="15" xfId="0" applyFont="1" applyFill="1" applyBorder="1"/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7" fillId="0" borderId="0" xfId="0" applyFont="1"/>
    <xf numFmtId="0" fontId="28" fillId="0" borderId="0" xfId="0" applyFont="1"/>
    <xf numFmtId="0" fontId="23" fillId="0" borderId="20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2" borderId="22" xfId="0" applyFont="1" applyFill="1" applyBorder="1" applyAlignment="1">
      <alignment horizontal="center" vertical="center"/>
    </xf>
    <xf numFmtId="0" fontId="0" fillId="3" borderId="0" xfId="0" applyFill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8" fontId="0" fillId="2" borderId="13" xfId="0" applyNumberFormat="1" applyFill="1" applyBorder="1" applyAlignment="1">
      <alignment horizontal="center" vertical="center"/>
    </xf>
    <xf numFmtId="182" fontId="0" fillId="0" borderId="12" xfId="0" applyNumberFormat="1" applyBorder="1" applyAlignment="1">
      <alignment horizontal="center" vertical="center"/>
    </xf>
    <xf numFmtId="182" fontId="0" fillId="2" borderId="13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8" fontId="0" fillId="2" borderId="12" xfId="0" applyNumberFormat="1" applyFill="1" applyBorder="1" applyAlignment="1">
      <alignment horizontal="center" vertical="center"/>
    </xf>
    <xf numFmtId="180" fontId="0" fillId="2" borderId="12" xfId="0" applyNumberFormat="1" applyFill="1" applyBorder="1" applyAlignment="1">
      <alignment horizontal="center" vertical="center"/>
    </xf>
    <xf numFmtId="180" fontId="0" fillId="2" borderId="13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8" xfId="0" applyBorder="1"/>
    <xf numFmtId="180" fontId="0" fillId="0" borderId="11" xfId="0" applyNumberForma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0" fontId="0" fillId="0" borderId="12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0" fillId="2" borderId="6" xfId="0" applyNumberFormat="1" applyFill="1" applyBorder="1" applyAlignment="1">
      <alignment horizontal="center" vertical="center"/>
    </xf>
    <xf numFmtId="178" fontId="0" fillId="2" borderId="7" xfId="0" applyNumberFormat="1" applyFill="1" applyBorder="1" applyAlignment="1">
      <alignment horizontal="center" vertical="center"/>
    </xf>
    <xf numFmtId="10" fontId="0" fillId="2" borderId="12" xfId="0" applyNumberFormat="1" applyFill="1" applyBorder="1" applyAlignment="1">
      <alignment horizontal="center" vertical="center"/>
    </xf>
    <xf numFmtId="10" fontId="0" fillId="2" borderId="13" xfId="0" applyNumberFormat="1" applyFill="1" applyBorder="1" applyAlignment="1">
      <alignment horizontal="center" vertical="center"/>
    </xf>
    <xf numFmtId="176" fontId="0" fillId="2" borderId="13" xfId="0" applyNumberFormat="1" applyFill="1" applyBorder="1" applyAlignment="1">
      <alignment horizontal="center" vertical="center"/>
    </xf>
    <xf numFmtId="182" fontId="0" fillId="0" borderId="1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2" borderId="6" xfId="0" applyNumberFormat="1" applyFill="1" applyBorder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178" fontId="0" fillId="0" borderId="0" xfId="0" applyNumberFormat="1"/>
    <xf numFmtId="0" fontId="29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10" fontId="29" fillId="0" borderId="5" xfId="0" applyNumberFormat="1" applyFont="1" applyBorder="1" applyAlignment="1">
      <alignment horizontal="center" vertical="center"/>
    </xf>
    <xf numFmtId="176" fontId="29" fillId="0" borderId="6" xfId="0" applyNumberFormat="1" applyFont="1" applyBorder="1" applyAlignment="1">
      <alignment horizontal="center" vertical="center"/>
    </xf>
    <xf numFmtId="178" fontId="29" fillId="2" borderId="6" xfId="0" applyNumberFormat="1" applyFont="1" applyFill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178" fontId="29" fillId="0" borderId="6" xfId="0" applyNumberFormat="1" applyFont="1" applyBorder="1" applyAlignment="1">
      <alignment horizontal="center" vertical="center"/>
    </xf>
    <xf numFmtId="10" fontId="29" fillId="2" borderId="6" xfId="0" applyNumberFormat="1" applyFont="1" applyFill="1" applyBorder="1" applyAlignment="1">
      <alignment horizontal="center" vertical="center"/>
    </xf>
    <xf numFmtId="10" fontId="29" fillId="2" borderId="7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26" xfId="0" applyBorder="1"/>
    <xf numFmtId="0" fontId="0" fillId="0" borderId="19" xfId="0" applyBorder="1"/>
    <xf numFmtId="0" fontId="37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79" fontId="0" fillId="2" borderId="28" xfId="0" applyNumberFormat="1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79" fontId="0" fillId="2" borderId="31" xfId="0" applyNumberForma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179" fontId="0" fillId="2" borderId="28" xfId="0" applyNumberFormat="1" applyFill="1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39" fillId="0" borderId="1" xfId="0" applyFont="1" applyBorder="1" applyAlignment="1">
      <alignment horizontal="center" vertical="center" wrapText="1"/>
    </xf>
    <xf numFmtId="0" fontId="10" fillId="2" borderId="0" xfId="0" applyFont="1" applyFill="1"/>
    <xf numFmtId="0" fontId="10" fillId="0" borderId="0" xfId="0" applyFont="1"/>
    <xf numFmtId="0" fontId="10" fillId="5" borderId="0" xfId="0" applyFont="1" applyFill="1"/>
    <xf numFmtId="0" fontId="0" fillId="3" borderId="0" xfId="0" applyFill="1"/>
    <xf numFmtId="9" fontId="39" fillId="5" borderId="1" xfId="0" applyNumberFormat="1" applyFont="1" applyFill="1" applyBorder="1" applyAlignment="1">
      <alignment horizontal="center" vertical="center" wrapText="1"/>
    </xf>
    <xf numFmtId="0" fontId="39" fillId="5" borderId="1" xfId="0" applyFont="1" applyFill="1" applyBorder="1" applyAlignment="1">
      <alignment horizontal="center" vertical="center" wrapText="1"/>
    </xf>
    <xf numFmtId="176" fontId="0" fillId="0" borderId="40" xfId="0" applyNumberFormat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 wrapText="1"/>
    </xf>
    <xf numFmtId="176" fontId="0" fillId="2" borderId="15" xfId="0" applyNumberFormat="1" applyFill="1" applyBorder="1" applyAlignment="1">
      <alignment horizontal="center" vertical="center"/>
    </xf>
    <xf numFmtId="0" fontId="39" fillId="0" borderId="5" xfId="0" applyFont="1" applyBorder="1" applyAlignment="1">
      <alignment horizontal="center" vertical="center" wrapText="1"/>
    </xf>
    <xf numFmtId="176" fontId="0" fillId="2" borderId="6" xfId="0" applyNumberFormat="1" applyFill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41" xfId="0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/>
    </xf>
    <xf numFmtId="0" fontId="0" fillId="0" borderId="42" xfId="0" applyBorder="1" applyAlignment="1">
      <alignment horizontal="right"/>
    </xf>
    <xf numFmtId="0" fontId="0" fillId="2" borderId="43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8" fillId="0" borderId="14" xfId="0" applyFont="1" applyBorder="1" applyAlignment="1">
      <alignment horizontal="center" vertical="center" wrapText="1"/>
    </xf>
    <xf numFmtId="176" fontId="49" fillId="2" borderId="1" xfId="0" applyNumberFormat="1" applyFont="1" applyFill="1" applyBorder="1" applyAlignment="1">
      <alignment horizontal="center" vertical="center"/>
    </xf>
    <xf numFmtId="176" fontId="49" fillId="2" borderId="15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 wrapText="1"/>
    </xf>
    <xf numFmtId="0" fontId="50" fillId="5" borderId="1" xfId="0" applyFont="1" applyFill="1" applyBorder="1" applyAlignment="1">
      <alignment horizontal="center" vertical="center" wrapText="1"/>
    </xf>
    <xf numFmtId="0" fontId="10" fillId="0" borderId="0" xfId="3" applyFont="1" applyAlignment="1">
      <alignment horizontal="center" vertical="center" wrapText="1"/>
    </xf>
    <xf numFmtId="0" fontId="10" fillId="3" borderId="1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0" fontId="10" fillId="0" borderId="1" xfId="3" applyFont="1" applyBorder="1" applyAlignment="1">
      <alignment horizontal="center" vertical="center" wrapText="1"/>
    </xf>
    <xf numFmtId="0" fontId="10" fillId="5" borderId="1" xfId="3" applyFont="1" applyFill="1" applyBorder="1" applyAlignment="1">
      <alignment horizontal="center" vertical="center" wrapText="1"/>
    </xf>
    <xf numFmtId="0" fontId="10" fillId="0" borderId="0" xfId="3" applyFont="1"/>
    <xf numFmtId="0" fontId="10" fillId="0" borderId="15" xfId="3" applyFont="1" applyBorder="1"/>
    <xf numFmtId="0" fontId="10" fillId="0" borderId="6" xfId="3" applyFont="1" applyBorder="1" applyAlignment="1">
      <alignment horizontal="center" vertical="center" wrapText="1"/>
    </xf>
    <xf numFmtId="0" fontId="10" fillId="0" borderId="7" xfId="3" applyFont="1" applyBorder="1"/>
    <xf numFmtId="0" fontId="10" fillId="0" borderId="0" xfId="3" applyFont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176" fontId="57" fillId="2" borderId="1" xfId="0" applyNumberFormat="1" applyFont="1" applyFill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4" fillId="0" borderId="0" xfId="0" applyFont="1"/>
    <xf numFmtId="0" fontId="5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60" fillId="0" borderId="11" xfId="0" applyFont="1" applyBorder="1"/>
    <xf numFmtId="0" fontId="34" fillId="0" borderId="12" xfId="0" applyFont="1" applyBorder="1"/>
    <xf numFmtId="0" fontId="34" fillId="0" borderId="13" xfId="0" applyFont="1" applyBorder="1"/>
    <xf numFmtId="176" fontId="0" fillId="0" borderId="6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83" fontId="0" fillId="0" borderId="6" xfId="0" applyNumberFormat="1" applyBorder="1" applyAlignment="1">
      <alignment horizontal="center" vertical="center"/>
    </xf>
    <xf numFmtId="183" fontId="0" fillId="0" borderId="15" xfId="0" applyNumberFormat="1" applyBorder="1" applyAlignment="1">
      <alignment horizontal="center" vertical="center"/>
    </xf>
    <xf numFmtId="183" fontId="0" fillId="0" borderId="7" xfId="0" applyNumberFormat="1" applyBorder="1" applyAlignment="1">
      <alignment horizontal="center" vertical="center"/>
    </xf>
    <xf numFmtId="0" fontId="42" fillId="0" borderId="4" xfId="0" applyFont="1" applyBorder="1" applyAlignment="1">
      <alignment horizontal="center" vertical="center" wrapText="1"/>
    </xf>
    <xf numFmtId="176" fontId="10" fillId="0" borderId="1" xfId="4" applyNumberFormat="1" applyBorder="1" applyAlignment="1">
      <alignment horizontal="center" vertical="center" wrapText="1"/>
    </xf>
    <xf numFmtId="0" fontId="10" fillId="0" borderId="1" xfId="4" applyBorder="1" applyAlignment="1">
      <alignment horizontal="center" vertical="center"/>
    </xf>
    <xf numFmtId="0" fontId="10" fillId="0" borderId="0" xfId="4"/>
    <xf numFmtId="176" fontId="10" fillId="6" borderId="1" xfId="4" applyNumberFormat="1" applyFill="1" applyBorder="1" applyAlignment="1">
      <alignment horizontal="center" vertical="center" wrapText="1"/>
    </xf>
    <xf numFmtId="176" fontId="10" fillId="2" borderId="1" xfId="4" applyNumberFormat="1" applyFill="1" applyBorder="1" applyAlignment="1">
      <alignment horizontal="center" vertical="center" wrapText="1"/>
    </xf>
    <xf numFmtId="176" fontId="10" fillId="6" borderId="1" xfId="4" applyNumberFormat="1" applyFill="1" applyBorder="1" applyAlignment="1">
      <alignment vertical="center" wrapText="1"/>
    </xf>
    <xf numFmtId="0" fontId="10" fillId="0" borderId="1" xfId="4" applyBorder="1"/>
    <xf numFmtId="0" fontId="0" fillId="0" borderId="4" xfId="0" applyBorder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63" fillId="0" borderId="0" xfId="0" applyFont="1" applyAlignment="1" applyProtection="1">
      <alignment horizontal="center" vertical="center" wrapText="1"/>
      <protection locked="0"/>
    </xf>
    <xf numFmtId="176" fontId="0" fillId="0" borderId="0" xfId="0" applyNumberFormat="1"/>
    <xf numFmtId="184" fontId="0" fillId="5" borderId="6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50" xfId="0" applyNumberFormat="1" applyBorder="1" applyAlignment="1">
      <alignment horizontal="center" vertical="center" wrapText="1"/>
    </xf>
    <xf numFmtId="183" fontId="0" fillId="2" borderId="1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178" fontId="0" fillId="5" borderId="0" xfId="0" applyNumberFormat="1" applyFill="1" applyAlignment="1">
      <alignment horizontal="center" vertical="center"/>
    </xf>
    <xf numFmtId="178" fontId="0" fillId="2" borderId="26" xfId="0" applyNumberFormat="1" applyFill="1" applyBorder="1"/>
    <xf numFmtId="0" fontId="0" fillId="0" borderId="5" xfId="0" applyBorder="1"/>
    <xf numFmtId="178" fontId="0" fillId="2" borderId="13" xfId="0" applyNumberFormat="1" applyFill="1" applyBorder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6" fontId="0" fillId="0" borderId="52" xfId="0" applyNumberFormat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49" fillId="2" borderId="0" xfId="0" applyFont="1" applyFill="1" applyAlignment="1">
      <alignment horizontal="center" vertical="center"/>
    </xf>
    <xf numFmtId="0" fontId="49" fillId="2" borderId="26" xfId="0" applyFont="1" applyFill="1" applyBorder="1" applyAlignment="1">
      <alignment horizontal="center" vertical="center"/>
    </xf>
    <xf numFmtId="0" fontId="42" fillId="0" borderId="19" xfId="0" applyFont="1" applyBorder="1" applyAlignment="1">
      <alignment horizontal="left" vertical="center"/>
    </xf>
    <xf numFmtId="0" fontId="39" fillId="0" borderId="6" xfId="0" applyFont="1" applyBorder="1" applyAlignment="1">
      <alignment horizontal="center" vertical="center" wrapText="1"/>
    </xf>
    <xf numFmtId="0" fontId="39" fillId="5" borderId="6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83" fontId="0" fillId="0" borderId="0" xfId="0" applyNumberFormat="1"/>
    <xf numFmtId="0" fontId="29" fillId="0" borderId="14" xfId="0" applyFont="1" applyBorder="1"/>
    <xf numFmtId="178" fontId="29" fillId="2" borderId="1" xfId="0" applyNumberFormat="1" applyFont="1" applyFill="1" applyBorder="1" applyAlignment="1">
      <alignment horizontal="center" vertical="center"/>
    </xf>
    <xf numFmtId="183" fontId="29" fillId="2" borderId="1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178" fontId="29" fillId="5" borderId="0" xfId="0" applyNumberFormat="1" applyFont="1" applyFill="1" applyAlignment="1">
      <alignment horizontal="center" vertical="center"/>
    </xf>
    <xf numFmtId="178" fontId="29" fillId="2" borderId="26" xfId="0" applyNumberFormat="1" applyFont="1" applyFill="1" applyBorder="1"/>
    <xf numFmtId="0" fontId="0" fillId="0" borderId="0" xfId="0" applyAlignment="1" applyProtection="1">
      <alignment horizontal="center" vertical="center" wrapText="1"/>
      <protection locked="0"/>
    </xf>
    <xf numFmtId="0" fontId="69" fillId="0" borderId="0" xfId="0" applyFont="1"/>
    <xf numFmtId="0" fontId="69" fillId="2" borderId="0" xfId="0" applyFont="1" applyFill="1"/>
    <xf numFmtId="178" fontId="0" fillId="0" borderId="0" xfId="0" applyNumberFormat="1" applyAlignment="1">
      <alignment horizontal="center" vertical="center" wrapText="1"/>
    </xf>
    <xf numFmtId="178" fontId="0" fillId="0" borderId="0" xfId="0" applyNumberFormat="1" applyAlignment="1" applyProtection="1">
      <alignment horizontal="center" vertical="center"/>
      <protection locked="0"/>
    </xf>
    <xf numFmtId="178" fontId="0" fillId="2" borderId="0" xfId="0" applyNumberFormat="1" applyFill="1" applyAlignment="1">
      <alignment horizontal="center" vertical="center" wrapText="1"/>
    </xf>
    <xf numFmtId="176" fontId="0" fillId="5" borderId="0" xfId="0" applyNumberFormat="1" applyFill="1" applyAlignment="1" applyProtection="1">
      <alignment horizontal="center" vertical="center"/>
      <protection locked="0"/>
    </xf>
    <xf numFmtId="176" fontId="0" fillId="5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 applyProtection="1">
      <alignment horizontal="center" vertical="center" wrapText="1"/>
      <protection locked="0"/>
    </xf>
    <xf numFmtId="0" fontId="0" fillId="5" borderId="0" xfId="0" applyFill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0" fontId="0" fillId="0" borderId="0" xfId="0" applyNumberFormat="1" applyAlignment="1" applyProtection="1">
      <alignment horizontal="center" vertical="center"/>
      <protection locked="0"/>
    </xf>
    <xf numFmtId="178" fontId="0" fillId="0" borderId="0" xfId="0" applyNumberFormat="1" applyAlignment="1">
      <alignment horizontal="center" vertical="center"/>
    </xf>
    <xf numFmtId="0" fontId="4" fillId="0" borderId="0" xfId="0" applyFont="1"/>
    <xf numFmtId="0" fontId="0" fillId="2" borderId="7" xfId="0" applyFill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 applyProtection="1">
      <alignment vertical="center"/>
      <protection locked="0"/>
    </xf>
    <xf numFmtId="179" fontId="0" fillId="0" borderId="0" xfId="0" applyNumberFormat="1"/>
    <xf numFmtId="176" fontId="0" fillId="0" borderId="15" xfId="0" applyNumberFormat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176" fontId="29" fillId="0" borderId="42" xfId="0" applyNumberFormat="1" applyFont="1" applyBorder="1" applyAlignment="1">
      <alignment horizontal="center" vertical="center"/>
    </xf>
    <xf numFmtId="176" fontId="0" fillId="2" borderId="43" xfId="0" applyNumberFormat="1" applyFill="1" applyBorder="1" applyAlignment="1">
      <alignment horizontal="center" vertical="center"/>
    </xf>
    <xf numFmtId="184" fontId="29" fillId="0" borderId="5" xfId="0" applyNumberFormat="1" applyFont="1" applyBorder="1" applyAlignment="1">
      <alignment horizontal="center" vertical="center"/>
    </xf>
    <xf numFmtId="176" fontId="29" fillId="2" borderId="7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84" fontId="0" fillId="5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76" fontId="0" fillId="2" borderId="45" xfId="0" applyNumberFormat="1" applyFill="1" applyBorder="1" applyAlignment="1">
      <alignment horizontal="center" vertical="center"/>
    </xf>
    <xf numFmtId="176" fontId="0" fillId="5" borderId="6" xfId="0" applyNumberFormat="1" applyFill="1" applyBorder="1" applyAlignment="1">
      <alignment horizontal="center" vertical="center"/>
    </xf>
    <xf numFmtId="176" fontId="0" fillId="5" borderId="7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176" fontId="0" fillId="5" borderId="21" xfId="0" applyNumberFormat="1" applyFill="1" applyBorder="1" applyAlignment="1">
      <alignment horizontal="center" vertical="center"/>
    </xf>
    <xf numFmtId="176" fontId="0" fillId="5" borderId="22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178" fontId="0" fillId="0" borderId="14" xfId="0" applyNumberFormat="1" applyBorder="1" applyAlignment="1">
      <alignment horizontal="center" vertical="center"/>
    </xf>
    <xf numFmtId="178" fontId="0" fillId="2" borderId="15" xfId="0" applyNumberFormat="1" applyFill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2" borderId="22" xfId="0" applyNumberFormat="1" applyFill="1" applyBorder="1" applyAlignment="1">
      <alignment horizontal="center" vertical="center"/>
    </xf>
    <xf numFmtId="176" fontId="0" fillId="2" borderId="55" xfId="0" applyNumberForma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6" xfId="0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79" fontId="0" fillId="0" borderId="1" xfId="0" applyNumberForma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177" fontId="0" fillId="0" borderId="1" xfId="0" applyNumberForma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6" fillId="0" borderId="2" xfId="2" applyFill="1" applyBorder="1" applyAlignment="1" applyProtection="1">
      <alignment horizontal="center" vertical="center" wrapText="1"/>
    </xf>
    <xf numFmtId="0" fontId="16" fillId="0" borderId="3" xfId="2" applyFill="1" applyBorder="1" applyAlignment="1" applyProtection="1">
      <alignment horizontal="center" vertical="center" wrapText="1"/>
    </xf>
    <xf numFmtId="0" fontId="16" fillId="0" borderId="4" xfId="2" applyFill="1" applyBorder="1" applyAlignment="1" applyProtection="1">
      <alignment horizontal="center" vertical="center" wrapText="1"/>
    </xf>
    <xf numFmtId="0" fontId="16" fillId="0" borderId="14" xfId="2" applyFill="1" applyBorder="1" applyAlignment="1" applyProtection="1">
      <alignment horizontal="center" vertical="center" wrapText="1"/>
    </xf>
    <xf numFmtId="0" fontId="16" fillId="0" borderId="1" xfId="2" applyFill="1" applyBorder="1" applyAlignment="1" applyProtection="1">
      <alignment horizontal="center" vertical="center" wrapText="1"/>
    </xf>
    <xf numFmtId="0" fontId="16" fillId="0" borderId="15" xfId="2" applyFill="1" applyBorder="1" applyAlignment="1" applyProtection="1">
      <alignment horizontal="center" vertical="center" wrapText="1"/>
    </xf>
    <xf numFmtId="0" fontId="19" fillId="0" borderId="14" xfId="2" applyFont="1" applyFill="1" applyBorder="1" applyAlignment="1" applyProtection="1">
      <alignment horizontal="center" vertical="center" wrapText="1"/>
    </xf>
    <xf numFmtId="0" fontId="19" fillId="0" borderId="1" xfId="2" applyFont="1" applyFill="1" applyBorder="1" applyAlignment="1" applyProtection="1">
      <alignment horizontal="center" vertical="center" wrapText="1"/>
    </xf>
    <xf numFmtId="0" fontId="19" fillId="0" borderId="15" xfId="2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2" borderId="0" xfId="0" applyFill="1" applyAlignment="1" applyProtection="1">
      <alignment horizontal="center" vertical="center"/>
      <protection locked="0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9" fillId="0" borderId="14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9" fontId="0" fillId="3" borderId="15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41" fillId="0" borderId="53" xfId="0" applyFont="1" applyBorder="1" applyAlignment="1">
      <alignment horizontal="right" wrapText="1"/>
    </xf>
    <xf numFmtId="0" fontId="39" fillId="0" borderId="39" xfId="0" applyFont="1" applyBorder="1" applyAlignment="1">
      <alignment horizontal="right" wrapText="1"/>
    </xf>
    <xf numFmtId="0" fontId="44" fillId="0" borderId="14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0" fillId="0" borderId="1" xfId="4" applyNumberFormat="1" applyBorder="1" applyAlignment="1">
      <alignment horizontal="center" vertical="center" wrapText="1"/>
    </xf>
    <xf numFmtId="0" fontId="10" fillId="0" borderId="1" xfId="4" applyBorder="1" applyAlignment="1">
      <alignment horizontal="center" vertical="center"/>
    </xf>
    <xf numFmtId="0" fontId="10" fillId="0" borderId="1" xfId="4" applyBorder="1" applyAlignment="1">
      <alignment horizontal="center" vertical="center" wrapText="1"/>
    </xf>
    <xf numFmtId="0" fontId="10" fillId="0" borderId="21" xfId="4" applyBorder="1" applyAlignment="1">
      <alignment horizontal="center" vertical="center" wrapText="1"/>
    </xf>
    <xf numFmtId="0" fontId="10" fillId="0" borderId="44" xfId="4" applyBorder="1" applyAlignment="1">
      <alignment horizontal="center" vertical="center" wrapText="1"/>
    </xf>
    <xf numFmtId="0" fontId="10" fillId="0" borderId="45" xfId="4" applyBorder="1" applyAlignment="1">
      <alignment horizontal="center" vertical="center" wrapText="1"/>
    </xf>
    <xf numFmtId="176" fontId="10" fillId="6" borderId="1" xfId="4" applyNumberFormat="1" applyFill="1" applyBorder="1" applyAlignment="1">
      <alignment horizontal="center" vertical="center" wrapText="1"/>
    </xf>
    <xf numFmtId="176" fontId="10" fillId="2" borderId="1" xfId="4" applyNumberFormat="1" applyFill="1" applyBorder="1" applyAlignment="1">
      <alignment horizontal="center" vertical="center" wrapText="1"/>
    </xf>
    <xf numFmtId="0" fontId="10" fillId="0" borderId="21" xfId="4" applyBorder="1" applyAlignment="1">
      <alignment horizontal="center" vertical="center"/>
    </xf>
    <xf numFmtId="0" fontId="10" fillId="0" borderId="44" xfId="4" applyBorder="1" applyAlignment="1">
      <alignment horizontal="center" vertical="center"/>
    </xf>
    <xf numFmtId="0" fontId="10" fillId="0" borderId="45" xfId="4" applyBorder="1" applyAlignment="1">
      <alignment horizontal="center" vertical="center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0" borderId="0" xfId="0" applyFont="1" applyAlignment="1">
      <alignment horizontal="center" vertical="center"/>
    </xf>
    <xf numFmtId="0" fontId="23" fillId="0" borderId="9" xfId="0" applyFont="1" applyBorder="1" applyAlignment="1">
      <alignment horizontal="left" vertical="center"/>
    </xf>
    <xf numFmtId="0" fontId="10" fillId="5" borderId="14" xfId="3" applyFont="1" applyFill="1" applyBorder="1" applyAlignment="1">
      <alignment horizontal="center" vertical="center" wrapText="1"/>
    </xf>
    <xf numFmtId="0" fontId="10" fillId="2" borderId="14" xfId="3" applyFont="1" applyFill="1" applyBorder="1" applyAlignment="1">
      <alignment horizontal="center" vertical="center" wrapText="1"/>
    </xf>
    <xf numFmtId="0" fontId="10" fillId="5" borderId="5" xfId="3" applyFont="1" applyFill="1" applyBorder="1" applyAlignment="1">
      <alignment horizontal="center" vertical="center" wrapText="1"/>
    </xf>
    <xf numFmtId="0" fontId="10" fillId="5" borderId="6" xfId="3" applyFont="1" applyFill="1" applyBorder="1" applyAlignment="1">
      <alignment horizontal="center" vertical="center" wrapText="1"/>
    </xf>
    <xf numFmtId="0" fontId="10" fillId="3" borderId="14" xfId="3" applyFont="1" applyFill="1" applyBorder="1" applyAlignment="1">
      <alignment horizontal="center" vertical="center" wrapText="1"/>
    </xf>
    <xf numFmtId="0" fontId="10" fillId="3" borderId="1" xfId="3" applyFont="1" applyFill="1" applyBorder="1" applyAlignment="1">
      <alignment horizontal="center" vertical="center" wrapText="1"/>
    </xf>
    <xf numFmtId="0" fontId="10" fillId="3" borderId="15" xfId="3" applyFont="1" applyFill="1" applyBorder="1" applyAlignment="1">
      <alignment horizontal="center" vertical="center"/>
    </xf>
    <xf numFmtId="0" fontId="10" fillId="2" borderId="42" xfId="3" applyFont="1" applyFill="1" applyBorder="1" applyAlignment="1">
      <alignment horizontal="center" vertical="center" wrapText="1"/>
    </xf>
    <xf numFmtId="0" fontId="10" fillId="2" borderId="50" xfId="3" applyFont="1" applyFill="1" applyBorder="1" applyAlignment="1">
      <alignment horizontal="center" vertical="center" wrapText="1"/>
    </xf>
    <xf numFmtId="0" fontId="10" fillId="2" borderId="51" xfId="3" applyFont="1" applyFill="1" applyBorder="1" applyAlignment="1">
      <alignment horizontal="center" vertical="center" wrapText="1"/>
    </xf>
    <xf numFmtId="0" fontId="10" fillId="5" borderId="42" xfId="3" applyFont="1" applyFill="1" applyBorder="1" applyAlignment="1">
      <alignment horizontal="center" vertical="center" wrapText="1"/>
    </xf>
    <xf numFmtId="0" fontId="10" fillId="5" borderId="50" xfId="3" applyFont="1" applyFill="1" applyBorder="1" applyAlignment="1">
      <alignment horizontal="center" vertical="center" wrapText="1"/>
    </xf>
    <xf numFmtId="0" fontId="10" fillId="5" borderId="51" xfId="3" applyFont="1" applyFill="1" applyBorder="1" applyAlignment="1">
      <alignment horizontal="center" vertical="center" wrapText="1"/>
    </xf>
    <xf numFmtId="0" fontId="10" fillId="2" borderId="21" xfId="3" applyFont="1" applyFill="1" applyBorder="1" applyAlignment="1">
      <alignment horizontal="center" vertical="center" wrapText="1"/>
    </xf>
    <xf numFmtId="0" fontId="10" fillId="2" borderId="45" xfId="3" applyFont="1" applyFill="1" applyBorder="1" applyAlignment="1">
      <alignment horizontal="center" vertical="center" wrapText="1"/>
    </xf>
    <xf numFmtId="0" fontId="10" fillId="3" borderId="2" xfId="3" applyFont="1" applyFill="1" applyBorder="1" applyAlignment="1">
      <alignment horizontal="center" vertical="center" wrapText="1"/>
    </xf>
    <xf numFmtId="0" fontId="10" fillId="3" borderId="3" xfId="3" applyFont="1" applyFill="1" applyBorder="1" applyAlignment="1">
      <alignment horizontal="center" vertical="center" wrapText="1"/>
    </xf>
    <xf numFmtId="0" fontId="10" fillId="3" borderId="4" xfId="3" applyFont="1" applyFill="1" applyBorder="1" applyAlignment="1">
      <alignment horizontal="center" vertical="center" wrapText="1"/>
    </xf>
    <xf numFmtId="0" fontId="52" fillId="3" borderId="21" xfId="3" applyFont="1" applyFill="1" applyBorder="1" applyAlignment="1">
      <alignment horizontal="center" vertical="center" wrapText="1"/>
    </xf>
    <xf numFmtId="0" fontId="52" fillId="3" borderId="44" xfId="3" applyFont="1" applyFill="1" applyBorder="1" applyAlignment="1">
      <alignment horizontal="center" vertical="center" wrapText="1"/>
    </xf>
    <xf numFmtId="0" fontId="52" fillId="3" borderId="45" xfId="3" applyFont="1" applyFill="1" applyBorder="1" applyAlignment="1">
      <alignment horizontal="center" vertical="center" wrapText="1"/>
    </xf>
    <xf numFmtId="0" fontId="10" fillId="3" borderId="46" xfId="3" applyFont="1" applyFill="1" applyBorder="1" applyAlignment="1">
      <alignment horizontal="center" vertical="center" wrapText="1"/>
    </xf>
    <xf numFmtId="0" fontId="10" fillId="3" borderId="47" xfId="3" applyFont="1" applyFill="1" applyBorder="1" applyAlignment="1">
      <alignment horizontal="center" vertical="center" wrapText="1"/>
    </xf>
    <xf numFmtId="0" fontId="10" fillId="3" borderId="48" xfId="3" applyFont="1" applyFill="1" applyBorder="1" applyAlignment="1">
      <alignment horizontal="center" vertical="center" wrapText="1"/>
    </xf>
    <xf numFmtId="0" fontId="10" fillId="3" borderId="49" xfId="3" applyFont="1" applyFill="1" applyBorder="1" applyAlignment="1">
      <alignment horizontal="center" vertical="center" wrapText="1"/>
    </xf>
    <xf numFmtId="0" fontId="10" fillId="3" borderId="21" xfId="3" applyFont="1" applyFill="1" applyBorder="1" applyAlignment="1">
      <alignment horizontal="center" vertical="center" wrapText="1"/>
    </xf>
    <xf numFmtId="0" fontId="10" fillId="3" borderId="44" xfId="3" applyFont="1" applyFill="1" applyBorder="1" applyAlignment="1">
      <alignment horizontal="center" vertical="center" wrapText="1"/>
    </xf>
    <xf numFmtId="0" fontId="10" fillId="3" borderId="45" xfId="3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47" fillId="5" borderId="9" xfId="0" applyFont="1" applyFill="1" applyBorder="1" applyAlignment="1">
      <alignment horizontal="center" vertical="center"/>
    </xf>
    <xf numFmtId="0" fontId="47" fillId="5" borderId="12" xfId="0" applyFont="1" applyFill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1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26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2" xfId="0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0" fontId="47" fillId="0" borderId="8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</cellXfs>
  <cellStyles count="5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C0E54CCB-74F7-41D1-8A2E-0494415678E4}"/>
    <cellStyle name="常规 5" xfId="4" xr:uid="{FD9D4214-8126-4C59-9435-67CD36BD49FC}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tmp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tmp"/><Relationship Id="rId10" Type="http://schemas.openxmlformats.org/officeDocument/2006/relationships/image" Target="../media/image10.png"/><Relationship Id="rId4" Type="http://schemas.openxmlformats.org/officeDocument/2006/relationships/image" Target="../media/image4.tmp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tmp"/><Relationship Id="rId3" Type="http://schemas.openxmlformats.org/officeDocument/2006/relationships/image" Target="../media/image13.tmp"/><Relationship Id="rId7" Type="http://schemas.openxmlformats.org/officeDocument/2006/relationships/image" Target="../media/image17.tmp"/><Relationship Id="rId2" Type="http://schemas.openxmlformats.org/officeDocument/2006/relationships/image" Target="../media/image12.tmp"/><Relationship Id="rId1" Type="http://schemas.openxmlformats.org/officeDocument/2006/relationships/image" Target="../media/image11.tmp"/><Relationship Id="rId6" Type="http://schemas.openxmlformats.org/officeDocument/2006/relationships/image" Target="../media/image16.tmp"/><Relationship Id="rId5" Type="http://schemas.openxmlformats.org/officeDocument/2006/relationships/image" Target="../media/image15.tmp"/><Relationship Id="rId10" Type="http://schemas.openxmlformats.org/officeDocument/2006/relationships/image" Target="../media/image20.tmp"/><Relationship Id="rId4" Type="http://schemas.openxmlformats.org/officeDocument/2006/relationships/image" Target="../media/image14.tmp"/><Relationship Id="rId9" Type="http://schemas.openxmlformats.org/officeDocument/2006/relationships/image" Target="../media/image19.tm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947737</xdr:colOff>
      <xdr:row>44</xdr:row>
      <xdr:rowOff>171450</xdr:rowOff>
    </xdr:from>
    <xdr:ext cx="512128" cy="4019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947737" y="9467850"/>
              <a:ext cx="512128" cy="401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C01B351-E9D5-479C-9987-FA20375E3D85}"/>
                </a:ext>
              </a:extLst>
            </xdr:cNvPr>
            <xdr:cNvSpPr txBox="1"/>
          </xdr:nvSpPr>
          <xdr:spPr>
            <a:xfrm>
              <a:off x="947737" y="9467850"/>
              <a:ext cx="512128" cy="401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𝑅=𝑉/𝑇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0</xdr:col>
      <xdr:colOff>833437</xdr:colOff>
      <xdr:row>51</xdr:row>
      <xdr:rowOff>85725</xdr:rowOff>
    </xdr:from>
    <xdr:ext cx="92365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833437" y="10763250"/>
              <a:ext cx="92365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𝐾𝑅</m:t>
                    </m:r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7811CFF8-08D7-43A3-AC30-C1D1D35F5E38}"/>
                </a:ext>
              </a:extLst>
            </xdr:cNvPr>
            <xdr:cNvSpPr txBox="1"/>
          </xdr:nvSpPr>
          <xdr:spPr>
            <a:xfrm>
              <a:off x="833437" y="10763250"/>
              <a:ext cx="92365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𝑅_𝑚𝑎𝑥=𝐾𝑅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5</xdr:col>
      <xdr:colOff>890587</xdr:colOff>
      <xdr:row>45</xdr:row>
      <xdr:rowOff>19050</xdr:rowOff>
    </xdr:from>
    <xdr:ext cx="1055738" cy="404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7777162" y="9496425"/>
              <a:ext cx="1055738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60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zh-CN" altLang="en-US" sz="1400" b="0" i="1">
                        <a:latin typeface="Cambria Math" panose="02040503050406030204" pitchFamily="18" charset="0"/>
                      </a:rPr>
                      <m:t>𝜔</m:t>
                    </m:r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260BEFB-6724-4052-B46B-59B8B92330B8}"/>
                </a:ext>
              </a:extLst>
            </xdr:cNvPr>
            <xdr:cNvSpPr txBox="1"/>
          </xdr:nvSpPr>
          <xdr:spPr>
            <a:xfrm>
              <a:off x="7777162" y="9496425"/>
              <a:ext cx="1055738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𝑊=𝐾_𝐵  60/𝑡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 𝜔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5</xdr:col>
      <xdr:colOff>1157287</xdr:colOff>
      <xdr:row>52</xdr:row>
      <xdr:rowOff>47625</xdr:rowOff>
    </xdr:from>
    <xdr:ext cx="778098" cy="4030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8043862" y="11039475"/>
              <a:ext cx="778098" cy="403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den>
                    </m:f>
                    <m:sSub>
                      <m:sSub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5980FAF1-63BE-48EE-92FA-E6D3A0F535FB}"/>
                </a:ext>
              </a:extLst>
            </xdr:cNvPr>
            <xdr:cNvSpPr txBox="1"/>
          </xdr:nvSpPr>
          <xdr:spPr>
            <a:xfrm>
              <a:off x="8043862" y="11039475"/>
              <a:ext cx="778098" cy="403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𝑛=𝑅/𝑊 𝐾_1</a:t>
              </a:r>
              <a:endParaRPr lang="zh-CN" altLang="en-US" sz="1400"/>
            </a:p>
          </xdr:txBody>
        </xdr:sp>
      </mc:Fallback>
    </mc:AlternateContent>
    <xdr:clientData/>
  </xdr:oneCellAnchor>
  <xdr:twoCellAnchor editAs="oneCell">
    <xdr:from>
      <xdr:col>8</xdr:col>
      <xdr:colOff>34178</xdr:colOff>
      <xdr:row>57</xdr:row>
      <xdr:rowOff>67234</xdr:rowOff>
    </xdr:from>
    <xdr:to>
      <xdr:col>9</xdr:col>
      <xdr:colOff>889965</xdr:colOff>
      <xdr:row>61</xdr:row>
      <xdr:rowOff>312086</xdr:rowOff>
    </xdr:to>
    <xdr:pic>
      <xdr:nvPicPr>
        <xdr:cNvPr id="7" name="图片 6" descr="屏幕剪辑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3603" y="12097309"/>
          <a:ext cx="2394697" cy="1054477"/>
        </a:xfrm>
        <a:prstGeom prst="rect">
          <a:avLst/>
        </a:prstGeom>
      </xdr:spPr>
    </xdr:pic>
    <xdr:clientData/>
  </xdr:twoCellAnchor>
  <xdr:twoCellAnchor editAs="oneCell">
    <xdr:from>
      <xdr:col>5</xdr:col>
      <xdr:colOff>1216478</xdr:colOff>
      <xdr:row>71</xdr:row>
      <xdr:rowOff>32658</xdr:rowOff>
    </xdr:from>
    <xdr:to>
      <xdr:col>9</xdr:col>
      <xdr:colOff>62479</xdr:colOff>
      <xdr:row>72</xdr:row>
      <xdr:rowOff>209551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71CA710-66BF-4FB5-8D8A-F9D933E5B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3053" y="15482208"/>
          <a:ext cx="4711231" cy="395968"/>
        </a:xfrm>
        <a:prstGeom prst="rect">
          <a:avLst/>
        </a:prstGeom>
      </xdr:spPr>
    </xdr:pic>
    <xdr:clientData/>
  </xdr:twoCellAnchor>
  <xdr:twoCellAnchor editAs="oneCell">
    <xdr:from>
      <xdr:col>10</xdr:col>
      <xdr:colOff>260535</xdr:colOff>
      <xdr:row>64</xdr:row>
      <xdr:rowOff>287555</xdr:rowOff>
    </xdr:from>
    <xdr:to>
      <xdr:col>14</xdr:col>
      <xdr:colOff>7227</xdr:colOff>
      <xdr:row>79</xdr:row>
      <xdr:rowOff>124382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472BEFF7-68C2-425C-A66B-582FDC534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2710" y="14736980"/>
          <a:ext cx="3406590" cy="3713503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69</xdr:row>
      <xdr:rowOff>19050</xdr:rowOff>
    </xdr:from>
    <xdr:to>
      <xdr:col>11</xdr:col>
      <xdr:colOff>581025</xdr:colOff>
      <xdr:row>78</xdr:row>
      <xdr:rowOff>142875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6EEA447A-3122-4136-9882-382A9569AD74}"/>
            </a:ext>
          </a:extLst>
        </xdr:cNvPr>
        <xdr:cNvCxnSpPr/>
      </xdr:nvCxnSpPr>
      <xdr:spPr>
        <a:xfrm flipV="1">
          <a:off x="11239500" y="15573375"/>
          <a:ext cx="4686300" cy="2638425"/>
        </a:xfrm>
        <a:prstGeom prst="straightConnector1">
          <a:avLst/>
        </a:prstGeom>
        <a:ln w="22225" cap="sq" cmpd="sng">
          <a:solidFill>
            <a:sysClr val="windowText" lastClr="000000"/>
          </a:solidFill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504824</xdr:colOff>
      <xdr:row>81</xdr:row>
      <xdr:rowOff>90307</xdr:rowOff>
    </xdr:from>
    <xdr:to>
      <xdr:col>14</xdr:col>
      <xdr:colOff>579809</xdr:colOff>
      <xdr:row>90</xdr:row>
      <xdr:rowOff>38197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6D1B5893-92F3-4099-8D0B-7A6DB3862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68474" y="18806932"/>
          <a:ext cx="3734883" cy="3730300"/>
        </a:xfrm>
        <a:prstGeom prst="rect">
          <a:avLst/>
        </a:prstGeom>
      </xdr:spPr>
    </xdr:pic>
    <xdr:clientData/>
  </xdr:twoCellAnchor>
  <xdr:twoCellAnchor>
    <xdr:from>
      <xdr:col>10</xdr:col>
      <xdr:colOff>9525</xdr:colOff>
      <xdr:row>82</xdr:row>
      <xdr:rowOff>533400</xdr:rowOff>
    </xdr:from>
    <xdr:to>
      <xdr:col>11</xdr:col>
      <xdr:colOff>1047750</xdr:colOff>
      <xdr:row>83</xdr:row>
      <xdr:rowOff>276225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FB861452-FD4B-48EE-A25F-EE0031E00C4F}"/>
            </a:ext>
          </a:extLst>
        </xdr:cNvPr>
        <xdr:cNvCxnSpPr/>
      </xdr:nvCxnSpPr>
      <xdr:spPr>
        <a:xfrm>
          <a:off x="14401800" y="19440525"/>
          <a:ext cx="1990725" cy="552450"/>
        </a:xfrm>
        <a:prstGeom prst="straightConnector1">
          <a:avLst/>
        </a:prstGeom>
        <a:ln w="22225" cap="sq" cmpd="sng">
          <a:solidFill>
            <a:sysClr val="windowText" lastClr="000000"/>
          </a:solidFill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57150</xdr:colOff>
      <xdr:row>84</xdr:row>
      <xdr:rowOff>47625</xdr:rowOff>
    </xdr:from>
    <xdr:to>
      <xdr:col>8</xdr:col>
      <xdr:colOff>152354</xdr:colOff>
      <xdr:row>87</xdr:row>
      <xdr:rowOff>254219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2172FCB2-57EF-419B-9650-296B7C775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00" y="20088225"/>
          <a:ext cx="2981278" cy="1409699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352426</xdr:colOff>
      <xdr:row>84</xdr:row>
      <xdr:rowOff>123825</xdr:rowOff>
    </xdr:from>
    <xdr:to>
      <xdr:col>9</xdr:col>
      <xdr:colOff>1318590</xdr:colOff>
      <xdr:row>89</xdr:row>
      <xdr:rowOff>19289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168EFA11-AFA8-442F-BB2A-C2B9BE461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3451" y="20164425"/>
          <a:ext cx="2505074" cy="1744299"/>
        </a:xfrm>
        <a:prstGeom prst="rect">
          <a:avLst/>
        </a:prstGeom>
      </xdr:spPr>
    </xdr:pic>
    <xdr:clientData/>
  </xdr:twoCellAnchor>
  <xdr:twoCellAnchor editAs="oneCell">
    <xdr:from>
      <xdr:col>8</xdr:col>
      <xdr:colOff>315687</xdr:colOff>
      <xdr:row>89</xdr:row>
      <xdr:rowOff>223157</xdr:rowOff>
    </xdr:from>
    <xdr:to>
      <xdr:col>9</xdr:col>
      <xdr:colOff>1582569</xdr:colOff>
      <xdr:row>93</xdr:row>
      <xdr:rowOff>220648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CECDF443-CA0D-451B-9D98-8B1256141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0794" y="21926550"/>
          <a:ext cx="2800349" cy="1875276"/>
        </a:xfrm>
        <a:prstGeom prst="rect">
          <a:avLst/>
        </a:prstGeom>
      </xdr:spPr>
    </xdr:pic>
    <xdr:clientData/>
  </xdr:twoCellAnchor>
  <xdr:twoCellAnchor editAs="oneCell">
    <xdr:from>
      <xdr:col>19</xdr:col>
      <xdr:colOff>5045</xdr:colOff>
      <xdr:row>92</xdr:row>
      <xdr:rowOff>562153</xdr:rowOff>
    </xdr:from>
    <xdr:to>
      <xdr:col>25</xdr:col>
      <xdr:colOff>184728</xdr:colOff>
      <xdr:row>100</xdr:row>
      <xdr:rowOff>13864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7C08832-22DB-4BF2-9B66-5C3BF0FDD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865045" y="24461244"/>
          <a:ext cx="4128228" cy="2926893"/>
        </a:xfrm>
        <a:prstGeom prst="rect">
          <a:avLst/>
        </a:prstGeom>
      </xdr:spPr>
    </xdr:pic>
    <xdr:clientData/>
  </xdr:twoCellAnchor>
  <xdr:twoCellAnchor editAs="oneCell">
    <xdr:from>
      <xdr:col>18</xdr:col>
      <xdr:colOff>387381</xdr:colOff>
      <xdr:row>100</xdr:row>
      <xdr:rowOff>249680</xdr:rowOff>
    </xdr:from>
    <xdr:to>
      <xdr:col>25</xdr:col>
      <xdr:colOff>485089</xdr:colOff>
      <xdr:row>104</xdr:row>
      <xdr:rowOff>277090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E08C32AA-DD5E-4958-AC79-46B9C9E58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589290" y="27623953"/>
          <a:ext cx="4704344" cy="2024773"/>
        </a:xfrm>
        <a:prstGeom prst="rect">
          <a:avLst/>
        </a:prstGeom>
      </xdr:spPr>
    </xdr:pic>
    <xdr:clientData/>
  </xdr:twoCellAnchor>
  <xdr:twoCellAnchor editAs="oneCell">
    <xdr:from>
      <xdr:col>7</xdr:col>
      <xdr:colOff>346364</xdr:colOff>
      <xdr:row>105</xdr:row>
      <xdr:rowOff>369454</xdr:rowOff>
    </xdr:from>
    <xdr:to>
      <xdr:col>9</xdr:col>
      <xdr:colOff>357909</xdr:colOff>
      <xdr:row>111</xdr:row>
      <xdr:rowOff>143073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FBBD49D1-DA90-4FD1-BCA4-E09295B71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48455" y="30018181"/>
          <a:ext cx="2805545" cy="1655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523875</xdr:colOff>
      <xdr:row>12</xdr:row>
      <xdr:rowOff>76200</xdr:rowOff>
    </xdr:from>
    <xdr:ext cx="184731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9439275" y="1162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21</xdr:row>
      <xdr:rowOff>114301</xdr:rowOff>
    </xdr:from>
    <xdr:to>
      <xdr:col>19</xdr:col>
      <xdr:colOff>387915</xdr:colOff>
      <xdr:row>34</xdr:row>
      <xdr:rowOff>63501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ABCF7F2-F9C5-4B8B-804A-29887FA33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375" y="5191126"/>
          <a:ext cx="4350315" cy="4149725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361951</xdr:colOff>
      <xdr:row>11</xdr:row>
      <xdr:rowOff>76201</xdr:rowOff>
    </xdr:from>
    <xdr:to>
      <xdr:col>20</xdr:col>
      <xdr:colOff>628650</xdr:colOff>
      <xdr:row>15</xdr:row>
      <xdr:rowOff>183416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AF2B723F-E317-4090-8399-78AC1ECB2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10976" y="828676"/>
          <a:ext cx="5067299" cy="961290"/>
        </a:xfrm>
        <a:prstGeom prst="rect">
          <a:avLst/>
        </a:prstGeom>
      </xdr:spPr>
    </xdr:pic>
    <xdr:clientData/>
  </xdr:twoCellAnchor>
  <xdr:twoCellAnchor editAs="oneCell">
    <xdr:from>
      <xdr:col>21</xdr:col>
      <xdr:colOff>238126</xdr:colOff>
      <xdr:row>11</xdr:row>
      <xdr:rowOff>57150</xdr:rowOff>
    </xdr:from>
    <xdr:to>
      <xdr:col>28</xdr:col>
      <xdr:colOff>283005</xdr:colOff>
      <xdr:row>15</xdr:row>
      <xdr:rowOff>149225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5DEAD784-4C67-48C7-BE13-F47836A61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73551" y="809625"/>
          <a:ext cx="4842304" cy="942975"/>
        </a:xfrm>
        <a:prstGeom prst="rect">
          <a:avLst/>
        </a:prstGeom>
      </xdr:spPr>
    </xdr:pic>
    <xdr:clientData/>
  </xdr:twoCellAnchor>
  <xdr:twoCellAnchor>
    <xdr:from>
      <xdr:col>10</xdr:col>
      <xdr:colOff>371475</xdr:colOff>
      <xdr:row>39</xdr:row>
      <xdr:rowOff>47625</xdr:rowOff>
    </xdr:from>
    <xdr:to>
      <xdr:col>18</xdr:col>
      <xdr:colOff>103544</xdr:colOff>
      <xdr:row>45</xdr:row>
      <xdr:rowOff>65941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35A7E90C-1957-4DF4-A4D2-A4AEF960BFAA}"/>
            </a:ext>
          </a:extLst>
        </xdr:cNvPr>
        <xdr:cNvGrpSpPr/>
      </xdr:nvGrpSpPr>
      <xdr:grpSpPr>
        <a:xfrm>
          <a:off x="12176125" y="10950575"/>
          <a:ext cx="5015269" cy="2501166"/>
          <a:chOff x="9363075" y="10629900"/>
          <a:chExt cx="5218469" cy="2285266"/>
        </a:xfrm>
      </xdr:grpSpPr>
      <xdr:pic>
        <xdr:nvPicPr>
          <xdr:cNvPr id="8" name="图片 7">
            <a:extLst>
              <a:ext uri="{FF2B5EF4-FFF2-40B4-BE49-F238E27FC236}">
                <a16:creationId xmlns:a16="http://schemas.microsoft.com/office/drawing/2014/main" id="{6C0DFDAC-71BA-450F-A877-A176FDDCFB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63075" y="10629900"/>
            <a:ext cx="5218469" cy="1778000"/>
          </a:xfrm>
          <a:prstGeom prst="rect">
            <a:avLst/>
          </a:prstGeom>
        </xdr:spPr>
      </xdr:pic>
      <xdr:pic>
        <xdr:nvPicPr>
          <xdr:cNvPr id="20" name="图片 19">
            <a:extLst>
              <a:ext uri="{FF2B5EF4-FFF2-40B4-BE49-F238E27FC236}">
                <a16:creationId xmlns:a16="http://schemas.microsoft.com/office/drawing/2014/main" id="{2CECC1EC-3DCB-4A8C-8F10-B1F3C2ACD5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50501" y="12426951"/>
            <a:ext cx="3013075" cy="488215"/>
          </a:xfrm>
          <a:prstGeom prst="rect">
            <a:avLst/>
          </a:prstGeom>
        </xdr:spPr>
      </xdr:pic>
    </xdr:grpSp>
    <xdr:clientData/>
  </xdr:twoCellAnchor>
  <xdr:twoCellAnchor editAs="oneCell">
    <xdr:from>
      <xdr:col>9</xdr:col>
      <xdr:colOff>346074</xdr:colOff>
      <xdr:row>36</xdr:row>
      <xdr:rowOff>26361</xdr:rowOff>
    </xdr:from>
    <xdr:to>
      <xdr:col>13</xdr:col>
      <xdr:colOff>654050</xdr:colOff>
      <xdr:row>38</xdr:row>
      <xdr:rowOff>231030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35F87EF6-D5BF-4B49-8FAD-0EF2D6244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2549" y="9513261"/>
          <a:ext cx="4041776" cy="842844"/>
        </a:xfrm>
        <a:prstGeom prst="rect">
          <a:avLst/>
        </a:prstGeom>
      </xdr:spPr>
    </xdr:pic>
    <xdr:clientData/>
  </xdr:twoCellAnchor>
  <xdr:twoCellAnchor editAs="oneCell">
    <xdr:from>
      <xdr:col>10</xdr:col>
      <xdr:colOff>514351</xdr:colOff>
      <xdr:row>45</xdr:row>
      <xdr:rowOff>209550</xdr:rowOff>
    </xdr:from>
    <xdr:to>
      <xdr:col>18</xdr:col>
      <xdr:colOff>323851</xdr:colOff>
      <xdr:row>63</xdr:row>
      <xdr:rowOff>43815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BCEB292-44ED-43CF-A066-689AB2A1E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7226" y="13049250"/>
          <a:ext cx="5295900" cy="317754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1428751</xdr:colOff>
      <xdr:row>27</xdr:row>
      <xdr:rowOff>133350</xdr:rowOff>
    </xdr:from>
    <xdr:to>
      <xdr:col>9</xdr:col>
      <xdr:colOff>1123951</xdr:colOff>
      <xdr:row>29</xdr:row>
      <xdr:rowOff>25425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87BFB913-F3BC-4801-B1CC-1A6BCCDCA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6" y="6962775"/>
          <a:ext cx="4152900" cy="901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1352550</xdr:colOff>
      <xdr:row>22</xdr:row>
      <xdr:rowOff>57150</xdr:rowOff>
    </xdr:from>
    <xdr:to>
      <xdr:col>9</xdr:col>
      <xdr:colOff>1367226</xdr:colOff>
      <xdr:row>25</xdr:row>
      <xdr:rowOff>152400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24A10FC4-2E8C-4918-96EB-C7732D999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1325" y="5324475"/>
          <a:ext cx="4472376" cy="1323975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94</xdr:row>
      <xdr:rowOff>38100</xdr:rowOff>
    </xdr:from>
    <xdr:to>
      <xdr:col>13</xdr:col>
      <xdr:colOff>581025</xdr:colOff>
      <xdr:row>99</xdr:row>
      <xdr:rowOff>155506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9211B82-05C6-4552-8CF7-1BFDBBF32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75" y="22402800"/>
          <a:ext cx="6219825" cy="2298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9"/>
  <sheetViews>
    <sheetView topLeftCell="A43" zoomScaleNormal="100" zoomScalePageLayoutView="145" workbookViewId="0">
      <selection activeCell="K7" sqref="K7"/>
    </sheetView>
  </sheetViews>
  <sheetFormatPr defaultColWidth="9" defaultRowHeight="15" x14ac:dyDescent="0.25"/>
  <cols>
    <col min="1" max="1" width="25.83203125" style="1" customWidth="1"/>
    <col min="2" max="2" width="20.33203125" style="1" customWidth="1"/>
    <col min="3" max="3" width="17.08203125" style="1" customWidth="1"/>
    <col min="4" max="4" width="12.5" style="1" customWidth="1"/>
    <col min="5" max="5" width="21" style="1" customWidth="1"/>
    <col min="6" max="6" width="10.83203125" style="1" customWidth="1"/>
    <col min="7" max="7" width="13" style="1" customWidth="1"/>
    <col min="8" max="8" width="21" style="1" customWidth="1"/>
    <col min="9" max="9" width="14.25" style="1" customWidth="1"/>
    <col min="10" max="10" width="12.58203125" style="1" customWidth="1"/>
    <col min="11" max="12" width="10.58203125" style="1" customWidth="1"/>
    <col min="13" max="13" width="14" style="1" customWidth="1"/>
    <col min="14" max="14" width="21.75" style="1" customWidth="1"/>
    <col min="15" max="15" width="10.58203125" style="1" customWidth="1"/>
    <col min="16" max="16" width="10.08203125" style="1" customWidth="1"/>
    <col min="17" max="17" width="10.58203125" style="1" customWidth="1"/>
    <col min="18" max="18" width="9" style="1"/>
    <col min="19" max="19" width="13.83203125" style="1" customWidth="1"/>
    <col min="20" max="20" width="20.75" style="1" customWidth="1"/>
    <col min="21" max="21" width="11.33203125" style="1" customWidth="1"/>
    <col min="22" max="22" width="9.58203125" style="1" customWidth="1"/>
    <col min="23" max="23" width="12" style="1" customWidth="1"/>
    <col min="24" max="16384" width="9" style="1"/>
  </cols>
  <sheetData>
    <row r="1" spans="1:19" x14ac:dyDescent="0.25">
      <c r="A1" s="1" t="s">
        <v>72</v>
      </c>
      <c r="B1" s="24" t="s">
        <v>73</v>
      </c>
      <c r="C1" s="83" t="s">
        <v>165</v>
      </c>
    </row>
    <row r="2" spans="1:19" ht="15.5" thickBot="1" x14ac:dyDescent="0.3">
      <c r="A2"/>
      <c r="E2" s="2"/>
    </row>
    <row r="3" spans="1:19" ht="30" x14ac:dyDescent="0.25">
      <c r="A3" s="4" t="s">
        <v>493</v>
      </c>
      <c r="B3" s="338" t="s">
        <v>1</v>
      </c>
      <c r="C3" s="5" t="s">
        <v>3</v>
      </c>
      <c r="D3" s="6"/>
      <c r="E3" s="7" t="s">
        <v>4</v>
      </c>
      <c r="F3" s="8" t="s">
        <v>34</v>
      </c>
      <c r="G3" s="9" t="s">
        <v>33</v>
      </c>
    </row>
    <row r="4" spans="1:19" ht="25.5" customHeight="1" thickBot="1" x14ac:dyDescent="0.3">
      <c r="A4" s="10">
        <v>23.5</v>
      </c>
      <c r="B4" s="338"/>
      <c r="C4" s="18">
        <f>A4*1000/9.8</f>
        <v>2397.9591836734694</v>
      </c>
      <c r="D4" s="6"/>
      <c r="E4" s="11">
        <v>22.5</v>
      </c>
      <c r="F4" s="12">
        <v>100</v>
      </c>
      <c r="G4" s="45">
        <f>E4*F4/1000</f>
        <v>2.25</v>
      </c>
    </row>
    <row r="5" spans="1:19" ht="21" customHeight="1" x14ac:dyDescent="0.25">
      <c r="A5" s="250"/>
      <c r="B5" s="13"/>
      <c r="C5" s="13"/>
      <c r="D5" s="6"/>
      <c r="E5" s="13"/>
      <c r="F5" s="13"/>
      <c r="G5" s="13"/>
    </row>
    <row r="6" spans="1:19" ht="33.75" customHeight="1" x14ac:dyDescent="0.25">
      <c r="A6" s="252" t="s">
        <v>491</v>
      </c>
      <c r="B6" s="341" t="s">
        <v>492</v>
      </c>
      <c r="C6" s="13" t="s">
        <v>494</v>
      </c>
      <c r="D6" s="6"/>
      <c r="E6" s="252" t="s">
        <v>495</v>
      </c>
      <c r="F6" s="341" t="s">
        <v>492</v>
      </c>
      <c r="G6" s="13" t="s">
        <v>494</v>
      </c>
      <c r="I6" s="13" t="s">
        <v>496</v>
      </c>
      <c r="J6" s="341" t="s">
        <v>492</v>
      </c>
      <c r="K6" s="13" t="s">
        <v>497</v>
      </c>
    </row>
    <row r="7" spans="1:19" ht="25.5" customHeight="1" x14ac:dyDescent="0.25">
      <c r="A7" s="250">
        <v>2.5</v>
      </c>
      <c r="B7" s="341"/>
      <c r="C7" s="251">
        <f>A7*9.8</f>
        <v>24.5</v>
      </c>
      <c r="D7" s="6"/>
      <c r="E7" s="250">
        <v>2.5</v>
      </c>
      <c r="F7" s="341"/>
      <c r="G7" s="251">
        <f>E7*9.8/1000</f>
        <v>2.4500000000000001E-2</v>
      </c>
      <c r="I7" s="13">
        <v>1</v>
      </c>
      <c r="J7" s="341"/>
      <c r="K7" s="251">
        <f>I7*9.8</f>
        <v>9.8000000000000007</v>
      </c>
    </row>
    <row r="8" spans="1:19" x14ac:dyDescent="0.25">
      <c r="A8" s="13"/>
      <c r="B8" s="14"/>
      <c r="C8" s="13"/>
      <c r="D8" s="6"/>
      <c r="K8" s="25"/>
    </row>
    <row r="9" spans="1:19" x14ac:dyDescent="0.25">
      <c r="A9" s="5" t="s">
        <v>2</v>
      </c>
      <c r="B9" s="338" t="s">
        <v>1</v>
      </c>
      <c r="C9" s="15" t="s">
        <v>0</v>
      </c>
      <c r="D9" s="6"/>
      <c r="E9"/>
      <c r="F9"/>
      <c r="G9"/>
      <c r="H9"/>
    </row>
    <row r="10" spans="1:19" x14ac:dyDescent="0.25">
      <c r="A10" s="5">
        <v>0.47499999999999998</v>
      </c>
      <c r="B10" s="338"/>
      <c r="C10" s="18">
        <f>DEGREES(ATAN(A10))</f>
        <v>25.407718108948472</v>
      </c>
      <c r="D10" s="6"/>
      <c r="E10"/>
      <c r="F10"/>
      <c r="G10"/>
      <c r="H10"/>
    </row>
    <row r="11" spans="1:19" x14ac:dyDescent="0.25">
      <c r="A11" s="6"/>
      <c r="B11" s="6"/>
      <c r="C11" s="6"/>
      <c r="D11" s="6"/>
      <c r="E11"/>
      <c r="F11"/>
      <c r="G11"/>
      <c r="H11"/>
    </row>
    <row r="12" spans="1:19" ht="30" x14ac:dyDescent="0.25">
      <c r="A12" s="5" t="s">
        <v>5</v>
      </c>
      <c r="B12" s="5" t="s">
        <v>6</v>
      </c>
      <c r="C12" s="4" t="s">
        <v>7</v>
      </c>
      <c r="D12" s="339" t="s">
        <v>8</v>
      </c>
      <c r="E12" s="4" t="s">
        <v>75</v>
      </c>
      <c r="F12" s="4" t="s">
        <v>74</v>
      </c>
      <c r="G12" s="5" t="s">
        <v>9</v>
      </c>
      <c r="H12"/>
      <c r="I12"/>
      <c r="N12"/>
      <c r="O12"/>
      <c r="P12"/>
      <c r="Q12"/>
      <c r="R12"/>
      <c r="S12"/>
    </row>
    <row r="13" spans="1:19" ht="23.25" customHeight="1" x14ac:dyDescent="0.25">
      <c r="A13" s="5">
        <v>7.4999999999999997E-2</v>
      </c>
      <c r="B13" s="17">
        <v>0.375</v>
      </c>
      <c r="C13" s="18">
        <f>DEGREES(ATAN(B13))</f>
        <v>20.556045219583467</v>
      </c>
      <c r="D13" s="339"/>
      <c r="E13" s="18">
        <f>2*A13*(COS(RADIANS(C13))/(1-SIN(RADIANS(C13))))</f>
        <v>0.21645007022470372</v>
      </c>
      <c r="F13" s="19">
        <f>DEGREES(ATAN((6*SIN(RADIANS(C13))/(3-SIN(RADIANS(C13))))))</f>
        <v>38.496410892487184</v>
      </c>
      <c r="G13" s="16" t="s">
        <v>10</v>
      </c>
      <c r="H13"/>
      <c r="I13"/>
      <c r="N13"/>
      <c r="O13"/>
      <c r="P13"/>
      <c r="Q13"/>
      <c r="R13"/>
      <c r="S13"/>
    </row>
    <row r="14" spans="1:19" x14ac:dyDescent="0.25">
      <c r="C14" s="5"/>
      <c r="N14"/>
      <c r="O14"/>
      <c r="P14"/>
      <c r="Q14"/>
      <c r="R14"/>
      <c r="S14"/>
    </row>
    <row r="15" spans="1:19" x14ac:dyDescent="0.25">
      <c r="A15" s="338" t="s">
        <v>11</v>
      </c>
      <c r="B15" s="338"/>
      <c r="C15" s="338"/>
      <c r="D15" s="338"/>
      <c r="E15" s="338"/>
      <c r="F15" s="338"/>
      <c r="G15" s="13"/>
      <c r="H15" s="13"/>
      <c r="I15" s="13"/>
    </row>
    <row r="16" spans="1:19" x14ac:dyDescent="0.25">
      <c r="A16" s="5" t="s">
        <v>64</v>
      </c>
      <c r="B16" s="5" t="s">
        <v>65</v>
      </c>
      <c r="C16" s="5" t="s">
        <v>66</v>
      </c>
      <c r="D16" s="5" t="s">
        <v>67</v>
      </c>
      <c r="E16" s="5" t="s">
        <v>68</v>
      </c>
      <c r="F16" s="5" t="s">
        <v>69</v>
      </c>
      <c r="G16" s="13"/>
      <c r="H16" s="13"/>
      <c r="I16" s="13"/>
    </row>
    <row r="17" spans="1:17" x14ac:dyDescent="0.25">
      <c r="A17" s="5">
        <v>-6.74</v>
      </c>
      <c r="B17" s="5">
        <v>-9.9600000000000009</v>
      </c>
      <c r="C17" s="5">
        <v>0.5</v>
      </c>
      <c r="D17" s="18">
        <f>(A17+B17)/2+SQRT(((A17-B17)/2)^2+(C17)^2)</f>
        <v>-6.6641471001300268</v>
      </c>
      <c r="E17" s="18">
        <f>(A17+B17)/2-SQRT(((A17-B17)/2)^2+(C17)^2)</f>
        <v>-10.035852899869976</v>
      </c>
      <c r="F17" s="18">
        <f>DEGREES(ATAN((D17-A17)/C17))</f>
        <v>8.6263260834105839</v>
      </c>
      <c r="G17" s="13"/>
      <c r="H17" s="13"/>
      <c r="I17" s="13"/>
    </row>
    <row r="19" spans="1:17" x14ac:dyDescent="0.25">
      <c r="A19" s="1" t="s">
        <v>29</v>
      </c>
    </row>
    <row r="20" spans="1:17" x14ac:dyDescent="0.25">
      <c r="A20" s="340" t="s">
        <v>18</v>
      </c>
      <c r="B20" s="340"/>
      <c r="C20" s="340"/>
      <c r="D20" s="340"/>
      <c r="E20" s="340"/>
      <c r="F20" s="340"/>
      <c r="G20" s="336" t="s">
        <v>27</v>
      </c>
      <c r="H20" s="336"/>
      <c r="I20" s="336"/>
      <c r="J20" s="336" t="s">
        <v>19</v>
      </c>
      <c r="K20" s="336"/>
      <c r="L20" s="336"/>
      <c r="M20" s="336" t="s">
        <v>23</v>
      </c>
      <c r="N20" s="336"/>
      <c r="O20" s="336"/>
      <c r="P20" s="337" t="s">
        <v>28</v>
      </c>
      <c r="Q20" s="337"/>
    </row>
    <row r="21" spans="1:17" ht="18" x14ac:dyDescent="0.25">
      <c r="A21" s="20" t="s">
        <v>12</v>
      </c>
      <c r="B21" s="20" t="s">
        <v>13</v>
      </c>
      <c r="C21" s="20" t="s">
        <v>14</v>
      </c>
      <c r="D21" s="20" t="s">
        <v>15</v>
      </c>
      <c r="E21" s="20" t="s">
        <v>16</v>
      </c>
      <c r="F21" s="20" t="s">
        <v>17</v>
      </c>
      <c r="G21" s="20" t="s">
        <v>30</v>
      </c>
      <c r="H21" s="20" t="s">
        <v>31</v>
      </c>
      <c r="I21" s="20" t="s">
        <v>32</v>
      </c>
      <c r="J21" s="3" t="s">
        <v>20</v>
      </c>
      <c r="K21" s="3" t="s">
        <v>21</v>
      </c>
      <c r="L21" s="3" t="s">
        <v>22</v>
      </c>
      <c r="M21" s="3" t="s">
        <v>24</v>
      </c>
      <c r="N21" s="3" t="s">
        <v>25</v>
      </c>
      <c r="O21" s="3" t="s">
        <v>26</v>
      </c>
      <c r="P21" s="21" t="s">
        <v>70</v>
      </c>
      <c r="Q21" s="22" t="s">
        <v>71</v>
      </c>
    </row>
    <row r="22" spans="1:17" ht="15.5" x14ac:dyDescent="0.25">
      <c r="A22" s="46">
        <v>-0.81323400000000001</v>
      </c>
      <c r="B22" s="47">
        <v>-0.38192199999999998</v>
      </c>
      <c r="C22" s="48">
        <v>-7.4287400000000003</v>
      </c>
      <c r="D22" s="49">
        <v>0</v>
      </c>
      <c r="E22" s="49">
        <v>0</v>
      </c>
      <c r="F22" s="49">
        <v>-2.8769200000000001</v>
      </c>
      <c r="G22" s="49">
        <v>76.45</v>
      </c>
      <c r="H22" s="49">
        <v>90</v>
      </c>
      <c r="I22" s="49">
        <v>13.55</v>
      </c>
      <c r="J22" s="23">
        <f t="shared" ref="J22:L22" si="0">COS(RADIANS(G22))</f>
        <v>0.23429382769171864</v>
      </c>
      <c r="K22" s="23">
        <f t="shared" si="0"/>
        <v>6.1257422745431001E-17</v>
      </c>
      <c r="L22" s="23">
        <f t="shared" si="0"/>
        <v>0.97216583066139661</v>
      </c>
      <c r="M22" s="23">
        <f>J22*A22+K22*D22+L22*F22</f>
        <v>-2.9873790282154324</v>
      </c>
      <c r="N22" s="23">
        <f>K22*B22+L22*E22+J22*D22</f>
        <v>-2.3395557409780496E-17</v>
      </c>
      <c r="O22" s="23">
        <f>L22*C22+J22*F22+K22*E22</f>
        <v>-7.8960117916304027</v>
      </c>
      <c r="P22" s="23">
        <f>J22*M22+K22*N22+L22*O22</f>
        <v>-8.3761573296091125</v>
      </c>
      <c r="Q22" s="23">
        <f>SQRT(M22^2+N22^2+O22^2-P22^2)</f>
        <v>1.0542409883054626</v>
      </c>
    </row>
    <row r="25" spans="1:17" ht="15.5" thickBot="1" x14ac:dyDescent="0.3"/>
    <row r="26" spans="1:17" ht="30" x14ac:dyDescent="0.25">
      <c r="A26" s="334" t="s">
        <v>116</v>
      </c>
      <c r="B26" s="335"/>
      <c r="C26" s="335"/>
      <c r="D26" s="92" t="s">
        <v>134</v>
      </c>
      <c r="E26" s="84" t="s">
        <v>133</v>
      </c>
    </row>
    <row r="27" spans="1:17" x14ac:dyDescent="0.25">
      <c r="A27" s="329" t="s">
        <v>129</v>
      </c>
      <c r="B27" s="3" t="s">
        <v>117</v>
      </c>
      <c r="C27" s="3">
        <v>10</v>
      </c>
      <c r="D27" s="336" t="s">
        <v>135</v>
      </c>
      <c r="E27" s="85"/>
    </row>
    <row r="28" spans="1:17" x14ac:dyDescent="0.25">
      <c r="A28" s="329"/>
      <c r="B28" s="3" t="s">
        <v>118</v>
      </c>
      <c r="C28" s="3">
        <v>8</v>
      </c>
      <c r="D28" s="336"/>
      <c r="E28" s="85"/>
    </row>
    <row r="29" spans="1:17" x14ac:dyDescent="0.25">
      <c r="A29" s="329" t="s">
        <v>122</v>
      </c>
      <c r="B29" s="3" t="s">
        <v>119</v>
      </c>
      <c r="C29" s="3">
        <v>0.6</v>
      </c>
      <c r="D29" s="330" t="s">
        <v>136</v>
      </c>
      <c r="E29" s="85"/>
    </row>
    <row r="30" spans="1:17" x14ac:dyDescent="0.25">
      <c r="A30" s="329"/>
      <c r="B30" s="3" t="s">
        <v>120</v>
      </c>
      <c r="C30" s="3">
        <v>0.6</v>
      </c>
      <c r="D30" s="330"/>
      <c r="E30" s="85"/>
    </row>
    <row r="31" spans="1:17" x14ac:dyDescent="0.25">
      <c r="A31" s="329"/>
      <c r="B31" s="3" t="s">
        <v>121</v>
      </c>
      <c r="C31" s="86">
        <f>_xlfn.CEILING.MATH((C27*C28)/(C29*C30))</f>
        <v>223</v>
      </c>
      <c r="D31" s="330"/>
      <c r="E31" s="85"/>
    </row>
    <row r="32" spans="1:17" x14ac:dyDescent="0.25">
      <c r="A32" s="329"/>
      <c r="B32" s="3" t="s">
        <v>131</v>
      </c>
      <c r="C32" s="3">
        <v>8</v>
      </c>
      <c r="D32" s="330"/>
      <c r="E32" s="85"/>
    </row>
    <row r="33" spans="1:23" x14ac:dyDescent="0.25">
      <c r="A33" s="329"/>
      <c r="B33" s="3" t="s">
        <v>130</v>
      </c>
      <c r="C33" s="86" t="str">
        <f>INT(C31/C32)&amp;"件零"&amp;MOD(C31,C32)&amp;"块"</f>
        <v>27件零7块</v>
      </c>
      <c r="D33" s="330"/>
      <c r="E33" s="85"/>
    </row>
    <row r="34" spans="1:23" x14ac:dyDescent="0.25">
      <c r="A34" s="329" t="s">
        <v>123</v>
      </c>
      <c r="B34" s="3" t="s">
        <v>119</v>
      </c>
      <c r="C34" s="3">
        <v>0.6</v>
      </c>
      <c r="D34" s="330" t="s">
        <v>136</v>
      </c>
      <c r="E34" s="85"/>
    </row>
    <row r="35" spans="1:23" x14ac:dyDescent="0.25">
      <c r="A35" s="329"/>
      <c r="B35" s="3" t="s">
        <v>120</v>
      </c>
      <c r="C35" s="3">
        <v>0.3</v>
      </c>
      <c r="D35" s="330"/>
      <c r="E35" s="85"/>
    </row>
    <row r="36" spans="1:23" x14ac:dyDescent="0.25">
      <c r="A36" s="329"/>
      <c r="B36" s="3" t="s">
        <v>124</v>
      </c>
      <c r="C36" s="87" t="s">
        <v>125</v>
      </c>
      <c r="D36" s="330"/>
      <c r="E36" s="85"/>
    </row>
    <row r="37" spans="1:23" ht="17.25" customHeight="1" x14ac:dyDescent="0.25">
      <c r="A37" s="329"/>
      <c r="B37" s="3" t="s">
        <v>126</v>
      </c>
      <c r="C37" s="3">
        <v>4</v>
      </c>
      <c r="D37" s="330"/>
      <c r="E37" s="85"/>
    </row>
    <row r="38" spans="1:23" ht="30" customHeight="1" x14ac:dyDescent="0.25">
      <c r="A38" s="329"/>
      <c r="B38" s="3" t="s">
        <v>128</v>
      </c>
      <c r="C38" s="86">
        <f>IF(C36="竖着贴",C37*C34,IF(C36="横着贴",C37*C35,"既不横着贴，又不竖着贴，你要怎么贴？"))</f>
        <v>2.4</v>
      </c>
      <c r="D38" s="330"/>
      <c r="E38" s="88" t="s">
        <v>127</v>
      </c>
    </row>
    <row r="39" spans="1:23" x14ac:dyDescent="0.25">
      <c r="A39" s="329"/>
      <c r="B39" s="3" t="s">
        <v>121</v>
      </c>
      <c r="C39" s="86">
        <f>_xlfn.CEILING.MATH((C27+C28)*2*C38/(C34*C35))</f>
        <v>480</v>
      </c>
      <c r="D39" s="330"/>
      <c r="E39" s="85"/>
    </row>
    <row r="40" spans="1:23" x14ac:dyDescent="0.25">
      <c r="A40" s="329"/>
      <c r="B40" s="3" t="s">
        <v>131</v>
      </c>
      <c r="C40" s="3">
        <v>8</v>
      </c>
      <c r="D40" s="330"/>
      <c r="E40" s="85"/>
    </row>
    <row r="41" spans="1:23" x14ac:dyDescent="0.25">
      <c r="A41" s="329"/>
      <c r="B41" s="3" t="s">
        <v>130</v>
      </c>
      <c r="C41" s="86" t="str">
        <f>INT(C39/C40)&amp;"件零"&amp;MOD(C39,C40)&amp;"块"</f>
        <v>60件零0块</v>
      </c>
      <c r="D41" s="330"/>
      <c r="E41" s="85"/>
    </row>
    <row r="42" spans="1:23" x14ac:dyDescent="0.25">
      <c r="A42" s="329" t="s">
        <v>132</v>
      </c>
      <c r="B42" s="3" t="s">
        <v>119</v>
      </c>
      <c r="C42" s="3">
        <v>0.2</v>
      </c>
      <c r="D42" s="332" t="s">
        <v>136</v>
      </c>
      <c r="E42" s="85"/>
    </row>
    <row r="43" spans="1:23" x14ac:dyDescent="0.25">
      <c r="A43" s="329"/>
      <c r="B43" s="3" t="s">
        <v>121</v>
      </c>
      <c r="C43" s="86">
        <f>_xlfn.CEILING.MATH((C27+C28)*2/C42)</f>
        <v>180</v>
      </c>
      <c r="D43" s="332"/>
      <c r="E43" s="85"/>
    </row>
    <row r="44" spans="1:23" x14ac:dyDescent="0.25">
      <c r="A44" s="329"/>
      <c r="B44" s="3" t="s">
        <v>131</v>
      </c>
      <c r="C44" s="3">
        <v>8</v>
      </c>
      <c r="D44" s="332"/>
      <c r="E44" s="85"/>
    </row>
    <row r="45" spans="1:23" ht="15.5" thickBot="1" x14ac:dyDescent="0.3">
      <c r="A45" s="331"/>
      <c r="B45" s="89" t="s">
        <v>130</v>
      </c>
      <c r="C45" s="90" t="str">
        <f>INT(C43/C44)&amp;"件零"&amp;MOD(C43,C44)&amp;"块"</f>
        <v>22件零4块</v>
      </c>
      <c r="D45" s="333"/>
      <c r="E45" s="91"/>
    </row>
    <row r="46" spans="1:23" ht="15.5" thickBot="1" x14ac:dyDescent="0.3"/>
    <row r="47" spans="1:23" ht="45" x14ac:dyDescent="0.25">
      <c r="A47" s="334" t="s">
        <v>137</v>
      </c>
      <c r="B47" s="335"/>
      <c r="C47" s="335"/>
      <c r="D47" s="92" t="s">
        <v>134</v>
      </c>
      <c r="E47" s="84" t="s">
        <v>133</v>
      </c>
      <c r="G47" s="334" t="s">
        <v>141</v>
      </c>
      <c r="H47" s="335"/>
      <c r="I47" s="335"/>
      <c r="J47" s="92" t="s">
        <v>134</v>
      </c>
      <c r="K47" s="84" t="s">
        <v>133</v>
      </c>
      <c r="M47" s="334" t="s">
        <v>145</v>
      </c>
      <c r="N47" s="335"/>
      <c r="O47" s="335"/>
      <c r="P47" s="92" t="s">
        <v>134</v>
      </c>
      <c r="Q47" s="84" t="s">
        <v>133</v>
      </c>
      <c r="S47" s="334" t="s">
        <v>149</v>
      </c>
      <c r="T47" s="335"/>
      <c r="U47" s="335"/>
      <c r="V47" s="92" t="s">
        <v>134</v>
      </c>
      <c r="W47" s="84" t="s">
        <v>133</v>
      </c>
    </row>
    <row r="48" spans="1:23" x14ac:dyDescent="0.25">
      <c r="A48" s="329" t="s">
        <v>138</v>
      </c>
      <c r="B48" s="3" t="s">
        <v>139</v>
      </c>
      <c r="C48" s="3">
        <v>10</v>
      </c>
      <c r="D48" s="336" t="s">
        <v>135</v>
      </c>
      <c r="E48" s="85"/>
      <c r="G48" s="329" t="s">
        <v>142</v>
      </c>
      <c r="H48" s="3" t="s">
        <v>143</v>
      </c>
      <c r="I48" s="3">
        <v>10</v>
      </c>
      <c r="J48" s="336" t="s">
        <v>135</v>
      </c>
      <c r="K48" s="85"/>
      <c r="M48" s="329" t="s">
        <v>146</v>
      </c>
      <c r="N48" s="3" t="s">
        <v>147</v>
      </c>
      <c r="O48" s="3">
        <v>10</v>
      </c>
      <c r="P48" s="336" t="s">
        <v>135</v>
      </c>
      <c r="Q48" s="85"/>
      <c r="S48" s="329" t="s">
        <v>150</v>
      </c>
      <c r="T48" s="3" t="s">
        <v>151</v>
      </c>
      <c r="U48" s="3">
        <v>10</v>
      </c>
      <c r="V48" s="336" t="s">
        <v>135</v>
      </c>
      <c r="W48" s="85"/>
    </row>
    <row r="49" spans="1:23" x14ac:dyDescent="0.25">
      <c r="A49" s="329"/>
      <c r="B49" s="3" t="s">
        <v>140</v>
      </c>
      <c r="C49" s="3">
        <v>8</v>
      </c>
      <c r="D49" s="336"/>
      <c r="E49" s="85"/>
      <c r="G49" s="329"/>
      <c r="H49" s="3" t="s">
        <v>144</v>
      </c>
      <c r="I49" s="3">
        <v>8</v>
      </c>
      <c r="J49" s="336"/>
      <c r="K49" s="85"/>
      <c r="M49" s="329"/>
      <c r="N49" s="3" t="s">
        <v>148</v>
      </c>
      <c r="O49" s="3">
        <v>8</v>
      </c>
      <c r="P49" s="336"/>
      <c r="Q49" s="85"/>
      <c r="S49" s="329"/>
      <c r="T49" s="3" t="s">
        <v>152</v>
      </c>
      <c r="U49" s="3">
        <v>8</v>
      </c>
      <c r="V49" s="336"/>
      <c r="W49" s="85"/>
    </row>
    <row r="50" spans="1:23" x14ac:dyDescent="0.25">
      <c r="A50" s="329" t="s">
        <v>122</v>
      </c>
      <c r="B50" s="3" t="s">
        <v>119</v>
      </c>
      <c r="C50" s="3">
        <v>0.6</v>
      </c>
      <c r="D50" s="330" t="s">
        <v>136</v>
      </c>
      <c r="E50" s="85"/>
      <c r="G50" s="329" t="s">
        <v>122</v>
      </c>
      <c r="H50" s="3" t="s">
        <v>119</v>
      </c>
      <c r="I50" s="3">
        <v>0.6</v>
      </c>
      <c r="J50" s="330" t="s">
        <v>136</v>
      </c>
      <c r="K50" s="85"/>
      <c r="M50" s="329" t="s">
        <v>122</v>
      </c>
      <c r="N50" s="3" t="s">
        <v>119</v>
      </c>
      <c r="O50" s="3">
        <v>0.6</v>
      </c>
      <c r="P50" s="330" t="s">
        <v>136</v>
      </c>
      <c r="Q50" s="85"/>
      <c r="S50" s="329" t="s">
        <v>122</v>
      </c>
      <c r="T50" s="3" t="s">
        <v>119</v>
      </c>
      <c r="U50" s="3">
        <v>0.6</v>
      </c>
      <c r="V50" s="330" t="s">
        <v>136</v>
      </c>
      <c r="W50" s="85"/>
    </row>
    <row r="51" spans="1:23" x14ac:dyDescent="0.25">
      <c r="A51" s="329"/>
      <c r="B51" s="3" t="s">
        <v>120</v>
      </c>
      <c r="C51" s="3">
        <v>0.6</v>
      </c>
      <c r="D51" s="330"/>
      <c r="E51" s="85"/>
      <c r="G51" s="329"/>
      <c r="H51" s="3" t="s">
        <v>120</v>
      </c>
      <c r="I51" s="3">
        <v>0.6</v>
      </c>
      <c r="J51" s="330"/>
      <c r="K51" s="85"/>
      <c r="M51" s="329"/>
      <c r="N51" s="3" t="s">
        <v>120</v>
      </c>
      <c r="O51" s="3">
        <v>0.6</v>
      </c>
      <c r="P51" s="330"/>
      <c r="Q51" s="85"/>
      <c r="S51" s="329"/>
      <c r="T51" s="3" t="s">
        <v>120</v>
      </c>
      <c r="U51" s="3">
        <v>0.6</v>
      </c>
      <c r="V51" s="330"/>
      <c r="W51" s="85"/>
    </row>
    <row r="52" spans="1:23" x14ac:dyDescent="0.25">
      <c r="A52" s="329"/>
      <c r="B52" s="3" t="s">
        <v>121</v>
      </c>
      <c r="C52" s="86">
        <f>_xlfn.CEILING.MATH((C48*C49)/(C50*C51))</f>
        <v>223</v>
      </c>
      <c r="D52" s="330"/>
      <c r="E52" s="85"/>
      <c r="G52" s="329"/>
      <c r="H52" s="3" t="s">
        <v>121</v>
      </c>
      <c r="I52" s="86">
        <f>_xlfn.CEILING.MATH((I48*I49)/(I50*I51))</f>
        <v>223</v>
      </c>
      <c r="J52" s="330"/>
      <c r="K52" s="85"/>
      <c r="M52" s="329"/>
      <c r="N52" s="3" t="s">
        <v>121</v>
      </c>
      <c r="O52" s="86">
        <f>_xlfn.CEILING.MATH((O48*O49)/(O50*O51))</f>
        <v>223</v>
      </c>
      <c r="P52" s="330"/>
      <c r="Q52" s="85"/>
      <c r="S52" s="329"/>
      <c r="T52" s="3" t="s">
        <v>121</v>
      </c>
      <c r="U52" s="86">
        <f>_xlfn.CEILING.MATH((U48*U49)/(U50*U51))</f>
        <v>223</v>
      </c>
      <c r="V52" s="330"/>
      <c r="W52" s="85"/>
    </row>
    <row r="53" spans="1:23" x14ac:dyDescent="0.25">
      <c r="A53" s="329"/>
      <c r="B53" s="3" t="s">
        <v>131</v>
      </c>
      <c r="C53" s="3">
        <v>8</v>
      </c>
      <c r="D53" s="330"/>
      <c r="E53" s="85"/>
      <c r="G53" s="329"/>
      <c r="H53" s="3" t="s">
        <v>131</v>
      </c>
      <c r="I53" s="3">
        <v>8</v>
      </c>
      <c r="J53" s="330"/>
      <c r="K53" s="85"/>
      <c r="M53" s="329"/>
      <c r="N53" s="3" t="s">
        <v>131</v>
      </c>
      <c r="O53" s="3">
        <v>8</v>
      </c>
      <c r="P53" s="330"/>
      <c r="Q53" s="85"/>
      <c r="S53" s="329"/>
      <c r="T53" s="3" t="s">
        <v>131</v>
      </c>
      <c r="U53" s="3">
        <v>8</v>
      </c>
      <c r="V53" s="330"/>
      <c r="W53" s="85"/>
    </row>
    <row r="54" spans="1:23" x14ac:dyDescent="0.25">
      <c r="A54" s="329"/>
      <c r="B54" s="3" t="s">
        <v>130</v>
      </c>
      <c r="C54" s="86" t="str">
        <f>INT(C52/C53)&amp;"件零"&amp;MOD(C52,C53)&amp;"块"</f>
        <v>27件零7块</v>
      </c>
      <c r="D54" s="330"/>
      <c r="E54" s="85"/>
      <c r="G54" s="329"/>
      <c r="H54" s="3" t="s">
        <v>130</v>
      </c>
      <c r="I54" s="86" t="str">
        <f>INT(I52/I53)&amp;"件零"&amp;MOD(I52,I53)&amp;"块"</f>
        <v>27件零7块</v>
      </c>
      <c r="J54" s="330"/>
      <c r="K54" s="85"/>
      <c r="M54" s="329"/>
      <c r="N54" s="3" t="s">
        <v>130</v>
      </c>
      <c r="O54" s="86" t="str">
        <f>INT(O52/O53)&amp;"件零"&amp;MOD(O52,O53)&amp;"块"</f>
        <v>27件零7块</v>
      </c>
      <c r="P54" s="330"/>
      <c r="Q54" s="85"/>
      <c r="S54" s="329"/>
      <c r="T54" s="3" t="s">
        <v>130</v>
      </c>
      <c r="U54" s="86" t="str">
        <f>INT(U52/U53)&amp;"件零"&amp;MOD(U52,U53)&amp;"块"</f>
        <v>27件零7块</v>
      </c>
      <c r="V54" s="330"/>
      <c r="W54" s="85"/>
    </row>
    <row r="55" spans="1:23" x14ac:dyDescent="0.25">
      <c r="A55" s="329" t="s">
        <v>123</v>
      </c>
      <c r="B55" s="3" t="s">
        <v>119</v>
      </c>
      <c r="C55" s="3">
        <v>0.6</v>
      </c>
      <c r="D55" s="330" t="s">
        <v>136</v>
      </c>
      <c r="E55" s="85"/>
      <c r="G55" s="329" t="s">
        <v>123</v>
      </c>
      <c r="H55" s="3" t="s">
        <v>119</v>
      </c>
      <c r="I55" s="3">
        <v>0.6</v>
      </c>
      <c r="J55" s="330" t="s">
        <v>136</v>
      </c>
      <c r="K55" s="85"/>
      <c r="M55" s="329" t="s">
        <v>123</v>
      </c>
      <c r="N55" s="3" t="s">
        <v>119</v>
      </c>
      <c r="O55" s="3">
        <v>0.6</v>
      </c>
      <c r="P55" s="330" t="s">
        <v>136</v>
      </c>
      <c r="Q55" s="85"/>
      <c r="S55" s="329" t="s">
        <v>123</v>
      </c>
      <c r="T55" s="3" t="s">
        <v>119</v>
      </c>
      <c r="U55" s="3">
        <v>0.6</v>
      </c>
      <c r="V55" s="330" t="s">
        <v>136</v>
      </c>
      <c r="W55" s="85"/>
    </row>
    <row r="56" spans="1:23" x14ac:dyDescent="0.25">
      <c r="A56" s="329"/>
      <c r="B56" s="3" t="s">
        <v>120</v>
      </c>
      <c r="C56" s="3">
        <v>0.3</v>
      </c>
      <c r="D56" s="330"/>
      <c r="E56" s="85"/>
      <c r="G56" s="329"/>
      <c r="H56" s="3" t="s">
        <v>120</v>
      </c>
      <c r="I56" s="3">
        <v>0.3</v>
      </c>
      <c r="J56" s="330"/>
      <c r="K56" s="85"/>
      <c r="M56" s="329"/>
      <c r="N56" s="3" t="s">
        <v>120</v>
      </c>
      <c r="O56" s="3">
        <v>0.3</v>
      </c>
      <c r="P56" s="330"/>
      <c r="Q56" s="85"/>
      <c r="S56" s="329"/>
      <c r="T56" s="3" t="s">
        <v>120</v>
      </c>
      <c r="U56" s="3">
        <v>0.3</v>
      </c>
      <c r="V56" s="330"/>
      <c r="W56" s="85"/>
    </row>
    <row r="57" spans="1:23" x14ac:dyDescent="0.25">
      <c r="A57" s="329"/>
      <c r="B57" s="3" t="s">
        <v>124</v>
      </c>
      <c r="C57" s="87" t="s">
        <v>125</v>
      </c>
      <c r="D57" s="330"/>
      <c r="E57" s="85"/>
      <c r="G57" s="329"/>
      <c r="H57" s="3" t="s">
        <v>124</v>
      </c>
      <c r="I57" s="87" t="s">
        <v>125</v>
      </c>
      <c r="J57" s="330"/>
      <c r="K57" s="85"/>
      <c r="M57" s="329"/>
      <c r="N57" s="3" t="s">
        <v>124</v>
      </c>
      <c r="O57" s="87" t="s">
        <v>125</v>
      </c>
      <c r="P57" s="330"/>
      <c r="Q57" s="85"/>
      <c r="S57" s="329"/>
      <c r="T57" s="3" t="s">
        <v>124</v>
      </c>
      <c r="U57" s="87" t="s">
        <v>125</v>
      </c>
      <c r="V57" s="330"/>
      <c r="W57" s="85"/>
    </row>
    <row r="58" spans="1:23" x14ac:dyDescent="0.25">
      <c r="A58" s="329"/>
      <c r="B58" s="3" t="s">
        <v>126</v>
      </c>
      <c r="C58" s="3">
        <v>4</v>
      </c>
      <c r="D58" s="330"/>
      <c r="E58" s="85"/>
      <c r="G58" s="329"/>
      <c r="H58" s="3" t="s">
        <v>126</v>
      </c>
      <c r="I58" s="3">
        <v>4</v>
      </c>
      <c r="J58" s="330"/>
      <c r="K58" s="85"/>
      <c r="M58" s="329"/>
      <c r="N58" s="3" t="s">
        <v>126</v>
      </c>
      <c r="O58" s="3">
        <v>4</v>
      </c>
      <c r="P58" s="330"/>
      <c r="Q58" s="85"/>
      <c r="S58" s="329"/>
      <c r="T58" s="3" t="s">
        <v>126</v>
      </c>
      <c r="U58" s="3">
        <v>4</v>
      </c>
      <c r="V58" s="330"/>
      <c r="W58" s="85"/>
    </row>
    <row r="59" spans="1:23" ht="60" x14ac:dyDescent="0.25">
      <c r="A59" s="329"/>
      <c r="B59" s="3" t="s">
        <v>128</v>
      </c>
      <c r="C59" s="86">
        <f>IF(C57="竖着贴",C58*C55,IF(C57="横着贴",C58*C56,"既不横着贴，又不竖着贴，你要怎么贴？"))</f>
        <v>2.4</v>
      </c>
      <c r="D59" s="330"/>
      <c r="E59" s="88" t="s">
        <v>127</v>
      </c>
      <c r="G59" s="329"/>
      <c r="H59" s="3" t="s">
        <v>128</v>
      </c>
      <c r="I59" s="86">
        <f>IF(I57="竖着贴",I58*I55,IF(I57="横着贴",I58*I56,"既不横着贴，又不竖着贴，你要怎么贴？"))</f>
        <v>2.4</v>
      </c>
      <c r="J59" s="330"/>
      <c r="K59" s="88" t="s">
        <v>127</v>
      </c>
      <c r="M59" s="329"/>
      <c r="N59" s="3" t="s">
        <v>128</v>
      </c>
      <c r="O59" s="86">
        <f>IF(O57="竖着贴",O58*O55,IF(O57="横着贴",O58*O56,"既不横着贴，又不竖着贴，你要怎么贴？"))</f>
        <v>2.4</v>
      </c>
      <c r="P59" s="330"/>
      <c r="Q59" s="88" t="s">
        <v>127</v>
      </c>
      <c r="S59" s="329"/>
      <c r="T59" s="3" t="s">
        <v>128</v>
      </c>
      <c r="U59" s="86">
        <f>IF(U57="竖着贴",U58*U55,IF(U57="横着贴",U58*U56,"既不横着贴，又不竖着贴，你要怎么贴？"))</f>
        <v>2.4</v>
      </c>
      <c r="V59" s="330"/>
      <c r="W59" s="88" t="s">
        <v>127</v>
      </c>
    </row>
    <row r="60" spans="1:23" x14ac:dyDescent="0.25">
      <c r="A60" s="329"/>
      <c r="B60" s="3" t="s">
        <v>121</v>
      </c>
      <c r="C60" s="86">
        <f>_xlfn.CEILING.MATH((C48+C49)*2*C59/(C55*C56))</f>
        <v>480</v>
      </c>
      <c r="D60" s="330"/>
      <c r="E60" s="85"/>
      <c r="G60" s="329"/>
      <c r="H60" s="3" t="s">
        <v>121</v>
      </c>
      <c r="I60" s="86">
        <f>_xlfn.CEILING.MATH((I48+I49)*2*I59/(I55*I56))</f>
        <v>480</v>
      </c>
      <c r="J60" s="330"/>
      <c r="K60" s="85"/>
      <c r="M60" s="329"/>
      <c r="N60" s="3" t="s">
        <v>121</v>
      </c>
      <c r="O60" s="86">
        <f>_xlfn.CEILING.MATH((O48+O49)*2*O59/(O55*O56))</f>
        <v>480</v>
      </c>
      <c r="P60" s="330"/>
      <c r="Q60" s="85"/>
      <c r="S60" s="329"/>
      <c r="T60" s="3" t="s">
        <v>121</v>
      </c>
      <c r="U60" s="86">
        <f>_xlfn.CEILING.MATH((U48+U49)*2*U59/(U55*U56))</f>
        <v>480</v>
      </c>
      <c r="V60" s="330"/>
      <c r="W60" s="85"/>
    </row>
    <row r="61" spans="1:23" x14ac:dyDescent="0.25">
      <c r="A61" s="329"/>
      <c r="B61" s="3" t="s">
        <v>131</v>
      </c>
      <c r="C61" s="3">
        <v>8</v>
      </c>
      <c r="D61" s="330"/>
      <c r="E61" s="85"/>
      <c r="G61" s="329"/>
      <c r="H61" s="3" t="s">
        <v>131</v>
      </c>
      <c r="I61" s="3">
        <v>8</v>
      </c>
      <c r="J61" s="330"/>
      <c r="K61" s="85"/>
      <c r="M61" s="329"/>
      <c r="N61" s="3" t="s">
        <v>131</v>
      </c>
      <c r="O61" s="3">
        <v>8</v>
      </c>
      <c r="P61" s="330"/>
      <c r="Q61" s="85"/>
      <c r="S61" s="329"/>
      <c r="T61" s="3" t="s">
        <v>131</v>
      </c>
      <c r="U61" s="3">
        <v>8</v>
      </c>
      <c r="V61" s="330"/>
      <c r="W61" s="85"/>
    </row>
    <row r="62" spans="1:23" x14ac:dyDescent="0.25">
      <c r="A62" s="329"/>
      <c r="B62" s="3" t="s">
        <v>130</v>
      </c>
      <c r="C62" s="86" t="str">
        <f>INT(C60/C61)&amp;"件零"&amp;MOD(C60,C61)&amp;"块"</f>
        <v>60件零0块</v>
      </c>
      <c r="D62" s="330"/>
      <c r="E62" s="85"/>
      <c r="G62" s="329"/>
      <c r="H62" s="3" t="s">
        <v>130</v>
      </c>
      <c r="I62" s="86" t="str">
        <f>INT(I60/I61)&amp;"件零"&amp;MOD(I60,I61)&amp;"块"</f>
        <v>60件零0块</v>
      </c>
      <c r="J62" s="330"/>
      <c r="K62" s="85"/>
      <c r="M62" s="329"/>
      <c r="N62" s="3" t="s">
        <v>130</v>
      </c>
      <c r="O62" s="86" t="str">
        <f>INT(O60/O61)&amp;"件零"&amp;MOD(O60,O61)&amp;"块"</f>
        <v>60件零0块</v>
      </c>
      <c r="P62" s="330"/>
      <c r="Q62" s="85"/>
      <c r="S62" s="329"/>
      <c r="T62" s="3" t="s">
        <v>130</v>
      </c>
      <c r="U62" s="86" t="str">
        <f>INT(U60/U61)&amp;"件零"&amp;MOD(U60,U61)&amp;"块"</f>
        <v>60件零0块</v>
      </c>
      <c r="V62" s="330"/>
      <c r="W62" s="85"/>
    </row>
    <row r="63" spans="1:23" x14ac:dyDescent="0.25">
      <c r="A63" s="329" t="s">
        <v>132</v>
      </c>
      <c r="B63" s="3" t="s">
        <v>119</v>
      </c>
      <c r="C63" s="3">
        <v>0.2</v>
      </c>
      <c r="D63" s="332" t="s">
        <v>136</v>
      </c>
      <c r="E63" s="85"/>
      <c r="G63" s="329" t="s">
        <v>132</v>
      </c>
      <c r="H63" s="3" t="s">
        <v>119</v>
      </c>
      <c r="I63" s="3">
        <v>0.2</v>
      </c>
      <c r="J63" s="332" t="s">
        <v>136</v>
      </c>
      <c r="K63" s="85"/>
      <c r="M63" s="329" t="s">
        <v>132</v>
      </c>
      <c r="N63" s="3" t="s">
        <v>119</v>
      </c>
      <c r="O63" s="3">
        <v>0.2</v>
      </c>
      <c r="P63" s="332" t="s">
        <v>136</v>
      </c>
      <c r="Q63" s="85"/>
      <c r="S63" s="329" t="s">
        <v>132</v>
      </c>
      <c r="T63" s="3" t="s">
        <v>119</v>
      </c>
      <c r="U63" s="3">
        <v>0.2</v>
      </c>
      <c r="V63" s="332" t="s">
        <v>136</v>
      </c>
      <c r="W63" s="85"/>
    </row>
    <row r="64" spans="1:23" x14ac:dyDescent="0.25">
      <c r="A64" s="329"/>
      <c r="B64" s="3" t="s">
        <v>121</v>
      </c>
      <c r="C64" s="86">
        <f>_xlfn.CEILING.MATH((C48+C49)*2/C63)</f>
        <v>180</v>
      </c>
      <c r="D64" s="332"/>
      <c r="E64" s="85"/>
      <c r="G64" s="329"/>
      <c r="H64" s="3" t="s">
        <v>121</v>
      </c>
      <c r="I64" s="86">
        <f>_xlfn.CEILING.MATH((I48+I49)*2/I63)</f>
        <v>180</v>
      </c>
      <c r="J64" s="332"/>
      <c r="K64" s="85"/>
      <c r="M64" s="329"/>
      <c r="N64" s="3" t="s">
        <v>121</v>
      </c>
      <c r="O64" s="86">
        <f>_xlfn.CEILING.MATH((O48+O49)*2/O63)</f>
        <v>180</v>
      </c>
      <c r="P64" s="332"/>
      <c r="Q64" s="85"/>
      <c r="S64" s="329"/>
      <c r="T64" s="3" t="s">
        <v>121</v>
      </c>
      <c r="U64" s="86">
        <f>_xlfn.CEILING.MATH((U48+U49)*2/U63)</f>
        <v>180</v>
      </c>
      <c r="V64" s="332"/>
      <c r="W64" s="85"/>
    </row>
    <row r="65" spans="1:23" x14ac:dyDescent="0.25">
      <c r="A65" s="329"/>
      <c r="B65" s="3" t="s">
        <v>131</v>
      </c>
      <c r="C65" s="3">
        <v>8</v>
      </c>
      <c r="D65" s="332"/>
      <c r="E65" s="85"/>
      <c r="G65" s="329"/>
      <c r="H65" s="3" t="s">
        <v>131</v>
      </c>
      <c r="I65" s="3">
        <v>8</v>
      </c>
      <c r="J65" s="332"/>
      <c r="K65" s="85"/>
      <c r="M65" s="329"/>
      <c r="N65" s="3" t="s">
        <v>131</v>
      </c>
      <c r="O65" s="3">
        <v>8</v>
      </c>
      <c r="P65" s="332"/>
      <c r="Q65" s="85"/>
      <c r="S65" s="329"/>
      <c r="T65" s="3" t="s">
        <v>131</v>
      </c>
      <c r="U65" s="3">
        <v>8</v>
      </c>
      <c r="V65" s="332"/>
      <c r="W65" s="85"/>
    </row>
    <row r="66" spans="1:23" ht="15.5" thickBot="1" x14ac:dyDescent="0.3">
      <c r="A66" s="331"/>
      <c r="B66" s="89" t="s">
        <v>130</v>
      </c>
      <c r="C66" s="90" t="str">
        <f>INT(C64/C65)&amp;"件零"&amp;MOD(C64,C65)&amp;"块"</f>
        <v>22件零4块</v>
      </c>
      <c r="D66" s="333"/>
      <c r="E66" s="91"/>
      <c r="G66" s="331"/>
      <c r="H66" s="89" t="s">
        <v>130</v>
      </c>
      <c r="I66" s="90" t="str">
        <f>INT(I64/I65)&amp;"件零"&amp;MOD(I64,I65)&amp;"块"</f>
        <v>22件零4块</v>
      </c>
      <c r="J66" s="333"/>
      <c r="K66" s="91"/>
      <c r="M66" s="331"/>
      <c r="N66" s="89" t="s">
        <v>130</v>
      </c>
      <c r="O66" s="90" t="str">
        <f>INT(O64/O65)&amp;"件零"&amp;MOD(O64,O65)&amp;"块"</f>
        <v>22件零4块</v>
      </c>
      <c r="P66" s="333"/>
      <c r="Q66" s="91"/>
      <c r="S66" s="331"/>
      <c r="T66" s="89" t="s">
        <v>130</v>
      </c>
      <c r="U66" s="90" t="str">
        <f>INT(U64/U65)&amp;"件零"&amp;MOD(U64,U65)&amp;"块"</f>
        <v>22件零4块</v>
      </c>
      <c r="V66" s="333"/>
      <c r="W66" s="91"/>
    </row>
    <row r="67" spans="1:23" ht="15.5" thickBot="1" x14ac:dyDescent="0.3"/>
    <row r="68" spans="1:23" ht="30" x14ac:dyDescent="0.25">
      <c r="A68" s="334" t="s">
        <v>153</v>
      </c>
      <c r="B68" s="335"/>
      <c r="C68" s="335"/>
      <c r="D68" s="92" t="s">
        <v>134</v>
      </c>
      <c r="E68" s="84" t="s">
        <v>133</v>
      </c>
    </row>
    <row r="69" spans="1:23" x14ac:dyDescent="0.25">
      <c r="A69" s="329" t="s">
        <v>154</v>
      </c>
      <c r="B69" s="3" t="s">
        <v>155</v>
      </c>
      <c r="C69" s="3">
        <v>10</v>
      </c>
      <c r="D69" s="336" t="s">
        <v>135</v>
      </c>
      <c r="E69" s="85"/>
    </row>
    <row r="70" spans="1:23" x14ac:dyDescent="0.25">
      <c r="A70" s="329"/>
      <c r="B70" s="3" t="s">
        <v>156</v>
      </c>
      <c r="C70" s="3">
        <v>8</v>
      </c>
      <c r="D70" s="336"/>
      <c r="E70" s="85"/>
    </row>
    <row r="71" spans="1:23" x14ac:dyDescent="0.25">
      <c r="A71" s="329" t="s">
        <v>122</v>
      </c>
      <c r="B71" s="3" t="s">
        <v>119</v>
      </c>
      <c r="C71" s="3">
        <v>0.6</v>
      </c>
      <c r="D71" s="330" t="s">
        <v>490</v>
      </c>
      <c r="E71" s="85"/>
    </row>
    <row r="72" spans="1:23" x14ac:dyDescent="0.25">
      <c r="A72" s="329"/>
      <c r="B72" s="3" t="s">
        <v>120</v>
      </c>
      <c r="C72" s="3">
        <v>0.6</v>
      </c>
      <c r="D72" s="330"/>
      <c r="E72" s="85"/>
    </row>
    <row r="73" spans="1:23" x14ac:dyDescent="0.25">
      <c r="A73" s="329"/>
      <c r="B73" s="3" t="s">
        <v>121</v>
      </c>
      <c r="C73" s="86">
        <f>_xlfn.CEILING.MATH((C69*C70)/(C71*C72))</f>
        <v>223</v>
      </c>
      <c r="D73" s="330"/>
      <c r="E73" s="85"/>
    </row>
    <row r="74" spans="1:23" x14ac:dyDescent="0.25">
      <c r="A74" s="329"/>
      <c r="B74" s="3" t="s">
        <v>131</v>
      </c>
      <c r="C74" s="3">
        <v>8</v>
      </c>
      <c r="D74" s="330"/>
      <c r="E74" s="85"/>
    </row>
    <row r="75" spans="1:23" x14ac:dyDescent="0.25">
      <c r="A75" s="329"/>
      <c r="B75" s="3" t="s">
        <v>130</v>
      </c>
      <c r="C75" s="86" t="str">
        <f>INT(C73/C74)&amp;"件零"&amp;MOD(C73,C74)&amp;"块"</f>
        <v>27件零7块</v>
      </c>
      <c r="D75" s="330"/>
      <c r="E75" s="85"/>
    </row>
    <row r="76" spans="1:23" x14ac:dyDescent="0.25">
      <c r="A76" s="329" t="s">
        <v>123</v>
      </c>
      <c r="B76" s="3" t="s">
        <v>119</v>
      </c>
      <c r="C76" s="3">
        <v>0.6</v>
      </c>
      <c r="D76" s="330" t="s">
        <v>136</v>
      </c>
      <c r="E76" s="85"/>
    </row>
    <row r="77" spans="1:23" x14ac:dyDescent="0.25">
      <c r="A77" s="329"/>
      <c r="B77" s="3" t="s">
        <v>120</v>
      </c>
      <c r="C77" s="3">
        <v>0.3</v>
      </c>
      <c r="D77" s="330"/>
      <c r="E77" s="85"/>
    </row>
    <row r="78" spans="1:23" x14ac:dyDescent="0.25">
      <c r="A78" s="329"/>
      <c r="B78" s="3" t="s">
        <v>124</v>
      </c>
      <c r="C78" s="87" t="s">
        <v>125</v>
      </c>
      <c r="D78" s="330"/>
      <c r="E78" s="85"/>
    </row>
    <row r="79" spans="1:23" x14ac:dyDescent="0.25">
      <c r="A79" s="329"/>
      <c r="B79" s="3" t="s">
        <v>126</v>
      </c>
      <c r="C79" s="3">
        <v>4</v>
      </c>
      <c r="D79" s="330"/>
      <c r="E79" s="85"/>
    </row>
    <row r="80" spans="1:23" ht="30" x14ac:dyDescent="0.25">
      <c r="A80" s="329"/>
      <c r="B80" s="3" t="s">
        <v>128</v>
      </c>
      <c r="C80" s="86">
        <f>IF(C78="竖着贴",C79*C76,IF(C78="横着贴",C79*C77,"既不横着贴，又不竖着贴，你要怎么贴？"))</f>
        <v>2.4</v>
      </c>
      <c r="D80" s="330"/>
      <c r="E80" s="88" t="s">
        <v>127</v>
      </c>
    </row>
    <row r="81" spans="1:5" x14ac:dyDescent="0.25">
      <c r="A81" s="329"/>
      <c r="B81" s="3" t="s">
        <v>121</v>
      </c>
      <c r="C81" s="86">
        <f>_xlfn.CEILING.MATH((C69+C70)*2*C80/(C76*C77))</f>
        <v>480</v>
      </c>
      <c r="D81" s="330"/>
      <c r="E81" s="85"/>
    </row>
    <row r="82" spans="1:5" x14ac:dyDescent="0.25">
      <c r="A82" s="329"/>
      <c r="B82" s="3" t="s">
        <v>131</v>
      </c>
      <c r="C82" s="3">
        <v>8</v>
      </c>
      <c r="D82" s="330"/>
      <c r="E82" s="85"/>
    </row>
    <row r="83" spans="1:5" x14ac:dyDescent="0.25">
      <c r="A83" s="329"/>
      <c r="B83" s="3" t="s">
        <v>130</v>
      </c>
      <c r="C83" s="86" t="str">
        <f>INT(C81/C82)&amp;"件零"&amp;MOD(C81,C82)&amp;"块"</f>
        <v>60件零0块</v>
      </c>
      <c r="D83" s="330"/>
      <c r="E83" s="85"/>
    </row>
    <row r="84" spans="1:5" x14ac:dyDescent="0.25">
      <c r="A84" s="329" t="s">
        <v>132</v>
      </c>
      <c r="B84" s="3" t="s">
        <v>119</v>
      </c>
      <c r="C84" s="3">
        <v>0.2</v>
      </c>
      <c r="D84" s="332" t="s">
        <v>136</v>
      </c>
      <c r="E84" s="85"/>
    </row>
    <row r="85" spans="1:5" x14ac:dyDescent="0.25">
      <c r="A85" s="329"/>
      <c r="B85" s="3" t="s">
        <v>121</v>
      </c>
      <c r="C85" s="86">
        <f>_xlfn.CEILING.MATH((C69+C70)*2/C84)</f>
        <v>180</v>
      </c>
      <c r="D85" s="332"/>
      <c r="E85" s="85"/>
    </row>
    <row r="86" spans="1:5" x14ac:dyDescent="0.25">
      <c r="A86" s="329"/>
      <c r="B86" s="3" t="s">
        <v>131</v>
      </c>
      <c r="C86" s="3">
        <v>8</v>
      </c>
      <c r="D86" s="332"/>
      <c r="E86" s="85"/>
    </row>
    <row r="87" spans="1:5" ht="15.5" thickBot="1" x14ac:dyDescent="0.3">
      <c r="A87" s="331"/>
      <c r="B87" s="89" t="s">
        <v>130</v>
      </c>
      <c r="C87" s="90" t="str">
        <f>INT(C85/C86)&amp;"件零"&amp;MOD(C85,C86)&amp;"块"</f>
        <v>22件零4块</v>
      </c>
      <c r="D87" s="333"/>
      <c r="E87" s="91"/>
    </row>
    <row r="88" spans="1:5" ht="15.5" thickBot="1" x14ac:dyDescent="0.3"/>
    <row r="89" spans="1:5" ht="30" x14ac:dyDescent="0.25">
      <c r="A89" s="334" t="s">
        <v>157</v>
      </c>
      <c r="B89" s="335"/>
      <c r="C89" s="335"/>
      <c r="D89" s="92" t="s">
        <v>134</v>
      </c>
      <c r="E89" s="84" t="s">
        <v>133</v>
      </c>
    </row>
    <row r="90" spans="1:5" x14ac:dyDescent="0.25">
      <c r="A90" s="329" t="s">
        <v>158</v>
      </c>
      <c r="B90" s="3" t="s">
        <v>159</v>
      </c>
      <c r="C90" s="3">
        <v>10</v>
      </c>
      <c r="D90" s="336" t="s">
        <v>135</v>
      </c>
      <c r="E90" s="85"/>
    </row>
    <row r="91" spans="1:5" x14ac:dyDescent="0.25">
      <c r="A91" s="329"/>
      <c r="B91" s="3" t="s">
        <v>160</v>
      </c>
      <c r="C91" s="3">
        <v>8</v>
      </c>
      <c r="D91" s="336"/>
      <c r="E91" s="85"/>
    </row>
    <row r="92" spans="1:5" x14ac:dyDescent="0.25">
      <c r="A92" s="329" t="s">
        <v>122</v>
      </c>
      <c r="B92" s="3" t="s">
        <v>119</v>
      </c>
      <c r="C92" s="3">
        <v>0.6</v>
      </c>
      <c r="D92" s="330" t="s">
        <v>136</v>
      </c>
      <c r="E92" s="85"/>
    </row>
    <row r="93" spans="1:5" x14ac:dyDescent="0.25">
      <c r="A93" s="329"/>
      <c r="B93" s="3" t="s">
        <v>120</v>
      </c>
      <c r="C93" s="3">
        <v>0.6</v>
      </c>
      <c r="D93" s="330"/>
      <c r="E93" s="85"/>
    </row>
    <row r="94" spans="1:5" x14ac:dyDescent="0.25">
      <c r="A94" s="329"/>
      <c r="B94" s="3" t="s">
        <v>121</v>
      </c>
      <c r="C94" s="86">
        <f>_xlfn.CEILING.MATH((C90*C91)/(C92*C93))</f>
        <v>223</v>
      </c>
      <c r="D94" s="330"/>
      <c r="E94" s="85"/>
    </row>
    <row r="95" spans="1:5" x14ac:dyDescent="0.25">
      <c r="A95" s="329"/>
      <c r="B95" s="3" t="s">
        <v>131</v>
      </c>
      <c r="C95" s="3">
        <v>8</v>
      </c>
      <c r="D95" s="330"/>
      <c r="E95" s="85"/>
    </row>
    <row r="96" spans="1:5" x14ac:dyDescent="0.25">
      <c r="A96" s="329"/>
      <c r="B96" s="3" t="s">
        <v>130</v>
      </c>
      <c r="C96" s="86" t="str">
        <f>INT(C94/C95)&amp;"件零"&amp;MOD(C94,C95)&amp;"块"</f>
        <v>27件零7块</v>
      </c>
      <c r="D96" s="330"/>
      <c r="E96" s="85"/>
    </row>
    <row r="97" spans="1:5" x14ac:dyDescent="0.25">
      <c r="A97" s="329" t="s">
        <v>123</v>
      </c>
      <c r="B97" s="3" t="s">
        <v>119</v>
      </c>
      <c r="C97" s="3">
        <v>0.6</v>
      </c>
      <c r="D97" s="330" t="s">
        <v>136</v>
      </c>
      <c r="E97" s="85"/>
    </row>
    <row r="98" spans="1:5" x14ac:dyDescent="0.25">
      <c r="A98" s="329"/>
      <c r="B98" s="3" t="s">
        <v>120</v>
      </c>
      <c r="C98" s="3">
        <v>0.3</v>
      </c>
      <c r="D98" s="330"/>
      <c r="E98" s="85"/>
    </row>
    <row r="99" spans="1:5" x14ac:dyDescent="0.25">
      <c r="A99" s="329"/>
      <c r="B99" s="3" t="s">
        <v>124</v>
      </c>
      <c r="C99" s="87" t="s">
        <v>125</v>
      </c>
      <c r="D99" s="330"/>
      <c r="E99" s="85"/>
    </row>
    <row r="100" spans="1:5" x14ac:dyDescent="0.25">
      <c r="A100" s="329"/>
      <c r="B100" s="3" t="s">
        <v>126</v>
      </c>
      <c r="C100" s="3">
        <v>4</v>
      </c>
      <c r="D100" s="330"/>
      <c r="E100" s="85"/>
    </row>
    <row r="101" spans="1:5" ht="30" x14ac:dyDescent="0.25">
      <c r="A101" s="329"/>
      <c r="B101" s="3" t="s">
        <v>128</v>
      </c>
      <c r="C101" s="86">
        <f>IF(C99="竖着贴",C100*C97,IF(C99="横着贴",C100*C98,"既不横着贴，又不竖着贴，你要怎么贴？"))</f>
        <v>2.4</v>
      </c>
      <c r="D101" s="330"/>
      <c r="E101" s="88" t="s">
        <v>127</v>
      </c>
    </row>
    <row r="102" spans="1:5" x14ac:dyDescent="0.25">
      <c r="A102" s="329"/>
      <c r="B102" s="3" t="s">
        <v>121</v>
      </c>
      <c r="C102" s="86">
        <f>_xlfn.CEILING.MATH((C90+C91)*2*C101/(C97*C98))</f>
        <v>480</v>
      </c>
      <c r="D102" s="330"/>
      <c r="E102" s="85"/>
    </row>
    <row r="103" spans="1:5" x14ac:dyDescent="0.25">
      <c r="A103" s="329"/>
      <c r="B103" s="3" t="s">
        <v>131</v>
      </c>
      <c r="C103" s="3">
        <v>8</v>
      </c>
      <c r="D103" s="330"/>
      <c r="E103" s="85"/>
    </row>
    <row r="104" spans="1:5" x14ac:dyDescent="0.25">
      <c r="A104" s="329"/>
      <c r="B104" s="3" t="s">
        <v>130</v>
      </c>
      <c r="C104" s="86" t="str">
        <f>INT(C102/C103)&amp;"件零"&amp;MOD(C102,C103)&amp;"块"</f>
        <v>60件零0块</v>
      </c>
      <c r="D104" s="330"/>
      <c r="E104" s="85"/>
    </row>
    <row r="105" spans="1:5" x14ac:dyDescent="0.25">
      <c r="A105" s="329" t="s">
        <v>132</v>
      </c>
      <c r="B105" s="3" t="s">
        <v>119</v>
      </c>
      <c r="C105" s="3">
        <v>0.2</v>
      </c>
      <c r="D105" s="332" t="s">
        <v>136</v>
      </c>
      <c r="E105" s="85"/>
    </row>
    <row r="106" spans="1:5" x14ac:dyDescent="0.25">
      <c r="A106" s="329"/>
      <c r="B106" s="3" t="s">
        <v>121</v>
      </c>
      <c r="C106" s="86">
        <f>_xlfn.CEILING.MATH((C90+C91)*2/C105)</f>
        <v>180</v>
      </c>
      <c r="D106" s="332"/>
      <c r="E106" s="85"/>
    </row>
    <row r="107" spans="1:5" x14ac:dyDescent="0.25">
      <c r="A107" s="329"/>
      <c r="B107" s="3" t="s">
        <v>131</v>
      </c>
      <c r="C107" s="3">
        <v>8</v>
      </c>
      <c r="D107" s="332"/>
      <c r="E107" s="85"/>
    </row>
    <row r="108" spans="1:5" ht="15.5" thickBot="1" x14ac:dyDescent="0.3">
      <c r="A108" s="331"/>
      <c r="B108" s="89" t="s">
        <v>130</v>
      </c>
      <c r="C108" s="90" t="str">
        <f>INT(C106/C107)&amp;"件零"&amp;MOD(C106,C107)&amp;"块"</f>
        <v>22件零4块</v>
      </c>
      <c r="D108" s="333"/>
      <c r="E108" s="91"/>
    </row>
    <row r="109" spans="1:5" ht="15.5" thickBot="1" x14ac:dyDescent="0.3"/>
    <row r="110" spans="1:5" ht="30" x14ac:dyDescent="0.25">
      <c r="A110" s="334" t="s">
        <v>161</v>
      </c>
      <c r="B110" s="335"/>
      <c r="C110" s="335"/>
      <c r="D110" s="92" t="s">
        <v>134</v>
      </c>
      <c r="E110" s="84" t="s">
        <v>133</v>
      </c>
    </row>
    <row r="111" spans="1:5" x14ac:dyDescent="0.25">
      <c r="A111" s="329" t="s">
        <v>162</v>
      </c>
      <c r="B111" s="3" t="s">
        <v>163</v>
      </c>
      <c r="C111" s="3">
        <v>10</v>
      </c>
      <c r="D111" s="336" t="s">
        <v>135</v>
      </c>
      <c r="E111" s="85"/>
    </row>
    <row r="112" spans="1:5" x14ac:dyDescent="0.25">
      <c r="A112" s="329"/>
      <c r="B112" s="3" t="s">
        <v>164</v>
      </c>
      <c r="C112" s="3">
        <v>8</v>
      </c>
      <c r="D112" s="336"/>
      <c r="E112" s="85"/>
    </row>
    <row r="113" spans="1:5" x14ac:dyDescent="0.25">
      <c r="A113" s="329" t="s">
        <v>122</v>
      </c>
      <c r="B113" s="3" t="s">
        <v>119</v>
      </c>
      <c r="C113" s="3">
        <v>0.6</v>
      </c>
      <c r="D113" s="330" t="s">
        <v>136</v>
      </c>
      <c r="E113" s="85"/>
    </row>
    <row r="114" spans="1:5" x14ac:dyDescent="0.25">
      <c r="A114" s="329"/>
      <c r="B114" s="3" t="s">
        <v>120</v>
      </c>
      <c r="C114" s="3">
        <v>0.6</v>
      </c>
      <c r="D114" s="330"/>
      <c r="E114" s="85"/>
    </row>
    <row r="115" spans="1:5" x14ac:dyDescent="0.25">
      <c r="A115" s="329"/>
      <c r="B115" s="3" t="s">
        <v>121</v>
      </c>
      <c r="C115" s="86">
        <f>_xlfn.CEILING.MATH((C111*C112)/(C113*C114))</f>
        <v>223</v>
      </c>
      <c r="D115" s="330"/>
      <c r="E115" s="85"/>
    </row>
    <row r="116" spans="1:5" x14ac:dyDescent="0.25">
      <c r="A116" s="329"/>
      <c r="B116" s="3" t="s">
        <v>131</v>
      </c>
      <c r="C116" s="3">
        <v>8</v>
      </c>
      <c r="D116" s="330"/>
      <c r="E116" s="85"/>
    </row>
    <row r="117" spans="1:5" x14ac:dyDescent="0.25">
      <c r="A117" s="329"/>
      <c r="B117" s="3" t="s">
        <v>130</v>
      </c>
      <c r="C117" s="86" t="str">
        <f>INT(C115/C116)&amp;"件零"&amp;MOD(C115,C116)&amp;"块"</f>
        <v>27件零7块</v>
      </c>
      <c r="D117" s="330"/>
      <c r="E117" s="85"/>
    </row>
    <row r="118" spans="1:5" x14ac:dyDescent="0.25">
      <c r="A118" s="329" t="s">
        <v>123</v>
      </c>
      <c r="B118" s="3" t="s">
        <v>119</v>
      </c>
      <c r="C118" s="3">
        <v>0.6</v>
      </c>
      <c r="D118" s="330" t="s">
        <v>136</v>
      </c>
      <c r="E118" s="85"/>
    </row>
    <row r="119" spans="1:5" x14ac:dyDescent="0.25">
      <c r="A119" s="329"/>
      <c r="B119" s="3" t="s">
        <v>120</v>
      </c>
      <c r="C119" s="3">
        <v>0.3</v>
      </c>
      <c r="D119" s="330"/>
      <c r="E119" s="85"/>
    </row>
    <row r="120" spans="1:5" x14ac:dyDescent="0.25">
      <c r="A120" s="329"/>
      <c r="B120" s="3" t="s">
        <v>124</v>
      </c>
      <c r="C120" s="87" t="s">
        <v>125</v>
      </c>
      <c r="D120" s="330"/>
      <c r="E120" s="85"/>
    </row>
    <row r="121" spans="1:5" x14ac:dyDescent="0.25">
      <c r="A121" s="329"/>
      <c r="B121" s="3" t="s">
        <v>126</v>
      </c>
      <c r="C121" s="3">
        <v>4</v>
      </c>
      <c r="D121" s="330"/>
      <c r="E121" s="85"/>
    </row>
    <row r="122" spans="1:5" ht="30" x14ac:dyDescent="0.25">
      <c r="A122" s="329"/>
      <c r="B122" s="3" t="s">
        <v>128</v>
      </c>
      <c r="C122" s="86">
        <f>IF(C120="竖着贴",C121*C118,IF(C120="横着贴",C121*C119,"既不横着贴，又不竖着贴，你要怎么贴？"))</f>
        <v>2.4</v>
      </c>
      <c r="D122" s="330"/>
      <c r="E122" s="88" t="s">
        <v>127</v>
      </c>
    </row>
    <row r="123" spans="1:5" x14ac:dyDescent="0.25">
      <c r="A123" s="329"/>
      <c r="B123" s="3" t="s">
        <v>121</v>
      </c>
      <c r="C123" s="86">
        <f>_xlfn.CEILING.MATH((C111+C112)*2*C122/(C118*C119))</f>
        <v>480</v>
      </c>
      <c r="D123" s="330"/>
      <c r="E123" s="85"/>
    </row>
    <row r="124" spans="1:5" x14ac:dyDescent="0.25">
      <c r="A124" s="329"/>
      <c r="B124" s="3" t="s">
        <v>131</v>
      </c>
      <c r="C124" s="3">
        <v>8</v>
      </c>
      <c r="D124" s="330"/>
      <c r="E124" s="85"/>
    </row>
    <row r="125" spans="1:5" x14ac:dyDescent="0.25">
      <c r="A125" s="329"/>
      <c r="B125" s="3" t="s">
        <v>130</v>
      </c>
      <c r="C125" s="86" t="str">
        <f>INT(C123/C124)&amp;"件零"&amp;MOD(C123,C124)&amp;"块"</f>
        <v>60件零0块</v>
      </c>
      <c r="D125" s="330"/>
      <c r="E125" s="85"/>
    </row>
    <row r="126" spans="1:5" x14ac:dyDescent="0.25">
      <c r="A126" s="329" t="s">
        <v>132</v>
      </c>
      <c r="B126" s="3" t="s">
        <v>119</v>
      </c>
      <c r="C126" s="3">
        <v>0.2</v>
      </c>
      <c r="D126" s="332" t="s">
        <v>136</v>
      </c>
      <c r="E126" s="85"/>
    </row>
    <row r="127" spans="1:5" x14ac:dyDescent="0.25">
      <c r="A127" s="329"/>
      <c r="B127" s="3" t="s">
        <v>121</v>
      </c>
      <c r="C127" s="86">
        <f>_xlfn.CEILING.MATH((C111+C112)*2/C126)</f>
        <v>180</v>
      </c>
      <c r="D127" s="332"/>
      <c r="E127" s="85"/>
    </row>
    <row r="128" spans="1:5" x14ac:dyDescent="0.25">
      <c r="A128" s="329"/>
      <c r="B128" s="3" t="s">
        <v>131</v>
      </c>
      <c r="C128" s="3">
        <v>8</v>
      </c>
      <c r="D128" s="332"/>
      <c r="E128" s="85"/>
    </row>
    <row r="129" spans="1:5" ht="15.5" thickBot="1" x14ac:dyDescent="0.3">
      <c r="A129" s="331"/>
      <c r="B129" s="89" t="s">
        <v>130</v>
      </c>
      <c r="C129" s="90" t="str">
        <f>INT(C127/C128)&amp;"件零"&amp;MOD(C127,C128)&amp;"块"</f>
        <v>22件零4块</v>
      </c>
      <c r="D129" s="333"/>
      <c r="E129" s="91"/>
    </row>
  </sheetData>
  <sheetProtection formatCells="0" formatColumns="0" formatRows="0" insertColumns="0" insertRows="0" insertHyperlinks="0" deleteColumns="0" deleteRows="0" sort="0" autoFilter="0" pivotTables="0"/>
  <mergeCells count="84">
    <mergeCell ref="P20:Q20"/>
    <mergeCell ref="A15:F15"/>
    <mergeCell ref="D12:D13"/>
    <mergeCell ref="B3:B4"/>
    <mergeCell ref="B9:B10"/>
    <mergeCell ref="A20:F20"/>
    <mergeCell ref="J20:L20"/>
    <mergeCell ref="M20:O20"/>
    <mergeCell ref="G20:I20"/>
    <mergeCell ref="B6:B7"/>
    <mergeCell ref="F6:F7"/>
    <mergeCell ref="J6:J7"/>
    <mergeCell ref="A26:C26"/>
    <mergeCell ref="A47:C47"/>
    <mergeCell ref="A48:A49"/>
    <mergeCell ref="D48:D49"/>
    <mergeCell ref="A42:A45"/>
    <mergeCell ref="D29:D33"/>
    <mergeCell ref="D27:D28"/>
    <mergeCell ref="D34:D41"/>
    <mergeCell ref="D42:D45"/>
    <mergeCell ref="A27:A28"/>
    <mergeCell ref="A29:A33"/>
    <mergeCell ref="A34:A41"/>
    <mergeCell ref="A50:A54"/>
    <mergeCell ref="D50:D54"/>
    <mergeCell ref="A55:A62"/>
    <mergeCell ref="D55:D62"/>
    <mergeCell ref="A63:A66"/>
    <mergeCell ref="D63:D66"/>
    <mergeCell ref="M47:O47"/>
    <mergeCell ref="M48:M49"/>
    <mergeCell ref="M63:M66"/>
    <mergeCell ref="G47:I47"/>
    <mergeCell ref="G48:G49"/>
    <mergeCell ref="J48:J49"/>
    <mergeCell ref="G50:G54"/>
    <mergeCell ref="J50:J54"/>
    <mergeCell ref="M50:M54"/>
    <mergeCell ref="M55:M62"/>
    <mergeCell ref="G55:G62"/>
    <mergeCell ref="J55:J62"/>
    <mergeCell ref="G63:G66"/>
    <mergeCell ref="J63:J66"/>
    <mergeCell ref="P63:P66"/>
    <mergeCell ref="S47:U47"/>
    <mergeCell ref="S48:S49"/>
    <mergeCell ref="V48:V49"/>
    <mergeCell ref="S50:S54"/>
    <mergeCell ref="V50:V54"/>
    <mergeCell ref="S55:S62"/>
    <mergeCell ref="V55:V62"/>
    <mergeCell ref="S63:S66"/>
    <mergeCell ref="V63:V66"/>
    <mergeCell ref="P48:P49"/>
    <mergeCell ref="P50:P54"/>
    <mergeCell ref="P55:P62"/>
    <mergeCell ref="A68:C68"/>
    <mergeCell ref="A69:A70"/>
    <mergeCell ref="D69:D70"/>
    <mergeCell ref="A71:A75"/>
    <mergeCell ref="D71:D75"/>
    <mergeCell ref="A76:A83"/>
    <mergeCell ref="D76:D83"/>
    <mergeCell ref="A84:A87"/>
    <mergeCell ref="D84:D87"/>
    <mergeCell ref="A89:C89"/>
    <mergeCell ref="A90:A91"/>
    <mergeCell ref="D90:D91"/>
    <mergeCell ref="A92:A96"/>
    <mergeCell ref="D92:D96"/>
    <mergeCell ref="A97:A104"/>
    <mergeCell ref="D97:D104"/>
    <mergeCell ref="A105:A108"/>
    <mergeCell ref="D105:D108"/>
    <mergeCell ref="A110:C110"/>
    <mergeCell ref="A111:A112"/>
    <mergeCell ref="D111:D112"/>
    <mergeCell ref="A113:A117"/>
    <mergeCell ref="D113:D117"/>
    <mergeCell ref="A118:A125"/>
    <mergeCell ref="D118:D125"/>
    <mergeCell ref="A126:A129"/>
    <mergeCell ref="D126:D129"/>
  </mergeCells>
  <phoneticPr fontId="3" type="noConversion"/>
  <dataValidations count="2">
    <dataValidation type="list" allowBlank="1" showInputMessage="1" showErrorMessage="1" sqref="C36 C57 I57 O57 U57 C78 C99 C120" xr:uid="{00000000-0002-0000-0000-000000000000}">
      <formula1>"横着贴,竖着贴"</formula1>
    </dataValidation>
    <dataValidation type="list" allowBlank="1" showInputMessage="1" showErrorMessage="1" sqref="D29:D45 D50:D66 J50:J66 P50:P66 V50:V66 D71:D87 D92:D108 D113:D129" xr:uid="{00000000-0002-0000-0000-000001000000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zoomScale="85" zoomScaleNormal="85" workbookViewId="0">
      <selection activeCell="H32" sqref="H32"/>
    </sheetView>
  </sheetViews>
  <sheetFormatPr defaultRowHeight="15" x14ac:dyDescent="0.25"/>
  <cols>
    <col min="1" max="1" width="10.5" customWidth="1"/>
    <col min="3" max="3" width="11.33203125" customWidth="1"/>
    <col min="11" max="11" width="12" customWidth="1"/>
    <col min="13" max="13" width="12.33203125" customWidth="1"/>
  </cols>
  <sheetData>
    <row r="1" spans="1:13" x14ac:dyDescent="0.25">
      <c r="A1" s="355" t="s">
        <v>49</v>
      </c>
      <c r="B1" s="356"/>
      <c r="C1" s="356"/>
      <c r="D1" s="356"/>
      <c r="E1" s="356"/>
      <c r="F1" s="356"/>
      <c r="G1" s="356"/>
      <c r="H1" s="356"/>
      <c r="I1" s="356"/>
      <c r="J1" s="356"/>
      <c r="K1" s="357"/>
      <c r="L1" s="349" t="s">
        <v>56</v>
      </c>
      <c r="M1" s="350"/>
    </row>
    <row r="2" spans="1:13" x14ac:dyDescent="0.25">
      <c r="A2" s="358"/>
      <c r="B2" s="359"/>
      <c r="C2" s="359"/>
      <c r="D2" s="359"/>
      <c r="E2" s="359"/>
      <c r="F2" s="359"/>
      <c r="G2" s="359"/>
      <c r="H2" s="359"/>
      <c r="I2" s="359"/>
      <c r="J2" s="359"/>
      <c r="K2" s="360"/>
      <c r="L2" s="351" t="s">
        <v>57</v>
      </c>
      <c r="M2" s="352"/>
    </row>
    <row r="3" spans="1:13" ht="24.75" customHeight="1" thickBot="1" x14ac:dyDescent="0.3">
      <c r="A3" s="361" t="s">
        <v>53</v>
      </c>
      <c r="B3" s="362" t="s">
        <v>59</v>
      </c>
      <c r="C3" s="359"/>
      <c r="D3" s="359"/>
      <c r="E3" s="359"/>
      <c r="F3" s="359"/>
      <c r="G3" s="359"/>
      <c r="H3" s="359"/>
      <c r="I3" s="359"/>
      <c r="J3" s="359"/>
      <c r="K3" s="363" t="s">
        <v>60</v>
      </c>
      <c r="L3" s="353" t="s">
        <v>58</v>
      </c>
      <c r="M3" s="354"/>
    </row>
    <row r="4" spans="1:13" ht="19.5" customHeight="1" x14ac:dyDescent="0.25">
      <c r="A4" s="358"/>
      <c r="B4" s="39">
        <v>1</v>
      </c>
      <c r="C4" s="39">
        <v>2</v>
      </c>
      <c r="D4" s="39">
        <v>3</v>
      </c>
      <c r="E4" s="39">
        <v>4</v>
      </c>
      <c r="F4" s="39">
        <v>5</v>
      </c>
      <c r="G4" s="39">
        <v>6</v>
      </c>
      <c r="H4" s="39">
        <v>7</v>
      </c>
      <c r="I4" s="39">
        <v>8</v>
      </c>
      <c r="J4" s="39">
        <v>9</v>
      </c>
      <c r="K4" s="360"/>
      <c r="M4" s="32">
        <f>B24</f>
        <v>7</v>
      </c>
    </row>
    <row r="5" spans="1:13" ht="19" customHeight="1" x14ac:dyDescent="0.25">
      <c r="A5" s="40">
        <v>6</v>
      </c>
      <c r="B5" s="39">
        <v>28.3</v>
      </c>
      <c r="C5" s="39">
        <v>57</v>
      </c>
      <c r="D5" s="39">
        <v>85</v>
      </c>
      <c r="E5" s="39">
        <v>113</v>
      </c>
      <c r="F5" s="39">
        <v>142</v>
      </c>
      <c r="G5" s="39">
        <v>170</v>
      </c>
      <c r="H5" s="39">
        <v>198</v>
      </c>
      <c r="I5" s="39">
        <v>226</v>
      </c>
      <c r="J5" s="39">
        <v>255</v>
      </c>
      <c r="K5" s="42">
        <v>0.222</v>
      </c>
      <c r="M5" s="33">
        <f>HLOOKUP($M$4,$B$4:$J$20,ROW(A2),FALSE)</f>
        <v>198</v>
      </c>
    </row>
    <row r="6" spans="1:13" ht="19" customHeight="1" x14ac:dyDescent="0.25">
      <c r="A6" s="40">
        <v>6.5</v>
      </c>
      <c r="B6" s="39">
        <v>33.200000000000003</v>
      </c>
      <c r="C6" s="39">
        <v>66</v>
      </c>
      <c r="D6" s="39">
        <v>100</v>
      </c>
      <c r="E6" s="39">
        <v>133</v>
      </c>
      <c r="F6" s="39">
        <v>166</v>
      </c>
      <c r="G6" s="39">
        <v>199</v>
      </c>
      <c r="H6" s="39">
        <v>232</v>
      </c>
      <c r="I6" s="39">
        <v>265</v>
      </c>
      <c r="J6" s="39">
        <v>299</v>
      </c>
      <c r="K6" s="43">
        <v>0.26</v>
      </c>
      <c r="M6" s="33">
        <f t="shared" ref="M6:M20" si="0">HLOOKUP($M$4,$B$4:$J$20,ROW(A3),FALSE)</f>
        <v>232</v>
      </c>
    </row>
    <row r="7" spans="1:13" ht="19" customHeight="1" x14ac:dyDescent="0.25">
      <c r="A7" s="40">
        <v>8</v>
      </c>
      <c r="B7" s="39">
        <v>50.3</v>
      </c>
      <c r="C7" s="28">
        <v>101</v>
      </c>
      <c r="D7" s="28">
        <v>151</v>
      </c>
      <c r="E7" s="28">
        <v>201</v>
      </c>
      <c r="F7" s="28">
        <v>252</v>
      </c>
      <c r="G7" s="28">
        <v>302</v>
      </c>
      <c r="H7" s="28">
        <v>352</v>
      </c>
      <c r="I7" s="28">
        <v>402</v>
      </c>
      <c r="J7" s="28">
        <v>453</v>
      </c>
      <c r="K7" s="29">
        <v>0.39500000000000002</v>
      </c>
      <c r="M7" s="33">
        <f t="shared" si="0"/>
        <v>352</v>
      </c>
    </row>
    <row r="8" spans="1:13" ht="19" customHeight="1" x14ac:dyDescent="0.25">
      <c r="A8" s="40">
        <v>10</v>
      </c>
      <c r="B8" s="39">
        <v>78.5</v>
      </c>
      <c r="C8" s="28">
        <v>157</v>
      </c>
      <c r="D8" s="28">
        <v>236</v>
      </c>
      <c r="E8" s="28">
        <v>314</v>
      </c>
      <c r="F8" s="28">
        <v>393</v>
      </c>
      <c r="G8" s="28">
        <v>471</v>
      </c>
      <c r="H8" s="28">
        <v>550</v>
      </c>
      <c r="I8" s="28">
        <v>628</v>
      </c>
      <c r="J8" s="28">
        <v>707</v>
      </c>
      <c r="K8" s="29">
        <v>0.61699999999999999</v>
      </c>
      <c r="M8" s="33">
        <f t="shared" si="0"/>
        <v>550</v>
      </c>
    </row>
    <row r="9" spans="1:13" ht="19" customHeight="1" x14ac:dyDescent="0.25">
      <c r="A9" s="40">
        <v>12</v>
      </c>
      <c r="B9" s="39">
        <v>113.1</v>
      </c>
      <c r="C9" s="28">
        <v>226</v>
      </c>
      <c r="D9" s="28">
        <v>339</v>
      </c>
      <c r="E9" s="28">
        <v>452</v>
      </c>
      <c r="F9" s="28">
        <v>565</v>
      </c>
      <c r="G9" s="28">
        <v>678</v>
      </c>
      <c r="H9" s="28">
        <v>791</v>
      </c>
      <c r="I9" s="28">
        <v>904</v>
      </c>
      <c r="J9" s="28">
        <v>1017</v>
      </c>
      <c r="K9" s="29">
        <v>0.88800000000000001</v>
      </c>
      <c r="M9" s="33">
        <f t="shared" si="0"/>
        <v>791</v>
      </c>
    </row>
    <row r="10" spans="1:13" ht="19" customHeight="1" x14ac:dyDescent="0.25">
      <c r="A10" s="40">
        <v>14</v>
      </c>
      <c r="B10" s="39">
        <v>153.9</v>
      </c>
      <c r="C10" s="28">
        <v>308</v>
      </c>
      <c r="D10" s="28">
        <v>461</v>
      </c>
      <c r="E10" s="28">
        <v>615</v>
      </c>
      <c r="F10" s="28">
        <v>769</v>
      </c>
      <c r="G10" s="28">
        <v>923</v>
      </c>
      <c r="H10" s="28">
        <v>1077</v>
      </c>
      <c r="I10" s="28">
        <v>1231</v>
      </c>
      <c r="J10" s="28">
        <v>1385</v>
      </c>
      <c r="K10" s="29">
        <v>1.21</v>
      </c>
      <c r="M10" s="33">
        <f t="shared" si="0"/>
        <v>1077</v>
      </c>
    </row>
    <row r="11" spans="1:13" ht="19" customHeight="1" x14ac:dyDescent="0.25">
      <c r="A11" s="40">
        <v>16</v>
      </c>
      <c r="B11" s="39">
        <v>201.1</v>
      </c>
      <c r="C11" s="28">
        <v>402</v>
      </c>
      <c r="D11" s="28">
        <v>603</v>
      </c>
      <c r="E11" s="28">
        <v>804</v>
      </c>
      <c r="F11" s="28">
        <v>1005</v>
      </c>
      <c r="G11" s="28">
        <v>1206</v>
      </c>
      <c r="H11" s="28">
        <v>1407</v>
      </c>
      <c r="I11" s="28">
        <v>1608</v>
      </c>
      <c r="J11" s="28">
        <v>1809</v>
      </c>
      <c r="K11" s="29">
        <v>1.58</v>
      </c>
      <c r="M11" s="33">
        <f t="shared" si="0"/>
        <v>1407</v>
      </c>
    </row>
    <row r="12" spans="1:13" ht="19" customHeight="1" x14ac:dyDescent="0.25">
      <c r="A12" s="40">
        <v>18</v>
      </c>
      <c r="B12" s="39">
        <v>254.5</v>
      </c>
      <c r="C12" s="28">
        <v>509</v>
      </c>
      <c r="D12" s="28">
        <v>763</v>
      </c>
      <c r="E12" s="28">
        <v>1017</v>
      </c>
      <c r="F12" s="28">
        <v>1272</v>
      </c>
      <c r="G12" s="28">
        <v>1527</v>
      </c>
      <c r="H12" s="28">
        <v>1781</v>
      </c>
      <c r="I12" s="28">
        <v>2036</v>
      </c>
      <c r="J12" s="28">
        <v>2290</v>
      </c>
      <c r="K12" s="29">
        <v>2</v>
      </c>
      <c r="M12" s="33">
        <f t="shared" si="0"/>
        <v>1781</v>
      </c>
    </row>
    <row r="13" spans="1:13" ht="19" customHeight="1" x14ac:dyDescent="0.25">
      <c r="A13" s="40">
        <v>20</v>
      </c>
      <c r="B13" s="39">
        <v>314.2</v>
      </c>
      <c r="C13" s="28">
        <v>628</v>
      </c>
      <c r="D13" s="28">
        <v>942</v>
      </c>
      <c r="E13" s="28">
        <v>1256</v>
      </c>
      <c r="F13" s="28">
        <v>1570</v>
      </c>
      <c r="G13" s="28">
        <v>1884</v>
      </c>
      <c r="H13" s="28">
        <v>2199</v>
      </c>
      <c r="I13" s="28">
        <v>2513</v>
      </c>
      <c r="J13" s="28">
        <v>2827</v>
      </c>
      <c r="K13" s="29">
        <v>2.4700000000000002</v>
      </c>
      <c r="M13" s="33">
        <f t="shared" si="0"/>
        <v>2199</v>
      </c>
    </row>
    <row r="14" spans="1:13" ht="19" customHeight="1" x14ac:dyDescent="0.25">
      <c r="A14" s="40">
        <v>22</v>
      </c>
      <c r="B14" s="39">
        <v>380.1</v>
      </c>
      <c r="C14" s="28">
        <v>760</v>
      </c>
      <c r="D14" s="28">
        <v>1140</v>
      </c>
      <c r="E14" s="28">
        <v>1520</v>
      </c>
      <c r="F14" s="28">
        <v>1900</v>
      </c>
      <c r="G14" s="28">
        <v>2281</v>
      </c>
      <c r="H14" s="28">
        <v>2661</v>
      </c>
      <c r="I14" s="28">
        <v>3041</v>
      </c>
      <c r="J14" s="28">
        <v>3421</v>
      </c>
      <c r="K14" s="29">
        <v>2.98</v>
      </c>
      <c r="M14" s="33">
        <f t="shared" si="0"/>
        <v>2661</v>
      </c>
    </row>
    <row r="15" spans="1:13" ht="19" customHeight="1" x14ac:dyDescent="0.25">
      <c r="A15" s="40">
        <v>25</v>
      </c>
      <c r="B15" s="39">
        <v>490.9</v>
      </c>
      <c r="C15" s="28">
        <v>982</v>
      </c>
      <c r="D15" s="28">
        <v>1473</v>
      </c>
      <c r="E15" s="38">
        <v>1964</v>
      </c>
      <c r="F15" s="28">
        <v>2454</v>
      </c>
      <c r="G15" s="28">
        <v>2945</v>
      </c>
      <c r="H15" s="28">
        <v>3436</v>
      </c>
      <c r="I15" s="28">
        <v>3927</v>
      </c>
      <c r="J15" s="28">
        <v>4418</v>
      </c>
      <c r="K15" s="29">
        <v>3.85</v>
      </c>
      <c r="M15" s="33">
        <f t="shared" si="0"/>
        <v>3436</v>
      </c>
    </row>
    <row r="16" spans="1:13" ht="19" customHeight="1" x14ac:dyDescent="0.25">
      <c r="A16" s="40">
        <v>28</v>
      </c>
      <c r="B16" s="39">
        <v>615.79999999999995</v>
      </c>
      <c r="C16" s="28">
        <v>1232</v>
      </c>
      <c r="D16" s="28">
        <v>1847</v>
      </c>
      <c r="E16" s="28">
        <v>2463</v>
      </c>
      <c r="F16" s="28">
        <v>3079</v>
      </c>
      <c r="G16" s="28" t="s">
        <v>50</v>
      </c>
      <c r="H16" s="28">
        <v>4310</v>
      </c>
      <c r="I16" s="28">
        <v>4926</v>
      </c>
      <c r="J16" s="28">
        <v>5542</v>
      </c>
      <c r="K16" s="29">
        <v>4.83</v>
      </c>
      <c r="M16" s="33">
        <f t="shared" si="0"/>
        <v>4310</v>
      </c>
    </row>
    <row r="17" spans="1:13" ht="19" customHeight="1" x14ac:dyDescent="0.25">
      <c r="A17" s="40">
        <v>32</v>
      </c>
      <c r="B17" s="28">
        <v>804.2</v>
      </c>
      <c r="C17" s="28">
        <v>1609</v>
      </c>
      <c r="D17" s="28">
        <v>2413</v>
      </c>
      <c r="E17" s="28">
        <v>3217</v>
      </c>
      <c r="F17" s="28">
        <v>4021</v>
      </c>
      <c r="G17" s="28">
        <v>4826</v>
      </c>
      <c r="H17" s="28">
        <v>5630</v>
      </c>
      <c r="I17" s="28">
        <v>6434</v>
      </c>
      <c r="J17" s="28">
        <v>7238</v>
      </c>
      <c r="K17" s="29">
        <v>6.31</v>
      </c>
      <c r="M17" s="33">
        <f t="shared" si="0"/>
        <v>5630</v>
      </c>
    </row>
    <row r="18" spans="1:13" ht="19" customHeight="1" x14ac:dyDescent="0.25">
      <c r="A18" s="40">
        <v>36</v>
      </c>
      <c r="B18" s="28">
        <v>1017.9</v>
      </c>
      <c r="C18" s="28">
        <v>2036</v>
      </c>
      <c r="D18" s="28">
        <v>3054</v>
      </c>
      <c r="E18" s="28">
        <v>4072</v>
      </c>
      <c r="F18" s="28">
        <v>5089</v>
      </c>
      <c r="G18" s="28">
        <v>6107</v>
      </c>
      <c r="H18" s="28">
        <v>7125</v>
      </c>
      <c r="I18" s="28">
        <v>8143</v>
      </c>
      <c r="J18" s="28">
        <v>9161</v>
      </c>
      <c r="K18" s="29">
        <v>7.99</v>
      </c>
      <c r="M18" s="33">
        <f t="shared" si="0"/>
        <v>7125</v>
      </c>
    </row>
    <row r="19" spans="1:13" ht="19" customHeight="1" x14ac:dyDescent="0.25">
      <c r="A19" s="40">
        <v>40</v>
      </c>
      <c r="B19" s="28">
        <v>1256.5999999999999</v>
      </c>
      <c r="C19" s="28">
        <v>2513</v>
      </c>
      <c r="D19" s="28">
        <v>3770</v>
      </c>
      <c r="E19" s="28">
        <v>5027</v>
      </c>
      <c r="F19" s="28">
        <v>6283</v>
      </c>
      <c r="G19" s="28">
        <v>7540</v>
      </c>
      <c r="H19" s="38" t="s">
        <v>51</v>
      </c>
      <c r="I19" s="28">
        <v>10053</v>
      </c>
      <c r="J19" s="28">
        <v>11310</v>
      </c>
      <c r="K19" s="29">
        <v>9.8699999999999992</v>
      </c>
      <c r="M19" s="33" t="str">
        <f t="shared" si="0"/>
        <v xml:space="preserve">8796 </v>
      </c>
    </row>
    <row r="20" spans="1:13" ht="19" customHeight="1" thickBot="1" x14ac:dyDescent="0.3">
      <c r="A20" s="41">
        <v>50</v>
      </c>
      <c r="B20" s="30">
        <v>1964</v>
      </c>
      <c r="C20" s="30">
        <v>3928</v>
      </c>
      <c r="D20" s="30">
        <v>5892</v>
      </c>
      <c r="E20" s="30">
        <v>7856</v>
      </c>
      <c r="F20" s="30">
        <v>9820</v>
      </c>
      <c r="G20" s="30">
        <v>11784</v>
      </c>
      <c r="H20" s="30">
        <v>13748</v>
      </c>
      <c r="I20" s="30">
        <v>15712</v>
      </c>
      <c r="J20" s="30">
        <v>17676</v>
      </c>
      <c r="K20" s="31">
        <v>15.42</v>
      </c>
      <c r="M20" s="34">
        <f t="shared" si="0"/>
        <v>13748</v>
      </c>
    </row>
    <row r="21" spans="1:13" ht="15.5" thickBot="1" x14ac:dyDescent="0.3"/>
    <row r="22" spans="1:13" ht="32.25" customHeight="1" x14ac:dyDescent="0.25">
      <c r="B22" s="346" t="s">
        <v>55</v>
      </c>
      <c r="C22" s="347"/>
      <c r="D22" s="347"/>
      <c r="E22" s="347"/>
      <c r="F22" s="347"/>
      <c r="G22" s="348"/>
      <c r="I22" s="364" t="s">
        <v>63</v>
      </c>
      <c r="J22" s="365"/>
      <c r="K22" s="366"/>
    </row>
    <row r="23" spans="1:13" ht="30.75" customHeight="1" x14ac:dyDescent="0.25">
      <c r="A23" s="26"/>
      <c r="B23" s="37" t="s">
        <v>52</v>
      </c>
      <c r="C23" s="27" t="s">
        <v>53</v>
      </c>
      <c r="D23" s="342" t="s">
        <v>54</v>
      </c>
      <c r="E23" s="342"/>
      <c r="F23" s="342"/>
      <c r="G23" s="343"/>
      <c r="H23" s="26"/>
      <c r="I23" s="44" t="s">
        <v>62</v>
      </c>
      <c r="J23" s="342" t="s">
        <v>61</v>
      </c>
      <c r="K23" s="343"/>
    </row>
    <row r="24" spans="1:13" ht="29.25" customHeight="1" thickBot="1" x14ac:dyDescent="0.3">
      <c r="A24" s="26"/>
      <c r="B24" s="35">
        <v>7</v>
      </c>
      <c r="C24" s="36">
        <v>16</v>
      </c>
      <c r="D24" s="344">
        <f>VLOOKUP(C24,A5:M20,13,FALSE)</f>
        <v>1407</v>
      </c>
      <c r="E24" s="344"/>
      <c r="F24" s="344"/>
      <c r="G24" s="345"/>
      <c r="H24" s="26"/>
      <c r="I24" s="35">
        <v>25</v>
      </c>
      <c r="J24" s="344">
        <f>VLOOKUP(I24,A5:K20,11,FALSE)</f>
        <v>3.85</v>
      </c>
      <c r="K24" s="345"/>
    </row>
    <row r="25" spans="1:13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3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3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3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3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3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3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</row>
  </sheetData>
  <mergeCells count="13">
    <mergeCell ref="D23:G23"/>
    <mergeCell ref="D24:G24"/>
    <mergeCell ref="B22:G22"/>
    <mergeCell ref="L1:M1"/>
    <mergeCell ref="L2:M2"/>
    <mergeCell ref="L3:M3"/>
    <mergeCell ref="A1:K2"/>
    <mergeCell ref="A3:A4"/>
    <mergeCell ref="B3:J3"/>
    <mergeCell ref="K3:K4"/>
    <mergeCell ref="I22:K22"/>
    <mergeCell ref="J23:K23"/>
    <mergeCell ref="J24:K24"/>
  </mergeCells>
  <phoneticPr fontId="3" type="noConversion"/>
  <dataValidations count="2">
    <dataValidation type="list" allowBlank="1" showInputMessage="1" showErrorMessage="1" sqref="B24" xr:uid="{00000000-0002-0000-0100-000000000000}">
      <formula1>$B$4:$J$4</formula1>
    </dataValidation>
    <dataValidation type="list" allowBlank="1" showInputMessage="1" showErrorMessage="1" sqref="C24 I24" xr:uid="{00000000-0002-0000-0100-000001000000}">
      <formula1>$A$5:$A$20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0"/>
  <sheetViews>
    <sheetView tabSelected="1" topLeftCell="F93" zoomScale="55" zoomScaleNormal="55" workbookViewId="0">
      <selection activeCell="H106" sqref="H106"/>
    </sheetView>
  </sheetViews>
  <sheetFormatPr defaultRowHeight="15" x14ac:dyDescent="0.25"/>
  <cols>
    <col min="1" max="1" width="15" customWidth="1"/>
    <col min="2" max="2" width="18.08203125" customWidth="1"/>
    <col min="3" max="3" width="14.83203125" customWidth="1"/>
    <col min="4" max="4" width="21" customWidth="1"/>
    <col min="5" max="5" width="19.25" customWidth="1"/>
    <col min="6" max="6" width="19" customWidth="1"/>
    <col min="7" max="7" width="21.5" customWidth="1"/>
    <col min="8" max="8" width="16.33203125" customWidth="1"/>
    <col min="9" max="9" width="20.25" customWidth="1"/>
    <col min="10" max="10" width="22.33203125" customWidth="1"/>
    <col min="11" max="11" width="12.5" customWidth="1"/>
    <col min="12" max="12" width="15.33203125" customWidth="1"/>
    <col min="14" max="14" width="11.08203125" customWidth="1"/>
    <col min="15" max="15" width="10.83203125" customWidth="1"/>
    <col min="16" max="16" width="24.75" customWidth="1"/>
    <col min="17" max="18" width="10.25" customWidth="1"/>
  </cols>
  <sheetData>
    <row r="1" spans="1:9" x14ac:dyDescent="0.25">
      <c r="A1" s="1" t="s">
        <v>72</v>
      </c>
      <c r="B1" s="387" t="s">
        <v>73</v>
      </c>
      <c r="C1" s="387"/>
    </row>
    <row r="2" spans="1:9" ht="15.5" thickBot="1" x14ac:dyDescent="0.3">
      <c r="A2" s="26"/>
      <c r="B2" s="26"/>
      <c r="C2" s="26"/>
      <c r="D2" s="26"/>
      <c r="E2" s="26"/>
      <c r="F2" s="26"/>
      <c r="G2" s="26"/>
    </row>
    <row r="3" spans="1:9" x14ac:dyDescent="0.25">
      <c r="A3" s="93" t="s">
        <v>45</v>
      </c>
      <c r="B3" s="93" t="s">
        <v>46</v>
      </c>
      <c r="C3" s="93" t="s">
        <v>47</v>
      </c>
      <c r="D3" s="402" t="s">
        <v>48</v>
      </c>
      <c r="E3" s="94" t="s">
        <v>45</v>
      </c>
      <c r="F3" s="95"/>
      <c r="G3" s="26"/>
    </row>
    <row r="4" spans="1:9" ht="15.5" thickBot="1" x14ac:dyDescent="0.3">
      <c r="A4" s="96">
        <v>13</v>
      </c>
      <c r="B4" s="96">
        <v>14</v>
      </c>
      <c r="C4" s="96">
        <v>52</v>
      </c>
      <c r="D4" s="403"/>
      <c r="E4" s="97">
        <f>A4+B4/60+C4/3600</f>
        <v>13.247777777777777</v>
      </c>
      <c r="F4" s="95"/>
      <c r="G4" s="26"/>
    </row>
    <row r="5" spans="1:9" ht="15.5" thickBot="1" x14ac:dyDescent="0.3">
      <c r="A5" s="26"/>
      <c r="B5" s="26"/>
      <c r="C5" s="26"/>
      <c r="D5" s="26"/>
      <c r="E5" s="26"/>
      <c r="F5" s="26"/>
      <c r="G5" s="26"/>
    </row>
    <row r="6" spans="1:9" x14ac:dyDescent="0.25">
      <c r="A6" s="93" t="s">
        <v>36</v>
      </c>
      <c r="B6" s="93" t="s">
        <v>38</v>
      </c>
      <c r="C6" s="94" t="s">
        <v>37</v>
      </c>
      <c r="D6" s="26"/>
      <c r="E6" s="26"/>
      <c r="F6" s="26"/>
      <c r="G6" s="26"/>
    </row>
    <row r="7" spans="1:9" ht="15.5" thickBot="1" x14ac:dyDescent="0.3">
      <c r="A7" s="98">
        <v>89.09</v>
      </c>
      <c r="B7" s="96">
        <v>2.3839999999999999</v>
      </c>
      <c r="C7" s="99">
        <f>3.1415926*B7*A7/180</f>
        <v>3.7069145089214222</v>
      </c>
      <c r="D7" s="26"/>
      <c r="E7" s="26"/>
      <c r="F7" s="26"/>
      <c r="G7" s="26"/>
    </row>
    <row r="8" spans="1:9" ht="15.5" thickBot="1" x14ac:dyDescent="0.3">
      <c r="A8" s="26"/>
      <c r="B8" s="26"/>
      <c r="C8" s="26"/>
      <c r="D8" s="26"/>
      <c r="E8" s="26"/>
      <c r="F8" s="26"/>
      <c r="G8" s="26"/>
    </row>
    <row r="9" spans="1:9" x14ac:dyDescent="0.25">
      <c r="A9" s="100" t="s">
        <v>39</v>
      </c>
      <c r="B9" s="93" t="s">
        <v>40</v>
      </c>
      <c r="C9" s="93" t="s">
        <v>41</v>
      </c>
      <c r="D9" s="93" t="s">
        <v>172</v>
      </c>
      <c r="E9" s="94" t="s">
        <v>173</v>
      </c>
      <c r="G9" s="26"/>
    </row>
    <row r="10" spans="1:9" ht="15.5" thickBot="1" x14ac:dyDescent="0.3">
      <c r="A10" s="101">
        <v>100</v>
      </c>
      <c r="B10" s="96">
        <v>1250</v>
      </c>
      <c r="C10" s="102">
        <f>SQRT(A10^2+B10^2)</f>
        <v>1253.9936203984453</v>
      </c>
      <c r="D10" s="103">
        <f>A10/B10</f>
        <v>0.08</v>
      </c>
      <c r="E10" s="104">
        <f>A10/C10</f>
        <v>7.9745222282889994E-2</v>
      </c>
      <c r="G10" s="105"/>
    </row>
    <row r="11" spans="1:9" ht="15.5" thickBot="1" x14ac:dyDescent="0.3">
      <c r="A11" s="26"/>
      <c r="B11" s="26"/>
      <c r="F11" s="26"/>
      <c r="G11" s="26"/>
    </row>
    <row r="12" spans="1:9" x14ac:dyDescent="0.25">
      <c r="A12" s="100" t="s">
        <v>172</v>
      </c>
      <c r="B12" s="93" t="s">
        <v>174</v>
      </c>
      <c r="C12" s="94" t="s">
        <v>175</v>
      </c>
      <c r="E12" s="106" t="s">
        <v>176</v>
      </c>
      <c r="F12" s="93" t="s">
        <v>175</v>
      </c>
      <c r="G12" s="94" t="s">
        <v>174</v>
      </c>
    </row>
    <row r="13" spans="1:9" ht="15.5" thickBot="1" x14ac:dyDescent="0.3">
      <c r="A13" s="107">
        <v>6.6000000000000003E-2</v>
      </c>
      <c r="B13" s="96">
        <v>1295</v>
      </c>
      <c r="C13" s="108">
        <f>B13*A13</f>
        <v>85.47</v>
      </c>
      <c r="E13" s="107">
        <v>6.6000000000000003E-2</v>
      </c>
      <c r="F13" s="96">
        <v>85.47</v>
      </c>
      <c r="G13" s="108">
        <f>F13/E13</f>
        <v>1295</v>
      </c>
    </row>
    <row r="14" spans="1:9" ht="15.5" thickBot="1" x14ac:dyDescent="0.3">
      <c r="A14" s="26"/>
      <c r="B14" s="26"/>
      <c r="F14" s="26"/>
      <c r="G14" s="26"/>
    </row>
    <row r="15" spans="1:9" x14ac:dyDescent="0.25">
      <c r="A15" s="93" t="s">
        <v>171</v>
      </c>
      <c r="B15" s="93" t="s">
        <v>40</v>
      </c>
      <c r="C15" s="93" t="s">
        <v>39</v>
      </c>
      <c r="D15" s="94" t="s">
        <v>41</v>
      </c>
      <c r="F15" s="109" t="s">
        <v>171</v>
      </c>
      <c r="G15" s="110" t="s">
        <v>170</v>
      </c>
      <c r="H15" s="110" t="s">
        <v>40</v>
      </c>
      <c r="I15" s="111" t="s">
        <v>41</v>
      </c>
    </row>
    <row r="16" spans="1:9" ht="15.5" thickBot="1" x14ac:dyDescent="0.3">
      <c r="A16" s="112">
        <v>6.6000000000000003E-2</v>
      </c>
      <c r="B16" s="96">
        <v>1295.2924</v>
      </c>
      <c r="C16" s="102">
        <f>B16*A16/SQRT(1-A16^2)</f>
        <v>85.676104609823938</v>
      </c>
      <c r="D16" s="97">
        <f>SQRT(B16^2+C16^2)</f>
        <v>1298.1227971185444</v>
      </c>
      <c r="E16" s="26"/>
      <c r="F16" s="113">
        <v>0.41768</v>
      </c>
      <c r="G16" s="114">
        <v>25.007999999999999</v>
      </c>
      <c r="H16" s="115">
        <f>G16*SQRT(1-F16^2)/F16</f>
        <v>54.40079418886608</v>
      </c>
      <c r="I16" s="116">
        <f>SQRT(G16^2+H16^2)</f>
        <v>59.873587435357216</v>
      </c>
    </row>
    <row r="17" spans="1:10" ht="15.5" thickBot="1" x14ac:dyDescent="0.3">
      <c r="A17" s="26"/>
      <c r="B17" s="26"/>
      <c r="C17" s="26"/>
      <c r="D17" s="26"/>
      <c r="E17" s="26"/>
      <c r="F17" s="26"/>
      <c r="G17" s="26"/>
    </row>
    <row r="18" spans="1:10" x14ac:dyDescent="0.25">
      <c r="A18" s="93" t="s">
        <v>42</v>
      </c>
      <c r="B18" s="93" t="s">
        <v>43</v>
      </c>
      <c r="C18" s="93" t="s">
        <v>44</v>
      </c>
      <c r="D18" s="94" t="s">
        <v>35</v>
      </c>
      <c r="E18" s="26"/>
      <c r="F18" s="26"/>
      <c r="G18" s="26"/>
    </row>
    <row r="19" spans="1:10" ht="15.5" thickBot="1" x14ac:dyDescent="0.3">
      <c r="A19" s="96">
        <v>5.74</v>
      </c>
      <c r="B19" s="117">
        <f>TAN(RADIANS(A19))</f>
        <v>0.10051840569155993</v>
      </c>
      <c r="C19" s="117">
        <f>COS(RADIANS(A19))</f>
        <v>0.99498598921204906</v>
      </c>
      <c r="D19" s="118">
        <f>SIN(RADIANS(A19))</f>
        <v>0.10001440532103481</v>
      </c>
      <c r="E19" s="26"/>
      <c r="F19" s="26"/>
      <c r="G19" s="26"/>
    </row>
    <row r="20" spans="1:10" ht="15.5" thickBot="1" x14ac:dyDescent="0.3">
      <c r="A20" s="26"/>
      <c r="B20" s="26"/>
      <c r="C20" s="26"/>
      <c r="D20" s="26"/>
      <c r="E20" s="26"/>
      <c r="F20" s="26"/>
      <c r="G20" s="26"/>
    </row>
    <row r="21" spans="1:10" x14ac:dyDescent="0.25">
      <c r="A21" s="93" t="s">
        <v>35</v>
      </c>
      <c r="B21" s="94" t="s">
        <v>42</v>
      </c>
      <c r="C21" s="100" t="s">
        <v>43</v>
      </c>
      <c r="D21" s="94" t="s">
        <v>42</v>
      </c>
      <c r="E21" s="100" t="s">
        <v>44</v>
      </c>
      <c r="F21" s="94" t="s">
        <v>42</v>
      </c>
      <c r="G21" s="26"/>
    </row>
    <row r="22" spans="1:10" ht="15.5" thickBot="1" x14ac:dyDescent="0.3">
      <c r="A22" s="98">
        <v>0.1</v>
      </c>
      <c r="B22" s="119">
        <f>DEGREES(ASIN(A22))</f>
        <v>5.7391704772667866</v>
      </c>
      <c r="C22" s="120">
        <v>0.10050000000000001</v>
      </c>
      <c r="D22" s="119">
        <f>DEGREES(ATAN(C22))</f>
        <v>5.7389559783654311</v>
      </c>
      <c r="E22" s="120">
        <v>0.995</v>
      </c>
      <c r="F22" s="119">
        <f>DEGREES(ACOS(E22))</f>
        <v>5.7319679651977298</v>
      </c>
      <c r="G22" s="121"/>
    </row>
    <row r="23" spans="1:10" ht="15.5" thickBot="1" x14ac:dyDescent="0.3">
      <c r="A23" s="26"/>
      <c r="B23" s="26"/>
      <c r="C23" s="121"/>
      <c r="D23" s="26"/>
      <c r="E23" s="26"/>
      <c r="F23" s="26"/>
      <c r="G23" s="26"/>
    </row>
    <row r="24" spans="1:10" x14ac:dyDescent="0.25">
      <c r="A24" s="109" t="s">
        <v>401</v>
      </c>
      <c r="B24" s="110" t="s">
        <v>402</v>
      </c>
      <c r="C24" s="184" t="s">
        <v>403</v>
      </c>
      <c r="D24" s="375" t="s">
        <v>406</v>
      </c>
      <c r="E24" s="377"/>
      <c r="F24" s="26"/>
      <c r="G24" s="26"/>
    </row>
    <row r="25" spans="1:10" x14ac:dyDescent="0.25">
      <c r="A25" s="37" t="s">
        <v>404</v>
      </c>
      <c r="B25" s="236">
        <v>840</v>
      </c>
      <c r="C25" s="239">
        <v>569.32500000000005</v>
      </c>
      <c r="D25" s="37" t="s">
        <v>402</v>
      </c>
      <c r="E25" s="237">
        <v>845</v>
      </c>
      <c r="F25" s="26"/>
      <c r="G25" s="26"/>
    </row>
    <row r="26" spans="1:10" ht="15.5" thickBot="1" x14ac:dyDescent="0.3">
      <c r="A26" s="201" t="s">
        <v>405</v>
      </c>
      <c r="B26" s="238">
        <v>860</v>
      </c>
      <c r="C26" s="240">
        <v>570.02</v>
      </c>
      <c r="D26" s="201" t="s">
        <v>403</v>
      </c>
      <c r="E26" s="116">
        <f>TREND(C25:C26,B25:B26,E25)</f>
        <v>569.49874999999997</v>
      </c>
      <c r="F26" s="26"/>
      <c r="G26" s="26"/>
    </row>
    <row r="27" spans="1:10" ht="15.5" thickBot="1" x14ac:dyDescent="0.3">
      <c r="A27" s="26"/>
      <c r="B27" s="26"/>
      <c r="C27" s="121"/>
      <c r="D27" s="26"/>
      <c r="E27" s="26"/>
      <c r="F27" s="26"/>
      <c r="G27" s="26"/>
    </row>
    <row r="28" spans="1:10" ht="20.25" customHeight="1" x14ac:dyDescent="0.25">
      <c r="A28" s="388" t="s">
        <v>169</v>
      </c>
      <c r="B28" s="389"/>
      <c r="C28" s="389"/>
      <c r="D28" s="389"/>
      <c r="E28" s="389"/>
      <c r="F28" s="389"/>
      <c r="G28" s="389"/>
      <c r="H28" s="389"/>
      <c r="I28" s="389"/>
      <c r="J28" s="390"/>
    </row>
    <row r="29" spans="1:10" ht="52.5" customHeight="1" x14ac:dyDescent="0.25">
      <c r="A29" s="126" t="s">
        <v>185</v>
      </c>
      <c r="B29" s="127" t="s">
        <v>166</v>
      </c>
      <c r="C29" s="127" t="s">
        <v>167</v>
      </c>
      <c r="D29" s="127" t="s">
        <v>186</v>
      </c>
      <c r="E29" s="127" t="s">
        <v>187</v>
      </c>
      <c r="F29" s="127" t="s">
        <v>188</v>
      </c>
      <c r="G29" s="127" t="s">
        <v>168</v>
      </c>
      <c r="H29" s="127" t="s">
        <v>189</v>
      </c>
      <c r="I29" s="127" t="s">
        <v>190</v>
      </c>
      <c r="J29" s="128" t="s">
        <v>191</v>
      </c>
    </row>
    <row r="30" spans="1:10" s="26" customFormat="1" ht="15.5" thickBot="1" x14ac:dyDescent="0.3">
      <c r="A30" s="129">
        <v>6.6000000000000003E-2</v>
      </c>
      <c r="B30" s="130">
        <v>769.53</v>
      </c>
      <c r="C30" s="131">
        <f>B30*A30/SQRT(1-A30^2)</f>
        <v>50.89996110561431</v>
      </c>
      <c r="D30" s="132">
        <v>150</v>
      </c>
      <c r="E30" s="131">
        <f>D30-C30</f>
        <v>99.10003889438569</v>
      </c>
      <c r="F30" s="132">
        <v>42</v>
      </c>
      <c r="G30" s="131">
        <f>E30-F30</f>
        <v>57.10003889438569</v>
      </c>
      <c r="H30" s="133">
        <v>528.48</v>
      </c>
      <c r="I30" s="134">
        <f>G30/SQRT(G30^2+H30^2)</f>
        <v>0.10742060063525012</v>
      </c>
      <c r="J30" s="135">
        <f>G30/H30</f>
        <v>0.10804578961244643</v>
      </c>
    </row>
    <row r="31" spans="1:10" s="26" customFormat="1" ht="15.5" thickBot="1" x14ac:dyDescent="0.3"/>
    <row r="32" spans="1:10" s="26" customFormat="1" x14ac:dyDescent="0.25">
      <c r="A32" s="375" t="s">
        <v>177</v>
      </c>
      <c r="B32" s="376"/>
      <c r="C32" s="376"/>
      <c r="D32" s="376"/>
      <c r="E32" s="376"/>
      <c r="F32" s="376"/>
      <c r="G32" s="376"/>
      <c r="H32" s="376"/>
      <c r="I32" s="376"/>
      <c r="J32" s="377"/>
    </row>
    <row r="33" spans="1:16" s="26" customFormat="1" ht="61" x14ac:dyDescent="0.25">
      <c r="A33" s="44" t="s">
        <v>183</v>
      </c>
      <c r="B33" s="122" t="s">
        <v>166</v>
      </c>
      <c r="C33" s="122" t="s">
        <v>645</v>
      </c>
      <c r="D33" s="122" t="s">
        <v>179</v>
      </c>
      <c r="E33" s="122" t="s">
        <v>180</v>
      </c>
      <c r="F33" s="122" t="s">
        <v>181</v>
      </c>
      <c r="G33" s="122" t="s">
        <v>168</v>
      </c>
      <c r="H33" s="122" t="s">
        <v>182</v>
      </c>
      <c r="I33" s="122" t="s">
        <v>184</v>
      </c>
      <c r="J33" s="136" t="s">
        <v>178</v>
      </c>
    </row>
    <row r="34" spans="1:16" ht="15.5" thickBot="1" x14ac:dyDescent="0.3">
      <c r="A34" s="137">
        <v>6.6000000000000003E-2</v>
      </c>
      <c r="B34" s="114">
        <v>769.53</v>
      </c>
      <c r="C34" s="138">
        <f>B34*A34</f>
        <v>50.788980000000002</v>
      </c>
      <c r="D34" s="114">
        <v>150</v>
      </c>
      <c r="E34" s="138">
        <f>D34-C34</f>
        <v>99.211019999999991</v>
      </c>
      <c r="F34" s="114">
        <v>42</v>
      </c>
      <c r="G34" s="138">
        <f>E34-F34</f>
        <v>57.211019999999991</v>
      </c>
      <c r="H34" s="114">
        <v>528.48</v>
      </c>
      <c r="I34" s="123">
        <f>G34/H34</f>
        <v>0.10825579019073567</v>
      </c>
      <c r="J34" s="124">
        <f>G34/SQRT(G34^2+H34^2)</f>
        <v>0.10762696991907862</v>
      </c>
    </row>
    <row r="35" spans="1:16" ht="15.5" thickBot="1" x14ac:dyDescent="0.3">
      <c r="C35" s="125"/>
    </row>
    <row r="36" spans="1:16" ht="18" thickBot="1" x14ac:dyDescent="0.3">
      <c r="A36" s="106" t="s">
        <v>218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1"/>
    </row>
    <row r="37" spans="1:16" s="139" customFormat="1" ht="18" customHeight="1" thickTop="1" x14ac:dyDescent="0.25">
      <c r="A37" s="391" t="s">
        <v>219</v>
      </c>
      <c r="B37" s="392"/>
      <c r="C37" s="392"/>
      <c r="D37" s="392"/>
      <c r="E37" s="393"/>
      <c r="F37" s="394" t="s">
        <v>221</v>
      </c>
      <c r="G37" s="392"/>
      <c r="H37" s="392"/>
      <c r="I37" s="392"/>
      <c r="J37" s="392"/>
      <c r="K37" s="392"/>
      <c r="L37" s="395"/>
      <c r="M37"/>
      <c r="N37"/>
      <c r="O37"/>
      <c r="P37"/>
    </row>
    <row r="38" spans="1:16" s="139" customFormat="1" ht="47.5" x14ac:dyDescent="0.25">
      <c r="A38" s="44" t="s">
        <v>192</v>
      </c>
      <c r="B38" s="122" t="s">
        <v>193</v>
      </c>
      <c r="C38" s="122" t="s">
        <v>194</v>
      </c>
      <c r="D38" s="122" t="s">
        <v>195</v>
      </c>
      <c r="E38" s="156" t="s">
        <v>197</v>
      </c>
      <c r="F38" s="159" t="s">
        <v>196</v>
      </c>
      <c r="G38" s="122" t="s">
        <v>198</v>
      </c>
      <c r="H38" s="122" t="s">
        <v>200</v>
      </c>
      <c r="I38" s="122" t="s">
        <v>201</v>
      </c>
      <c r="J38" s="122" t="s">
        <v>202</v>
      </c>
      <c r="K38" s="122" t="s">
        <v>203</v>
      </c>
      <c r="L38" s="150" t="s">
        <v>204</v>
      </c>
      <c r="M38"/>
      <c r="N38"/>
      <c r="O38"/>
      <c r="P38"/>
    </row>
    <row r="39" spans="1:16" s="139" customFormat="1" ht="15.5" thickBot="1" x14ac:dyDescent="0.3">
      <c r="A39" s="151">
        <v>16209</v>
      </c>
      <c r="B39" s="152">
        <v>36</v>
      </c>
      <c r="C39" s="153">
        <f>A39/B39</f>
        <v>450.25</v>
      </c>
      <c r="D39" s="152">
        <v>1.2</v>
      </c>
      <c r="E39" s="157">
        <f>D39*C39</f>
        <v>540.29999999999995</v>
      </c>
      <c r="F39" s="158" t="s">
        <v>199</v>
      </c>
      <c r="G39" s="154">
        <f>IF(F39="45t",20,IF(F39="32t",15,IF(F39="20t",12,"无此车辆类型")))</f>
        <v>15</v>
      </c>
      <c r="H39" s="152">
        <v>20</v>
      </c>
      <c r="I39" s="152">
        <v>0.8</v>
      </c>
      <c r="J39" s="154">
        <f>I39*60*G39/H39</f>
        <v>36</v>
      </c>
      <c r="K39" s="152">
        <v>1.3</v>
      </c>
      <c r="L39" s="155">
        <f>_xlfn.CEILING.MATH((C39/J39)*K39)</f>
        <v>17</v>
      </c>
      <c r="M39"/>
      <c r="N39"/>
      <c r="O39"/>
      <c r="P39"/>
    </row>
    <row r="40" spans="1:16" ht="27.75" customHeight="1" thickTop="1" x14ac:dyDescent="0.25">
      <c r="A40" s="396" t="s">
        <v>205</v>
      </c>
      <c r="B40" s="397"/>
      <c r="C40" s="397"/>
      <c r="D40" s="398"/>
      <c r="E40" s="399" t="s">
        <v>210</v>
      </c>
      <c r="F40" s="163" t="s">
        <v>211</v>
      </c>
      <c r="G40" s="164" t="s">
        <v>214</v>
      </c>
      <c r="H40" s="163" t="s">
        <v>215</v>
      </c>
      <c r="I40" s="164" t="s">
        <v>216</v>
      </c>
      <c r="J40" s="163" t="s">
        <v>217</v>
      </c>
      <c r="K40" s="164" t="s">
        <v>238</v>
      </c>
      <c r="L40" s="166" t="s">
        <v>237</v>
      </c>
    </row>
    <row r="41" spans="1:16" ht="30" x14ac:dyDescent="0.25">
      <c r="A41" s="44" t="s">
        <v>206</v>
      </c>
      <c r="B41" s="122" t="s">
        <v>207</v>
      </c>
      <c r="C41" s="122" t="s">
        <v>208</v>
      </c>
      <c r="D41" s="156" t="s">
        <v>209</v>
      </c>
      <c r="E41" s="400"/>
      <c r="F41" s="122" t="s">
        <v>212</v>
      </c>
      <c r="G41" s="148">
        <v>28.8</v>
      </c>
      <c r="H41" s="148">
        <v>7</v>
      </c>
      <c r="I41" s="149">
        <f>G41*H41</f>
        <v>201.6</v>
      </c>
      <c r="J41" s="149">
        <f>_xlfn.CEILING.MATH(H41*K39)</f>
        <v>10</v>
      </c>
      <c r="K41" s="383" t="s">
        <v>239</v>
      </c>
      <c r="L41" s="385" t="s">
        <v>240</v>
      </c>
    </row>
    <row r="42" spans="1:16" ht="15.5" thickBot="1" x14ac:dyDescent="0.3">
      <c r="A42" s="167">
        <v>3</v>
      </c>
      <c r="B42" s="160">
        <v>21</v>
      </c>
      <c r="C42" s="161">
        <f>B42/A42</f>
        <v>7</v>
      </c>
      <c r="D42" s="162">
        <f>C42/H39</f>
        <v>0.35</v>
      </c>
      <c r="E42" s="401"/>
      <c r="F42" s="160" t="s">
        <v>213</v>
      </c>
      <c r="G42" s="160">
        <v>36</v>
      </c>
      <c r="H42" s="161">
        <f>_xlfn.CEILING.MATH(I42/G42)</f>
        <v>7</v>
      </c>
      <c r="I42" s="165">
        <f>C39-I41</f>
        <v>248.65</v>
      </c>
      <c r="J42" s="161">
        <f>_xlfn.CEILING.MATH(H42*K39)</f>
        <v>10</v>
      </c>
      <c r="K42" s="384"/>
      <c r="L42" s="386"/>
    </row>
    <row r="43" spans="1:16" ht="15.5" thickTop="1" x14ac:dyDescent="0.25">
      <c r="A43" s="143" t="s">
        <v>235</v>
      </c>
      <c r="L43" s="142"/>
    </row>
    <row r="44" spans="1:16" x14ac:dyDescent="0.25">
      <c r="A44" s="143" t="s">
        <v>219</v>
      </c>
      <c r="F44" t="s">
        <v>220</v>
      </c>
      <c r="L44" s="142"/>
    </row>
    <row r="45" spans="1:16" x14ac:dyDescent="0.25">
      <c r="A45" s="143" t="s">
        <v>222</v>
      </c>
      <c r="F45" t="s">
        <v>228</v>
      </c>
      <c r="L45" s="142"/>
    </row>
    <row r="46" spans="1:16" ht="16.5" customHeight="1" x14ac:dyDescent="0.25">
      <c r="A46" s="143"/>
      <c r="L46" s="142"/>
    </row>
    <row r="47" spans="1:16" ht="16.5" customHeight="1" x14ac:dyDescent="0.25">
      <c r="A47" s="143"/>
      <c r="L47" s="142"/>
    </row>
    <row r="48" spans="1:16" ht="18.5" x14ac:dyDescent="0.35">
      <c r="A48" s="143" t="s">
        <v>224</v>
      </c>
      <c r="F48" t="s">
        <v>229</v>
      </c>
      <c r="L48" s="142"/>
    </row>
    <row r="49" spans="1:13" ht="19.5" x14ac:dyDescent="0.45">
      <c r="A49" s="143" t="s">
        <v>225</v>
      </c>
      <c r="F49" s="144" t="s">
        <v>230</v>
      </c>
      <c r="L49" s="142"/>
    </row>
    <row r="50" spans="1:13" ht="18.5" x14ac:dyDescent="0.35">
      <c r="A50" s="143" t="s">
        <v>226</v>
      </c>
      <c r="F50" t="s">
        <v>231</v>
      </c>
      <c r="L50" s="142"/>
    </row>
    <row r="51" spans="1:13" ht="16" x14ac:dyDescent="0.35">
      <c r="A51" s="143" t="s">
        <v>223</v>
      </c>
      <c r="F51" t="s">
        <v>232</v>
      </c>
      <c r="L51" s="142"/>
    </row>
    <row r="52" spans="1:13" x14ac:dyDescent="0.25">
      <c r="A52" s="143"/>
      <c r="F52" t="s">
        <v>233</v>
      </c>
      <c r="L52" s="142"/>
    </row>
    <row r="53" spans="1:13" x14ac:dyDescent="0.25">
      <c r="A53" s="143"/>
      <c r="L53" s="142"/>
    </row>
    <row r="54" spans="1:13" x14ac:dyDescent="0.25">
      <c r="A54" s="143" t="s">
        <v>227</v>
      </c>
      <c r="L54" s="142"/>
    </row>
    <row r="55" spans="1:13" x14ac:dyDescent="0.25">
      <c r="A55" s="143"/>
      <c r="L55" s="142"/>
    </row>
    <row r="56" spans="1:13" ht="16" x14ac:dyDescent="0.35">
      <c r="A56" s="143"/>
      <c r="F56" t="s">
        <v>234</v>
      </c>
      <c r="L56" s="142"/>
    </row>
    <row r="57" spans="1:13" ht="18" thickBot="1" x14ac:dyDescent="0.5">
      <c r="A57" s="145"/>
      <c r="B57" s="146"/>
      <c r="C57" s="146"/>
      <c r="D57" s="146"/>
      <c r="E57" s="146"/>
      <c r="F57" s="146" t="s">
        <v>236</v>
      </c>
      <c r="G57" s="146"/>
      <c r="H57" s="146"/>
      <c r="I57" s="146"/>
      <c r="J57" s="146"/>
      <c r="K57" s="146"/>
      <c r="L57" s="147"/>
    </row>
    <row r="58" spans="1:13" ht="15.5" thickBot="1" x14ac:dyDescent="0.3"/>
    <row r="59" spans="1:13" x14ac:dyDescent="0.25">
      <c r="A59" s="407" t="s">
        <v>302</v>
      </c>
      <c r="B59" s="408"/>
      <c r="C59" s="408"/>
      <c r="D59" s="408"/>
      <c r="E59" s="408"/>
      <c r="F59" s="408"/>
      <c r="G59" s="408"/>
      <c r="H59" s="409"/>
    </row>
    <row r="60" spans="1:13" x14ac:dyDescent="0.25">
      <c r="A60" s="172" t="s">
        <v>241</v>
      </c>
      <c r="B60" s="168"/>
      <c r="C60" s="168"/>
      <c r="D60" s="168"/>
      <c r="E60" s="168"/>
      <c r="F60" s="168"/>
      <c r="G60" s="168"/>
      <c r="H60" s="173"/>
    </row>
    <row r="61" spans="1:13" ht="20.25" customHeight="1" x14ac:dyDescent="0.25">
      <c r="A61" s="37" t="s">
        <v>243</v>
      </c>
      <c r="B61" s="169">
        <v>0</v>
      </c>
      <c r="C61" s="169">
        <v>50</v>
      </c>
      <c r="D61" s="169">
        <v>100</v>
      </c>
      <c r="E61" s="169">
        <v>200</v>
      </c>
      <c r="F61" s="170" t="s">
        <v>244</v>
      </c>
      <c r="G61" s="171" t="s">
        <v>245</v>
      </c>
      <c r="H61" s="136">
        <v>185</v>
      </c>
    </row>
    <row r="62" spans="1:13" ht="30.5" thickBot="1" x14ac:dyDescent="0.3">
      <c r="A62" s="196" t="s">
        <v>242</v>
      </c>
      <c r="B62" s="197">
        <v>20</v>
      </c>
      <c r="C62" s="197">
        <v>30</v>
      </c>
      <c r="D62" s="197">
        <v>50</v>
      </c>
      <c r="E62" s="197">
        <v>100</v>
      </c>
      <c r="F62" s="197">
        <v>150</v>
      </c>
      <c r="G62" s="198" t="s">
        <v>246</v>
      </c>
      <c r="H62" s="199">
        <f ca="1">TREND(OFFSET($A$62,0,MATCH(H61,$B$61:$F$61,1)):OFFSET($A$62,0,MATCH(H61,$B$61:$F$61,1)+1),OFFSET($A$61,0,MATCH(H61,$B$61:$F$61,1)):OFFSET($A$61,0,MATCH(H61,$B$61:$F$61,1)+1),H61)</f>
        <v>92.5</v>
      </c>
    </row>
    <row r="63" spans="1:13" ht="15.5" thickTop="1" x14ac:dyDescent="0.25">
      <c r="A63" s="404" t="s">
        <v>303</v>
      </c>
      <c r="B63" s="405"/>
      <c r="C63" s="405"/>
      <c r="D63" s="405"/>
      <c r="E63" s="405"/>
      <c r="F63" s="405"/>
      <c r="G63" s="405"/>
      <c r="H63" s="405"/>
      <c r="I63" s="405"/>
      <c r="J63" s="406"/>
    </row>
    <row r="64" spans="1:13" ht="28.5" customHeight="1" x14ac:dyDescent="0.25">
      <c r="A64" s="37" t="s">
        <v>304</v>
      </c>
      <c r="B64" s="122" t="s">
        <v>306</v>
      </c>
      <c r="C64" s="342" t="s">
        <v>310</v>
      </c>
      <c r="D64" s="342"/>
      <c r="E64" s="148" t="s">
        <v>314</v>
      </c>
      <c r="F64" s="148" t="s">
        <v>316</v>
      </c>
      <c r="G64" s="378" t="s">
        <v>317</v>
      </c>
      <c r="H64" s="378"/>
      <c r="I64" s="122" t="s">
        <v>318</v>
      </c>
      <c r="J64" s="136" t="s">
        <v>321</v>
      </c>
      <c r="K64" s="26"/>
      <c r="L64" s="26"/>
      <c r="M64" s="26"/>
    </row>
    <row r="65" spans="1:13" s="195" customFormat="1" ht="30" x14ac:dyDescent="0.25">
      <c r="A65" s="44" t="s">
        <v>308</v>
      </c>
      <c r="B65" s="122" t="s">
        <v>307</v>
      </c>
      <c r="C65" s="200" t="s">
        <v>312</v>
      </c>
      <c r="D65" s="122" t="s">
        <v>311</v>
      </c>
      <c r="E65" s="200"/>
      <c r="F65" s="200" t="s">
        <v>307</v>
      </c>
      <c r="G65" s="378" t="s">
        <v>307</v>
      </c>
      <c r="H65" s="378"/>
      <c r="I65" s="122" t="s">
        <v>319</v>
      </c>
      <c r="J65" s="193" t="s">
        <v>322</v>
      </c>
      <c r="K65" s="194"/>
      <c r="L65" s="194"/>
      <c r="M65" s="194"/>
    </row>
    <row r="66" spans="1:13" ht="15.5" thickBot="1" x14ac:dyDescent="0.3">
      <c r="A66" s="201" t="s">
        <v>305</v>
      </c>
      <c r="B66" s="114" t="s">
        <v>309</v>
      </c>
      <c r="C66" s="379" t="s">
        <v>313</v>
      </c>
      <c r="D66" s="379"/>
      <c r="E66" s="114" t="s">
        <v>315</v>
      </c>
      <c r="F66" s="114" t="s">
        <v>315</v>
      </c>
      <c r="G66" s="379" t="s">
        <v>315</v>
      </c>
      <c r="H66" s="379"/>
      <c r="I66" s="114" t="s">
        <v>320</v>
      </c>
      <c r="J66" s="202" t="s">
        <v>323</v>
      </c>
      <c r="K66" s="26"/>
      <c r="L66" s="26"/>
      <c r="M66" s="26"/>
    </row>
    <row r="67" spans="1:13" x14ac:dyDescent="0.25">
      <c r="A67" t="s">
        <v>324</v>
      </c>
    </row>
    <row r="68" spans="1:13" x14ac:dyDescent="0.25">
      <c r="A68" t="s">
        <v>325</v>
      </c>
    </row>
    <row r="69" spans="1:13" ht="15.5" thickBot="1" x14ac:dyDescent="0.3"/>
    <row r="70" spans="1:13" ht="31.5" x14ac:dyDescent="0.25">
      <c r="A70" s="364" t="s">
        <v>489</v>
      </c>
      <c r="B70" s="110" t="s">
        <v>374</v>
      </c>
      <c r="C70" s="110" t="s">
        <v>375</v>
      </c>
      <c r="D70" s="224" t="s">
        <v>376</v>
      </c>
      <c r="E70" s="225" t="s">
        <v>377</v>
      </c>
      <c r="F70" s="218" t="s">
        <v>378</v>
      </c>
      <c r="G70" s="218" t="s">
        <v>379</v>
      </c>
      <c r="H70" s="225" t="s">
        <v>380</v>
      </c>
      <c r="I70" s="93"/>
      <c r="J70" s="141"/>
    </row>
    <row r="71" spans="1:13" x14ac:dyDescent="0.25">
      <c r="A71" s="369"/>
      <c r="B71" s="148">
        <v>116</v>
      </c>
      <c r="C71" s="221">
        <v>0.34</v>
      </c>
      <c r="D71" s="221">
        <v>1</v>
      </c>
      <c r="E71" s="222">
        <v>5</v>
      </c>
      <c r="F71" s="221">
        <v>9.81</v>
      </c>
      <c r="G71" s="182">
        <f>(B71/(C71*D71*E71*SQRT(2*F71)))^(2/3)</f>
        <v>6.1911744903043271</v>
      </c>
      <c r="H71" s="223">
        <f>G71/1.2</f>
        <v>5.1593120752536059</v>
      </c>
      <c r="I71" s="26"/>
      <c r="J71" s="142"/>
    </row>
    <row r="72" spans="1:13" ht="16" x14ac:dyDescent="0.25">
      <c r="A72" s="219" t="s">
        <v>381</v>
      </c>
      <c r="B72" s="26"/>
      <c r="C72" s="26"/>
      <c r="D72" s="26"/>
      <c r="E72" s="26"/>
      <c r="F72" s="26"/>
      <c r="G72" s="26"/>
      <c r="H72" s="26"/>
      <c r="I72" s="26"/>
      <c r="J72" s="142"/>
    </row>
    <row r="73" spans="1:13" ht="16.5" thickBot="1" x14ac:dyDescent="0.3">
      <c r="A73" s="220" t="s">
        <v>382</v>
      </c>
      <c r="B73" s="96"/>
      <c r="C73" s="96"/>
      <c r="D73" s="96"/>
      <c r="E73" s="96"/>
      <c r="F73" s="96"/>
      <c r="G73" s="96"/>
      <c r="H73" s="96"/>
      <c r="I73" s="96"/>
      <c r="J73" s="147"/>
    </row>
    <row r="74" spans="1:13" ht="15.5" thickBot="1" x14ac:dyDescent="0.3">
      <c r="A74" s="26"/>
      <c r="B74" s="26"/>
      <c r="C74" s="26"/>
      <c r="D74" s="26"/>
      <c r="E74" s="26"/>
      <c r="F74" s="26"/>
      <c r="G74" s="26"/>
      <c r="H74" s="26"/>
      <c r="I74" s="26"/>
    </row>
    <row r="75" spans="1:13" ht="29.25" customHeight="1" x14ac:dyDescent="0.25">
      <c r="A75" s="364" t="s">
        <v>398</v>
      </c>
      <c r="B75" s="218" t="s">
        <v>393</v>
      </c>
      <c r="C75" s="218" t="s">
        <v>394</v>
      </c>
      <c r="D75" s="218" t="s">
        <v>395</v>
      </c>
      <c r="E75" s="110" t="s">
        <v>396</v>
      </c>
      <c r="F75" s="110" t="s">
        <v>397</v>
      </c>
      <c r="G75" s="110" t="s">
        <v>399</v>
      </c>
      <c r="H75" s="218" t="s">
        <v>400</v>
      </c>
      <c r="I75" s="241" t="s">
        <v>407</v>
      </c>
    </row>
    <row r="76" spans="1:13" ht="25.5" customHeight="1" thickBot="1" x14ac:dyDescent="0.3">
      <c r="A76" s="370"/>
      <c r="B76" s="234">
        <v>1.3049999999999999</v>
      </c>
      <c r="C76" s="234">
        <v>3.01</v>
      </c>
      <c r="D76" s="188">
        <f>B76/C76</f>
        <v>0.43355481727574752</v>
      </c>
      <c r="E76" s="114">
        <v>1.4999999999999999E-2</v>
      </c>
      <c r="F76" s="188">
        <f>((D76)^(1/6))/E76</f>
        <v>57.998408559978074</v>
      </c>
      <c r="G76" s="235">
        <v>5.0000000000000001E-3</v>
      </c>
      <c r="H76" s="188">
        <f>B76*F76*((D76*G76)^0.5)</f>
        <v>3.5239813298359546</v>
      </c>
      <c r="I76" s="189">
        <f>H76/B76</f>
        <v>2.7003688351233368</v>
      </c>
    </row>
    <row r="77" spans="1:13" ht="15.5" thickBot="1" x14ac:dyDescent="0.3">
      <c r="A77" s="26"/>
      <c r="B77" s="26"/>
      <c r="C77" s="26"/>
      <c r="D77" s="26"/>
      <c r="E77" s="26"/>
      <c r="F77" s="26"/>
      <c r="G77" s="26"/>
      <c r="H77" s="26"/>
      <c r="I77" s="26"/>
    </row>
    <row r="78" spans="1:13" ht="32.5" x14ac:dyDescent="0.25">
      <c r="A78" s="364" t="s">
        <v>390</v>
      </c>
      <c r="B78" s="110" t="s">
        <v>383</v>
      </c>
      <c r="C78" s="218" t="s">
        <v>384</v>
      </c>
      <c r="D78" s="218" t="s">
        <v>385</v>
      </c>
      <c r="E78" s="73" t="s">
        <v>386</v>
      </c>
      <c r="F78" s="226" t="s">
        <v>388</v>
      </c>
      <c r="G78" s="110" t="s">
        <v>387</v>
      </c>
      <c r="H78" s="111" t="s">
        <v>389</v>
      </c>
      <c r="I78" s="26"/>
    </row>
    <row r="79" spans="1:13" ht="20.25" customHeight="1" x14ac:dyDescent="0.25">
      <c r="A79" s="369"/>
      <c r="B79" s="148">
        <v>5</v>
      </c>
      <c r="C79" s="228">
        <v>1000</v>
      </c>
      <c r="D79" s="228">
        <v>2600</v>
      </c>
      <c r="E79" s="221">
        <v>0.93</v>
      </c>
      <c r="F79" s="229">
        <v>9.81</v>
      </c>
      <c r="G79" s="230">
        <f>(B79/(E79*SQRT(2*F79*(D79-C79)/C79)))^2</f>
        <v>0.92077840632321617</v>
      </c>
      <c r="H79" s="186">
        <f>PI()*(G79^3)*D79/6</f>
        <v>1062.7652557335339</v>
      </c>
      <c r="I79" s="26"/>
    </row>
    <row r="80" spans="1:13" x14ac:dyDescent="0.25">
      <c r="A80" s="143" t="s">
        <v>391</v>
      </c>
      <c r="H80" s="142"/>
    </row>
    <row r="81" spans="1:17" s="227" customFormat="1" ht="16.5" thickBot="1" x14ac:dyDescent="0.4">
      <c r="A81" s="231" t="s">
        <v>392</v>
      </c>
      <c r="B81" s="232"/>
      <c r="C81" s="232"/>
      <c r="D81" s="232"/>
      <c r="E81" s="232"/>
      <c r="F81" s="232"/>
      <c r="G81" s="232"/>
      <c r="H81" s="233"/>
    </row>
    <row r="82" spans="1:17" ht="15.5" thickBot="1" x14ac:dyDescent="0.3"/>
    <row r="83" spans="1:17" ht="63.75" customHeight="1" x14ac:dyDescent="0.25">
      <c r="A83" s="364" t="s">
        <v>505</v>
      </c>
      <c r="B83" s="110" t="s">
        <v>498</v>
      </c>
      <c r="C83" s="218" t="s">
        <v>499</v>
      </c>
      <c r="D83" s="218" t="s">
        <v>500</v>
      </c>
      <c r="E83" s="218" t="s">
        <v>501</v>
      </c>
      <c r="F83" s="218" t="s">
        <v>502</v>
      </c>
      <c r="G83" s="218" t="s">
        <v>503</v>
      </c>
      <c r="H83" s="218" t="s">
        <v>504</v>
      </c>
      <c r="I83" s="218" t="s">
        <v>506</v>
      </c>
      <c r="J83" s="249" t="s">
        <v>507</v>
      </c>
    </row>
    <row r="84" spans="1:17" ht="25.5" customHeight="1" thickBot="1" x14ac:dyDescent="0.3">
      <c r="A84" s="370"/>
      <c r="B84" s="114">
        <v>1.5</v>
      </c>
      <c r="C84" s="114">
        <f>1000*1.1</f>
        <v>1100</v>
      </c>
      <c r="D84" s="114">
        <v>130</v>
      </c>
      <c r="E84" s="234">
        <v>0.55000000000000004</v>
      </c>
      <c r="F84" s="254">
        <v>2</v>
      </c>
      <c r="G84" s="114">
        <v>15.2</v>
      </c>
      <c r="H84" s="114">
        <v>7</v>
      </c>
      <c r="I84" s="188">
        <f>B84*C84/(3.1415926*D84*E84)</f>
        <v>7.3456128833901237</v>
      </c>
      <c r="J84" s="189">
        <f>B84*C84/(3.1415926*G84*F84*H84)</f>
        <v>2.4680983137330541</v>
      </c>
    </row>
    <row r="85" spans="1:17" ht="25.5" customHeight="1" thickBot="1" x14ac:dyDescent="0.3"/>
    <row r="86" spans="1:17" ht="25.5" customHeight="1" x14ac:dyDescent="0.25">
      <c r="A86" s="374" t="s">
        <v>617</v>
      </c>
      <c r="B86" s="375" t="s">
        <v>629</v>
      </c>
      <c r="C86" s="376"/>
      <c r="D86" s="376"/>
      <c r="E86" s="376"/>
      <c r="F86" s="377"/>
      <c r="G86" s="26"/>
      <c r="H86" s="26"/>
      <c r="I86" s="26"/>
      <c r="J86" s="26"/>
    </row>
    <row r="87" spans="1:17" ht="43.5" customHeight="1" x14ac:dyDescent="0.25">
      <c r="A87" s="367"/>
      <c r="B87" s="44" t="s">
        <v>619</v>
      </c>
      <c r="C87" s="122" t="s">
        <v>618</v>
      </c>
      <c r="D87" s="122" t="s">
        <v>621</v>
      </c>
      <c r="E87" s="122" t="s">
        <v>620</v>
      </c>
      <c r="F87" s="301" t="s">
        <v>626</v>
      </c>
      <c r="G87" s="26"/>
      <c r="H87" s="26"/>
      <c r="I87" s="26"/>
      <c r="J87" s="26"/>
    </row>
    <row r="88" spans="1:17" ht="25.5" customHeight="1" thickBot="1" x14ac:dyDescent="0.3">
      <c r="A88" s="367"/>
      <c r="B88" s="302">
        <v>1.5</v>
      </c>
      <c r="C88" s="114">
        <f>5.54*10000</f>
        <v>55400</v>
      </c>
      <c r="D88" s="303">
        <v>25</v>
      </c>
      <c r="E88" s="303">
        <v>20</v>
      </c>
      <c r="F88" s="297">
        <f>B88*C88/(D88*E88)</f>
        <v>166.2</v>
      </c>
      <c r="G88" s="26"/>
      <c r="H88" s="26"/>
      <c r="I88" s="26"/>
      <c r="J88" s="26"/>
    </row>
    <row r="89" spans="1:17" ht="25.5" customHeight="1" x14ac:dyDescent="0.25">
      <c r="A89" s="367"/>
      <c r="B89" s="380" t="s">
        <v>630</v>
      </c>
      <c r="C89" s="381"/>
      <c r="D89" s="381"/>
      <c r="E89" s="381"/>
      <c r="F89" s="382"/>
    </row>
    <row r="90" spans="1:17" ht="48" customHeight="1" x14ac:dyDescent="0.25">
      <c r="A90" s="367"/>
      <c r="B90" s="44" t="s">
        <v>622</v>
      </c>
      <c r="C90" s="122" t="s">
        <v>623</v>
      </c>
      <c r="D90" s="122" t="s">
        <v>624</v>
      </c>
      <c r="E90" s="122" t="s">
        <v>625</v>
      </c>
      <c r="F90" s="301" t="s">
        <v>626</v>
      </c>
    </row>
    <row r="91" spans="1:17" ht="28.5" customHeight="1" thickBot="1" x14ac:dyDescent="0.3">
      <c r="A91" s="367"/>
      <c r="B91" s="304">
        <v>500</v>
      </c>
      <c r="C91" s="305">
        <v>0.4</v>
      </c>
      <c r="D91" s="305">
        <v>2</v>
      </c>
      <c r="E91" s="306">
        <f>40/60</f>
        <v>0.66666666666666663</v>
      </c>
      <c r="F91" s="307">
        <f>1.1*B91*C91/(D91-E91)</f>
        <v>164.99999999999997</v>
      </c>
    </row>
    <row r="92" spans="1:17" ht="25.5" customHeight="1" x14ac:dyDescent="0.25">
      <c r="A92" s="367"/>
      <c r="B92" s="375" t="s">
        <v>631</v>
      </c>
      <c r="C92" s="376"/>
      <c r="D92" s="376"/>
      <c r="E92" s="376"/>
      <c r="F92" s="376"/>
      <c r="G92" s="376"/>
      <c r="H92" s="377"/>
    </row>
    <row r="93" spans="1:17" ht="45" customHeight="1" x14ac:dyDescent="0.25">
      <c r="A93" s="367"/>
      <c r="B93" s="44" t="s">
        <v>632</v>
      </c>
      <c r="C93" s="148" t="s">
        <v>633</v>
      </c>
      <c r="D93" s="122" t="s">
        <v>627</v>
      </c>
      <c r="E93" s="122" t="s">
        <v>628</v>
      </c>
      <c r="F93" s="122" t="s">
        <v>624</v>
      </c>
      <c r="G93" s="122" t="s">
        <v>625</v>
      </c>
      <c r="H93" s="301" t="s">
        <v>626</v>
      </c>
    </row>
    <row r="94" spans="1:17" ht="22.5" customHeight="1" thickBot="1" x14ac:dyDescent="0.3">
      <c r="A94" s="367"/>
      <c r="B94" s="308">
        <v>2</v>
      </c>
      <c r="C94" s="132">
        <v>69</v>
      </c>
      <c r="D94" s="132">
        <v>22</v>
      </c>
      <c r="E94" s="132">
        <v>4</v>
      </c>
      <c r="F94" s="132">
        <v>2</v>
      </c>
      <c r="G94" s="130">
        <f>40/60</f>
        <v>0.66666666666666663</v>
      </c>
      <c r="H94" s="309">
        <f>(B94*C94*D94*SQRT((E94/B94)))/(F94-G94)</f>
        <v>3220.1642815235373</v>
      </c>
    </row>
    <row r="95" spans="1:17" ht="15.5" thickBot="1" x14ac:dyDescent="0.3">
      <c r="J95" s="371" t="s">
        <v>637</v>
      </c>
      <c r="K95" s="372"/>
      <c r="L95" s="372"/>
      <c r="M95" s="372"/>
      <c r="N95" s="372"/>
      <c r="O95" s="372"/>
      <c r="P95" s="373"/>
    </row>
    <row r="96" spans="1:17" ht="53.25" customHeight="1" x14ac:dyDescent="0.25">
      <c r="A96" s="368" t="s">
        <v>657</v>
      </c>
      <c r="B96" s="364" t="s">
        <v>670</v>
      </c>
      <c r="C96" s="110" t="s">
        <v>634</v>
      </c>
      <c r="D96" s="218" t="s">
        <v>653</v>
      </c>
      <c r="E96" s="218" t="s">
        <v>654</v>
      </c>
      <c r="F96" s="218" t="s">
        <v>635</v>
      </c>
      <c r="G96" s="218" t="s">
        <v>636</v>
      </c>
      <c r="H96" s="218" t="s">
        <v>655</v>
      </c>
      <c r="I96" s="319" t="s">
        <v>656</v>
      </c>
      <c r="J96" s="310" t="s">
        <v>638</v>
      </c>
      <c r="K96" s="218" t="s">
        <v>639</v>
      </c>
      <c r="L96" s="218" t="s">
        <v>641</v>
      </c>
      <c r="M96" s="218" t="s">
        <v>640</v>
      </c>
      <c r="N96" s="218" t="s">
        <v>642</v>
      </c>
      <c r="O96" s="218" t="s">
        <v>643</v>
      </c>
      <c r="P96" s="249" t="s">
        <v>668</v>
      </c>
      <c r="Q96" s="322" t="s">
        <v>644</v>
      </c>
    </row>
    <row r="97" spans="1:18" ht="24" customHeight="1" thickBot="1" x14ac:dyDescent="0.3">
      <c r="A97" s="368"/>
      <c r="B97" s="369"/>
      <c r="C97" s="311">
        <v>3</v>
      </c>
      <c r="D97" s="148">
        <v>102.004</v>
      </c>
      <c r="E97" s="148">
        <v>45.405999999999999</v>
      </c>
      <c r="F97" s="230">
        <f>1000*9.81*D97*E97/1000</f>
        <v>45435.933451439996</v>
      </c>
      <c r="G97" s="221">
        <v>14</v>
      </c>
      <c r="H97" s="221">
        <v>0.55000000000000004</v>
      </c>
      <c r="I97" s="320">
        <v>0.3</v>
      </c>
      <c r="J97" s="323">
        <v>6.5</v>
      </c>
      <c r="K97" s="313">
        <v>1</v>
      </c>
      <c r="L97" s="313">
        <v>5.7670000000000003</v>
      </c>
      <c r="M97" s="313">
        <v>0.65</v>
      </c>
      <c r="N97" s="313">
        <v>7.67</v>
      </c>
      <c r="O97" s="313">
        <v>0</v>
      </c>
      <c r="P97" s="324">
        <f>J97*K97+2*L97*M97+N97*O97</f>
        <v>13.9971</v>
      </c>
      <c r="Q97" s="327">
        <f>C97*F97*1000/(E97*G97*1000*H97+P97*I97*1000000)</f>
        <v>29.965949890723969</v>
      </c>
    </row>
    <row r="98" spans="1:18" ht="57" customHeight="1" x14ac:dyDescent="0.25">
      <c r="A98" s="368"/>
      <c r="B98" s="369" t="s">
        <v>648</v>
      </c>
      <c r="C98" s="122" t="s">
        <v>646</v>
      </c>
      <c r="D98" s="122" t="s">
        <v>653</v>
      </c>
      <c r="E98" s="122" t="s">
        <v>654</v>
      </c>
      <c r="F98" s="122" t="s">
        <v>635</v>
      </c>
      <c r="G98" s="122" t="s">
        <v>636</v>
      </c>
      <c r="H98" s="122" t="s">
        <v>655</v>
      </c>
      <c r="I98" s="315" t="s">
        <v>656</v>
      </c>
      <c r="J98" s="44" t="s">
        <v>638</v>
      </c>
      <c r="K98" s="122" t="s">
        <v>639</v>
      </c>
      <c r="L98" s="122" t="s">
        <v>641</v>
      </c>
      <c r="M98" s="122" t="s">
        <v>640</v>
      </c>
      <c r="N98" s="122" t="s">
        <v>642</v>
      </c>
      <c r="O98" s="122" t="s">
        <v>643</v>
      </c>
      <c r="P98" s="315" t="s">
        <v>668</v>
      </c>
      <c r="Q98" s="310" t="s">
        <v>647</v>
      </c>
      <c r="R98" s="249" t="s">
        <v>644</v>
      </c>
    </row>
    <row r="99" spans="1:18" ht="24" customHeight="1" thickBot="1" x14ac:dyDescent="0.3">
      <c r="A99" s="368"/>
      <c r="B99" s="370"/>
      <c r="C99" s="303">
        <v>1.1000000000000001</v>
      </c>
      <c r="D99" s="114">
        <v>102.004</v>
      </c>
      <c r="E99" s="114">
        <v>45.405999999999999</v>
      </c>
      <c r="F99" s="115">
        <f>1000*9.81*D99*E99/1000</f>
        <v>45435.933451439996</v>
      </c>
      <c r="G99" s="303">
        <v>14</v>
      </c>
      <c r="H99" s="303">
        <v>0.55000000000000004</v>
      </c>
      <c r="I99" s="321">
        <v>0.3</v>
      </c>
      <c r="J99" s="325">
        <v>6.5</v>
      </c>
      <c r="K99" s="235">
        <v>1</v>
      </c>
      <c r="L99" s="235">
        <v>5.7670000000000003</v>
      </c>
      <c r="M99" s="235">
        <v>0.65</v>
      </c>
      <c r="N99" s="235">
        <v>7.67</v>
      </c>
      <c r="O99" s="235">
        <v>0</v>
      </c>
      <c r="P99" s="326">
        <f>J99*K99+2*L99*M99+N99*O99</f>
        <v>13.9971</v>
      </c>
      <c r="Q99" s="328">
        <v>5</v>
      </c>
      <c r="R99" s="189">
        <f>F99*1000/(H99*E99*G99*1000/C99+P99*I99*1000000/Q99)</f>
        <v>39.247809779176762</v>
      </c>
    </row>
    <row r="100" spans="1:18" ht="33" customHeight="1" thickBot="1" x14ac:dyDescent="0.3">
      <c r="A100" s="368"/>
      <c r="B100" s="364" t="s">
        <v>671</v>
      </c>
      <c r="C100" s="218" t="s">
        <v>649</v>
      </c>
      <c r="D100" s="218" t="s">
        <v>650</v>
      </c>
      <c r="E100" s="110" t="s">
        <v>651</v>
      </c>
      <c r="F100" s="111" t="s">
        <v>652</v>
      </c>
    </row>
    <row r="101" spans="1:18" ht="24" customHeight="1" thickBot="1" x14ac:dyDescent="0.3">
      <c r="A101" s="368"/>
      <c r="B101" s="370"/>
      <c r="C101" s="114">
        <v>45.405999999999999</v>
      </c>
      <c r="D101" s="115">
        <f>2*SQRT(C101/PI())</f>
        <v>7.6034672859324379</v>
      </c>
      <c r="E101" s="115">
        <f>D101*2</f>
        <v>15.206934571864876</v>
      </c>
      <c r="F101" s="116">
        <f>D101*3</f>
        <v>22.810401857797313</v>
      </c>
      <c r="J101" s="371" t="s">
        <v>637</v>
      </c>
      <c r="K101" s="372"/>
      <c r="L101" s="372"/>
      <c r="M101" s="372"/>
      <c r="N101" s="372"/>
      <c r="O101" s="372"/>
      <c r="P101" s="373"/>
    </row>
    <row r="102" spans="1:18" ht="54.75" customHeight="1" x14ac:dyDescent="0.25">
      <c r="A102" s="368" t="s">
        <v>669</v>
      </c>
      <c r="B102" s="364" t="s">
        <v>670</v>
      </c>
      <c r="C102" s="110" t="s">
        <v>634</v>
      </c>
      <c r="D102" s="218" t="s">
        <v>664</v>
      </c>
      <c r="E102" s="218" t="s">
        <v>658</v>
      </c>
      <c r="F102" s="218" t="s">
        <v>635</v>
      </c>
      <c r="G102" s="218" t="s">
        <v>666</v>
      </c>
      <c r="H102" s="218" t="s">
        <v>659</v>
      </c>
      <c r="I102" s="218" t="s">
        <v>660</v>
      </c>
      <c r="J102" s="218" t="s">
        <v>661</v>
      </c>
      <c r="K102" s="218" t="s">
        <v>639</v>
      </c>
      <c r="L102" s="218" t="s">
        <v>662</v>
      </c>
      <c r="M102" s="218" t="s">
        <v>640</v>
      </c>
      <c r="N102" s="218" t="s">
        <v>663</v>
      </c>
      <c r="O102" s="218" t="s">
        <v>643</v>
      </c>
      <c r="P102" s="218" t="s">
        <v>668</v>
      </c>
      <c r="Q102" s="249" t="s">
        <v>644</v>
      </c>
    </row>
    <row r="103" spans="1:18" ht="27.75" customHeight="1" x14ac:dyDescent="0.25">
      <c r="A103" s="368"/>
      <c r="B103" s="369"/>
      <c r="C103" s="311">
        <v>3</v>
      </c>
      <c r="D103" s="148">
        <f>471.9-369.893</f>
        <v>102.00700000000001</v>
      </c>
      <c r="E103" s="148">
        <v>61.35</v>
      </c>
      <c r="F103" s="230">
        <f>1000*9.81*D103*E103/1000</f>
        <v>61392.249904500008</v>
      </c>
      <c r="G103" s="221">
        <v>14</v>
      </c>
      <c r="H103" s="221">
        <v>0.55000000000000004</v>
      </c>
      <c r="I103" s="312">
        <v>0.5</v>
      </c>
      <c r="J103" s="313">
        <v>7.7</v>
      </c>
      <c r="K103" s="313">
        <v>1</v>
      </c>
      <c r="L103" s="313">
        <v>6.4420000000000002</v>
      </c>
      <c r="M103" s="313">
        <v>0.65</v>
      </c>
      <c r="N103" s="313">
        <v>9.2230000000000008</v>
      </c>
      <c r="O103" s="313">
        <v>0</v>
      </c>
      <c r="P103" s="230">
        <f>J103*K103+2*L103*M103+N103*O103</f>
        <v>16.0746</v>
      </c>
      <c r="Q103" s="186">
        <f>C103*F103*1000/(E103*G103*1000*H103+P103*I103*1000000)</f>
        <v>21.643166965854832</v>
      </c>
    </row>
    <row r="104" spans="1:18" ht="51.75" customHeight="1" x14ac:dyDescent="0.25">
      <c r="A104" s="368"/>
      <c r="B104" s="369" t="s">
        <v>648</v>
      </c>
      <c r="C104" s="122" t="s">
        <v>646</v>
      </c>
      <c r="D104" s="122" t="s">
        <v>664</v>
      </c>
      <c r="E104" s="122" t="s">
        <v>665</v>
      </c>
      <c r="F104" s="122" t="s">
        <v>635</v>
      </c>
      <c r="G104" s="122" t="s">
        <v>667</v>
      </c>
      <c r="H104" s="122" t="s">
        <v>659</v>
      </c>
      <c r="I104" s="122" t="s">
        <v>660</v>
      </c>
      <c r="J104" s="122" t="s">
        <v>661</v>
      </c>
      <c r="K104" s="122" t="s">
        <v>639</v>
      </c>
      <c r="L104" s="122" t="s">
        <v>662</v>
      </c>
      <c r="M104" s="122" t="s">
        <v>640</v>
      </c>
      <c r="N104" s="122" t="s">
        <v>663</v>
      </c>
      <c r="O104" s="122" t="s">
        <v>643</v>
      </c>
      <c r="P104" s="122" t="s">
        <v>668</v>
      </c>
      <c r="Q104" s="150" t="s">
        <v>647</v>
      </c>
      <c r="R104" s="314" t="s">
        <v>644</v>
      </c>
    </row>
    <row r="105" spans="1:18" ht="21.65" customHeight="1" thickBot="1" x14ac:dyDescent="0.3">
      <c r="A105" s="368"/>
      <c r="B105" s="370"/>
      <c r="C105" s="303">
        <v>1.1000000000000001</v>
      </c>
      <c r="D105" s="114">
        <v>102.00700000000001</v>
      </c>
      <c r="E105" s="114">
        <v>61.35</v>
      </c>
      <c r="F105" s="115">
        <f>1000*9.81*D105*E105/1000</f>
        <v>61392.249904500008</v>
      </c>
      <c r="G105" s="303">
        <v>14</v>
      </c>
      <c r="H105" s="303">
        <v>0.55000000000000004</v>
      </c>
      <c r="I105" s="317">
        <v>0.5</v>
      </c>
      <c r="J105" s="235">
        <v>7.7</v>
      </c>
      <c r="K105" s="235">
        <v>1</v>
      </c>
      <c r="L105" s="235">
        <v>6.4420000000000002</v>
      </c>
      <c r="M105" s="235">
        <v>0.65</v>
      </c>
      <c r="N105" s="235">
        <v>9.2230000000000008</v>
      </c>
      <c r="O105" s="235">
        <v>0</v>
      </c>
      <c r="P105" s="115">
        <f>J105*K105+2*L105*M105+N105*O105</f>
        <v>16.0746</v>
      </c>
      <c r="Q105" s="318">
        <v>5</v>
      </c>
      <c r="R105" s="316">
        <f>F105*1000/(H105*E105*G105*1000/C105+P105*I105*1000000/Q105)</f>
        <v>30.13989322282281</v>
      </c>
    </row>
    <row r="106" spans="1:18" ht="35.25" customHeight="1" x14ac:dyDescent="0.25">
      <c r="A106" s="368"/>
      <c r="B106" s="364" t="s">
        <v>671</v>
      </c>
      <c r="C106" s="218" t="s">
        <v>649</v>
      </c>
      <c r="D106" s="218" t="s">
        <v>650</v>
      </c>
      <c r="E106" s="110" t="s">
        <v>651</v>
      </c>
      <c r="F106" s="111" t="s">
        <v>652</v>
      </c>
    </row>
    <row r="107" spans="1:18" ht="21.65" customHeight="1" thickBot="1" x14ac:dyDescent="0.3">
      <c r="A107" s="368"/>
      <c r="B107" s="370"/>
      <c r="C107" s="235">
        <v>61.35</v>
      </c>
      <c r="D107" s="115">
        <f>2*SQRT(C107/PI())</f>
        <v>8.8381698371044131</v>
      </c>
      <c r="E107" s="115">
        <f>2*D107</f>
        <v>17.676339674208826</v>
      </c>
      <c r="F107" s="116">
        <f>3*D107</f>
        <v>26.514509511313239</v>
      </c>
    </row>
    <row r="109" spans="1:18" ht="38.25" customHeight="1" x14ac:dyDescent="0.25">
      <c r="A109" s="367" t="s">
        <v>672</v>
      </c>
      <c r="B109" s="139" t="s">
        <v>674</v>
      </c>
      <c r="C109" s="26" t="s">
        <v>673</v>
      </c>
      <c r="D109" s="139" t="s">
        <v>675</v>
      </c>
      <c r="E109" s="139" t="s">
        <v>676</v>
      </c>
      <c r="F109" s="139" t="s">
        <v>677</v>
      </c>
      <c r="G109" s="139" t="s">
        <v>678</v>
      </c>
      <c r="H109" s="26"/>
      <c r="I109" s="26"/>
    </row>
    <row r="110" spans="1:18" ht="21.75" customHeight="1" x14ac:dyDescent="0.25">
      <c r="A110" s="367"/>
      <c r="B110" s="26">
        <f>3*(10^(-7))</f>
        <v>2.9999999999999999E-7</v>
      </c>
      <c r="C110" s="26">
        <v>0.5</v>
      </c>
      <c r="D110" s="26">
        <v>6232</v>
      </c>
      <c r="E110" s="265">
        <f>B110*C110*D110</f>
        <v>9.3479999999999995E-4</v>
      </c>
      <c r="F110" s="289">
        <f>E110*120*60</f>
        <v>6.7305599999999997</v>
      </c>
      <c r="G110" s="289">
        <f>E110*24*60*60</f>
        <v>80.766719999999992</v>
      </c>
      <c r="H110" s="26"/>
      <c r="I110" s="26"/>
    </row>
  </sheetData>
  <mergeCells count="37">
    <mergeCell ref="A70:A71"/>
    <mergeCell ref="K41:K42"/>
    <mergeCell ref="L41:L42"/>
    <mergeCell ref="B1:C1"/>
    <mergeCell ref="A28:J28"/>
    <mergeCell ref="A32:J32"/>
    <mergeCell ref="A37:E37"/>
    <mergeCell ref="F37:L37"/>
    <mergeCell ref="A40:D40"/>
    <mergeCell ref="E40:E42"/>
    <mergeCell ref="D3:D4"/>
    <mergeCell ref="D24:E24"/>
    <mergeCell ref="A63:J63"/>
    <mergeCell ref="A59:H59"/>
    <mergeCell ref="C64:D64"/>
    <mergeCell ref="C66:D66"/>
    <mergeCell ref="G64:H64"/>
    <mergeCell ref="G65:H65"/>
    <mergeCell ref="G66:H66"/>
    <mergeCell ref="B86:F86"/>
    <mergeCell ref="B89:F89"/>
    <mergeCell ref="A86:A94"/>
    <mergeCell ref="B92:H92"/>
    <mergeCell ref="A75:A76"/>
    <mergeCell ref="A83:A84"/>
    <mergeCell ref="A78:A79"/>
    <mergeCell ref="A109:A110"/>
    <mergeCell ref="A102:A107"/>
    <mergeCell ref="B96:B97"/>
    <mergeCell ref="B98:B99"/>
    <mergeCell ref="J95:P95"/>
    <mergeCell ref="B100:B101"/>
    <mergeCell ref="A96:A101"/>
    <mergeCell ref="B102:B103"/>
    <mergeCell ref="J101:P101"/>
    <mergeCell ref="B104:B105"/>
    <mergeCell ref="B106:B107"/>
  </mergeCells>
  <phoneticPr fontId="3" type="noConversion"/>
  <dataValidations count="1">
    <dataValidation type="list" allowBlank="1" showInputMessage="1" showErrorMessage="1" sqref="F39" xr:uid="{00000000-0002-0000-0200-000000000000}">
      <formula1>"20t,32t,45t"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D25C-B12E-4DCE-B1E8-22FE7CFCAB0C}">
  <dimension ref="A1:AD98"/>
  <sheetViews>
    <sheetView topLeftCell="A28" zoomScaleNormal="100" workbookViewId="0">
      <selection activeCell="J55" sqref="J55"/>
    </sheetView>
  </sheetViews>
  <sheetFormatPr defaultRowHeight="15" x14ac:dyDescent="0.25"/>
  <cols>
    <col min="1" max="1" width="10.83203125" customWidth="1"/>
    <col min="2" max="2" width="12.5" customWidth="1"/>
    <col min="3" max="3" width="13.25" customWidth="1"/>
    <col min="4" max="4" width="12" customWidth="1"/>
    <col min="5" max="5" width="9" customWidth="1"/>
    <col min="14" max="14" width="11.58203125" customWidth="1"/>
    <col min="15" max="15" width="14.33203125" customWidth="1"/>
    <col min="16" max="16" width="16.58203125" customWidth="1"/>
    <col min="17" max="17" width="13.83203125" customWidth="1"/>
  </cols>
  <sheetData>
    <row r="1" spans="1:16" ht="16" thickBot="1" x14ac:dyDescent="0.35">
      <c r="A1" s="175" t="s">
        <v>271</v>
      </c>
      <c r="B1" s="175"/>
      <c r="C1" s="176" t="s">
        <v>272</v>
      </c>
      <c r="D1" s="177" t="s">
        <v>273</v>
      </c>
      <c r="E1" s="178" t="s">
        <v>274</v>
      </c>
      <c r="F1" s="178"/>
      <c r="H1" s="190" t="s">
        <v>526</v>
      </c>
    </row>
    <row r="2" spans="1:16" ht="28.5" customHeight="1" x14ac:dyDescent="0.25">
      <c r="B2" s="371" t="s">
        <v>509</v>
      </c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140"/>
      <c r="O2" s="412" t="s">
        <v>276</v>
      </c>
      <c r="P2" s="413"/>
    </row>
    <row r="3" spans="1:16" x14ac:dyDescent="0.25">
      <c r="B3" s="421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  <c r="N3" s="139" t="s">
        <v>275</v>
      </c>
      <c r="O3" s="148" t="s">
        <v>285</v>
      </c>
      <c r="P3" s="136" t="s">
        <v>286</v>
      </c>
    </row>
    <row r="4" spans="1:16" ht="33" customHeight="1" x14ac:dyDescent="0.25">
      <c r="B4" s="259" t="s">
        <v>290</v>
      </c>
      <c r="C4" s="26">
        <v>1.03</v>
      </c>
      <c r="D4" s="26">
        <v>7.48</v>
      </c>
      <c r="E4" s="26">
        <v>12.96</v>
      </c>
      <c r="F4" s="26">
        <v>18.55</v>
      </c>
      <c r="G4" s="26">
        <v>15.43</v>
      </c>
      <c r="H4" s="26">
        <v>2.16</v>
      </c>
      <c r="I4" s="26">
        <v>0</v>
      </c>
      <c r="J4" s="26"/>
      <c r="K4" s="26"/>
      <c r="L4" s="26"/>
      <c r="M4" s="26"/>
      <c r="N4" s="264">
        <f>SUM(C4:M4)</f>
        <v>57.61</v>
      </c>
      <c r="O4" s="415">
        <f>N4/N5</f>
        <v>0.10698235840297121</v>
      </c>
      <c r="P4" s="414">
        <v>0.15</v>
      </c>
    </row>
    <row r="5" spans="1:16" ht="34.5" customHeight="1" thickBot="1" x14ac:dyDescent="0.3">
      <c r="B5" s="259" t="s">
        <v>291</v>
      </c>
      <c r="C5" s="26">
        <v>0</v>
      </c>
      <c r="D5" s="26">
        <v>13.17</v>
      </c>
      <c r="E5" s="26">
        <v>373.2</v>
      </c>
      <c r="F5" s="26">
        <v>127.59</v>
      </c>
      <c r="G5" s="26">
        <v>24.54</v>
      </c>
      <c r="H5" s="26">
        <v>0</v>
      </c>
      <c r="I5" s="26">
        <v>0</v>
      </c>
      <c r="J5" s="26"/>
      <c r="K5" s="26"/>
      <c r="L5" s="26"/>
      <c r="M5" s="26"/>
      <c r="N5" s="265">
        <f>SUM(C5:M5)</f>
        <v>538.5</v>
      </c>
      <c r="O5" s="415"/>
      <c r="P5" s="414"/>
    </row>
    <row r="6" spans="1:16" ht="30" x14ac:dyDescent="0.25">
      <c r="B6" s="109" t="s">
        <v>247</v>
      </c>
      <c r="C6" s="110" t="s">
        <v>248</v>
      </c>
      <c r="D6" s="183" t="s">
        <v>249</v>
      </c>
      <c r="E6" s="183" t="s">
        <v>250</v>
      </c>
      <c r="F6" s="183" t="s">
        <v>251</v>
      </c>
      <c r="G6" s="183" t="s">
        <v>252</v>
      </c>
      <c r="H6" s="183" t="s">
        <v>253</v>
      </c>
      <c r="I6" s="183" t="s">
        <v>254</v>
      </c>
      <c r="J6" s="183" t="s">
        <v>255</v>
      </c>
      <c r="K6" s="183" t="s">
        <v>257</v>
      </c>
      <c r="L6" s="183" t="s">
        <v>258</v>
      </c>
      <c r="M6" s="183" t="s">
        <v>259</v>
      </c>
      <c r="N6" s="184" t="s">
        <v>256</v>
      </c>
      <c r="O6" s="181" t="s">
        <v>289</v>
      </c>
      <c r="P6" s="266" t="s">
        <v>288</v>
      </c>
    </row>
    <row r="7" spans="1:16" x14ac:dyDescent="0.25">
      <c r="B7" s="185" t="s">
        <v>260</v>
      </c>
      <c r="C7" s="182">
        <f>$N7*IF($P$4&gt;0.045,C$4/$N$4,C$5/$N$5)</f>
        <v>0.30591000000000002</v>
      </c>
      <c r="D7" s="182">
        <f t="shared" ref="D7:M7" si="0">$N7*IF($P$4&gt;0.045,D$4/$N$4,D$5/$N$5)</f>
        <v>2.2215599999999998</v>
      </c>
      <c r="E7" s="182">
        <f t="shared" si="0"/>
        <v>3.8491200000000001</v>
      </c>
      <c r="F7" s="182">
        <f t="shared" si="0"/>
        <v>5.5093500000000004</v>
      </c>
      <c r="G7" s="182">
        <f t="shared" si="0"/>
        <v>4.5827099999999996</v>
      </c>
      <c r="H7" s="182">
        <f t="shared" si="0"/>
        <v>0.64152000000000009</v>
      </c>
      <c r="I7" s="182">
        <f t="shared" si="0"/>
        <v>0</v>
      </c>
      <c r="J7" s="182">
        <f t="shared" si="0"/>
        <v>0</v>
      </c>
      <c r="K7" s="182">
        <f t="shared" si="0"/>
        <v>0</v>
      </c>
      <c r="L7" s="182">
        <f t="shared" si="0"/>
        <v>0</v>
      </c>
      <c r="M7" s="182">
        <f t="shared" si="0"/>
        <v>0</v>
      </c>
      <c r="N7" s="186">
        <f>O7*P7</f>
        <v>17.11017</v>
      </c>
      <c r="O7" s="265">
        <f>IF($P$4&gt;0.045,$N$4,$N$5)</f>
        <v>57.61</v>
      </c>
      <c r="P7" s="267">
        <f t="shared" ref="P7:P12" si="1">HLOOKUP($P$4,$D$22:$M$35,ROW(A4),FALSE)</f>
        <v>0.29699999999999999</v>
      </c>
    </row>
    <row r="8" spans="1:16" x14ac:dyDescent="0.25">
      <c r="B8" s="185" t="s">
        <v>261</v>
      </c>
      <c r="C8" s="182">
        <f t="shared" ref="C8:M17" si="2">$N8*IF($P$4&gt;0.045,C$4/$N$4,C$5/$N$5)</f>
        <v>6.7979999999999999E-2</v>
      </c>
      <c r="D8" s="182">
        <f t="shared" si="2"/>
        <v>0.49367999999999995</v>
      </c>
      <c r="E8" s="182">
        <f t="shared" si="2"/>
        <v>0.85536000000000001</v>
      </c>
      <c r="F8" s="182">
        <f t="shared" si="2"/>
        <v>1.2243000000000002</v>
      </c>
      <c r="G8" s="182">
        <f t="shared" si="2"/>
        <v>1.0183799999999998</v>
      </c>
      <c r="H8" s="182">
        <f t="shared" si="2"/>
        <v>0.14256000000000002</v>
      </c>
      <c r="I8" s="182">
        <f t="shared" si="2"/>
        <v>0</v>
      </c>
      <c r="J8" s="182">
        <f t="shared" si="2"/>
        <v>0</v>
      </c>
      <c r="K8" s="182">
        <f t="shared" si="2"/>
        <v>0</v>
      </c>
      <c r="L8" s="182">
        <f t="shared" si="2"/>
        <v>0</v>
      </c>
      <c r="M8" s="182">
        <f t="shared" si="2"/>
        <v>0</v>
      </c>
      <c r="N8" s="186">
        <f t="shared" ref="N8:N17" si="3">O8*P8</f>
        <v>3.80226</v>
      </c>
      <c r="O8" s="265">
        <f t="shared" ref="O8:O17" si="4">IF($P$4&gt;0.045,$N$4,$N$5)</f>
        <v>57.61</v>
      </c>
      <c r="P8" s="267">
        <f t="shared" si="1"/>
        <v>6.6000000000000003E-2</v>
      </c>
    </row>
    <row r="9" spans="1:16" x14ac:dyDescent="0.25">
      <c r="B9" s="185" t="s">
        <v>262</v>
      </c>
      <c r="C9" s="182">
        <f t="shared" si="2"/>
        <v>5.253E-2</v>
      </c>
      <c r="D9" s="182">
        <f t="shared" si="2"/>
        <v>0.38147999999999999</v>
      </c>
      <c r="E9" s="182">
        <f t="shared" si="2"/>
        <v>0.66095999999999999</v>
      </c>
      <c r="F9" s="182">
        <f t="shared" si="2"/>
        <v>0.94605000000000006</v>
      </c>
      <c r="G9" s="182">
        <f t="shared" si="2"/>
        <v>0.78692999999999991</v>
      </c>
      <c r="H9" s="182">
        <f t="shared" si="2"/>
        <v>0.11016000000000002</v>
      </c>
      <c r="I9" s="182">
        <f t="shared" si="2"/>
        <v>0</v>
      </c>
      <c r="J9" s="182">
        <f t="shared" si="2"/>
        <v>0</v>
      </c>
      <c r="K9" s="182">
        <f t="shared" si="2"/>
        <v>0</v>
      </c>
      <c r="L9" s="182">
        <f t="shared" si="2"/>
        <v>0</v>
      </c>
      <c r="M9" s="182">
        <f t="shared" si="2"/>
        <v>0</v>
      </c>
      <c r="N9" s="186">
        <f t="shared" si="3"/>
        <v>2.93811</v>
      </c>
      <c r="O9" s="265">
        <f t="shared" si="4"/>
        <v>57.61</v>
      </c>
      <c r="P9" s="267">
        <f t="shared" si="1"/>
        <v>5.0999999999999997E-2</v>
      </c>
    </row>
    <row r="10" spans="1:16" x14ac:dyDescent="0.25">
      <c r="B10" s="185" t="s">
        <v>263</v>
      </c>
      <c r="C10" s="182">
        <f t="shared" si="2"/>
        <v>2.8840000000000001E-2</v>
      </c>
      <c r="D10" s="182">
        <f t="shared" si="2"/>
        <v>0.20943999999999999</v>
      </c>
      <c r="E10" s="182">
        <f t="shared" si="2"/>
        <v>0.36288000000000004</v>
      </c>
      <c r="F10" s="182">
        <f t="shared" si="2"/>
        <v>0.51940000000000008</v>
      </c>
      <c r="G10" s="182">
        <f t="shared" si="2"/>
        <v>0.43203999999999998</v>
      </c>
      <c r="H10" s="182">
        <f t="shared" si="2"/>
        <v>6.0480000000000013E-2</v>
      </c>
      <c r="I10" s="182">
        <f t="shared" si="2"/>
        <v>0</v>
      </c>
      <c r="J10" s="182">
        <f t="shared" si="2"/>
        <v>0</v>
      </c>
      <c r="K10" s="182">
        <f t="shared" si="2"/>
        <v>0</v>
      </c>
      <c r="L10" s="182">
        <f t="shared" si="2"/>
        <v>0</v>
      </c>
      <c r="M10" s="182">
        <f t="shared" si="2"/>
        <v>0</v>
      </c>
      <c r="N10" s="186">
        <f t="shared" si="3"/>
        <v>1.6130800000000001</v>
      </c>
      <c r="O10" s="265">
        <f t="shared" si="4"/>
        <v>57.61</v>
      </c>
      <c r="P10" s="267">
        <f t="shared" si="1"/>
        <v>2.8000000000000001E-2</v>
      </c>
    </row>
    <row r="11" spans="1:16" x14ac:dyDescent="0.25">
      <c r="B11" s="185" t="s">
        <v>264</v>
      </c>
      <c r="C11" s="182">
        <f t="shared" si="2"/>
        <v>2.06E-2</v>
      </c>
      <c r="D11" s="182">
        <f t="shared" si="2"/>
        <v>0.14960000000000001</v>
      </c>
      <c r="E11" s="182">
        <f t="shared" si="2"/>
        <v>0.25920000000000004</v>
      </c>
      <c r="F11" s="182">
        <f t="shared" si="2"/>
        <v>0.37100000000000005</v>
      </c>
      <c r="G11" s="182">
        <f t="shared" si="2"/>
        <v>0.30859999999999999</v>
      </c>
      <c r="H11" s="182">
        <f t="shared" si="2"/>
        <v>4.3200000000000009E-2</v>
      </c>
      <c r="I11" s="182">
        <f t="shared" si="2"/>
        <v>0</v>
      </c>
      <c r="J11" s="182">
        <f t="shared" si="2"/>
        <v>0</v>
      </c>
      <c r="K11" s="182">
        <f t="shared" si="2"/>
        <v>0</v>
      </c>
      <c r="L11" s="182">
        <f t="shared" si="2"/>
        <v>0</v>
      </c>
      <c r="M11" s="182">
        <f t="shared" si="2"/>
        <v>0</v>
      </c>
      <c r="N11" s="186">
        <f t="shared" si="3"/>
        <v>1.1522000000000001</v>
      </c>
      <c r="O11" s="265">
        <f t="shared" si="4"/>
        <v>57.61</v>
      </c>
      <c r="P11" s="267">
        <f t="shared" si="1"/>
        <v>0.02</v>
      </c>
    </row>
    <row r="12" spans="1:16" x14ac:dyDescent="0.25">
      <c r="B12" s="185" t="s">
        <v>265</v>
      </c>
      <c r="C12" s="182">
        <f t="shared" si="2"/>
        <v>1.133E-2</v>
      </c>
      <c r="D12" s="182">
        <f t="shared" si="2"/>
        <v>8.2279999999999992E-2</v>
      </c>
      <c r="E12" s="182">
        <f t="shared" si="2"/>
        <v>0.14255999999999999</v>
      </c>
      <c r="F12" s="182">
        <f t="shared" si="2"/>
        <v>0.20405000000000001</v>
      </c>
      <c r="G12" s="182">
        <f t="shared" si="2"/>
        <v>0.16972999999999999</v>
      </c>
      <c r="H12" s="182">
        <f t="shared" si="2"/>
        <v>2.3760000000000003E-2</v>
      </c>
      <c r="I12" s="182">
        <f t="shared" si="2"/>
        <v>0</v>
      </c>
      <c r="J12" s="182">
        <f t="shared" si="2"/>
        <v>0</v>
      </c>
      <c r="K12" s="182">
        <f t="shared" si="2"/>
        <v>0</v>
      </c>
      <c r="L12" s="182">
        <f t="shared" si="2"/>
        <v>0</v>
      </c>
      <c r="M12" s="182">
        <f t="shared" si="2"/>
        <v>0</v>
      </c>
      <c r="N12" s="186">
        <f t="shared" si="3"/>
        <v>0.63371</v>
      </c>
      <c r="O12" s="265">
        <f t="shared" si="4"/>
        <v>57.61</v>
      </c>
      <c r="P12" s="267">
        <f t="shared" si="1"/>
        <v>1.0999999999999999E-2</v>
      </c>
    </row>
    <row r="13" spans="1:16" ht="15.5" x14ac:dyDescent="0.25">
      <c r="B13" s="203" t="s">
        <v>266</v>
      </c>
      <c r="C13" s="204">
        <f t="shared" si="2"/>
        <v>8.342999999999999E-2</v>
      </c>
      <c r="D13" s="204">
        <f t="shared" si="2"/>
        <v>0.60587999999999997</v>
      </c>
      <c r="E13" s="204">
        <f t="shared" si="2"/>
        <v>1.04976</v>
      </c>
      <c r="F13" s="204">
        <f t="shared" si="2"/>
        <v>1.5025500000000001</v>
      </c>
      <c r="G13" s="204">
        <f t="shared" si="2"/>
        <v>1.2498299999999998</v>
      </c>
      <c r="H13" s="204">
        <f t="shared" si="2"/>
        <v>0.17496000000000003</v>
      </c>
      <c r="I13" s="204">
        <f t="shared" si="2"/>
        <v>0</v>
      </c>
      <c r="J13" s="204">
        <f t="shared" si="2"/>
        <v>0</v>
      </c>
      <c r="K13" s="204">
        <f t="shared" si="2"/>
        <v>0</v>
      </c>
      <c r="L13" s="204">
        <f t="shared" si="2"/>
        <v>0</v>
      </c>
      <c r="M13" s="204">
        <f t="shared" si="2"/>
        <v>0</v>
      </c>
      <c r="N13" s="205">
        <f t="shared" si="3"/>
        <v>4.6664099999999999</v>
      </c>
      <c r="O13" s="268">
        <f t="shared" si="4"/>
        <v>57.61</v>
      </c>
      <c r="P13" s="269">
        <f t="shared" ref="P13" si="5">HLOOKUP($P$4,$D$22:$M$35,ROW(A10),FALSE)</f>
        <v>8.1000000000000003E-2</v>
      </c>
    </row>
    <row r="14" spans="1:16" x14ac:dyDescent="0.25">
      <c r="B14" s="185" t="s">
        <v>267</v>
      </c>
      <c r="C14" s="182">
        <f t="shared" si="2"/>
        <v>5.9739999999999994E-2</v>
      </c>
      <c r="D14" s="182">
        <f t="shared" si="2"/>
        <v>0.43384</v>
      </c>
      <c r="E14" s="182">
        <f t="shared" si="2"/>
        <v>0.75168000000000001</v>
      </c>
      <c r="F14" s="182">
        <f t="shared" si="2"/>
        <v>1.0759000000000001</v>
      </c>
      <c r="G14" s="182">
        <f t="shared" si="2"/>
        <v>0.89493999999999996</v>
      </c>
      <c r="H14" s="182">
        <f t="shared" si="2"/>
        <v>0.12528000000000003</v>
      </c>
      <c r="I14" s="182">
        <f t="shared" si="2"/>
        <v>0</v>
      </c>
      <c r="J14" s="182">
        <f t="shared" si="2"/>
        <v>0</v>
      </c>
      <c r="K14" s="182">
        <f t="shared" si="2"/>
        <v>0</v>
      </c>
      <c r="L14" s="182">
        <f t="shared" si="2"/>
        <v>0</v>
      </c>
      <c r="M14" s="182">
        <f t="shared" si="2"/>
        <v>0</v>
      </c>
      <c r="N14" s="186">
        <f t="shared" si="3"/>
        <v>3.34138</v>
      </c>
      <c r="O14" s="265">
        <f t="shared" si="4"/>
        <v>57.61</v>
      </c>
      <c r="P14" s="267">
        <f>HLOOKUP($P$4,$D$22:$M$35,ROW(A11),FALSE)</f>
        <v>5.8000000000000003E-2</v>
      </c>
    </row>
    <row r="15" spans="1:16" x14ac:dyDescent="0.25">
      <c r="B15" s="185" t="s">
        <v>268</v>
      </c>
      <c r="C15" s="182">
        <f t="shared" si="2"/>
        <v>0.14832000000000001</v>
      </c>
      <c r="D15" s="182">
        <f t="shared" si="2"/>
        <v>1.0771200000000001</v>
      </c>
      <c r="E15" s="182">
        <f t="shared" si="2"/>
        <v>1.8662400000000001</v>
      </c>
      <c r="F15" s="182">
        <f t="shared" si="2"/>
        <v>2.6712000000000002</v>
      </c>
      <c r="G15" s="182">
        <f t="shared" si="2"/>
        <v>2.2219199999999999</v>
      </c>
      <c r="H15" s="182">
        <f t="shared" si="2"/>
        <v>0.31104000000000004</v>
      </c>
      <c r="I15" s="182">
        <f t="shared" si="2"/>
        <v>0</v>
      </c>
      <c r="J15" s="182">
        <f t="shared" si="2"/>
        <v>0</v>
      </c>
      <c r="K15" s="182">
        <f t="shared" si="2"/>
        <v>0</v>
      </c>
      <c r="L15" s="182">
        <f t="shared" si="2"/>
        <v>0</v>
      </c>
      <c r="M15" s="182">
        <f t="shared" si="2"/>
        <v>0</v>
      </c>
      <c r="N15" s="186">
        <f t="shared" si="3"/>
        <v>8.2958400000000001</v>
      </c>
      <c r="O15" s="265">
        <f t="shared" si="4"/>
        <v>57.61</v>
      </c>
      <c r="P15" s="267">
        <f>HLOOKUP($P$4,$D$22:$M$35,ROW(A12),FALSE)</f>
        <v>0.14399999999999999</v>
      </c>
    </row>
    <row r="16" spans="1:16" x14ac:dyDescent="0.25">
      <c r="B16" s="185" t="s">
        <v>269</v>
      </c>
      <c r="C16" s="182">
        <f t="shared" si="2"/>
        <v>0.11947999999999999</v>
      </c>
      <c r="D16" s="182">
        <f t="shared" si="2"/>
        <v>0.86768000000000001</v>
      </c>
      <c r="E16" s="182">
        <f t="shared" si="2"/>
        <v>1.50336</v>
      </c>
      <c r="F16" s="182">
        <f t="shared" si="2"/>
        <v>2.1518000000000002</v>
      </c>
      <c r="G16" s="182">
        <f t="shared" si="2"/>
        <v>1.7898799999999999</v>
      </c>
      <c r="H16" s="182">
        <f t="shared" si="2"/>
        <v>0.25056000000000006</v>
      </c>
      <c r="I16" s="182">
        <f t="shared" si="2"/>
        <v>0</v>
      </c>
      <c r="J16" s="182">
        <f t="shared" si="2"/>
        <v>0</v>
      </c>
      <c r="K16" s="182">
        <f t="shared" si="2"/>
        <v>0</v>
      </c>
      <c r="L16" s="182">
        <f t="shared" si="2"/>
        <v>0</v>
      </c>
      <c r="M16" s="182">
        <f t="shared" si="2"/>
        <v>0</v>
      </c>
      <c r="N16" s="186">
        <f t="shared" si="3"/>
        <v>6.68276</v>
      </c>
      <c r="O16" s="265">
        <f t="shared" si="4"/>
        <v>57.61</v>
      </c>
      <c r="P16" s="267">
        <f>HLOOKUP($P$4,$D$22:$M$35,ROW(A13),FALSE)</f>
        <v>0.11600000000000001</v>
      </c>
    </row>
    <row r="17" spans="2:16" x14ac:dyDescent="0.25">
      <c r="B17" s="185" t="s">
        <v>270</v>
      </c>
      <c r="C17" s="182">
        <f t="shared" si="2"/>
        <v>4.9439999999999998E-2</v>
      </c>
      <c r="D17" s="182">
        <f t="shared" si="2"/>
        <v>0.35904000000000003</v>
      </c>
      <c r="E17" s="182">
        <f t="shared" si="2"/>
        <v>0.62208000000000008</v>
      </c>
      <c r="F17" s="182">
        <f t="shared" si="2"/>
        <v>0.89040000000000019</v>
      </c>
      <c r="G17" s="182">
        <f t="shared" si="2"/>
        <v>0.74063999999999997</v>
      </c>
      <c r="H17" s="182">
        <f t="shared" si="2"/>
        <v>0.10368000000000002</v>
      </c>
      <c r="I17" s="182">
        <f t="shared" si="2"/>
        <v>0</v>
      </c>
      <c r="J17" s="182">
        <f t="shared" si="2"/>
        <v>0</v>
      </c>
      <c r="K17" s="182">
        <f t="shared" si="2"/>
        <v>0</v>
      </c>
      <c r="L17" s="182">
        <f t="shared" si="2"/>
        <v>0</v>
      </c>
      <c r="M17" s="182">
        <f t="shared" si="2"/>
        <v>0</v>
      </c>
      <c r="N17" s="186">
        <f t="shared" si="3"/>
        <v>2.7652800000000002</v>
      </c>
      <c r="O17" s="265">
        <f t="shared" si="4"/>
        <v>57.61</v>
      </c>
      <c r="P17" s="267">
        <f>HLOOKUP($P$4,$D$22:$M$35,ROW(A14),FALSE)</f>
        <v>4.8000000000000001E-2</v>
      </c>
    </row>
    <row r="18" spans="2:16" ht="15.5" thickBot="1" x14ac:dyDescent="0.3">
      <c r="B18" s="187" t="s">
        <v>287</v>
      </c>
      <c r="C18" s="188">
        <f t="shared" ref="C18:N18" si="6">SUM(C7:C12,C14:C17)</f>
        <v>0.8641700000000001</v>
      </c>
      <c r="D18" s="188">
        <f t="shared" si="6"/>
        <v>6.2757199999999997</v>
      </c>
      <c r="E18" s="188">
        <f t="shared" si="6"/>
        <v>10.87344</v>
      </c>
      <c r="F18" s="188">
        <f t="shared" si="6"/>
        <v>15.563450000000003</v>
      </c>
      <c r="G18" s="188">
        <f t="shared" si="6"/>
        <v>12.94577</v>
      </c>
      <c r="H18" s="188">
        <f t="shared" si="6"/>
        <v>1.8122400000000003</v>
      </c>
      <c r="I18" s="188">
        <f t="shared" si="6"/>
        <v>0</v>
      </c>
      <c r="J18" s="188">
        <f t="shared" si="6"/>
        <v>0</v>
      </c>
      <c r="K18" s="188">
        <f t="shared" si="6"/>
        <v>0</v>
      </c>
      <c r="L18" s="188">
        <f t="shared" si="6"/>
        <v>0</v>
      </c>
      <c r="M18" s="188">
        <f t="shared" si="6"/>
        <v>0</v>
      </c>
      <c r="N18" s="189">
        <f t="shared" si="6"/>
        <v>48.334790000000005</v>
      </c>
      <c r="P18" s="267">
        <f>SUM(P7:P17)</f>
        <v>0.92000000000000015</v>
      </c>
    </row>
    <row r="19" spans="2:16" x14ac:dyDescent="0.25">
      <c r="B19" s="270" t="s">
        <v>528</v>
      </c>
      <c r="P19" s="142"/>
    </row>
    <row r="20" spans="2:16" x14ac:dyDescent="0.25">
      <c r="B20" s="416" t="s">
        <v>284</v>
      </c>
      <c r="C20" s="417"/>
      <c r="D20" s="417"/>
      <c r="E20" s="417"/>
      <c r="F20" s="417"/>
      <c r="G20" s="417"/>
      <c r="H20" s="417"/>
      <c r="I20" s="417"/>
      <c r="J20" s="417"/>
      <c r="K20" s="417"/>
      <c r="L20" s="417"/>
      <c r="M20" s="417"/>
      <c r="P20" s="142"/>
    </row>
    <row r="21" spans="2:16" x14ac:dyDescent="0.25">
      <c r="B21" s="418" t="s">
        <v>277</v>
      </c>
      <c r="C21" s="419"/>
      <c r="D21" s="420" t="s">
        <v>278</v>
      </c>
      <c r="E21" s="420"/>
      <c r="F21" s="420"/>
      <c r="G21" s="420"/>
      <c r="H21" s="420"/>
      <c r="I21" s="420"/>
      <c r="J21" s="420"/>
      <c r="K21" s="420"/>
      <c r="L21" s="420"/>
      <c r="M21" s="420"/>
      <c r="P21" s="142"/>
    </row>
    <row r="22" spans="2:16" x14ac:dyDescent="0.25">
      <c r="B22" s="418"/>
      <c r="C22" s="419"/>
      <c r="D22" s="179">
        <v>0.01</v>
      </c>
      <c r="E22" s="179">
        <v>0.02</v>
      </c>
      <c r="F22" s="179">
        <v>0.03</v>
      </c>
      <c r="G22" s="179">
        <v>0.04</v>
      </c>
      <c r="H22" s="179">
        <v>0.05</v>
      </c>
      <c r="I22" s="179">
        <v>0.1</v>
      </c>
      <c r="J22" s="179">
        <v>0.15</v>
      </c>
      <c r="K22" s="179">
        <v>0.2</v>
      </c>
      <c r="L22" s="179">
        <v>0.25</v>
      </c>
      <c r="M22" s="179">
        <v>0.3</v>
      </c>
      <c r="P22" s="142"/>
    </row>
    <row r="23" spans="2:16" ht="27.75" customHeight="1" x14ac:dyDescent="0.25">
      <c r="B23" s="410" t="s">
        <v>279</v>
      </c>
      <c r="C23" s="420"/>
      <c r="D23" s="180" t="s">
        <v>280</v>
      </c>
      <c r="E23" s="180" t="s">
        <v>280</v>
      </c>
      <c r="F23" s="180" t="s">
        <v>280</v>
      </c>
      <c r="G23" s="180" t="s">
        <v>281</v>
      </c>
      <c r="H23" s="180">
        <v>1.44</v>
      </c>
      <c r="I23" s="180">
        <v>1.05</v>
      </c>
      <c r="J23" s="180">
        <v>0.92</v>
      </c>
      <c r="K23" s="180">
        <v>0.85499999999999998</v>
      </c>
      <c r="L23" s="180">
        <v>0.81599999999999995</v>
      </c>
      <c r="M23" s="180">
        <v>0.79</v>
      </c>
      <c r="P23" s="142"/>
    </row>
    <row r="24" spans="2:16" ht="25.5" customHeight="1" x14ac:dyDescent="0.25">
      <c r="B24" s="410" t="s">
        <v>282</v>
      </c>
      <c r="C24" s="420"/>
      <c r="D24" s="180">
        <v>0.04</v>
      </c>
      <c r="E24" s="180">
        <v>0.05</v>
      </c>
      <c r="F24" s="180">
        <v>5.8000000000000003E-2</v>
      </c>
      <c r="G24" s="180">
        <v>6.5000000000000002E-2</v>
      </c>
      <c r="H24" s="180" t="s">
        <v>280</v>
      </c>
      <c r="I24" s="180" t="s">
        <v>280</v>
      </c>
      <c r="J24" s="180" t="s">
        <v>280</v>
      </c>
      <c r="K24" s="180" t="s">
        <v>280</v>
      </c>
      <c r="L24" s="180" t="s">
        <v>280</v>
      </c>
      <c r="M24" s="180" t="s">
        <v>280</v>
      </c>
      <c r="P24" s="142"/>
    </row>
    <row r="25" spans="2:16" x14ac:dyDescent="0.25">
      <c r="B25" s="410" t="s">
        <v>283</v>
      </c>
      <c r="C25" s="174" t="s">
        <v>260</v>
      </c>
      <c r="D25" s="180">
        <v>7.4999999999999997E-3</v>
      </c>
      <c r="E25" s="180">
        <v>1.15E-2</v>
      </c>
      <c r="F25" s="180">
        <v>1.43E-2</v>
      </c>
      <c r="G25" s="180">
        <v>1.6899999999999998E-2</v>
      </c>
      <c r="H25" s="180">
        <v>0.39</v>
      </c>
      <c r="I25" s="180">
        <v>0.32</v>
      </c>
      <c r="J25" s="180">
        <v>0.29699999999999999</v>
      </c>
      <c r="K25" s="180">
        <v>0.28499999999999998</v>
      </c>
      <c r="L25" s="180">
        <v>0.27800000000000002</v>
      </c>
      <c r="M25" s="180">
        <v>0.27300000000000002</v>
      </c>
      <c r="P25" s="142"/>
    </row>
    <row r="26" spans="2:16" x14ac:dyDescent="0.25">
      <c r="B26" s="410"/>
      <c r="C26" s="174" t="s">
        <v>261</v>
      </c>
      <c r="D26" s="180">
        <v>2.5000000000000001E-3</v>
      </c>
      <c r="E26" s="180">
        <v>3.3E-3</v>
      </c>
      <c r="F26" s="180">
        <v>3.8999999999999998E-3</v>
      </c>
      <c r="G26" s="180">
        <v>4.4000000000000003E-3</v>
      </c>
      <c r="H26" s="180">
        <v>9.8000000000000004E-2</v>
      </c>
      <c r="I26" s="180">
        <v>7.3999999999999996E-2</v>
      </c>
      <c r="J26" s="180">
        <v>6.6000000000000003E-2</v>
      </c>
      <c r="K26" s="180">
        <v>6.2E-2</v>
      </c>
      <c r="L26" s="180">
        <v>0.06</v>
      </c>
      <c r="M26" s="180">
        <v>5.8000000000000003E-2</v>
      </c>
      <c r="P26" s="142"/>
    </row>
    <row r="27" spans="2:16" x14ac:dyDescent="0.25">
      <c r="B27" s="410"/>
      <c r="C27" s="174" t="s">
        <v>262</v>
      </c>
      <c r="D27" s="180">
        <v>2E-3</v>
      </c>
      <c r="E27" s="180">
        <v>2.5999999999999999E-3</v>
      </c>
      <c r="F27" s="180">
        <v>3.0000000000000001E-3</v>
      </c>
      <c r="G27" s="180">
        <v>3.3999999999999998E-3</v>
      </c>
      <c r="H27" s="180">
        <v>7.5999999999999998E-2</v>
      </c>
      <c r="I27" s="180">
        <v>5.7000000000000002E-2</v>
      </c>
      <c r="J27" s="180">
        <v>5.0999999999999997E-2</v>
      </c>
      <c r="K27" s="180">
        <v>4.8000000000000001E-2</v>
      </c>
      <c r="L27" s="180">
        <v>4.5999999999999999E-2</v>
      </c>
      <c r="M27" s="180">
        <v>4.4999999999999998E-2</v>
      </c>
      <c r="P27" s="142"/>
    </row>
    <row r="28" spans="2:16" x14ac:dyDescent="0.25">
      <c r="B28" s="410"/>
      <c r="C28" s="174" t="s">
        <v>263</v>
      </c>
      <c r="D28" s="180">
        <v>1.6000000000000001E-3</v>
      </c>
      <c r="E28" s="180">
        <v>2E-3</v>
      </c>
      <c r="F28" s="180">
        <v>2.2000000000000001E-3</v>
      </c>
      <c r="G28" s="180">
        <v>2.3999999999999998E-3</v>
      </c>
      <c r="H28" s="180">
        <v>5.1999999999999998E-2</v>
      </c>
      <c r="I28" s="180">
        <v>3.4000000000000002E-2</v>
      </c>
      <c r="J28" s="180">
        <v>2.8000000000000001E-2</v>
      </c>
      <c r="K28" s="180">
        <v>2.5000000000000001E-2</v>
      </c>
      <c r="L28" s="180">
        <v>2.3E-2</v>
      </c>
      <c r="M28" s="180">
        <v>2.1999999999999999E-2</v>
      </c>
      <c r="P28" s="142"/>
    </row>
    <row r="29" spans="2:16" x14ac:dyDescent="0.25">
      <c r="B29" s="410"/>
      <c r="C29" s="174" t="s">
        <v>264</v>
      </c>
      <c r="D29" s="180">
        <v>1.6000000000000001E-3</v>
      </c>
      <c r="E29" s="180">
        <v>1.6999999999999999E-3</v>
      </c>
      <c r="F29" s="180">
        <v>1.8E-3</v>
      </c>
      <c r="G29" s="180">
        <v>1.9E-3</v>
      </c>
      <c r="H29" s="180">
        <v>0.04</v>
      </c>
      <c r="I29" s="180">
        <v>2.5000000000000001E-2</v>
      </c>
      <c r="J29" s="180">
        <v>0.02</v>
      </c>
      <c r="K29" s="180">
        <v>1.7000000000000001E-2</v>
      </c>
      <c r="L29" s="180">
        <v>1.6E-2</v>
      </c>
      <c r="M29" s="180">
        <v>1.4999999999999999E-2</v>
      </c>
      <c r="P29" s="142"/>
    </row>
    <row r="30" spans="2:16" x14ac:dyDescent="0.25">
      <c r="B30" s="410"/>
      <c r="C30" s="174" t="s">
        <v>265</v>
      </c>
      <c r="D30" s="180">
        <v>2.9999999999999997E-4</v>
      </c>
      <c r="E30" s="180">
        <v>4.0000000000000002E-4</v>
      </c>
      <c r="F30" s="180">
        <v>5.0000000000000001E-4</v>
      </c>
      <c r="G30" s="180">
        <v>5.9999999999999995E-4</v>
      </c>
      <c r="H30" s="180">
        <v>1.4E-2</v>
      </c>
      <c r="I30" s="180">
        <v>1.2E-2</v>
      </c>
      <c r="J30" s="180">
        <v>1.0999999999999999E-2</v>
      </c>
      <c r="K30" s="180">
        <v>1.0999999999999999E-2</v>
      </c>
      <c r="L30" s="180">
        <v>1.0999999999999999E-2</v>
      </c>
      <c r="M30" s="180">
        <v>1.0999999999999999E-2</v>
      </c>
      <c r="P30" s="142"/>
    </row>
    <row r="31" spans="2:16" x14ac:dyDescent="0.25">
      <c r="B31" s="410"/>
      <c r="C31" s="206" t="s">
        <v>266</v>
      </c>
      <c r="D31" s="207">
        <v>5.0000000000000001E-3</v>
      </c>
      <c r="E31" s="207">
        <v>5.7999999999999996E-3</v>
      </c>
      <c r="F31" s="207">
        <v>6.4999999999999997E-3</v>
      </c>
      <c r="G31" s="207">
        <v>7.0000000000000001E-3</v>
      </c>
      <c r="H31" s="207">
        <v>0.15</v>
      </c>
      <c r="I31" s="207">
        <v>9.8000000000000004E-2</v>
      </c>
      <c r="J31" s="207">
        <v>8.1000000000000003E-2</v>
      </c>
      <c r="K31" s="207">
        <v>7.1999999999999995E-2</v>
      </c>
      <c r="L31" s="207">
        <v>6.7000000000000004E-2</v>
      </c>
      <c r="M31" s="207">
        <v>6.3E-2</v>
      </c>
      <c r="P31" s="142"/>
    </row>
    <row r="32" spans="2:16" x14ac:dyDescent="0.25">
      <c r="B32" s="410"/>
      <c r="C32" s="174" t="s">
        <v>267</v>
      </c>
      <c r="D32" s="180">
        <v>3.5000000000000001E-3</v>
      </c>
      <c r="E32" s="180">
        <v>4.1000000000000003E-3</v>
      </c>
      <c r="F32" s="180">
        <v>4.5999999999999999E-3</v>
      </c>
      <c r="G32" s="180">
        <v>5.0000000000000001E-3</v>
      </c>
      <c r="H32" s="180">
        <v>0.108</v>
      </c>
      <c r="I32" s="180">
        <v>7.0999999999999994E-2</v>
      </c>
      <c r="J32" s="180">
        <v>5.8000000000000003E-2</v>
      </c>
      <c r="K32" s="180">
        <v>5.2999999999999999E-2</v>
      </c>
      <c r="L32" s="180">
        <v>4.9000000000000002E-2</v>
      </c>
      <c r="M32" s="180">
        <v>4.5999999999999999E-2</v>
      </c>
      <c r="P32" s="142"/>
    </row>
    <row r="33" spans="1:30" x14ac:dyDescent="0.25">
      <c r="B33" s="410"/>
      <c r="C33" s="174" t="s">
        <v>268</v>
      </c>
      <c r="D33" s="180">
        <v>7.0000000000000001E-3</v>
      </c>
      <c r="E33" s="180">
        <v>8.3999999999999995E-3</v>
      </c>
      <c r="F33" s="180">
        <v>9.7999999999999997E-3</v>
      </c>
      <c r="G33" s="180">
        <v>1.0800000000000001E-2</v>
      </c>
      <c r="H33" s="180">
        <v>0.23599999999999999</v>
      </c>
      <c r="I33" s="180">
        <v>0.16700000000000001</v>
      </c>
      <c r="J33" s="180">
        <v>0.14399999999999999</v>
      </c>
      <c r="K33" s="180">
        <v>0.13200000000000001</v>
      </c>
      <c r="L33" s="180">
        <v>0.125</v>
      </c>
      <c r="M33" s="180">
        <v>0.121</v>
      </c>
      <c r="P33" s="142"/>
    </row>
    <row r="34" spans="1:30" x14ac:dyDescent="0.25">
      <c r="B34" s="410"/>
      <c r="C34" s="174" t="s">
        <v>269</v>
      </c>
      <c r="D34" s="180">
        <v>7.0000000000000001E-3</v>
      </c>
      <c r="E34" s="180">
        <v>7.7999999999999996E-3</v>
      </c>
      <c r="F34" s="180">
        <v>8.6E-3</v>
      </c>
      <c r="G34" s="180">
        <v>9.4000000000000004E-3</v>
      </c>
      <c r="H34" s="180">
        <v>0.20399999999999999</v>
      </c>
      <c r="I34" s="180">
        <v>0.13800000000000001</v>
      </c>
      <c r="J34" s="180">
        <v>0.11600000000000001</v>
      </c>
      <c r="K34" s="180">
        <v>0.105</v>
      </c>
      <c r="L34" s="180">
        <v>9.8000000000000004E-2</v>
      </c>
      <c r="M34" s="180">
        <v>9.4E-2</v>
      </c>
      <c r="P34" s="142"/>
    </row>
    <row r="35" spans="1:30" ht="15.5" thickBot="1" x14ac:dyDescent="0.3">
      <c r="B35" s="411"/>
      <c r="C35" s="271" t="s">
        <v>270</v>
      </c>
      <c r="D35" s="272">
        <v>2E-3</v>
      </c>
      <c r="E35" s="272">
        <v>2.3999999999999998E-3</v>
      </c>
      <c r="F35" s="272">
        <v>2.8E-3</v>
      </c>
      <c r="G35" s="272">
        <v>3.2000000000000002E-3</v>
      </c>
      <c r="H35" s="272">
        <v>7.1999999999999995E-2</v>
      </c>
      <c r="I35" s="272">
        <v>5.3999999999999999E-2</v>
      </c>
      <c r="J35" s="272">
        <v>4.8000000000000001E-2</v>
      </c>
      <c r="K35" s="272">
        <v>4.4999999999999998E-2</v>
      </c>
      <c r="L35" s="272">
        <v>4.2999999999999997E-2</v>
      </c>
      <c r="M35" s="272">
        <v>4.2000000000000003E-2</v>
      </c>
      <c r="N35" s="146"/>
      <c r="O35" s="146"/>
      <c r="P35" s="147"/>
    </row>
    <row r="37" spans="1:30" x14ac:dyDescent="0.25">
      <c r="A37" t="s">
        <v>508</v>
      </c>
      <c r="B37" t="s">
        <v>508</v>
      </c>
      <c r="C37" t="s">
        <v>508</v>
      </c>
      <c r="D37" t="s">
        <v>508</v>
      </c>
      <c r="E37" t="s">
        <v>508</v>
      </c>
      <c r="F37" t="s">
        <v>508</v>
      </c>
      <c r="G37" t="s">
        <v>508</v>
      </c>
      <c r="H37" t="s">
        <v>508</v>
      </c>
      <c r="I37" t="s">
        <v>508</v>
      </c>
      <c r="J37" t="s">
        <v>508</v>
      </c>
      <c r="K37" t="s">
        <v>508</v>
      </c>
      <c r="L37" t="s">
        <v>508</v>
      </c>
      <c r="M37" t="s">
        <v>508</v>
      </c>
      <c r="N37" t="s">
        <v>508</v>
      </c>
      <c r="O37" t="s">
        <v>508</v>
      </c>
      <c r="P37" t="s">
        <v>508</v>
      </c>
      <c r="Q37" t="s">
        <v>508</v>
      </c>
      <c r="R37" t="s">
        <v>508</v>
      </c>
      <c r="S37" t="s">
        <v>508</v>
      </c>
      <c r="T37" t="s">
        <v>508</v>
      </c>
      <c r="U37" t="s">
        <v>508</v>
      </c>
      <c r="V37" t="s">
        <v>508</v>
      </c>
      <c r="W37" t="s">
        <v>508</v>
      </c>
      <c r="X37" t="s">
        <v>508</v>
      </c>
      <c r="Y37" t="s">
        <v>508</v>
      </c>
      <c r="Z37" t="s">
        <v>508</v>
      </c>
      <c r="AA37" t="s">
        <v>508</v>
      </c>
      <c r="AB37" t="s">
        <v>508</v>
      </c>
      <c r="AC37" t="s">
        <v>508</v>
      </c>
      <c r="AD37" t="s">
        <v>508</v>
      </c>
    </row>
    <row r="38" spans="1:30" ht="18" customHeight="1" thickBot="1" x14ac:dyDescent="0.3"/>
    <row r="39" spans="1:30" ht="24" customHeight="1" x14ac:dyDescent="0.25">
      <c r="B39" s="371" t="s">
        <v>527</v>
      </c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3"/>
    </row>
    <row r="40" spans="1:30" ht="33.75" customHeight="1" x14ac:dyDescent="0.25">
      <c r="B40" s="259" t="s">
        <v>290</v>
      </c>
      <c r="C40">
        <v>1.7969999999999999</v>
      </c>
      <c r="D40" s="125">
        <v>1.7967276839352611</v>
      </c>
      <c r="E40" s="125">
        <v>20.109958300940001</v>
      </c>
      <c r="F40" s="125">
        <v>87.191000000000003</v>
      </c>
      <c r="G40" s="125">
        <v>47.005074563573409</v>
      </c>
      <c r="N40" s="26"/>
      <c r="Q40" s="142"/>
    </row>
    <row r="41" spans="1:30" ht="30.75" customHeight="1" x14ac:dyDescent="0.25">
      <c r="B41" s="172" t="s">
        <v>510</v>
      </c>
      <c r="C41" s="148" t="s">
        <v>248</v>
      </c>
      <c r="D41" s="256" t="s">
        <v>249</v>
      </c>
      <c r="E41" s="256" t="s">
        <v>250</v>
      </c>
      <c r="F41" s="256" t="s">
        <v>251</v>
      </c>
      <c r="G41" s="256" t="s">
        <v>252</v>
      </c>
      <c r="H41" s="256" t="s">
        <v>253</v>
      </c>
      <c r="I41" s="256" t="s">
        <v>254</v>
      </c>
      <c r="J41" s="256" t="s">
        <v>255</v>
      </c>
      <c r="K41" s="256" t="s">
        <v>257</v>
      </c>
      <c r="L41" s="256" t="s">
        <v>258</v>
      </c>
      <c r="M41" s="256" t="s">
        <v>259</v>
      </c>
      <c r="N41" s="256" t="s">
        <v>256</v>
      </c>
      <c r="O41" s="257" t="s">
        <v>524</v>
      </c>
      <c r="P41" s="255" t="s">
        <v>523</v>
      </c>
      <c r="Q41" s="273" t="s">
        <v>525</v>
      </c>
    </row>
    <row r="42" spans="1:30" ht="18" customHeight="1" x14ac:dyDescent="0.25">
      <c r="B42" s="172" t="s">
        <v>511</v>
      </c>
      <c r="C42" s="230">
        <f t="shared" ref="C42:C47" si="7">N42*$C$40/O42</f>
        <v>0.43128</v>
      </c>
      <c r="D42" s="230">
        <f t="shared" ref="D42:D47" si="8">N42*$D$40/O42</f>
        <v>0.43121464414446264</v>
      </c>
      <c r="E42" s="230">
        <f t="shared" ref="E42:E47" si="9">N42*$E$40/O42</f>
        <v>4.8263899922256002</v>
      </c>
      <c r="F42" s="230">
        <f t="shared" ref="F42:F47" si="10">N42*$F$40/O42</f>
        <v>20.925840000000001</v>
      </c>
      <c r="G42" s="230">
        <f t="shared" ref="G42:G47" si="11">N42*$G$40/O42</f>
        <v>11.281217895257619</v>
      </c>
      <c r="H42" s="230">
        <f t="shared" ref="H42:H47" si="12">N42*$H$40/O42</f>
        <v>0</v>
      </c>
      <c r="I42" s="230">
        <f t="shared" ref="I42:I47" si="13">N42*$I$40/O42</f>
        <v>0</v>
      </c>
      <c r="J42" s="230">
        <f t="shared" ref="J42:J47" si="14">N42*$J$40/O42</f>
        <v>0</v>
      </c>
      <c r="K42" s="230">
        <f t="shared" ref="K42:K47" si="15">N42*$K$40/O42</f>
        <v>0</v>
      </c>
      <c r="L42" s="230">
        <f t="shared" ref="L42:L47" si="16">N42*$L$40/O42</f>
        <v>0</v>
      </c>
      <c r="M42" s="230">
        <f t="shared" ref="M42:M47" si="17">N42*$M$40/O42</f>
        <v>0</v>
      </c>
      <c r="N42" s="258">
        <f>O42*P42</f>
        <v>37.896000000000001</v>
      </c>
      <c r="O42" s="26">
        <v>157.9</v>
      </c>
      <c r="P42" s="260">
        <v>0.24</v>
      </c>
      <c r="Q42" s="261">
        <f>SUM(C42:M42)</f>
        <v>37.895942531627682</v>
      </c>
    </row>
    <row r="43" spans="1:30" ht="18" customHeight="1" x14ac:dyDescent="0.25">
      <c r="B43" s="172" t="s">
        <v>512</v>
      </c>
      <c r="C43" s="230">
        <f t="shared" si="7"/>
        <v>8.6255999999999999E-2</v>
      </c>
      <c r="D43" s="230">
        <f t="shared" si="8"/>
        <v>8.6242928828892534E-2</v>
      </c>
      <c r="E43" s="230">
        <f t="shared" si="9"/>
        <v>0.96527799844511997</v>
      </c>
      <c r="F43" s="230">
        <f t="shared" si="10"/>
        <v>4.185168</v>
      </c>
      <c r="G43" s="230">
        <f t="shared" si="11"/>
        <v>2.2562435790515236</v>
      </c>
      <c r="H43" s="230">
        <f t="shared" si="12"/>
        <v>0</v>
      </c>
      <c r="I43" s="230">
        <f t="shared" si="13"/>
        <v>0</v>
      </c>
      <c r="J43" s="230">
        <f t="shared" si="14"/>
        <v>0</v>
      </c>
      <c r="K43" s="230">
        <f t="shared" si="15"/>
        <v>0</v>
      </c>
      <c r="L43" s="230">
        <f t="shared" si="16"/>
        <v>0</v>
      </c>
      <c r="M43" s="230">
        <f t="shared" si="17"/>
        <v>0</v>
      </c>
      <c r="N43" s="258">
        <f t="shared" ref="N43:N52" si="18">O43*P43</f>
        <v>7.5792000000000002</v>
      </c>
      <c r="O43" s="26">
        <v>157.9</v>
      </c>
      <c r="P43" s="260">
        <v>4.8000000000000001E-2</v>
      </c>
      <c r="Q43" s="261">
        <f t="shared" ref="Q43:Q53" si="19">SUM(C43:M43)</f>
        <v>7.5791885063255364</v>
      </c>
    </row>
    <row r="44" spans="1:30" ht="18" customHeight="1" x14ac:dyDescent="0.25">
      <c r="B44" s="172" t="s">
        <v>513</v>
      </c>
      <c r="C44" s="230">
        <f t="shared" si="7"/>
        <v>6.1098000000000006E-2</v>
      </c>
      <c r="D44" s="230">
        <f t="shared" si="8"/>
        <v>6.108874125379888E-2</v>
      </c>
      <c r="E44" s="230">
        <f t="shared" si="9"/>
        <v>0.68373858223196005</v>
      </c>
      <c r="F44" s="230">
        <f t="shared" si="10"/>
        <v>2.9644940000000002</v>
      </c>
      <c r="G44" s="230">
        <f t="shared" si="11"/>
        <v>1.5981725351614959</v>
      </c>
      <c r="H44" s="230">
        <f t="shared" si="12"/>
        <v>0</v>
      </c>
      <c r="I44" s="230">
        <f t="shared" si="13"/>
        <v>0</v>
      </c>
      <c r="J44" s="230">
        <f t="shared" si="14"/>
        <v>0</v>
      </c>
      <c r="K44" s="230">
        <f t="shared" si="15"/>
        <v>0</v>
      </c>
      <c r="L44" s="230">
        <f t="shared" si="16"/>
        <v>0</v>
      </c>
      <c r="M44" s="230">
        <f t="shared" si="17"/>
        <v>0</v>
      </c>
      <c r="N44" s="258">
        <f t="shared" si="18"/>
        <v>5.3686000000000007</v>
      </c>
      <c r="O44" s="26">
        <v>157.9</v>
      </c>
      <c r="P44" s="260">
        <v>3.4000000000000002E-2</v>
      </c>
      <c r="Q44" s="261">
        <f t="shared" si="19"/>
        <v>5.368591858647255</v>
      </c>
    </row>
    <row r="45" spans="1:30" ht="18" customHeight="1" x14ac:dyDescent="0.25">
      <c r="B45" s="172" t="s">
        <v>514</v>
      </c>
      <c r="C45" s="230">
        <f t="shared" si="7"/>
        <v>2.1564E-2</v>
      </c>
      <c r="D45" s="230">
        <f t="shared" si="8"/>
        <v>2.1560732207223134E-2</v>
      </c>
      <c r="E45" s="230">
        <f t="shared" si="9"/>
        <v>0.24131949961127999</v>
      </c>
      <c r="F45" s="230">
        <f t="shared" si="10"/>
        <v>1.046292</v>
      </c>
      <c r="G45" s="230">
        <f t="shared" si="11"/>
        <v>0.5640608947628809</v>
      </c>
      <c r="H45" s="230">
        <f t="shared" si="12"/>
        <v>0</v>
      </c>
      <c r="I45" s="230">
        <f t="shared" si="13"/>
        <v>0</v>
      </c>
      <c r="J45" s="230">
        <f t="shared" si="14"/>
        <v>0</v>
      </c>
      <c r="K45" s="230">
        <f t="shared" si="15"/>
        <v>0</v>
      </c>
      <c r="L45" s="230">
        <f t="shared" si="16"/>
        <v>0</v>
      </c>
      <c r="M45" s="230">
        <f t="shared" si="17"/>
        <v>0</v>
      </c>
      <c r="N45" s="258">
        <f t="shared" si="18"/>
        <v>1.8948</v>
      </c>
      <c r="O45" s="26">
        <v>157.9</v>
      </c>
      <c r="P45" s="260">
        <v>1.2E-2</v>
      </c>
      <c r="Q45" s="261">
        <f t="shared" si="19"/>
        <v>1.8947971265813841</v>
      </c>
    </row>
    <row r="46" spans="1:30" ht="18" customHeight="1" x14ac:dyDescent="0.25">
      <c r="B46" s="172" t="s">
        <v>515</v>
      </c>
      <c r="C46" s="230">
        <f t="shared" si="7"/>
        <v>5.391E-3</v>
      </c>
      <c r="D46" s="230">
        <f t="shared" si="8"/>
        <v>5.3901830518057834E-3</v>
      </c>
      <c r="E46" s="230">
        <f t="shared" si="9"/>
        <v>6.0329874902819998E-2</v>
      </c>
      <c r="F46" s="230">
        <f t="shared" si="10"/>
        <v>0.261573</v>
      </c>
      <c r="G46" s="230">
        <f t="shared" si="11"/>
        <v>0.14101522369072023</v>
      </c>
      <c r="H46" s="230">
        <f t="shared" si="12"/>
        <v>0</v>
      </c>
      <c r="I46" s="230">
        <f t="shared" si="13"/>
        <v>0</v>
      </c>
      <c r="J46" s="230">
        <f t="shared" si="14"/>
        <v>0</v>
      </c>
      <c r="K46" s="230">
        <f t="shared" si="15"/>
        <v>0</v>
      </c>
      <c r="L46" s="230">
        <f t="shared" si="16"/>
        <v>0</v>
      </c>
      <c r="M46" s="230">
        <f t="shared" si="17"/>
        <v>0</v>
      </c>
      <c r="N46" s="258">
        <f t="shared" si="18"/>
        <v>0.47370000000000001</v>
      </c>
      <c r="O46" s="26">
        <v>157.9</v>
      </c>
      <c r="P46" s="260">
        <v>3.0000000000000001E-3</v>
      </c>
      <c r="Q46" s="261">
        <f t="shared" si="19"/>
        <v>0.47369928164534603</v>
      </c>
    </row>
    <row r="47" spans="1:30" ht="18" customHeight="1" x14ac:dyDescent="0.25">
      <c r="B47" s="172" t="s">
        <v>516</v>
      </c>
      <c r="C47" s="230">
        <f t="shared" si="7"/>
        <v>1.797E-3</v>
      </c>
      <c r="D47" s="230">
        <f t="shared" si="8"/>
        <v>1.796727683935261E-3</v>
      </c>
      <c r="E47" s="230">
        <f t="shared" si="9"/>
        <v>2.0109958300939999E-2</v>
      </c>
      <c r="F47" s="230">
        <f t="shared" si="10"/>
        <v>8.7191000000000005E-2</v>
      </c>
      <c r="G47" s="230">
        <f t="shared" si="11"/>
        <v>4.7005074563573411E-2</v>
      </c>
      <c r="H47" s="230">
        <f t="shared" si="12"/>
        <v>0</v>
      </c>
      <c r="I47" s="230">
        <f t="shared" si="13"/>
        <v>0</v>
      </c>
      <c r="J47" s="230">
        <f t="shared" si="14"/>
        <v>0</v>
      </c>
      <c r="K47" s="230">
        <f t="shared" si="15"/>
        <v>0</v>
      </c>
      <c r="L47" s="230">
        <f t="shared" si="16"/>
        <v>0</v>
      </c>
      <c r="M47" s="230">
        <f t="shared" si="17"/>
        <v>0</v>
      </c>
      <c r="N47" s="258">
        <f t="shared" si="18"/>
        <v>0.15790000000000001</v>
      </c>
      <c r="O47" s="26">
        <v>157.9</v>
      </c>
      <c r="P47" s="260">
        <v>1E-3</v>
      </c>
      <c r="Q47" s="261">
        <f t="shared" si="19"/>
        <v>0.15789976054844868</v>
      </c>
    </row>
    <row r="48" spans="1:30" ht="18" customHeight="1" x14ac:dyDescent="0.25">
      <c r="B48" s="275" t="s">
        <v>517</v>
      </c>
      <c r="C48" s="276">
        <f t="shared" ref="C48" si="20">N48*$C$40/O48</f>
        <v>7.5474000000000013E-2</v>
      </c>
      <c r="D48" s="276">
        <f t="shared" ref="D48" si="21">N48*$D$40/O48</f>
        <v>7.5462562725280971E-2</v>
      </c>
      <c r="E48" s="276">
        <f t="shared" ref="E48" si="22">N48*$E$40/O48</f>
        <v>0.84461824863948021</v>
      </c>
      <c r="F48" s="276">
        <f t="shared" ref="F48" si="23">N48*$F$40/O48</f>
        <v>3.6620220000000008</v>
      </c>
      <c r="G48" s="276">
        <f t="shared" ref="G48" si="24">N48*$G$40/O48</f>
        <v>1.9742131316700835</v>
      </c>
      <c r="H48" s="276">
        <f t="shared" ref="H48" si="25">N48*$H$40/O48</f>
        <v>0</v>
      </c>
      <c r="I48" s="276">
        <f t="shared" ref="I48" si="26">N48*$I$40/O48</f>
        <v>0</v>
      </c>
      <c r="J48" s="276">
        <f t="shared" ref="J48" si="27">N48*$J$40/O48</f>
        <v>0</v>
      </c>
      <c r="K48" s="276">
        <f t="shared" ref="K48" si="28">N48*$K$40/O48</f>
        <v>0</v>
      </c>
      <c r="L48" s="276">
        <f t="shared" ref="L48" si="29">N48*$L$40/O48</f>
        <v>0</v>
      </c>
      <c r="M48" s="276">
        <f t="shared" ref="M48" si="30">N48*$M$40/O48</f>
        <v>0</v>
      </c>
      <c r="N48" s="277">
        <f t="shared" si="18"/>
        <v>6.631800000000001</v>
      </c>
      <c r="O48" s="278">
        <v>157.9</v>
      </c>
      <c r="P48" s="279">
        <v>4.2000000000000003E-2</v>
      </c>
      <c r="Q48" s="280">
        <f t="shared" si="19"/>
        <v>6.6317899430348453</v>
      </c>
    </row>
    <row r="49" spans="2:17" ht="18" customHeight="1" x14ac:dyDescent="0.25">
      <c r="B49" s="172" t="s">
        <v>518</v>
      </c>
      <c r="C49" s="230">
        <f>N49*$C$40/O49</f>
        <v>5.391E-2</v>
      </c>
      <c r="D49" s="230">
        <f>N49*$D$40/O49</f>
        <v>5.3901830518057831E-2</v>
      </c>
      <c r="E49" s="230">
        <f>N49*$E$40/O49</f>
        <v>0.60329874902820002</v>
      </c>
      <c r="F49" s="230">
        <f>N49*$F$40/O49</f>
        <v>2.6157300000000001</v>
      </c>
      <c r="G49" s="230">
        <f>N49*$G$40/O49</f>
        <v>1.4101522369072024</v>
      </c>
      <c r="H49" s="230">
        <f>N49*$H$40/O49</f>
        <v>0</v>
      </c>
      <c r="I49" s="230">
        <f>N49*$I$40/O49</f>
        <v>0</v>
      </c>
      <c r="J49" s="230">
        <f>N49*$J$40/O49</f>
        <v>0</v>
      </c>
      <c r="K49" s="230">
        <f>N49*$K$40/O49</f>
        <v>0</v>
      </c>
      <c r="L49" s="230">
        <f>N49*$L$40/O49</f>
        <v>0</v>
      </c>
      <c r="M49" s="230">
        <f>N49*$M$40/O49</f>
        <v>0</v>
      </c>
      <c r="N49" s="258">
        <f t="shared" si="18"/>
        <v>4.7370000000000001</v>
      </c>
      <c r="O49" s="26">
        <v>157.9</v>
      </c>
      <c r="P49" s="260">
        <v>0.03</v>
      </c>
      <c r="Q49" s="261">
        <f t="shared" si="19"/>
        <v>4.7369928164534603</v>
      </c>
    </row>
    <row r="50" spans="2:17" ht="18" customHeight="1" x14ac:dyDescent="0.25">
      <c r="B50" s="172" t="s">
        <v>519</v>
      </c>
      <c r="C50" s="230">
        <f>N50*$C$40/O50</f>
        <v>0.17610600000000001</v>
      </c>
      <c r="D50" s="230">
        <f>N50*$D$40/O50</f>
        <v>0.1760793130256556</v>
      </c>
      <c r="E50" s="230">
        <f>N50*$E$40/O50</f>
        <v>1.9707759134921201</v>
      </c>
      <c r="F50" s="230">
        <f>N50*$F$40/O50</f>
        <v>8.5447180000000014</v>
      </c>
      <c r="G50" s="230">
        <f>N50*$G$40/O50</f>
        <v>4.6064973072301942</v>
      </c>
      <c r="H50" s="230">
        <f>N50*$H$40/O50</f>
        <v>0</v>
      </c>
      <c r="I50" s="230">
        <f>N50*$I$40/O50</f>
        <v>0</v>
      </c>
      <c r="J50" s="230">
        <f>N50*$J$40/O50</f>
        <v>0</v>
      </c>
      <c r="K50" s="230">
        <f>N50*$K$40/O50</f>
        <v>0</v>
      </c>
      <c r="L50" s="230">
        <f>N50*$L$40/O50</f>
        <v>0</v>
      </c>
      <c r="M50" s="230">
        <f>N50*$M$40/O50</f>
        <v>0</v>
      </c>
      <c r="N50" s="258">
        <f t="shared" si="18"/>
        <v>15.474200000000002</v>
      </c>
      <c r="O50" s="26">
        <v>157.9</v>
      </c>
      <c r="P50" s="260">
        <v>9.8000000000000004E-2</v>
      </c>
      <c r="Q50" s="261">
        <f t="shared" si="19"/>
        <v>15.47417653374797</v>
      </c>
    </row>
    <row r="51" spans="2:17" ht="18" customHeight="1" x14ac:dyDescent="0.25">
      <c r="B51" s="172" t="s">
        <v>520</v>
      </c>
      <c r="C51" s="230">
        <f>N51*$C$40/O51</f>
        <v>0.11141399999999999</v>
      </c>
      <c r="D51" s="230">
        <f>N51*$D$40/O51</f>
        <v>0.11139711640398617</v>
      </c>
      <c r="E51" s="230">
        <f>N51*$E$40/O51</f>
        <v>1.24681741465828</v>
      </c>
      <c r="F51" s="230">
        <f>N51*$F$40/O51</f>
        <v>5.4058419999999998</v>
      </c>
      <c r="G51" s="230">
        <f>N51*$G$40/O51</f>
        <v>2.9143146229415513</v>
      </c>
      <c r="H51" s="230">
        <f>N51*$H$40/O51</f>
        <v>0</v>
      </c>
      <c r="I51" s="230">
        <f>N51*$I$40/O51</f>
        <v>0</v>
      </c>
      <c r="J51" s="230">
        <f>N51*$J$40/O51</f>
        <v>0</v>
      </c>
      <c r="K51" s="230">
        <f>N51*$K$40/O51</f>
        <v>0</v>
      </c>
      <c r="L51" s="230">
        <f>N51*$L$40/O51</f>
        <v>0</v>
      </c>
      <c r="M51" s="230">
        <f>N51*$M$40/O51</f>
        <v>0</v>
      </c>
      <c r="N51" s="258">
        <f t="shared" si="18"/>
        <v>9.7897999999999996</v>
      </c>
      <c r="O51" s="26">
        <v>157.9</v>
      </c>
      <c r="P51" s="260">
        <v>6.2E-2</v>
      </c>
      <c r="Q51" s="261">
        <f t="shared" si="19"/>
        <v>9.7897851540038179</v>
      </c>
    </row>
    <row r="52" spans="2:17" ht="18" customHeight="1" x14ac:dyDescent="0.25">
      <c r="B52" s="172" t="s">
        <v>521</v>
      </c>
      <c r="C52" s="230">
        <f>N52*$C$40/O52</f>
        <v>5.391E-2</v>
      </c>
      <c r="D52" s="230">
        <f>N52*$D$40/O52</f>
        <v>5.3901830518057831E-2</v>
      </c>
      <c r="E52" s="230">
        <f>N52*$E$40/O52</f>
        <v>0.60329874902820002</v>
      </c>
      <c r="F52" s="230">
        <f>N52*$F$40/O52</f>
        <v>2.6157300000000001</v>
      </c>
      <c r="G52" s="230">
        <f>N52*$G$40/O52</f>
        <v>1.4101522369072024</v>
      </c>
      <c r="H52" s="230">
        <f>N52*$H$40/O52</f>
        <v>0</v>
      </c>
      <c r="I52" s="230">
        <f>N52*$I$40/O52</f>
        <v>0</v>
      </c>
      <c r="J52" s="230">
        <f>N52*$J$40/O52</f>
        <v>0</v>
      </c>
      <c r="K52" s="230">
        <f>N52*$K$40/O52</f>
        <v>0</v>
      </c>
      <c r="L52" s="230">
        <f>N52*$L$40/O52</f>
        <v>0</v>
      </c>
      <c r="M52" s="230">
        <f>N52*$M$40/O52</f>
        <v>0</v>
      </c>
      <c r="N52" s="258">
        <f t="shared" si="18"/>
        <v>4.7370000000000001</v>
      </c>
      <c r="O52" s="26">
        <v>157.9</v>
      </c>
      <c r="P52" s="260">
        <v>0.03</v>
      </c>
      <c r="Q52" s="261">
        <f t="shared" si="19"/>
        <v>4.7369928164534603</v>
      </c>
    </row>
    <row r="53" spans="2:17" ht="18" customHeight="1" thickBot="1" x14ac:dyDescent="0.3">
      <c r="B53" s="262" t="s">
        <v>522</v>
      </c>
      <c r="C53" s="115">
        <f>SUM(C42:C47,C49:C52)</f>
        <v>1.002726</v>
      </c>
      <c r="D53" s="115">
        <f t="shared" ref="D53:N53" si="31">SUM(D42:D47,D49:D52)</f>
        <v>1.0025740476358758</v>
      </c>
      <c r="E53" s="115">
        <f t="shared" si="31"/>
        <v>11.221356731924519</v>
      </c>
      <c r="F53" s="115">
        <f t="shared" si="31"/>
        <v>48.652578000000005</v>
      </c>
      <c r="G53" s="115">
        <f t="shared" si="31"/>
        <v>26.228831606473964</v>
      </c>
      <c r="H53" s="115">
        <f t="shared" si="31"/>
        <v>0</v>
      </c>
      <c r="I53" s="115">
        <f t="shared" si="31"/>
        <v>0</v>
      </c>
      <c r="J53" s="115">
        <f t="shared" si="31"/>
        <v>0</v>
      </c>
      <c r="K53" s="115">
        <f t="shared" si="31"/>
        <v>0</v>
      </c>
      <c r="L53" s="115">
        <f t="shared" si="31"/>
        <v>0</v>
      </c>
      <c r="M53" s="115">
        <f t="shared" si="31"/>
        <v>0</v>
      </c>
      <c r="N53" s="115">
        <f t="shared" si="31"/>
        <v>88.108199999999997</v>
      </c>
      <c r="O53" s="235"/>
      <c r="P53" s="115">
        <f t="shared" ref="P53" si="32">SUM(P42:P47,P49:P52)</f>
        <v>0.55800000000000005</v>
      </c>
      <c r="Q53" s="263">
        <f t="shared" si="19"/>
        <v>88.108066386034366</v>
      </c>
    </row>
    <row r="54" spans="2:17" ht="18" customHeight="1" x14ac:dyDescent="0.25">
      <c r="B54" t="s">
        <v>529</v>
      </c>
    </row>
    <row r="55" spans="2:17" ht="18" customHeight="1" x14ac:dyDescent="0.25">
      <c r="N55" s="274"/>
    </row>
    <row r="56" spans="2:17" ht="18" customHeight="1" x14ac:dyDescent="0.25"/>
    <row r="57" spans="2:17" ht="18" customHeight="1" x14ac:dyDescent="0.25"/>
    <row r="58" spans="2:17" ht="18" customHeight="1" x14ac:dyDescent="0.25"/>
    <row r="59" spans="2:17" ht="18" customHeight="1" x14ac:dyDescent="0.25"/>
    <row r="60" spans="2:17" ht="18" customHeight="1" x14ac:dyDescent="0.25"/>
    <row r="61" spans="2:17" ht="18" customHeight="1" x14ac:dyDescent="0.25"/>
    <row r="62" spans="2:17" ht="18" customHeight="1" x14ac:dyDescent="0.25"/>
    <row r="63" spans="2:17" ht="18" customHeight="1" x14ac:dyDescent="0.25"/>
    <row r="64" spans="2:17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</sheetData>
  <mergeCells count="11">
    <mergeCell ref="B39:Q39"/>
    <mergeCell ref="B25:B35"/>
    <mergeCell ref="O2:P2"/>
    <mergeCell ref="P4:P5"/>
    <mergeCell ref="O4:O5"/>
    <mergeCell ref="B20:M20"/>
    <mergeCell ref="B21:C22"/>
    <mergeCell ref="D21:M21"/>
    <mergeCell ref="B23:C23"/>
    <mergeCell ref="B24:C24"/>
    <mergeCell ref="B2:M3"/>
  </mergeCells>
  <phoneticPr fontId="3" type="noConversion"/>
  <dataValidations count="1">
    <dataValidation type="list" allowBlank="1" showInputMessage="1" showErrorMessage="1" sqref="P4:P5" xr:uid="{3239BF80-765E-485E-AFE7-4B8C72488F09}">
      <formula1>$D$22:$M$22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BA87-D3ED-4AC5-BD12-C2F919BCBB31}">
  <dimension ref="A1:BA40"/>
  <sheetViews>
    <sheetView zoomScaleNormal="100" workbookViewId="0">
      <selection activeCell="W24" sqref="W24"/>
    </sheetView>
  </sheetViews>
  <sheetFormatPr defaultColWidth="9" defaultRowHeight="14" x14ac:dyDescent="0.3"/>
  <cols>
    <col min="1" max="1" width="4.08203125" style="244" customWidth="1"/>
    <col min="2" max="2" width="5.75" style="244" customWidth="1"/>
    <col min="3" max="3" width="4.83203125" style="244" customWidth="1"/>
    <col min="4" max="10" width="9" style="244"/>
    <col min="11" max="14" width="12.25" style="244" customWidth="1"/>
    <col min="15" max="15" width="7.33203125" style="244" customWidth="1"/>
    <col min="16" max="16" width="9" style="244"/>
    <col min="17" max="17" width="7.75" style="244" customWidth="1"/>
    <col min="18" max="18" width="9" style="244" customWidth="1"/>
    <col min="19" max="19" width="9" style="244"/>
    <col min="20" max="20" width="8.58203125" style="244" customWidth="1"/>
    <col min="21" max="21" width="6.33203125" style="244" customWidth="1"/>
    <col min="22" max="22" width="9" style="244"/>
    <col min="23" max="23" width="8.33203125" style="244" customWidth="1"/>
    <col min="24" max="24" width="10.08203125" style="244" customWidth="1"/>
    <col min="25" max="25" width="9" style="244"/>
    <col min="26" max="26" width="8.33203125" style="244" customWidth="1"/>
    <col min="27" max="27" width="9.5" style="244" customWidth="1"/>
    <col min="28" max="28" width="10.25" style="244" customWidth="1"/>
    <col min="29" max="29" width="11" style="244" customWidth="1"/>
    <col min="30" max="30" width="10.25" style="244" customWidth="1"/>
    <col min="31" max="31" width="11.08203125" style="244" customWidth="1"/>
    <col min="32" max="32" width="10.08203125" style="244" customWidth="1"/>
    <col min="33" max="33" width="7" style="244" customWidth="1"/>
    <col min="34" max="35" width="9" style="244"/>
    <col min="36" max="36" width="6.75" style="244" customWidth="1"/>
    <col min="37" max="38" width="9" style="244"/>
    <col min="39" max="39" width="7.25" style="244" customWidth="1"/>
    <col min="40" max="41" width="9" style="244"/>
    <col min="42" max="42" width="7.08203125" style="244" customWidth="1"/>
    <col min="43" max="44" width="9" style="244"/>
    <col min="45" max="45" width="6.75" style="244" customWidth="1"/>
    <col min="46" max="47" width="9" style="244"/>
    <col min="48" max="48" width="6.5" style="244" customWidth="1"/>
    <col min="49" max="50" width="9" style="244"/>
    <col min="51" max="51" width="7.75" style="244" customWidth="1"/>
    <col min="52" max="16384" width="9" style="244"/>
  </cols>
  <sheetData>
    <row r="1" spans="1:53" ht="20.149999999999999" customHeight="1" x14ac:dyDescent="0.3">
      <c r="A1" s="423" t="s">
        <v>408</v>
      </c>
      <c r="B1" s="423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3"/>
      <c r="O1" s="424" t="s">
        <v>409</v>
      </c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  <c r="AA1" s="424"/>
      <c r="AB1" s="424"/>
      <c r="AC1" s="424"/>
      <c r="AD1" s="424"/>
      <c r="AE1" s="424"/>
      <c r="AF1" s="424"/>
      <c r="AG1" s="424"/>
      <c r="AH1" s="424"/>
      <c r="AI1" s="424"/>
      <c r="AJ1" s="424"/>
      <c r="AK1" s="424"/>
      <c r="AL1" s="424"/>
      <c r="AM1" s="424"/>
      <c r="AN1" s="424"/>
      <c r="AO1" s="424"/>
      <c r="AP1" s="424"/>
      <c r="AQ1" s="424"/>
      <c r="AR1" s="424"/>
      <c r="AS1" s="424"/>
      <c r="AT1" s="424"/>
      <c r="AU1" s="424"/>
      <c r="AV1" s="424"/>
      <c r="AW1" s="424"/>
      <c r="AX1" s="424"/>
      <c r="AY1" s="424"/>
      <c r="AZ1" s="424"/>
      <c r="BA1" s="424"/>
    </row>
    <row r="2" spans="1:53" ht="20.149999999999999" customHeight="1" x14ac:dyDescent="0.3">
      <c r="A2" s="423"/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31" t="s">
        <v>410</v>
      </c>
      <c r="P2" s="432"/>
      <c r="Q2" s="432"/>
      <c r="R2" s="432"/>
      <c r="S2" s="432"/>
      <c r="T2" s="432"/>
      <c r="U2" s="432"/>
      <c r="V2" s="432"/>
      <c r="W2" s="432"/>
      <c r="X2" s="432"/>
      <c r="Y2" s="432"/>
      <c r="Z2" s="432"/>
      <c r="AA2" s="432"/>
      <c r="AB2" s="432"/>
      <c r="AC2" s="432"/>
      <c r="AD2" s="432"/>
      <c r="AE2" s="432"/>
      <c r="AF2" s="433"/>
      <c r="AG2" s="424" t="s">
        <v>411</v>
      </c>
      <c r="AH2" s="424"/>
      <c r="AI2" s="424"/>
      <c r="AJ2" s="424"/>
      <c r="AK2" s="424"/>
      <c r="AL2" s="424"/>
      <c r="AM2" s="424"/>
      <c r="AN2" s="424"/>
      <c r="AO2" s="424"/>
      <c r="AP2" s="424" t="s">
        <v>412</v>
      </c>
      <c r="AQ2" s="424"/>
      <c r="AR2" s="424"/>
      <c r="AS2" s="424"/>
      <c r="AT2" s="424"/>
      <c r="AU2" s="424"/>
      <c r="AV2" s="424"/>
      <c r="AW2" s="424"/>
      <c r="AX2" s="424"/>
      <c r="AY2" s="424" t="s">
        <v>413</v>
      </c>
      <c r="AZ2" s="424"/>
      <c r="BA2" s="424"/>
    </row>
    <row r="3" spans="1:53" ht="20.149999999999999" customHeight="1" x14ac:dyDescent="0.3">
      <c r="A3" s="423" t="s">
        <v>414</v>
      </c>
      <c r="B3" s="423"/>
      <c r="C3" s="423"/>
      <c r="D3" s="423"/>
      <c r="E3" s="423"/>
      <c r="F3" s="423"/>
      <c r="G3" s="423"/>
      <c r="H3" s="423"/>
      <c r="I3" s="423"/>
      <c r="J3" s="423"/>
      <c r="K3" s="423"/>
      <c r="L3" s="423" t="s">
        <v>415</v>
      </c>
      <c r="M3" s="423"/>
      <c r="N3" s="423"/>
      <c r="O3" s="424" t="s">
        <v>486</v>
      </c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  <c r="AA3" s="431" t="s">
        <v>487</v>
      </c>
      <c r="AB3" s="432"/>
      <c r="AC3" s="432"/>
      <c r="AD3" s="432"/>
      <c r="AE3" s="432"/>
      <c r="AF3" s="433"/>
      <c r="AG3" s="424"/>
      <c r="AH3" s="424"/>
      <c r="AI3" s="424"/>
      <c r="AJ3" s="424"/>
      <c r="AK3" s="424"/>
      <c r="AL3" s="424"/>
      <c r="AM3" s="424"/>
      <c r="AN3" s="424"/>
      <c r="AO3" s="424"/>
      <c r="AP3" s="424"/>
      <c r="AQ3" s="424"/>
      <c r="AR3" s="424"/>
      <c r="AS3" s="424"/>
      <c r="AT3" s="424"/>
      <c r="AU3" s="424"/>
      <c r="AV3" s="424"/>
      <c r="AW3" s="424"/>
      <c r="AX3" s="424"/>
      <c r="AY3" s="424"/>
      <c r="AZ3" s="424"/>
      <c r="BA3" s="424"/>
    </row>
    <row r="4" spans="1:53" ht="20.149999999999999" customHeight="1" x14ac:dyDescent="0.3">
      <c r="A4" s="423" t="s">
        <v>416</v>
      </c>
      <c r="B4" s="423"/>
      <c r="C4" s="423"/>
      <c r="D4" s="423"/>
      <c r="E4" s="429" t="s">
        <v>417</v>
      </c>
      <c r="F4" s="429"/>
      <c r="G4" s="429"/>
      <c r="H4" s="429" t="s">
        <v>418</v>
      </c>
      <c r="I4" s="429"/>
      <c r="J4" s="430" t="s">
        <v>419</v>
      </c>
      <c r="K4" s="430" t="s">
        <v>420</v>
      </c>
      <c r="L4" s="429" t="s">
        <v>421</v>
      </c>
      <c r="M4" s="429" t="s">
        <v>422</v>
      </c>
      <c r="N4" s="430" t="s">
        <v>423</v>
      </c>
      <c r="O4" s="424" t="s">
        <v>424</v>
      </c>
      <c r="P4" s="424"/>
      <c r="Q4" s="424"/>
      <c r="R4" s="424" t="s">
        <v>425</v>
      </c>
      <c r="S4" s="424"/>
      <c r="T4" s="424"/>
      <c r="U4" s="424" t="s">
        <v>426</v>
      </c>
      <c r="V4" s="424"/>
      <c r="W4" s="424"/>
      <c r="X4" s="424" t="s">
        <v>427</v>
      </c>
      <c r="Y4" s="424"/>
      <c r="Z4" s="424"/>
      <c r="AA4" s="425" t="s">
        <v>428</v>
      </c>
      <c r="AB4" s="425"/>
      <c r="AC4" s="425"/>
      <c r="AD4" s="426" t="s">
        <v>488</v>
      </c>
      <c r="AE4" s="427"/>
      <c r="AF4" s="428"/>
      <c r="AG4" s="424" t="s">
        <v>429</v>
      </c>
      <c r="AH4" s="424"/>
      <c r="AI4" s="424"/>
      <c r="AJ4" s="424" t="s">
        <v>425</v>
      </c>
      <c r="AK4" s="424"/>
      <c r="AL4" s="424"/>
      <c r="AM4" s="424" t="s">
        <v>430</v>
      </c>
      <c r="AN4" s="424"/>
      <c r="AO4" s="424"/>
      <c r="AP4" s="424" t="s">
        <v>429</v>
      </c>
      <c r="AQ4" s="424"/>
      <c r="AR4" s="424"/>
      <c r="AS4" s="424" t="s">
        <v>431</v>
      </c>
      <c r="AT4" s="424"/>
      <c r="AU4" s="424"/>
      <c r="AV4" s="424" t="s">
        <v>432</v>
      </c>
      <c r="AW4" s="424"/>
      <c r="AX4" s="424"/>
      <c r="AY4" s="424" t="s">
        <v>433</v>
      </c>
      <c r="AZ4" s="424"/>
      <c r="BA4" s="424"/>
    </row>
    <row r="5" spans="1:53" ht="32.25" customHeight="1" x14ac:dyDescent="0.3">
      <c r="A5" s="423"/>
      <c r="B5" s="423"/>
      <c r="C5" s="423"/>
      <c r="D5" s="423"/>
      <c r="E5" s="245" t="s">
        <v>434</v>
      </c>
      <c r="F5" s="245" t="s">
        <v>435</v>
      </c>
      <c r="G5" s="247" t="s">
        <v>436</v>
      </c>
      <c r="H5" s="247" t="s">
        <v>437</v>
      </c>
      <c r="I5" s="247" t="s">
        <v>438</v>
      </c>
      <c r="J5" s="430"/>
      <c r="K5" s="430"/>
      <c r="L5" s="429"/>
      <c r="M5" s="429"/>
      <c r="N5" s="430"/>
      <c r="O5" s="243" t="s">
        <v>439</v>
      </c>
      <c r="P5" s="243" t="s">
        <v>440</v>
      </c>
      <c r="Q5" s="243" t="s">
        <v>441</v>
      </c>
      <c r="R5" s="243" t="s">
        <v>439</v>
      </c>
      <c r="S5" s="243" t="s">
        <v>440</v>
      </c>
      <c r="T5" s="243" t="s">
        <v>441</v>
      </c>
      <c r="U5" s="243" t="s">
        <v>439</v>
      </c>
      <c r="V5" s="243" t="s">
        <v>440</v>
      </c>
      <c r="W5" s="243" t="s">
        <v>441</v>
      </c>
      <c r="X5" s="243" t="s">
        <v>439</v>
      </c>
      <c r="Y5" s="243" t="s">
        <v>440</v>
      </c>
      <c r="Z5" s="243" t="s">
        <v>441</v>
      </c>
      <c r="AA5" s="243" t="s">
        <v>439</v>
      </c>
      <c r="AB5" s="243" t="s">
        <v>440</v>
      </c>
      <c r="AC5" s="243" t="s">
        <v>441</v>
      </c>
      <c r="AD5" s="243" t="s">
        <v>439</v>
      </c>
      <c r="AE5" s="243" t="s">
        <v>440</v>
      </c>
      <c r="AF5" s="243" t="s">
        <v>441</v>
      </c>
      <c r="AG5" s="243" t="s">
        <v>439</v>
      </c>
      <c r="AH5" s="243" t="s">
        <v>440</v>
      </c>
      <c r="AI5" s="243" t="s">
        <v>441</v>
      </c>
      <c r="AJ5" s="243" t="s">
        <v>439</v>
      </c>
      <c r="AK5" s="243" t="s">
        <v>440</v>
      </c>
      <c r="AL5" s="243" t="s">
        <v>441</v>
      </c>
      <c r="AM5" s="243" t="s">
        <v>439</v>
      </c>
      <c r="AN5" s="243" t="s">
        <v>440</v>
      </c>
      <c r="AO5" s="243" t="s">
        <v>441</v>
      </c>
      <c r="AP5" s="243" t="s">
        <v>439</v>
      </c>
      <c r="AQ5" s="243" t="s">
        <v>440</v>
      </c>
      <c r="AR5" s="243" t="s">
        <v>441</v>
      </c>
      <c r="AS5" s="243" t="s">
        <v>439</v>
      </c>
      <c r="AT5" s="243" t="s">
        <v>440</v>
      </c>
      <c r="AU5" s="243" t="s">
        <v>441</v>
      </c>
      <c r="AV5" s="243" t="s">
        <v>439</v>
      </c>
      <c r="AW5" s="243" t="s">
        <v>440</v>
      </c>
      <c r="AX5" s="243" t="s">
        <v>441</v>
      </c>
      <c r="AY5" s="243" t="s">
        <v>439</v>
      </c>
      <c r="AZ5" s="243" t="s">
        <v>440</v>
      </c>
      <c r="BA5" s="243" t="s">
        <v>441</v>
      </c>
    </row>
    <row r="6" spans="1:53" x14ac:dyDescent="0.3">
      <c r="A6" s="423" t="s">
        <v>442</v>
      </c>
      <c r="B6" s="423" t="s">
        <v>443</v>
      </c>
      <c r="C6" s="423" t="s">
        <v>444</v>
      </c>
      <c r="D6" s="423"/>
      <c r="E6" s="242"/>
      <c r="F6" s="242"/>
      <c r="G6" s="242"/>
      <c r="H6" s="242"/>
      <c r="I6" s="242"/>
      <c r="J6" s="246">
        <f>E6+F6+H6</f>
        <v>0</v>
      </c>
      <c r="K6" s="246">
        <f>G6+I6</f>
        <v>0</v>
      </c>
      <c r="L6" s="242"/>
      <c r="M6" s="242"/>
      <c r="N6" s="246">
        <f>L6+M6</f>
        <v>0</v>
      </c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8"/>
      <c r="AF6" s="248"/>
      <c r="AG6" s="248"/>
      <c r="AH6" s="248"/>
      <c r="AI6" s="248"/>
      <c r="AJ6" s="248"/>
      <c r="AK6" s="248"/>
      <c r="AL6" s="248"/>
      <c r="AM6" s="248"/>
      <c r="AN6" s="248"/>
      <c r="AO6" s="248"/>
      <c r="AP6" s="248"/>
      <c r="AQ6" s="248"/>
      <c r="AR6" s="248"/>
      <c r="AS6" s="248"/>
      <c r="AT6" s="248"/>
      <c r="AU6" s="248"/>
      <c r="AV6" s="248"/>
      <c r="AW6" s="248"/>
      <c r="AX6" s="248"/>
      <c r="AY6" s="248"/>
      <c r="AZ6" s="248"/>
      <c r="BA6" s="248"/>
    </row>
    <row r="7" spans="1:53" x14ac:dyDescent="0.3">
      <c r="A7" s="423"/>
      <c r="B7" s="423"/>
      <c r="C7" s="423" t="s">
        <v>445</v>
      </c>
      <c r="D7" s="423"/>
      <c r="E7" s="242"/>
      <c r="F7" s="242"/>
      <c r="G7" s="242"/>
      <c r="H7" s="242"/>
      <c r="I7" s="242"/>
      <c r="J7" s="246">
        <f t="shared" ref="J7:J40" si="0">E7+F7+H7</f>
        <v>0</v>
      </c>
      <c r="K7" s="246">
        <f t="shared" ref="K7:K40" si="1">G7+I7</f>
        <v>0</v>
      </c>
      <c r="L7" s="242"/>
      <c r="M7" s="242"/>
      <c r="N7" s="246">
        <f t="shared" ref="N7:N40" si="2">L7+M7</f>
        <v>0</v>
      </c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8"/>
      <c r="AM7" s="248"/>
      <c r="AN7" s="248"/>
      <c r="AO7" s="248"/>
      <c r="AP7" s="248"/>
      <c r="AQ7" s="248"/>
      <c r="AR7" s="248"/>
      <c r="AS7" s="248"/>
      <c r="AT7" s="248"/>
      <c r="AU7" s="248"/>
      <c r="AV7" s="248"/>
      <c r="AW7" s="248"/>
      <c r="AX7" s="248"/>
      <c r="AY7" s="248"/>
      <c r="AZ7" s="248"/>
      <c r="BA7" s="248"/>
    </row>
    <row r="8" spans="1:53" x14ac:dyDescent="0.3">
      <c r="A8" s="423"/>
      <c r="B8" s="423"/>
      <c r="C8" s="423" t="s">
        <v>446</v>
      </c>
      <c r="D8" s="423"/>
      <c r="E8" s="242"/>
      <c r="F8" s="242"/>
      <c r="G8" s="242"/>
      <c r="H8" s="242"/>
      <c r="I8" s="242"/>
      <c r="J8" s="246">
        <f t="shared" si="0"/>
        <v>0</v>
      </c>
      <c r="K8" s="246">
        <f t="shared" si="1"/>
        <v>0</v>
      </c>
      <c r="L8" s="242"/>
      <c r="M8" s="242"/>
      <c r="N8" s="246">
        <f t="shared" si="2"/>
        <v>0</v>
      </c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48"/>
      <c r="AM8" s="248"/>
      <c r="AN8" s="248"/>
      <c r="AO8" s="248"/>
      <c r="AP8" s="248"/>
      <c r="AQ8" s="248"/>
      <c r="AR8" s="248"/>
      <c r="AS8" s="248"/>
      <c r="AT8" s="248"/>
      <c r="AU8" s="248"/>
      <c r="AV8" s="248"/>
      <c r="AW8" s="248"/>
      <c r="AX8" s="248"/>
      <c r="AY8" s="248"/>
      <c r="AZ8" s="248"/>
      <c r="BA8" s="248"/>
    </row>
    <row r="9" spans="1:53" x14ac:dyDescent="0.3">
      <c r="A9" s="423"/>
      <c r="B9" s="423" t="s">
        <v>447</v>
      </c>
      <c r="C9" s="423" t="s">
        <v>448</v>
      </c>
      <c r="D9" s="423"/>
      <c r="E9" s="242"/>
      <c r="F9" s="242"/>
      <c r="G9" s="242"/>
      <c r="H9" s="242"/>
      <c r="I9" s="242"/>
      <c r="J9" s="246">
        <f t="shared" si="0"/>
        <v>0</v>
      </c>
      <c r="K9" s="246">
        <f t="shared" si="1"/>
        <v>0</v>
      </c>
      <c r="L9" s="242"/>
      <c r="M9" s="242"/>
      <c r="N9" s="246">
        <f t="shared" si="2"/>
        <v>0</v>
      </c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8"/>
      <c r="AF9" s="248"/>
      <c r="AG9" s="248"/>
      <c r="AH9" s="248"/>
      <c r="AI9" s="248"/>
      <c r="AJ9" s="248"/>
      <c r="AK9" s="248"/>
      <c r="AL9" s="248"/>
      <c r="AM9" s="248"/>
      <c r="AN9" s="248"/>
      <c r="AO9" s="248"/>
      <c r="AP9" s="248"/>
      <c r="AQ9" s="248"/>
      <c r="AR9" s="248"/>
      <c r="AS9" s="248"/>
      <c r="AT9" s="248"/>
      <c r="AU9" s="248"/>
      <c r="AV9" s="248"/>
      <c r="AW9" s="248"/>
      <c r="AX9" s="248"/>
      <c r="AY9" s="248"/>
      <c r="AZ9" s="248"/>
      <c r="BA9" s="248"/>
    </row>
    <row r="10" spans="1:53" x14ac:dyDescent="0.3">
      <c r="A10" s="423"/>
      <c r="B10" s="423"/>
      <c r="C10" s="423" t="s">
        <v>449</v>
      </c>
      <c r="D10" s="242" t="s">
        <v>450</v>
      </c>
      <c r="E10" s="242"/>
      <c r="F10" s="242"/>
      <c r="G10" s="242"/>
      <c r="H10" s="242"/>
      <c r="I10" s="242"/>
      <c r="J10" s="246">
        <f t="shared" si="0"/>
        <v>0</v>
      </c>
      <c r="K10" s="246">
        <f t="shared" si="1"/>
        <v>0</v>
      </c>
      <c r="L10" s="242"/>
      <c r="M10" s="242"/>
      <c r="N10" s="246">
        <f t="shared" si="2"/>
        <v>0</v>
      </c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  <c r="AA10" s="248"/>
      <c r="AB10" s="248"/>
      <c r="AC10" s="248"/>
      <c r="AD10" s="248"/>
      <c r="AE10" s="248"/>
      <c r="AF10" s="248"/>
      <c r="AG10" s="248"/>
      <c r="AH10" s="248"/>
      <c r="AI10" s="248"/>
      <c r="AJ10" s="248"/>
      <c r="AK10" s="248"/>
      <c r="AL10" s="248"/>
      <c r="AM10" s="248"/>
      <c r="AN10" s="248"/>
      <c r="AO10" s="248"/>
      <c r="AP10" s="248"/>
      <c r="AQ10" s="248"/>
      <c r="AR10" s="248"/>
      <c r="AS10" s="248"/>
      <c r="AT10" s="248"/>
      <c r="AU10" s="248"/>
      <c r="AV10" s="248"/>
      <c r="AW10" s="248"/>
      <c r="AX10" s="248"/>
      <c r="AY10" s="248"/>
      <c r="AZ10" s="248"/>
      <c r="BA10" s="248"/>
    </row>
    <row r="11" spans="1:53" ht="28" x14ac:dyDescent="0.3">
      <c r="A11" s="423"/>
      <c r="B11" s="423"/>
      <c r="C11" s="423"/>
      <c r="D11" s="242" t="s">
        <v>451</v>
      </c>
      <c r="E11" s="242"/>
      <c r="F11" s="242"/>
      <c r="G11" s="242"/>
      <c r="H11" s="242"/>
      <c r="I11" s="242"/>
      <c r="J11" s="246">
        <f t="shared" si="0"/>
        <v>0</v>
      </c>
      <c r="K11" s="246">
        <f t="shared" si="1"/>
        <v>0</v>
      </c>
      <c r="L11" s="242"/>
      <c r="M11" s="242"/>
      <c r="N11" s="246">
        <f t="shared" si="2"/>
        <v>0</v>
      </c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  <c r="AH11" s="248"/>
      <c r="AI11" s="248"/>
      <c r="AJ11" s="248"/>
      <c r="AK11" s="248"/>
      <c r="AL11" s="248"/>
      <c r="AM11" s="248"/>
      <c r="AN11" s="248"/>
      <c r="AO11" s="248"/>
      <c r="AP11" s="248"/>
      <c r="AQ11" s="248"/>
      <c r="AR11" s="248"/>
      <c r="AS11" s="248"/>
      <c r="AT11" s="248"/>
      <c r="AU11" s="248"/>
      <c r="AV11" s="248"/>
      <c r="AW11" s="248"/>
      <c r="AX11" s="248"/>
      <c r="AY11" s="248"/>
      <c r="AZ11" s="248"/>
      <c r="BA11" s="248"/>
    </row>
    <row r="12" spans="1:53" x14ac:dyDescent="0.3">
      <c r="A12" s="423"/>
      <c r="B12" s="423" t="s">
        <v>452</v>
      </c>
      <c r="C12" s="423"/>
      <c r="D12" s="423"/>
      <c r="E12" s="242"/>
      <c r="F12" s="242"/>
      <c r="G12" s="242"/>
      <c r="H12" s="242"/>
      <c r="I12" s="242"/>
      <c r="J12" s="246">
        <f t="shared" si="0"/>
        <v>0</v>
      </c>
      <c r="K12" s="246">
        <f t="shared" si="1"/>
        <v>0</v>
      </c>
      <c r="L12" s="242"/>
      <c r="M12" s="242"/>
      <c r="N12" s="246">
        <f t="shared" si="2"/>
        <v>0</v>
      </c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  <c r="AH12" s="248"/>
      <c r="AI12" s="248"/>
      <c r="AJ12" s="248"/>
      <c r="AK12" s="248"/>
      <c r="AL12" s="248"/>
      <c r="AM12" s="248"/>
      <c r="AN12" s="248"/>
      <c r="AO12" s="248"/>
      <c r="AP12" s="248"/>
      <c r="AQ12" s="248"/>
      <c r="AR12" s="248"/>
      <c r="AS12" s="248"/>
      <c r="AT12" s="248"/>
      <c r="AU12" s="248"/>
      <c r="AV12" s="248"/>
      <c r="AW12" s="248"/>
      <c r="AX12" s="248"/>
      <c r="AY12" s="248"/>
      <c r="AZ12" s="248"/>
      <c r="BA12" s="248"/>
    </row>
    <row r="13" spans="1:53" x14ac:dyDescent="0.3">
      <c r="A13" s="423" t="s">
        <v>453</v>
      </c>
      <c r="B13" s="242" t="s">
        <v>454</v>
      </c>
      <c r="C13" s="423" t="s">
        <v>455</v>
      </c>
      <c r="D13" s="423"/>
      <c r="E13" s="242"/>
      <c r="F13" s="242"/>
      <c r="G13" s="242"/>
      <c r="H13" s="242"/>
      <c r="I13" s="242"/>
      <c r="J13" s="246">
        <f t="shared" si="0"/>
        <v>0</v>
      </c>
      <c r="K13" s="246">
        <f t="shared" si="1"/>
        <v>0</v>
      </c>
      <c r="L13" s="242"/>
      <c r="M13" s="242"/>
      <c r="N13" s="246">
        <f t="shared" si="2"/>
        <v>0</v>
      </c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  <c r="AI13" s="248"/>
      <c r="AJ13" s="248"/>
      <c r="AK13" s="248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</row>
    <row r="14" spans="1:53" x14ac:dyDescent="0.3">
      <c r="A14" s="423"/>
      <c r="B14" s="423" t="s">
        <v>456</v>
      </c>
      <c r="C14" s="423" t="s">
        <v>457</v>
      </c>
      <c r="D14" s="423"/>
      <c r="E14" s="242"/>
      <c r="F14" s="242"/>
      <c r="G14" s="242"/>
      <c r="H14" s="242"/>
      <c r="I14" s="242"/>
      <c r="J14" s="246">
        <f t="shared" si="0"/>
        <v>0</v>
      </c>
      <c r="K14" s="246">
        <f t="shared" si="1"/>
        <v>0</v>
      </c>
      <c r="L14" s="242"/>
      <c r="M14" s="242"/>
      <c r="N14" s="246">
        <f t="shared" si="2"/>
        <v>0</v>
      </c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  <c r="AH14" s="248"/>
      <c r="AI14" s="248"/>
      <c r="AJ14" s="248"/>
      <c r="AK14" s="248"/>
      <c r="AL14" s="248"/>
      <c r="AM14" s="248"/>
      <c r="AN14" s="248"/>
      <c r="AO14" s="248"/>
      <c r="AP14" s="248"/>
      <c r="AQ14" s="248"/>
      <c r="AR14" s="248"/>
      <c r="AS14" s="248"/>
      <c r="AT14" s="248"/>
      <c r="AU14" s="248"/>
      <c r="AV14" s="248"/>
      <c r="AW14" s="248"/>
      <c r="AX14" s="248"/>
      <c r="AY14" s="248"/>
      <c r="AZ14" s="248"/>
      <c r="BA14" s="248"/>
    </row>
    <row r="15" spans="1:53" x14ac:dyDescent="0.3">
      <c r="A15" s="423"/>
      <c r="B15" s="423"/>
      <c r="C15" s="423" t="s">
        <v>458</v>
      </c>
      <c r="D15" s="423"/>
      <c r="E15" s="242"/>
      <c r="F15" s="242"/>
      <c r="G15" s="242"/>
      <c r="H15" s="242"/>
      <c r="I15" s="242"/>
      <c r="J15" s="246">
        <f t="shared" si="0"/>
        <v>0</v>
      </c>
      <c r="K15" s="246">
        <f t="shared" si="1"/>
        <v>0</v>
      </c>
      <c r="L15" s="242"/>
      <c r="M15" s="242"/>
      <c r="N15" s="246">
        <f t="shared" si="2"/>
        <v>0</v>
      </c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8"/>
      <c r="AQ15" s="248"/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</row>
    <row r="16" spans="1:53" x14ac:dyDescent="0.3">
      <c r="A16" s="423"/>
      <c r="B16" s="423"/>
      <c r="C16" s="423" t="s">
        <v>459</v>
      </c>
      <c r="D16" s="423"/>
      <c r="E16" s="242"/>
      <c r="F16" s="242"/>
      <c r="G16" s="242"/>
      <c r="H16" s="242"/>
      <c r="I16" s="242"/>
      <c r="J16" s="246">
        <f t="shared" si="0"/>
        <v>0</v>
      </c>
      <c r="K16" s="246">
        <f t="shared" si="1"/>
        <v>0</v>
      </c>
      <c r="L16" s="242"/>
      <c r="M16" s="242"/>
      <c r="N16" s="246">
        <f t="shared" si="2"/>
        <v>0</v>
      </c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  <c r="AI16" s="248"/>
      <c r="AJ16" s="248"/>
      <c r="AK16" s="248"/>
      <c r="AL16" s="248"/>
      <c r="AM16" s="248"/>
      <c r="AN16" s="248"/>
      <c r="AO16" s="248"/>
      <c r="AP16" s="248"/>
      <c r="AQ16" s="248"/>
      <c r="AR16" s="248"/>
      <c r="AS16" s="248"/>
      <c r="AT16" s="248"/>
      <c r="AU16" s="248"/>
      <c r="AV16" s="248"/>
      <c r="AW16" s="248"/>
      <c r="AX16" s="248"/>
      <c r="AY16" s="248"/>
      <c r="AZ16" s="248"/>
      <c r="BA16" s="248"/>
    </row>
    <row r="17" spans="1:53" ht="28" x14ac:dyDescent="0.3">
      <c r="A17" s="423"/>
      <c r="B17" s="423" t="s">
        <v>447</v>
      </c>
      <c r="C17" s="423" t="s">
        <v>460</v>
      </c>
      <c r="D17" s="242" t="s">
        <v>461</v>
      </c>
      <c r="E17" s="242"/>
      <c r="F17" s="242"/>
      <c r="G17" s="242"/>
      <c r="H17" s="242"/>
      <c r="I17" s="242"/>
      <c r="J17" s="246">
        <f t="shared" si="0"/>
        <v>0</v>
      </c>
      <c r="K17" s="246">
        <f t="shared" si="1"/>
        <v>0</v>
      </c>
      <c r="L17" s="242"/>
      <c r="M17" s="242"/>
      <c r="N17" s="246">
        <f t="shared" si="2"/>
        <v>0</v>
      </c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8"/>
      <c r="AN17" s="248"/>
      <c r="AO17" s="248"/>
      <c r="AP17" s="248"/>
      <c r="AQ17" s="248"/>
      <c r="AR17" s="248"/>
      <c r="AS17" s="248"/>
      <c r="AT17" s="248"/>
      <c r="AU17" s="248"/>
      <c r="AV17" s="248"/>
      <c r="AW17" s="248"/>
      <c r="AX17" s="248"/>
      <c r="AY17" s="248"/>
      <c r="AZ17" s="248"/>
      <c r="BA17" s="248"/>
    </row>
    <row r="18" spans="1:53" ht="28" x14ac:dyDescent="0.3">
      <c r="A18" s="423"/>
      <c r="B18" s="423"/>
      <c r="C18" s="423"/>
      <c r="D18" s="242" t="s">
        <v>462</v>
      </c>
      <c r="E18" s="242"/>
      <c r="F18" s="242"/>
      <c r="G18" s="242"/>
      <c r="H18" s="242"/>
      <c r="I18" s="242"/>
      <c r="J18" s="246">
        <f t="shared" si="0"/>
        <v>0</v>
      </c>
      <c r="K18" s="246">
        <f t="shared" si="1"/>
        <v>0</v>
      </c>
      <c r="L18" s="242"/>
      <c r="M18" s="242"/>
      <c r="N18" s="246">
        <f t="shared" si="2"/>
        <v>0</v>
      </c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/>
      <c r="AV18" s="248"/>
      <c r="AW18" s="248"/>
      <c r="AX18" s="248"/>
      <c r="AY18" s="248"/>
      <c r="AZ18" s="248"/>
      <c r="BA18" s="248"/>
    </row>
    <row r="19" spans="1:53" x14ac:dyDescent="0.3">
      <c r="A19" s="423"/>
      <c r="B19" s="423"/>
      <c r="C19" s="423"/>
      <c r="D19" s="242" t="s">
        <v>463</v>
      </c>
      <c r="E19" s="242"/>
      <c r="F19" s="242"/>
      <c r="G19" s="242"/>
      <c r="H19" s="242"/>
      <c r="I19" s="242"/>
      <c r="J19" s="246">
        <f t="shared" si="0"/>
        <v>0</v>
      </c>
      <c r="K19" s="246">
        <f t="shared" si="1"/>
        <v>0</v>
      </c>
      <c r="L19" s="242"/>
      <c r="M19" s="242"/>
      <c r="N19" s="246">
        <f t="shared" si="2"/>
        <v>0</v>
      </c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248"/>
      <c r="AB19" s="248"/>
      <c r="AC19" s="248"/>
      <c r="AD19" s="248"/>
      <c r="AE19" s="248"/>
      <c r="AF19" s="248"/>
      <c r="AG19" s="248"/>
      <c r="AH19" s="248"/>
      <c r="AI19" s="248"/>
      <c r="AJ19" s="248"/>
      <c r="AK19" s="248"/>
      <c r="AL19" s="248"/>
      <c r="AM19" s="248"/>
      <c r="AN19" s="248"/>
      <c r="AO19" s="248"/>
      <c r="AP19" s="248"/>
      <c r="AQ19" s="248"/>
      <c r="AR19" s="248"/>
      <c r="AS19" s="248"/>
      <c r="AT19" s="248"/>
      <c r="AU19" s="248"/>
      <c r="AV19" s="248"/>
      <c r="AW19" s="248"/>
      <c r="AX19" s="248"/>
      <c r="AY19" s="248"/>
      <c r="AZ19" s="248"/>
      <c r="BA19" s="248"/>
    </row>
    <row r="20" spans="1:53" ht="28" x14ac:dyDescent="0.3">
      <c r="A20" s="423"/>
      <c r="B20" s="423"/>
      <c r="C20" s="423"/>
      <c r="D20" s="242" t="s">
        <v>464</v>
      </c>
      <c r="E20" s="242"/>
      <c r="F20" s="242"/>
      <c r="G20" s="242"/>
      <c r="H20" s="242"/>
      <c r="I20" s="242"/>
      <c r="J20" s="246">
        <f t="shared" si="0"/>
        <v>0</v>
      </c>
      <c r="K20" s="246">
        <f t="shared" si="1"/>
        <v>0</v>
      </c>
      <c r="L20" s="242"/>
      <c r="M20" s="242"/>
      <c r="N20" s="246">
        <f t="shared" si="2"/>
        <v>0</v>
      </c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8"/>
      <c r="AQ20" s="248"/>
      <c r="AR20" s="248"/>
      <c r="AS20" s="248"/>
      <c r="AT20" s="248"/>
      <c r="AU20" s="248"/>
      <c r="AV20" s="248"/>
      <c r="AW20" s="248"/>
      <c r="AX20" s="248"/>
      <c r="AY20" s="248"/>
      <c r="AZ20" s="248"/>
      <c r="BA20" s="248"/>
    </row>
    <row r="21" spans="1:53" x14ac:dyDescent="0.3">
      <c r="A21" s="423"/>
      <c r="B21" s="423"/>
      <c r="C21" s="423" t="s">
        <v>465</v>
      </c>
      <c r="D21" s="423"/>
      <c r="E21" s="242"/>
      <c r="F21" s="242"/>
      <c r="G21" s="242"/>
      <c r="H21" s="242"/>
      <c r="I21" s="242"/>
      <c r="J21" s="246">
        <f t="shared" si="0"/>
        <v>0</v>
      </c>
      <c r="K21" s="246">
        <f t="shared" si="1"/>
        <v>0</v>
      </c>
      <c r="L21" s="242"/>
      <c r="M21" s="242"/>
      <c r="N21" s="246">
        <f t="shared" si="2"/>
        <v>0</v>
      </c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  <c r="AB21" s="248"/>
      <c r="AC21" s="248"/>
      <c r="AD21" s="248"/>
      <c r="AE21" s="248"/>
      <c r="AF21" s="248"/>
      <c r="AG21" s="248"/>
      <c r="AH21" s="248"/>
      <c r="AI21" s="248"/>
      <c r="AJ21" s="248"/>
      <c r="AK21" s="248"/>
      <c r="AL21" s="248"/>
      <c r="AM21" s="248"/>
      <c r="AN21" s="248"/>
      <c r="AO21" s="248"/>
      <c r="AP21" s="248"/>
      <c r="AQ21" s="248"/>
      <c r="AR21" s="248"/>
      <c r="AS21" s="248"/>
      <c r="AT21" s="248"/>
      <c r="AU21" s="248"/>
      <c r="AV21" s="248"/>
      <c r="AW21" s="248"/>
      <c r="AX21" s="248"/>
      <c r="AY21" s="248"/>
      <c r="AZ21" s="248"/>
      <c r="BA21" s="248"/>
    </row>
    <row r="22" spans="1:53" x14ac:dyDescent="0.3">
      <c r="A22" s="423"/>
      <c r="B22" s="423"/>
      <c r="C22" s="423" t="s">
        <v>466</v>
      </c>
      <c r="D22" s="423"/>
      <c r="E22" s="242"/>
      <c r="F22" s="242"/>
      <c r="G22" s="242"/>
      <c r="H22" s="242"/>
      <c r="I22" s="242"/>
      <c r="J22" s="246">
        <f t="shared" si="0"/>
        <v>0</v>
      </c>
      <c r="K22" s="246">
        <f t="shared" si="1"/>
        <v>0</v>
      </c>
      <c r="L22" s="242"/>
      <c r="M22" s="242"/>
      <c r="N22" s="246">
        <f t="shared" si="2"/>
        <v>0</v>
      </c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  <c r="AA22" s="248"/>
      <c r="AB22" s="248"/>
      <c r="AC22" s="248"/>
      <c r="AD22" s="248"/>
      <c r="AE22" s="248"/>
      <c r="AF22" s="248"/>
      <c r="AG22" s="248"/>
      <c r="AH22" s="248"/>
      <c r="AI22" s="248"/>
      <c r="AJ22" s="248"/>
      <c r="AK22" s="248"/>
      <c r="AL22" s="248"/>
      <c r="AM22" s="248"/>
      <c r="AN22" s="248"/>
      <c r="AO22" s="248"/>
      <c r="AP22" s="248"/>
      <c r="AQ22" s="248"/>
      <c r="AR22" s="248"/>
      <c r="AS22" s="248"/>
      <c r="AT22" s="248"/>
      <c r="AU22" s="248"/>
      <c r="AV22" s="248"/>
      <c r="AW22" s="248"/>
      <c r="AX22" s="248"/>
      <c r="AY22" s="248"/>
      <c r="AZ22" s="248"/>
      <c r="BA22" s="248"/>
    </row>
    <row r="23" spans="1:53" x14ac:dyDescent="0.3">
      <c r="A23" s="423"/>
      <c r="B23" s="423"/>
      <c r="C23" s="423" t="s">
        <v>467</v>
      </c>
      <c r="D23" s="423"/>
      <c r="E23" s="242"/>
      <c r="F23" s="242"/>
      <c r="G23" s="242"/>
      <c r="H23" s="242"/>
      <c r="I23" s="242"/>
      <c r="J23" s="246">
        <f t="shared" si="0"/>
        <v>0</v>
      </c>
      <c r="K23" s="246">
        <f t="shared" si="1"/>
        <v>0</v>
      </c>
      <c r="L23" s="242"/>
      <c r="M23" s="242"/>
      <c r="N23" s="246">
        <f t="shared" si="2"/>
        <v>0</v>
      </c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8"/>
      <c r="AB23" s="248"/>
      <c r="AC23" s="248"/>
      <c r="AD23" s="248"/>
      <c r="AE23" s="248"/>
      <c r="AF23" s="248"/>
      <c r="AG23" s="248"/>
      <c r="AH23" s="248"/>
      <c r="AI23" s="248"/>
      <c r="AJ23" s="248"/>
      <c r="AK23" s="248"/>
      <c r="AL23" s="248"/>
      <c r="AM23" s="248"/>
      <c r="AN23" s="248"/>
      <c r="AO23" s="248"/>
      <c r="AP23" s="248"/>
      <c r="AQ23" s="248"/>
      <c r="AR23" s="248"/>
      <c r="AS23" s="248"/>
      <c r="AT23" s="248"/>
      <c r="AU23" s="248"/>
      <c r="AV23" s="248"/>
      <c r="AW23" s="248"/>
      <c r="AX23" s="248"/>
      <c r="AY23" s="248"/>
      <c r="AZ23" s="248"/>
      <c r="BA23" s="248"/>
    </row>
    <row r="24" spans="1:53" x14ac:dyDescent="0.3">
      <c r="A24" s="423"/>
      <c r="B24" s="423"/>
      <c r="C24" s="423" t="s">
        <v>468</v>
      </c>
      <c r="D24" s="423"/>
      <c r="E24" s="242"/>
      <c r="F24" s="242"/>
      <c r="G24" s="242"/>
      <c r="H24" s="242"/>
      <c r="I24" s="242"/>
      <c r="J24" s="246">
        <f t="shared" si="0"/>
        <v>0</v>
      </c>
      <c r="K24" s="246">
        <f t="shared" si="1"/>
        <v>0</v>
      </c>
      <c r="L24" s="242"/>
      <c r="M24" s="242"/>
      <c r="N24" s="246">
        <f t="shared" si="2"/>
        <v>0</v>
      </c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  <c r="AH24" s="248"/>
      <c r="AI24" s="248"/>
      <c r="AJ24" s="248"/>
      <c r="AK24" s="248"/>
      <c r="AL24" s="248"/>
      <c r="AM24" s="248"/>
      <c r="AN24" s="248"/>
      <c r="AO24" s="248"/>
      <c r="AP24" s="248"/>
      <c r="AQ24" s="248"/>
      <c r="AR24" s="248"/>
      <c r="AS24" s="248"/>
      <c r="AT24" s="248"/>
      <c r="AU24" s="248"/>
      <c r="AV24" s="248"/>
      <c r="AW24" s="248"/>
      <c r="AX24" s="248"/>
      <c r="AY24" s="248"/>
      <c r="AZ24" s="248"/>
      <c r="BA24" s="248"/>
    </row>
    <row r="25" spans="1:53" x14ac:dyDescent="0.3">
      <c r="A25" s="423"/>
      <c r="B25" s="423"/>
      <c r="C25" s="423" t="s">
        <v>469</v>
      </c>
      <c r="D25" s="423"/>
      <c r="E25" s="242"/>
      <c r="F25" s="242"/>
      <c r="G25" s="242"/>
      <c r="H25" s="242"/>
      <c r="I25" s="242"/>
      <c r="J25" s="246">
        <f t="shared" si="0"/>
        <v>0</v>
      </c>
      <c r="K25" s="246">
        <f t="shared" si="1"/>
        <v>0</v>
      </c>
      <c r="L25" s="242"/>
      <c r="M25" s="242"/>
      <c r="N25" s="246">
        <f t="shared" si="2"/>
        <v>0</v>
      </c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  <c r="AH25" s="248"/>
      <c r="AI25" s="248"/>
      <c r="AJ25" s="248"/>
      <c r="AK25" s="248"/>
      <c r="AL25" s="248"/>
      <c r="AM25" s="248"/>
      <c r="AN25" s="248"/>
      <c r="AO25" s="248"/>
      <c r="AP25" s="248"/>
      <c r="AQ25" s="248"/>
      <c r="AR25" s="248"/>
      <c r="AS25" s="248"/>
      <c r="AT25" s="248"/>
      <c r="AU25" s="248"/>
      <c r="AV25" s="248"/>
      <c r="AW25" s="248"/>
      <c r="AX25" s="248"/>
      <c r="AY25" s="248"/>
      <c r="AZ25" s="248"/>
      <c r="BA25" s="248"/>
    </row>
    <row r="26" spans="1:53" x14ac:dyDescent="0.3">
      <c r="A26" s="423"/>
      <c r="B26" s="423"/>
      <c r="C26" s="423" t="s">
        <v>470</v>
      </c>
      <c r="D26" s="423"/>
      <c r="E26" s="242"/>
      <c r="F26" s="242"/>
      <c r="G26" s="242"/>
      <c r="H26" s="242"/>
      <c r="I26" s="242"/>
      <c r="J26" s="246">
        <f t="shared" si="0"/>
        <v>0</v>
      </c>
      <c r="K26" s="246">
        <f t="shared" si="1"/>
        <v>0</v>
      </c>
      <c r="L26" s="242"/>
      <c r="M26" s="242"/>
      <c r="N26" s="246">
        <f t="shared" si="2"/>
        <v>0</v>
      </c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8"/>
      <c r="AN26" s="248"/>
      <c r="AO26" s="248"/>
      <c r="AP26" s="248"/>
      <c r="AQ26" s="248"/>
      <c r="AR26" s="248"/>
      <c r="AS26" s="248"/>
      <c r="AT26" s="248"/>
      <c r="AU26" s="248"/>
      <c r="AV26" s="248"/>
      <c r="AW26" s="248"/>
      <c r="AX26" s="248"/>
      <c r="AY26" s="248"/>
      <c r="AZ26" s="248"/>
      <c r="BA26" s="248"/>
    </row>
    <row r="27" spans="1:53" x14ac:dyDescent="0.3">
      <c r="A27" s="423"/>
      <c r="B27" s="423" t="s">
        <v>471</v>
      </c>
      <c r="C27" s="423" t="s">
        <v>472</v>
      </c>
      <c r="D27" s="423"/>
      <c r="E27" s="242"/>
      <c r="F27" s="242"/>
      <c r="G27" s="242"/>
      <c r="H27" s="242"/>
      <c r="I27" s="242"/>
      <c r="J27" s="246">
        <f t="shared" si="0"/>
        <v>0</v>
      </c>
      <c r="K27" s="246">
        <f t="shared" si="1"/>
        <v>0</v>
      </c>
      <c r="L27" s="242"/>
      <c r="M27" s="242"/>
      <c r="N27" s="246">
        <f t="shared" si="2"/>
        <v>0</v>
      </c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  <c r="AA27" s="248"/>
      <c r="AB27" s="248"/>
      <c r="AC27" s="248"/>
      <c r="AD27" s="248"/>
      <c r="AE27" s="248"/>
      <c r="AF27" s="248"/>
      <c r="AG27" s="248"/>
      <c r="AH27" s="248"/>
      <c r="AI27" s="248"/>
      <c r="AJ27" s="248"/>
      <c r="AK27" s="248"/>
      <c r="AL27" s="248"/>
      <c r="AM27" s="248"/>
      <c r="AN27" s="248"/>
      <c r="AO27" s="248"/>
      <c r="AP27" s="248"/>
      <c r="AQ27" s="248"/>
      <c r="AR27" s="248"/>
      <c r="AS27" s="248"/>
      <c r="AT27" s="248"/>
      <c r="AU27" s="248"/>
      <c r="AV27" s="248"/>
      <c r="AW27" s="248"/>
      <c r="AX27" s="248"/>
      <c r="AY27" s="248"/>
      <c r="AZ27" s="248"/>
      <c r="BA27" s="248"/>
    </row>
    <row r="28" spans="1:53" x14ac:dyDescent="0.3">
      <c r="A28" s="423"/>
      <c r="B28" s="423"/>
      <c r="C28" s="423" t="s">
        <v>473</v>
      </c>
      <c r="D28" s="423"/>
      <c r="E28" s="242"/>
      <c r="F28" s="242"/>
      <c r="G28" s="242"/>
      <c r="H28" s="242"/>
      <c r="I28" s="242"/>
      <c r="J28" s="246">
        <f t="shared" si="0"/>
        <v>0</v>
      </c>
      <c r="K28" s="246">
        <f t="shared" si="1"/>
        <v>0</v>
      </c>
      <c r="L28" s="242"/>
      <c r="M28" s="242"/>
      <c r="N28" s="246">
        <f t="shared" si="2"/>
        <v>0</v>
      </c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  <c r="AA28" s="248"/>
      <c r="AB28" s="248"/>
      <c r="AC28" s="248"/>
      <c r="AD28" s="248"/>
      <c r="AE28" s="248"/>
      <c r="AF28" s="248"/>
      <c r="AG28" s="248"/>
      <c r="AH28" s="248"/>
      <c r="AI28" s="248"/>
      <c r="AJ28" s="248"/>
      <c r="AK28" s="248"/>
      <c r="AL28" s="248"/>
      <c r="AM28" s="248"/>
      <c r="AN28" s="248"/>
      <c r="AO28" s="248"/>
      <c r="AP28" s="248"/>
      <c r="AQ28" s="248"/>
      <c r="AR28" s="248"/>
      <c r="AS28" s="248"/>
      <c r="AT28" s="248"/>
      <c r="AU28" s="248"/>
      <c r="AV28" s="248"/>
      <c r="AW28" s="248"/>
      <c r="AX28" s="248"/>
      <c r="AY28" s="248"/>
      <c r="AZ28" s="248"/>
      <c r="BA28" s="248"/>
    </row>
    <row r="29" spans="1:53" x14ac:dyDescent="0.3">
      <c r="A29" s="423"/>
      <c r="B29" s="423"/>
      <c r="C29" s="423" t="s">
        <v>474</v>
      </c>
      <c r="D29" s="423"/>
      <c r="E29" s="242"/>
      <c r="F29" s="242"/>
      <c r="G29" s="242"/>
      <c r="H29" s="242"/>
      <c r="I29" s="242"/>
      <c r="J29" s="246">
        <f t="shared" si="0"/>
        <v>0</v>
      </c>
      <c r="K29" s="246">
        <f t="shared" si="1"/>
        <v>0</v>
      </c>
      <c r="L29" s="242"/>
      <c r="M29" s="242"/>
      <c r="N29" s="246">
        <f t="shared" si="2"/>
        <v>0</v>
      </c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  <c r="AA29" s="248"/>
      <c r="AB29" s="248"/>
      <c r="AC29" s="248"/>
      <c r="AD29" s="248"/>
      <c r="AE29" s="248"/>
      <c r="AF29" s="248"/>
      <c r="AG29" s="248"/>
      <c r="AH29" s="248"/>
      <c r="AI29" s="248"/>
      <c r="AJ29" s="248"/>
      <c r="AK29" s="248"/>
      <c r="AL29" s="248"/>
      <c r="AM29" s="248"/>
      <c r="AN29" s="248"/>
      <c r="AO29" s="248"/>
      <c r="AP29" s="248"/>
      <c r="AQ29" s="248"/>
      <c r="AR29" s="248"/>
      <c r="AS29" s="248"/>
      <c r="AT29" s="248"/>
      <c r="AU29" s="248"/>
      <c r="AV29" s="248"/>
      <c r="AW29" s="248"/>
      <c r="AX29" s="248"/>
      <c r="AY29" s="248"/>
      <c r="AZ29" s="248"/>
      <c r="BA29" s="248"/>
    </row>
    <row r="30" spans="1:53" x14ac:dyDescent="0.3">
      <c r="A30" s="423"/>
      <c r="B30" s="423"/>
      <c r="C30" s="423" t="s">
        <v>475</v>
      </c>
      <c r="D30" s="423"/>
      <c r="E30" s="242"/>
      <c r="F30" s="242"/>
      <c r="G30" s="242"/>
      <c r="H30" s="242"/>
      <c r="I30" s="242"/>
      <c r="J30" s="246">
        <f t="shared" si="0"/>
        <v>0</v>
      </c>
      <c r="K30" s="246">
        <f t="shared" si="1"/>
        <v>0</v>
      </c>
      <c r="L30" s="242"/>
      <c r="M30" s="242"/>
      <c r="N30" s="246">
        <f t="shared" si="2"/>
        <v>0</v>
      </c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  <c r="AA30" s="248"/>
      <c r="AB30" s="248"/>
      <c r="AC30" s="248"/>
      <c r="AD30" s="248"/>
      <c r="AE30" s="248"/>
      <c r="AF30" s="248"/>
      <c r="AG30" s="248"/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</row>
    <row r="31" spans="1:53" x14ac:dyDescent="0.3">
      <c r="A31" s="423"/>
      <c r="B31" s="423"/>
      <c r="C31" s="423" t="s">
        <v>476</v>
      </c>
      <c r="D31" s="423"/>
      <c r="E31" s="242"/>
      <c r="F31" s="242"/>
      <c r="G31" s="242"/>
      <c r="H31" s="242"/>
      <c r="I31" s="242"/>
      <c r="J31" s="246">
        <f t="shared" si="0"/>
        <v>0</v>
      </c>
      <c r="K31" s="246">
        <f t="shared" si="1"/>
        <v>0</v>
      </c>
      <c r="L31" s="242"/>
      <c r="M31" s="242"/>
      <c r="N31" s="246">
        <f t="shared" si="2"/>
        <v>0</v>
      </c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</row>
    <row r="32" spans="1:53" x14ac:dyDescent="0.3">
      <c r="A32" s="423"/>
      <c r="B32" s="423"/>
      <c r="C32" s="423" t="s">
        <v>477</v>
      </c>
      <c r="D32" s="423"/>
      <c r="E32" s="242"/>
      <c r="F32" s="242"/>
      <c r="G32" s="242"/>
      <c r="H32" s="242"/>
      <c r="I32" s="242"/>
      <c r="J32" s="246">
        <f t="shared" si="0"/>
        <v>0</v>
      </c>
      <c r="K32" s="246">
        <f t="shared" si="1"/>
        <v>0</v>
      </c>
      <c r="L32" s="242"/>
      <c r="M32" s="242"/>
      <c r="N32" s="246">
        <f t="shared" si="2"/>
        <v>0</v>
      </c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</row>
    <row r="33" spans="1:53" x14ac:dyDescent="0.3">
      <c r="A33" s="423"/>
      <c r="B33" s="423"/>
      <c r="C33" s="423" t="s">
        <v>478</v>
      </c>
      <c r="D33" s="423"/>
      <c r="E33" s="242"/>
      <c r="F33" s="242"/>
      <c r="G33" s="242"/>
      <c r="H33" s="242"/>
      <c r="I33" s="242"/>
      <c r="J33" s="246">
        <f t="shared" si="0"/>
        <v>0</v>
      </c>
      <c r="K33" s="246">
        <f t="shared" si="1"/>
        <v>0</v>
      </c>
      <c r="L33" s="242"/>
      <c r="M33" s="242"/>
      <c r="N33" s="246">
        <f t="shared" si="2"/>
        <v>0</v>
      </c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</row>
    <row r="34" spans="1:53" x14ac:dyDescent="0.3">
      <c r="A34" s="423"/>
      <c r="B34" s="423"/>
      <c r="C34" s="423" t="s">
        <v>479</v>
      </c>
      <c r="D34" s="423"/>
      <c r="E34" s="242"/>
      <c r="F34" s="242"/>
      <c r="G34" s="242"/>
      <c r="H34" s="242"/>
      <c r="I34" s="242"/>
      <c r="J34" s="246">
        <f t="shared" si="0"/>
        <v>0</v>
      </c>
      <c r="K34" s="246">
        <f t="shared" si="1"/>
        <v>0</v>
      </c>
      <c r="L34" s="242"/>
      <c r="M34" s="242"/>
      <c r="N34" s="246">
        <f t="shared" si="2"/>
        <v>0</v>
      </c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</row>
    <row r="35" spans="1:53" x14ac:dyDescent="0.3">
      <c r="A35" s="423"/>
      <c r="B35" s="423"/>
      <c r="C35" s="423" t="s">
        <v>480</v>
      </c>
      <c r="D35" s="423"/>
      <c r="E35" s="242"/>
      <c r="F35" s="242"/>
      <c r="G35" s="242"/>
      <c r="H35" s="242"/>
      <c r="I35" s="242"/>
      <c r="J35" s="246">
        <f t="shared" si="0"/>
        <v>0</v>
      </c>
      <c r="K35" s="246">
        <f t="shared" si="1"/>
        <v>0</v>
      </c>
      <c r="L35" s="242"/>
      <c r="M35" s="242"/>
      <c r="N35" s="246">
        <f t="shared" si="2"/>
        <v>0</v>
      </c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</row>
    <row r="36" spans="1:53" x14ac:dyDescent="0.3">
      <c r="A36" s="423"/>
      <c r="B36" s="423"/>
      <c r="C36" s="423" t="s">
        <v>481</v>
      </c>
      <c r="D36" s="423"/>
      <c r="E36" s="242"/>
      <c r="F36" s="242"/>
      <c r="G36" s="242"/>
      <c r="H36" s="242"/>
      <c r="I36" s="242"/>
      <c r="J36" s="246">
        <f t="shared" si="0"/>
        <v>0</v>
      </c>
      <c r="K36" s="246">
        <f t="shared" si="1"/>
        <v>0</v>
      </c>
      <c r="L36" s="242"/>
      <c r="M36" s="242"/>
      <c r="N36" s="246">
        <f t="shared" si="2"/>
        <v>0</v>
      </c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  <c r="AA36" s="248"/>
      <c r="AB36" s="248"/>
      <c r="AC36" s="248"/>
      <c r="AD36" s="248"/>
      <c r="AE36" s="248"/>
      <c r="AF36" s="248"/>
      <c r="AG36" s="248"/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</row>
    <row r="37" spans="1:53" x14ac:dyDescent="0.3">
      <c r="A37" s="423"/>
      <c r="B37" s="423"/>
      <c r="C37" s="423" t="s">
        <v>482</v>
      </c>
      <c r="D37" s="423"/>
      <c r="E37" s="242"/>
      <c r="F37" s="242"/>
      <c r="G37" s="242"/>
      <c r="H37" s="242"/>
      <c r="I37" s="242"/>
      <c r="J37" s="246">
        <f t="shared" si="0"/>
        <v>0</v>
      </c>
      <c r="K37" s="246">
        <f t="shared" si="1"/>
        <v>0</v>
      </c>
      <c r="L37" s="242"/>
      <c r="M37" s="242"/>
      <c r="N37" s="246">
        <f t="shared" si="2"/>
        <v>0</v>
      </c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</row>
    <row r="38" spans="1:53" x14ac:dyDescent="0.3">
      <c r="A38" s="423"/>
      <c r="B38" s="423"/>
      <c r="C38" s="423" t="s">
        <v>483</v>
      </c>
      <c r="D38" s="423"/>
      <c r="E38" s="242"/>
      <c r="F38" s="242"/>
      <c r="G38" s="242"/>
      <c r="H38" s="242"/>
      <c r="I38" s="242"/>
      <c r="J38" s="246">
        <f t="shared" si="0"/>
        <v>0</v>
      </c>
      <c r="K38" s="246">
        <f t="shared" si="1"/>
        <v>0</v>
      </c>
      <c r="L38" s="242"/>
      <c r="M38" s="242"/>
      <c r="N38" s="246">
        <f t="shared" si="2"/>
        <v>0</v>
      </c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</row>
    <row r="39" spans="1:53" x14ac:dyDescent="0.3">
      <c r="A39" s="423"/>
      <c r="B39" s="423"/>
      <c r="C39" s="423" t="s">
        <v>484</v>
      </c>
      <c r="D39" s="423"/>
      <c r="E39" s="242"/>
      <c r="F39" s="242"/>
      <c r="G39" s="242"/>
      <c r="H39" s="242"/>
      <c r="I39" s="242"/>
      <c r="J39" s="246">
        <f t="shared" si="0"/>
        <v>0</v>
      </c>
      <c r="K39" s="246">
        <f t="shared" si="1"/>
        <v>0</v>
      </c>
      <c r="L39" s="242"/>
      <c r="M39" s="242"/>
      <c r="N39" s="246">
        <f t="shared" si="2"/>
        <v>0</v>
      </c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</row>
    <row r="40" spans="1:53" x14ac:dyDescent="0.3">
      <c r="A40" s="423"/>
      <c r="B40" s="423" t="s">
        <v>485</v>
      </c>
      <c r="C40" s="423"/>
      <c r="D40" s="423"/>
      <c r="E40" s="242"/>
      <c r="F40" s="242"/>
      <c r="G40" s="242"/>
      <c r="H40" s="242"/>
      <c r="I40" s="242"/>
      <c r="J40" s="246">
        <f t="shared" si="0"/>
        <v>0</v>
      </c>
      <c r="K40" s="246">
        <f t="shared" si="1"/>
        <v>0</v>
      </c>
      <c r="L40" s="242"/>
      <c r="M40" s="242"/>
      <c r="N40" s="246">
        <f t="shared" si="2"/>
        <v>0</v>
      </c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  <c r="AX40" s="248"/>
      <c r="AY40" s="248"/>
      <c r="AZ40" s="248"/>
      <c r="BA40" s="248"/>
    </row>
  </sheetData>
  <mergeCells count="69">
    <mergeCell ref="A1:N2"/>
    <mergeCell ref="O1:BA1"/>
    <mergeCell ref="O2:AF2"/>
    <mergeCell ref="AG2:AO3"/>
    <mergeCell ref="AP2:AX3"/>
    <mergeCell ref="AY2:BA3"/>
    <mergeCell ref="A3:K3"/>
    <mergeCell ref="L3:N3"/>
    <mergeCell ref="O3:Z3"/>
    <mergeCell ref="AA3:AF3"/>
    <mergeCell ref="X4:Z4"/>
    <mergeCell ref="A4:D5"/>
    <mergeCell ref="E4:G4"/>
    <mergeCell ref="H4:I4"/>
    <mergeCell ref="J4:J5"/>
    <mergeCell ref="K4:K5"/>
    <mergeCell ref="L4:L5"/>
    <mergeCell ref="M4:M5"/>
    <mergeCell ref="N4:N5"/>
    <mergeCell ref="O4:Q4"/>
    <mergeCell ref="R4:T4"/>
    <mergeCell ref="U4:W4"/>
    <mergeCell ref="AS4:AU4"/>
    <mergeCell ref="AV4:AX4"/>
    <mergeCell ref="AY4:BA4"/>
    <mergeCell ref="A6:A12"/>
    <mergeCell ref="B6:B8"/>
    <mergeCell ref="C6:D6"/>
    <mergeCell ref="C7:D7"/>
    <mergeCell ref="C8:D8"/>
    <mergeCell ref="B9:B11"/>
    <mergeCell ref="C9:D9"/>
    <mergeCell ref="AA4:AC4"/>
    <mergeCell ref="AD4:AF4"/>
    <mergeCell ref="AG4:AI4"/>
    <mergeCell ref="AJ4:AL4"/>
    <mergeCell ref="AM4:AO4"/>
    <mergeCell ref="AP4:AR4"/>
    <mergeCell ref="C26:D26"/>
    <mergeCell ref="C10:C11"/>
    <mergeCell ref="B12:D12"/>
    <mergeCell ref="A13:A40"/>
    <mergeCell ref="C13:D13"/>
    <mergeCell ref="B14:B16"/>
    <mergeCell ref="C14:D14"/>
    <mergeCell ref="C15:D15"/>
    <mergeCell ref="C16:D16"/>
    <mergeCell ref="B17:B26"/>
    <mergeCell ref="C17:C20"/>
    <mergeCell ref="C21:D21"/>
    <mergeCell ref="C22:D22"/>
    <mergeCell ref="C23:D23"/>
    <mergeCell ref="C24:D24"/>
    <mergeCell ref="C25:D25"/>
    <mergeCell ref="C36:D36"/>
    <mergeCell ref="C37:D37"/>
    <mergeCell ref="C38:D38"/>
    <mergeCell ref="C39:D39"/>
    <mergeCell ref="B40:D40"/>
    <mergeCell ref="B27:B39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</mergeCells>
  <phoneticPr fontId="3" type="noConversion"/>
  <pageMargins left="0.75" right="0.75" top="1" bottom="1" header="0.5" footer="0.5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2"/>
  <sheetViews>
    <sheetView workbookViewId="0">
      <selection activeCell="H26" sqref="H26"/>
    </sheetView>
  </sheetViews>
  <sheetFormatPr defaultColWidth="9" defaultRowHeight="15.5" x14ac:dyDescent="0.35"/>
  <cols>
    <col min="1" max="1" width="14.33203125" style="51" customWidth="1"/>
    <col min="2" max="2" width="9.5" style="51" bestFit="1" customWidth="1"/>
    <col min="3" max="5" width="9.08203125" style="51" bestFit="1" customWidth="1"/>
    <col min="6" max="6" width="9.33203125" style="51" bestFit="1" customWidth="1"/>
    <col min="7" max="7" width="9.58203125" style="51" bestFit="1" customWidth="1"/>
    <col min="8" max="8" width="12.83203125" style="51" bestFit="1" customWidth="1"/>
    <col min="9" max="9" width="12.75" style="51" bestFit="1" customWidth="1"/>
    <col min="10" max="12" width="9.08203125" style="51" bestFit="1" customWidth="1"/>
    <col min="13" max="13" width="9.08203125" style="51" customWidth="1"/>
    <col min="14" max="16" width="9.08203125" style="51" bestFit="1" customWidth="1"/>
    <col min="17" max="18" width="9.08203125" style="51" customWidth="1"/>
    <col min="19" max="19" width="13" style="51" bestFit="1" customWidth="1"/>
    <col min="20" max="16384" width="9" style="51"/>
  </cols>
  <sheetData>
    <row r="1" spans="1:20" x14ac:dyDescent="0.35">
      <c r="A1" s="61" t="s">
        <v>56</v>
      </c>
      <c r="B1" s="434" t="s">
        <v>57</v>
      </c>
      <c r="C1" s="434"/>
    </row>
    <row r="2" spans="1:20" x14ac:dyDescent="0.35">
      <c r="A2" s="61"/>
      <c r="B2" s="62"/>
      <c r="C2" s="62"/>
    </row>
    <row r="3" spans="1:20" ht="20.5" thickBot="1" x14ac:dyDescent="0.45">
      <c r="A3" s="78" t="s">
        <v>99</v>
      </c>
    </row>
    <row r="4" spans="1:20" x14ac:dyDescent="0.35">
      <c r="A4" s="52" t="s">
        <v>76</v>
      </c>
      <c r="B4" s="53" t="s">
        <v>79</v>
      </c>
      <c r="C4" s="53" t="s">
        <v>80</v>
      </c>
      <c r="D4" s="53" t="s">
        <v>81</v>
      </c>
      <c r="E4" s="53" t="s">
        <v>82</v>
      </c>
      <c r="F4" s="53" t="s">
        <v>83</v>
      </c>
      <c r="G4" s="53" t="s">
        <v>84</v>
      </c>
      <c r="H4" s="53" t="s">
        <v>85</v>
      </c>
      <c r="I4" s="53" t="s">
        <v>86</v>
      </c>
      <c r="J4" s="53" t="s">
        <v>87</v>
      </c>
      <c r="K4" s="53" t="s">
        <v>88</v>
      </c>
      <c r="L4" s="53" t="s">
        <v>89</v>
      </c>
      <c r="M4" s="53" t="s">
        <v>111</v>
      </c>
      <c r="N4" s="53" t="s">
        <v>90</v>
      </c>
      <c r="O4" s="53" t="s">
        <v>91</v>
      </c>
      <c r="P4" s="53" t="s">
        <v>92</v>
      </c>
      <c r="Q4" s="80" t="s">
        <v>113</v>
      </c>
      <c r="R4" s="80" t="s">
        <v>112</v>
      </c>
      <c r="S4" s="54" t="s">
        <v>93</v>
      </c>
      <c r="T4" s="50"/>
    </row>
    <row r="5" spans="1:20" x14ac:dyDescent="0.35">
      <c r="A5" s="55" t="s">
        <v>77</v>
      </c>
      <c r="B5" s="56">
        <v>1</v>
      </c>
      <c r="C5" s="56">
        <v>1</v>
      </c>
      <c r="D5" s="56">
        <v>1</v>
      </c>
      <c r="E5" s="56">
        <v>1</v>
      </c>
      <c r="F5" s="56">
        <v>1</v>
      </c>
      <c r="G5" s="63">
        <v>1</v>
      </c>
      <c r="H5" s="56">
        <v>1</v>
      </c>
      <c r="I5" s="56">
        <v>1</v>
      </c>
      <c r="J5" s="56">
        <v>1</v>
      </c>
      <c r="K5" s="56">
        <v>1</v>
      </c>
      <c r="L5" s="56">
        <v>1</v>
      </c>
      <c r="M5" s="56">
        <v>1</v>
      </c>
      <c r="N5" s="56">
        <v>1</v>
      </c>
      <c r="O5" s="56">
        <v>1</v>
      </c>
      <c r="P5" s="56">
        <v>1</v>
      </c>
      <c r="Q5" s="81">
        <v>1</v>
      </c>
      <c r="R5" s="81">
        <v>1</v>
      </c>
      <c r="S5" s="57">
        <v>1</v>
      </c>
      <c r="T5" s="50"/>
    </row>
    <row r="6" spans="1:20" ht="16" thickBot="1" x14ac:dyDescent="0.4">
      <c r="A6" s="58" t="s">
        <v>78</v>
      </c>
      <c r="B6" s="59">
        <f>B5*1000000</f>
        <v>1000000</v>
      </c>
      <c r="C6" s="59">
        <f>C5*1000</f>
        <v>1000</v>
      </c>
      <c r="D6" s="59">
        <f>D5*0.1</f>
        <v>0.1</v>
      </c>
      <c r="E6" s="59">
        <f>E5*0.01</f>
        <v>0.01</v>
      </c>
      <c r="F6" s="59">
        <f>F5*0.001</f>
        <v>1E-3</v>
      </c>
      <c r="G6" s="59">
        <f>G5*0.000001</f>
        <v>9.9999999999999995E-7</v>
      </c>
      <c r="H6" s="59">
        <f>H5*0.000000001</f>
        <v>1.0000000000000001E-9</v>
      </c>
      <c r="I6" s="59">
        <f>I5*0.0000000001</f>
        <v>1E-10</v>
      </c>
      <c r="J6" s="59">
        <f>J5*0.000000000001</f>
        <v>9.9999999999999998E-13</v>
      </c>
      <c r="K6" s="59">
        <f>K5*0.000000000000001</f>
        <v>1.0000000000000001E-15</v>
      </c>
      <c r="L6" s="59">
        <f>L5*0.000000000000000001</f>
        <v>1.0000000000000001E-18</v>
      </c>
      <c r="M6" s="59">
        <f>M5*500</f>
        <v>500</v>
      </c>
      <c r="N6" s="59">
        <f>N5*(1/0.3)</f>
        <v>3.3333333333333335</v>
      </c>
      <c r="O6" s="59">
        <f>O5*(1/3)</f>
        <v>0.33333333333333331</v>
      </c>
      <c r="P6" s="59">
        <f>P5*(1/30)</f>
        <v>3.3333333333333333E-2</v>
      </c>
      <c r="Q6" s="82">
        <f>Q5*(1/3.2808399)</f>
        <v>0.304799999536704</v>
      </c>
      <c r="R6" s="82">
        <f>R5*(1/39.3700787)</f>
        <v>2.5400000025908E-2</v>
      </c>
      <c r="S6" s="60">
        <f>S5*9046530000000000</f>
        <v>9046530000000000</v>
      </c>
      <c r="T6" s="50"/>
    </row>
    <row r="7" spans="1:20" ht="16" thickBot="1" x14ac:dyDescent="0.4">
      <c r="A7" s="436" t="s">
        <v>106</v>
      </c>
      <c r="B7" s="436"/>
      <c r="C7" s="436"/>
      <c r="D7" s="436"/>
      <c r="E7" s="436"/>
      <c r="F7" s="436"/>
      <c r="G7" s="436"/>
      <c r="H7" s="436"/>
      <c r="I7" s="436"/>
      <c r="J7" s="436"/>
      <c r="K7" s="436"/>
      <c r="L7" s="436"/>
      <c r="M7" s="436"/>
      <c r="N7" s="436"/>
      <c r="O7" s="436"/>
      <c r="P7" s="436"/>
      <c r="Q7" s="436"/>
      <c r="R7" s="436"/>
      <c r="S7" s="436"/>
      <c r="T7" s="50"/>
    </row>
    <row r="8" spans="1:20" x14ac:dyDescent="0.35">
      <c r="A8" s="52" t="s">
        <v>21</v>
      </c>
      <c r="B8" s="73">
        <v>1</v>
      </c>
      <c r="C8" s="73">
        <v>1</v>
      </c>
      <c r="D8" s="73">
        <v>1</v>
      </c>
      <c r="E8" s="73">
        <v>1</v>
      </c>
      <c r="F8" s="73">
        <v>1</v>
      </c>
      <c r="G8" s="73">
        <v>1</v>
      </c>
      <c r="H8" s="73">
        <v>1</v>
      </c>
      <c r="I8" s="73">
        <v>1</v>
      </c>
      <c r="J8" s="73">
        <v>1</v>
      </c>
      <c r="K8" s="73">
        <v>1</v>
      </c>
      <c r="L8" s="73">
        <v>1</v>
      </c>
      <c r="M8" s="73">
        <v>1</v>
      </c>
      <c r="N8" s="73">
        <v>1</v>
      </c>
      <c r="O8" s="73">
        <v>1</v>
      </c>
      <c r="P8" s="73">
        <v>1</v>
      </c>
      <c r="Q8" s="73">
        <v>1</v>
      </c>
      <c r="R8" s="73">
        <v>1</v>
      </c>
      <c r="S8" s="74">
        <v>1</v>
      </c>
      <c r="T8" s="50"/>
    </row>
    <row r="9" spans="1:20" x14ac:dyDescent="0.35">
      <c r="A9" s="55" t="s">
        <v>108</v>
      </c>
      <c r="B9" s="64">
        <f>B8*0.000001</f>
        <v>9.9999999999999995E-7</v>
      </c>
      <c r="C9" s="64">
        <f>C8*0.001</f>
        <v>1E-3</v>
      </c>
      <c r="D9" s="64">
        <f>D8*10</f>
        <v>10</v>
      </c>
      <c r="E9" s="64">
        <f>E8*100</f>
        <v>100</v>
      </c>
      <c r="F9" s="64">
        <f>F8*1000</f>
        <v>1000</v>
      </c>
      <c r="G9" s="64">
        <f>G8*1000000</f>
        <v>1000000</v>
      </c>
      <c r="H9" s="64">
        <f>H8*1000000000</f>
        <v>1000000000</v>
      </c>
      <c r="I9" s="64">
        <f>I8*10000000000</f>
        <v>10000000000</v>
      </c>
      <c r="J9" s="64">
        <f>J8*1000000000000</f>
        <v>1000000000000</v>
      </c>
      <c r="K9" s="64">
        <f>K8*1000000000000000</f>
        <v>1000000000000000</v>
      </c>
      <c r="L9" s="64">
        <f>L8*1000000000000000000</f>
        <v>1E+18</v>
      </c>
      <c r="M9" s="66">
        <f>M8*(1/500)</f>
        <v>2E-3</v>
      </c>
      <c r="N9" s="64">
        <f>N8*0.3</f>
        <v>0.3</v>
      </c>
      <c r="O9" s="64">
        <f>O8*3</f>
        <v>3</v>
      </c>
      <c r="P9" s="64">
        <f>P8*30</f>
        <v>30</v>
      </c>
      <c r="Q9" s="64">
        <f>Q8*3.2808399</f>
        <v>3.2808399000000001</v>
      </c>
      <c r="R9" s="64">
        <f>R8*39.3700787</f>
        <v>39.370078700000001</v>
      </c>
      <c r="S9" s="72">
        <f>S8*(1/(9046530000000000))</f>
        <v>1.1053962126914961E-16</v>
      </c>
      <c r="T9" s="50"/>
    </row>
    <row r="10" spans="1:20" ht="16" thickBot="1" x14ac:dyDescent="0.4">
      <c r="A10" s="58" t="s">
        <v>110</v>
      </c>
      <c r="B10" s="76" t="s">
        <v>79</v>
      </c>
      <c r="C10" s="76" t="s">
        <v>80</v>
      </c>
      <c r="D10" s="76" t="s">
        <v>81</v>
      </c>
      <c r="E10" s="76" t="s">
        <v>82</v>
      </c>
      <c r="F10" s="76" t="s">
        <v>83</v>
      </c>
      <c r="G10" s="76" t="s">
        <v>84</v>
      </c>
      <c r="H10" s="76" t="s">
        <v>85</v>
      </c>
      <c r="I10" s="76" t="s">
        <v>86</v>
      </c>
      <c r="J10" s="76" t="s">
        <v>87</v>
      </c>
      <c r="K10" s="76" t="s">
        <v>88</v>
      </c>
      <c r="L10" s="76" t="s">
        <v>89</v>
      </c>
      <c r="M10" s="76" t="s">
        <v>111</v>
      </c>
      <c r="N10" s="76" t="s">
        <v>90</v>
      </c>
      <c r="O10" s="76" t="s">
        <v>91</v>
      </c>
      <c r="P10" s="76" t="s">
        <v>92</v>
      </c>
      <c r="Q10" s="76" t="s">
        <v>113</v>
      </c>
      <c r="R10" s="76" t="s">
        <v>112</v>
      </c>
      <c r="S10" s="77" t="s">
        <v>93</v>
      </c>
      <c r="T10" s="50"/>
    </row>
    <row r="11" spans="1:20" x14ac:dyDescent="0.35">
      <c r="A11" s="50" t="s">
        <v>94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</row>
    <row r="12" spans="1:20" x14ac:dyDescent="0.35">
      <c r="A12" s="50" t="s">
        <v>95</v>
      </c>
    </row>
    <row r="13" spans="1:20" x14ac:dyDescent="0.35">
      <c r="A13" s="50" t="s">
        <v>96</v>
      </c>
    </row>
    <row r="14" spans="1:20" x14ac:dyDescent="0.35">
      <c r="A14" s="50" t="s">
        <v>101</v>
      </c>
    </row>
    <row r="15" spans="1:20" x14ac:dyDescent="0.35">
      <c r="A15" s="50" t="s">
        <v>97</v>
      </c>
    </row>
    <row r="16" spans="1:20" x14ac:dyDescent="0.35">
      <c r="A16" s="50" t="s">
        <v>98</v>
      </c>
    </row>
    <row r="17" spans="1:20" x14ac:dyDescent="0.35">
      <c r="A17" s="50" t="s">
        <v>114</v>
      </c>
    </row>
    <row r="18" spans="1:20" x14ac:dyDescent="0.35">
      <c r="A18" s="50"/>
    </row>
    <row r="20" spans="1:20" ht="20.5" thickBot="1" x14ac:dyDescent="0.45">
      <c r="A20" s="79" t="s">
        <v>100</v>
      </c>
    </row>
    <row r="21" spans="1:20" ht="18.5" x14ac:dyDescent="0.35">
      <c r="A21" s="56" t="s">
        <v>76</v>
      </c>
      <c r="B21" s="65" t="s">
        <v>103</v>
      </c>
      <c r="C21" s="65" t="s">
        <v>104</v>
      </c>
      <c r="D21" s="65" t="s">
        <v>105</v>
      </c>
      <c r="F21" s="435" t="s">
        <v>106</v>
      </c>
      <c r="H21" s="67" t="s">
        <v>107</v>
      </c>
      <c r="I21" s="73">
        <v>1</v>
      </c>
      <c r="J21" s="73">
        <v>188748.6</v>
      </c>
      <c r="K21" s="74">
        <v>1</v>
      </c>
    </row>
    <row r="22" spans="1:20" x14ac:dyDescent="0.35">
      <c r="A22" s="56" t="s">
        <v>77</v>
      </c>
      <c r="B22" s="65">
        <v>1</v>
      </c>
      <c r="C22" s="65">
        <v>1</v>
      </c>
      <c r="D22" s="65">
        <v>1</v>
      </c>
      <c r="F22" s="435"/>
      <c r="H22" s="68" t="s">
        <v>108</v>
      </c>
      <c r="I22" s="66">
        <f>I21*0.0001</f>
        <v>1E-4</v>
      </c>
      <c r="J22" s="66">
        <f>J21*(15/10000)</f>
        <v>283.12290000000002</v>
      </c>
      <c r="K22" s="75">
        <f>K21*(1/100)</f>
        <v>0.01</v>
      </c>
    </row>
    <row r="23" spans="1:20" ht="17" thickBot="1" x14ac:dyDescent="0.4">
      <c r="A23" s="56" t="s">
        <v>102</v>
      </c>
      <c r="B23" s="66">
        <f>B22*10000</f>
        <v>10000</v>
      </c>
      <c r="C23" s="66">
        <f>C22*(10000/15)</f>
        <v>666.66666666666663</v>
      </c>
      <c r="D23" s="66">
        <f>D22*100</f>
        <v>100</v>
      </c>
      <c r="F23" s="435"/>
      <c r="H23" s="69" t="s">
        <v>109</v>
      </c>
      <c r="I23" s="70" t="s">
        <v>103</v>
      </c>
      <c r="J23" s="70" t="s">
        <v>104</v>
      </c>
      <c r="K23" s="71" t="s">
        <v>105</v>
      </c>
    </row>
    <row r="24" spans="1:20" x14ac:dyDescent="0.35">
      <c r="A24" s="51" t="s">
        <v>94</v>
      </c>
    </row>
    <row r="25" spans="1:20" x14ac:dyDescent="0.35">
      <c r="A25" s="51" t="s">
        <v>115</v>
      </c>
    </row>
    <row r="28" spans="1:20" ht="16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ht="16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ht="16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ht="16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 ht="16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</sheetData>
  <mergeCells count="3">
    <mergeCell ref="B1:C1"/>
    <mergeCell ref="F21:F23"/>
    <mergeCell ref="A7:S7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C65B-D5A9-47B1-B9E6-E5025379BA49}">
  <dimension ref="A1:O35"/>
  <sheetViews>
    <sheetView showGridLines="0" zoomScale="85" zoomScaleNormal="85" workbookViewId="0">
      <selection activeCell="L4" sqref="L4"/>
    </sheetView>
  </sheetViews>
  <sheetFormatPr defaultColWidth="9" defaultRowHeight="14" x14ac:dyDescent="0.25"/>
  <cols>
    <col min="1" max="1" width="8.83203125" style="208" customWidth="1"/>
    <col min="2" max="2" width="17.58203125" style="208" customWidth="1"/>
    <col min="3" max="3" width="9" style="208"/>
    <col min="4" max="4" width="16.75" style="208" customWidth="1"/>
    <col min="5" max="5" width="8.33203125" style="208" customWidth="1"/>
    <col min="6" max="6" width="13.5" style="208" customWidth="1"/>
    <col min="7" max="7" width="10.5" style="208" customWidth="1"/>
    <col min="8" max="8" width="13.25" style="208" customWidth="1"/>
    <col min="9" max="9" width="13.33203125" style="208" customWidth="1"/>
    <col min="10" max="10" width="11.08203125" style="208" customWidth="1"/>
    <col min="11" max="11" width="14" style="208" customWidth="1"/>
    <col min="12" max="12" width="13.08203125" style="208" customWidth="1"/>
    <col min="13" max="13" width="9.08203125" style="208" customWidth="1"/>
    <col min="14" max="14" width="13.5" style="208" customWidth="1"/>
    <col min="15" max="15" width="14.25" style="208" customWidth="1"/>
    <col min="16" max="16384" width="9" style="208"/>
  </cols>
  <sheetData>
    <row r="1" spans="1:15" ht="28" customHeight="1" x14ac:dyDescent="0.25">
      <c r="A1" s="455" t="s">
        <v>326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7"/>
    </row>
    <row r="2" spans="1:15" ht="57" customHeight="1" x14ac:dyDescent="0.25">
      <c r="A2" s="458" t="s">
        <v>327</v>
      </c>
      <c r="B2" s="459"/>
      <c r="C2" s="442" t="s">
        <v>328</v>
      </c>
      <c r="D2" s="462" t="s">
        <v>329</v>
      </c>
      <c r="E2" s="463"/>
      <c r="F2" s="463"/>
      <c r="G2" s="463"/>
      <c r="H2" s="442" t="s">
        <v>330</v>
      </c>
      <c r="I2" s="442"/>
      <c r="J2" s="442"/>
      <c r="K2" s="442"/>
      <c r="L2" s="442"/>
      <c r="M2" s="442"/>
      <c r="N2" s="462" t="s">
        <v>331</v>
      </c>
      <c r="O2" s="464"/>
    </row>
    <row r="3" spans="1:15" ht="42" x14ac:dyDescent="0.25">
      <c r="A3" s="460"/>
      <c r="B3" s="461"/>
      <c r="C3" s="442"/>
      <c r="D3" s="209" t="s">
        <v>332</v>
      </c>
      <c r="E3" s="209" t="s">
        <v>333</v>
      </c>
      <c r="F3" s="209" t="s">
        <v>334</v>
      </c>
      <c r="G3" s="209" t="s">
        <v>335</v>
      </c>
      <c r="H3" s="209" t="s">
        <v>336</v>
      </c>
      <c r="I3" s="209" t="s">
        <v>337</v>
      </c>
      <c r="J3" s="209" t="s">
        <v>338</v>
      </c>
      <c r="K3" s="209" t="s">
        <v>339</v>
      </c>
      <c r="L3" s="209" t="s">
        <v>373</v>
      </c>
      <c r="M3" s="209" t="s">
        <v>335</v>
      </c>
      <c r="N3" s="209" t="s">
        <v>340</v>
      </c>
      <c r="O3" s="209" t="s">
        <v>335</v>
      </c>
    </row>
    <row r="4" spans="1:15" ht="25" customHeight="1" x14ac:dyDescent="0.25">
      <c r="A4" s="444" t="s">
        <v>341</v>
      </c>
      <c r="B4" s="210" t="s">
        <v>342</v>
      </c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</row>
    <row r="5" spans="1:15" ht="25" customHeight="1" x14ac:dyDescent="0.25">
      <c r="A5" s="445"/>
      <c r="B5" s="210" t="s">
        <v>343</v>
      </c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</row>
    <row r="6" spans="1:15" ht="25" customHeight="1" x14ac:dyDescent="0.25">
      <c r="A6" s="446"/>
      <c r="B6" s="210" t="s">
        <v>344</v>
      </c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</row>
    <row r="7" spans="1:15" ht="25" customHeight="1" x14ac:dyDescent="0.25">
      <c r="A7" s="447" t="s">
        <v>345</v>
      </c>
      <c r="B7" s="212" t="s">
        <v>346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</row>
    <row r="8" spans="1:15" ht="25" customHeight="1" x14ac:dyDescent="0.25">
      <c r="A8" s="448"/>
      <c r="B8" s="212" t="s">
        <v>347</v>
      </c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</row>
    <row r="9" spans="1:15" ht="25" customHeight="1" x14ac:dyDescent="0.25">
      <c r="A9" s="449"/>
      <c r="B9" s="212" t="s">
        <v>348</v>
      </c>
      <c r="C9" s="211"/>
      <c r="D9" s="211"/>
      <c r="E9" s="211"/>
      <c r="F9" s="211"/>
      <c r="G9" s="211"/>
      <c r="H9" s="211" t="s">
        <v>349</v>
      </c>
      <c r="I9" s="211"/>
      <c r="J9" s="211"/>
      <c r="K9" s="211"/>
      <c r="L9" s="211"/>
      <c r="M9" s="211"/>
      <c r="N9" s="211"/>
      <c r="O9" s="211"/>
    </row>
    <row r="10" spans="1:15" ht="25" customHeight="1" x14ac:dyDescent="0.25">
      <c r="A10" s="444" t="s">
        <v>350</v>
      </c>
      <c r="B10" s="210" t="s">
        <v>351</v>
      </c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</row>
    <row r="11" spans="1:15" ht="25" customHeight="1" x14ac:dyDescent="0.25">
      <c r="A11" s="445"/>
      <c r="B11" s="210" t="s">
        <v>352</v>
      </c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</row>
    <row r="12" spans="1:15" ht="25" customHeight="1" x14ac:dyDescent="0.25">
      <c r="A12" s="445"/>
      <c r="B12" s="210" t="s">
        <v>353</v>
      </c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</row>
    <row r="13" spans="1:15" ht="25" customHeight="1" x14ac:dyDescent="0.25">
      <c r="A13" s="446"/>
      <c r="B13" s="210" t="s">
        <v>354</v>
      </c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</row>
    <row r="14" spans="1:15" ht="25" customHeight="1" x14ac:dyDescent="0.25">
      <c r="A14" s="447" t="s">
        <v>355</v>
      </c>
      <c r="B14" s="212" t="s">
        <v>356</v>
      </c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1"/>
    </row>
    <row r="15" spans="1:15" ht="25" customHeight="1" x14ac:dyDescent="0.25">
      <c r="A15" s="448"/>
      <c r="B15" s="212" t="s">
        <v>357</v>
      </c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11"/>
    </row>
    <row r="16" spans="1:15" ht="25" customHeight="1" x14ac:dyDescent="0.25">
      <c r="A16" s="448"/>
      <c r="B16" s="212" t="s">
        <v>358</v>
      </c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1"/>
    </row>
    <row r="17" spans="1:15" ht="25" customHeight="1" x14ac:dyDescent="0.25">
      <c r="A17" s="449"/>
      <c r="B17" s="212" t="s">
        <v>359</v>
      </c>
      <c r="C17" s="211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1"/>
    </row>
    <row r="18" spans="1:15" ht="25" customHeight="1" x14ac:dyDescent="0.25">
      <c r="A18" s="450" t="s">
        <v>360</v>
      </c>
      <c r="B18" s="451"/>
      <c r="C18" s="211"/>
      <c r="D18" s="211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211"/>
    </row>
    <row r="19" spans="1:15" ht="14.5" thickBot="1" x14ac:dyDescent="0.3"/>
    <row r="20" spans="1:15" ht="28" customHeight="1" x14ac:dyDescent="0.3">
      <c r="A20" s="452" t="s">
        <v>361</v>
      </c>
      <c r="B20" s="453"/>
      <c r="C20" s="453"/>
      <c r="D20" s="453"/>
      <c r="E20" s="453"/>
      <c r="F20" s="453"/>
      <c r="G20" s="453"/>
      <c r="H20" s="454"/>
      <c r="J20" s="213" t="s">
        <v>362</v>
      </c>
      <c r="K20" s="213"/>
      <c r="L20" s="213"/>
      <c r="M20" s="213"/>
      <c r="N20" s="213"/>
      <c r="O20" s="213"/>
    </row>
    <row r="21" spans="1:15" ht="28.5" customHeight="1" x14ac:dyDescent="0.3">
      <c r="A21" s="441" t="s">
        <v>327</v>
      </c>
      <c r="B21" s="442"/>
      <c r="C21" s="442" t="s">
        <v>328</v>
      </c>
      <c r="D21" s="442" t="s">
        <v>363</v>
      </c>
      <c r="E21" s="442"/>
      <c r="F21" s="442"/>
      <c r="G21" s="442" t="s">
        <v>364</v>
      </c>
      <c r="H21" s="443" t="s">
        <v>365</v>
      </c>
      <c r="I21" s="213"/>
      <c r="J21" s="213"/>
      <c r="L21" s="213"/>
      <c r="M21" s="213"/>
      <c r="N21" s="213"/>
      <c r="O21" s="213"/>
    </row>
    <row r="22" spans="1:15" ht="28" x14ac:dyDescent="0.3">
      <c r="A22" s="441"/>
      <c r="B22" s="442"/>
      <c r="C22" s="442"/>
      <c r="D22" s="209" t="s">
        <v>366</v>
      </c>
      <c r="E22" s="209" t="s">
        <v>333</v>
      </c>
      <c r="F22" s="209" t="s">
        <v>367</v>
      </c>
      <c r="G22" s="442"/>
      <c r="H22" s="443"/>
      <c r="I22" s="213"/>
      <c r="J22" s="213"/>
      <c r="K22" s="213"/>
      <c r="L22" s="213"/>
      <c r="M22" s="213"/>
      <c r="N22" s="213"/>
      <c r="O22" s="213"/>
    </row>
    <row r="23" spans="1:15" ht="25" customHeight="1" x14ac:dyDescent="0.3">
      <c r="A23" s="438" t="s">
        <v>341</v>
      </c>
      <c r="B23" s="210" t="s">
        <v>342</v>
      </c>
      <c r="C23" s="211"/>
      <c r="D23" s="211"/>
      <c r="E23" s="211"/>
      <c r="F23" s="211"/>
      <c r="G23" s="211"/>
      <c r="H23" s="214"/>
      <c r="I23" s="213"/>
      <c r="J23" s="213"/>
      <c r="K23" s="213"/>
      <c r="L23" s="213"/>
      <c r="M23" s="213"/>
      <c r="N23" s="213"/>
      <c r="O23" s="213"/>
    </row>
    <row r="24" spans="1:15" ht="25" customHeight="1" x14ac:dyDescent="0.3">
      <c r="A24" s="438"/>
      <c r="B24" s="210" t="s">
        <v>343</v>
      </c>
      <c r="C24" s="211"/>
      <c r="D24" s="211"/>
      <c r="E24" s="211"/>
      <c r="F24" s="211"/>
      <c r="G24" s="211"/>
      <c r="H24" s="214"/>
      <c r="I24" s="213"/>
      <c r="J24" s="213"/>
      <c r="K24" s="213"/>
      <c r="L24" s="213"/>
      <c r="M24" s="213"/>
      <c r="N24" s="213"/>
      <c r="O24" s="213"/>
    </row>
    <row r="25" spans="1:15" ht="25" customHeight="1" x14ac:dyDescent="0.3">
      <c r="A25" s="438"/>
      <c r="B25" s="210" t="s">
        <v>344</v>
      </c>
      <c r="C25" s="211"/>
      <c r="D25" s="211"/>
      <c r="E25" s="211"/>
      <c r="F25" s="211"/>
      <c r="G25" s="211"/>
      <c r="H25" s="214"/>
      <c r="I25" s="213"/>
      <c r="J25" s="213"/>
      <c r="K25" s="213"/>
      <c r="L25" s="213"/>
      <c r="M25" s="213"/>
      <c r="N25" s="213"/>
      <c r="O25" s="213"/>
    </row>
    <row r="26" spans="1:15" ht="25" customHeight="1" x14ac:dyDescent="0.3">
      <c r="A26" s="437" t="s">
        <v>345</v>
      </c>
      <c r="B26" s="212" t="s">
        <v>346</v>
      </c>
      <c r="C26" s="211"/>
      <c r="D26" s="211"/>
      <c r="E26" s="211"/>
      <c r="F26" s="211"/>
      <c r="G26" s="211"/>
      <c r="H26" s="214"/>
      <c r="I26" s="213"/>
      <c r="J26" s="213"/>
      <c r="K26" s="213"/>
      <c r="L26" s="213"/>
      <c r="M26" s="213"/>
      <c r="N26" s="213"/>
      <c r="O26" s="213"/>
    </row>
    <row r="27" spans="1:15" ht="25" customHeight="1" x14ac:dyDescent="0.3">
      <c r="A27" s="437"/>
      <c r="B27" s="212" t="s">
        <v>345</v>
      </c>
      <c r="C27" s="211"/>
      <c r="D27" s="211"/>
      <c r="E27" s="211"/>
      <c r="F27" s="211"/>
      <c r="G27" s="211"/>
      <c r="H27" s="214"/>
      <c r="I27" s="213"/>
      <c r="J27" s="213"/>
      <c r="K27" s="213"/>
      <c r="L27" s="213"/>
      <c r="M27" s="213"/>
      <c r="N27" s="213"/>
      <c r="O27" s="213"/>
    </row>
    <row r="28" spans="1:15" ht="25" customHeight="1" x14ac:dyDescent="0.3">
      <c r="A28" s="437"/>
      <c r="B28" s="212" t="s">
        <v>348</v>
      </c>
      <c r="C28" s="211"/>
      <c r="D28" s="211"/>
      <c r="E28" s="211"/>
      <c r="F28" s="211"/>
      <c r="G28" s="211"/>
      <c r="H28" s="214"/>
      <c r="I28" s="213"/>
      <c r="J28" s="213"/>
      <c r="K28" s="213"/>
      <c r="L28" s="213"/>
      <c r="M28" s="213"/>
      <c r="N28" s="213"/>
      <c r="O28" s="213"/>
    </row>
    <row r="29" spans="1:15" ht="32.25" customHeight="1" x14ac:dyDescent="0.3">
      <c r="A29" s="438" t="s">
        <v>368</v>
      </c>
      <c r="B29" s="210" t="s">
        <v>369</v>
      </c>
      <c r="C29" s="211"/>
      <c r="D29" s="211"/>
      <c r="E29" s="211"/>
      <c r="F29" s="211"/>
      <c r="G29" s="211"/>
      <c r="H29" s="214"/>
      <c r="I29" s="213"/>
      <c r="J29" s="213"/>
      <c r="K29" s="213"/>
      <c r="L29" s="213"/>
      <c r="M29" s="213"/>
      <c r="N29" s="213"/>
      <c r="O29" s="213"/>
    </row>
    <row r="30" spans="1:15" ht="31.5" customHeight="1" x14ac:dyDescent="0.3">
      <c r="A30" s="438"/>
      <c r="B30" s="210" t="s">
        <v>370</v>
      </c>
      <c r="C30" s="211"/>
      <c r="D30" s="211"/>
      <c r="E30" s="211"/>
      <c r="F30" s="211"/>
      <c r="G30" s="211"/>
      <c r="H30" s="214"/>
      <c r="I30" s="213"/>
      <c r="J30" s="213"/>
      <c r="K30" s="213"/>
      <c r="L30" s="213"/>
      <c r="M30" s="213"/>
      <c r="N30" s="213"/>
      <c r="O30" s="213"/>
    </row>
    <row r="31" spans="1:15" ht="30.75" customHeight="1" x14ac:dyDescent="0.3">
      <c r="A31" s="438"/>
      <c r="B31" s="210" t="s">
        <v>371</v>
      </c>
      <c r="C31" s="211"/>
      <c r="D31" s="211"/>
      <c r="E31" s="211"/>
      <c r="F31" s="211"/>
      <c r="G31" s="211"/>
      <c r="H31" s="214"/>
      <c r="I31" s="213"/>
      <c r="J31" s="213"/>
      <c r="K31" s="213"/>
      <c r="L31" s="213"/>
      <c r="M31" s="213"/>
      <c r="N31" s="213"/>
      <c r="O31" s="213"/>
    </row>
    <row r="32" spans="1:15" ht="34.5" customHeight="1" x14ac:dyDescent="0.3">
      <c r="A32" s="438"/>
      <c r="B32" s="210" t="s">
        <v>372</v>
      </c>
      <c r="C32" s="211"/>
      <c r="D32" s="211"/>
      <c r="E32" s="211"/>
      <c r="F32" s="211"/>
      <c r="G32" s="211"/>
      <c r="H32" s="214"/>
      <c r="I32" s="213"/>
      <c r="J32" s="213"/>
      <c r="K32" s="213"/>
      <c r="L32" s="213"/>
      <c r="M32" s="213"/>
      <c r="N32" s="213"/>
      <c r="O32" s="213"/>
    </row>
    <row r="33" spans="1:15" ht="25" customHeight="1" thickBot="1" x14ac:dyDescent="0.35">
      <c r="A33" s="439" t="s">
        <v>360</v>
      </c>
      <c r="B33" s="440"/>
      <c r="C33" s="215"/>
      <c r="D33" s="215"/>
      <c r="E33" s="215"/>
      <c r="F33" s="215"/>
      <c r="G33" s="215"/>
      <c r="H33" s="216"/>
      <c r="I33" s="213"/>
      <c r="J33" s="213"/>
      <c r="K33" s="213"/>
      <c r="L33" s="213"/>
      <c r="M33" s="213"/>
      <c r="N33" s="213"/>
      <c r="O33" s="213"/>
    </row>
    <row r="34" spans="1:15" ht="33.75" customHeight="1" x14ac:dyDescent="0.3">
      <c r="A34" s="217"/>
      <c r="B34" s="217"/>
      <c r="C34" s="217"/>
      <c r="D34" s="217"/>
      <c r="E34" s="217"/>
      <c r="F34" s="217"/>
      <c r="G34" s="217"/>
      <c r="H34" s="217"/>
      <c r="I34" s="213"/>
      <c r="J34" s="213"/>
      <c r="K34" s="213"/>
      <c r="L34" s="213"/>
      <c r="M34" s="213"/>
      <c r="N34" s="213"/>
      <c r="O34" s="213"/>
    </row>
    <row r="35" spans="1:15" x14ac:dyDescent="0.3">
      <c r="H35" s="213"/>
      <c r="I35" s="213"/>
      <c r="J35" s="213"/>
      <c r="K35" s="213"/>
      <c r="L35" s="213"/>
      <c r="M35" s="213"/>
      <c r="N35" s="213"/>
      <c r="O35" s="213"/>
    </row>
  </sheetData>
  <mergeCells count="21">
    <mergeCell ref="A1:O1"/>
    <mergeCell ref="A2:B3"/>
    <mergeCell ref="C2:C3"/>
    <mergeCell ref="D2:G2"/>
    <mergeCell ref="H2:M2"/>
    <mergeCell ref="N2:O2"/>
    <mergeCell ref="D21:F21"/>
    <mergeCell ref="G21:G22"/>
    <mergeCell ref="H21:H22"/>
    <mergeCell ref="A23:A25"/>
    <mergeCell ref="A4:A6"/>
    <mergeCell ref="A7:A9"/>
    <mergeCell ref="A10:A13"/>
    <mergeCell ref="A14:A17"/>
    <mergeCell ref="A18:B18"/>
    <mergeCell ref="A20:H20"/>
    <mergeCell ref="A26:A28"/>
    <mergeCell ref="A29:A32"/>
    <mergeCell ref="A33:B33"/>
    <mergeCell ref="A21:B22"/>
    <mergeCell ref="C21:C22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9DCA-68E2-4442-BF2B-E9F14D637EA0}">
  <dimension ref="B1:M282"/>
  <sheetViews>
    <sheetView topLeftCell="A37" zoomScaleNormal="100" workbookViewId="0">
      <selection activeCell="J43" sqref="J43"/>
    </sheetView>
  </sheetViews>
  <sheetFormatPr defaultRowHeight="15" x14ac:dyDescent="0.25"/>
  <cols>
    <col min="2" max="2" width="13.08203125" customWidth="1"/>
    <col min="3" max="3" width="20.75" customWidth="1"/>
    <col min="4" max="4" width="18.75" customWidth="1"/>
    <col min="5" max="5" width="13.25" customWidth="1"/>
    <col min="6" max="6" width="19.58203125" customWidth="1"/>
    <col min="7" max="7" width="11.25" customWidth="1"/>
    <col min="8" max="8" width="17.08203125" customWidth="1"/>
    <col min="9" max="9" width="10.5" customWidth="1"/>
    <col min="10" max="10" width="22" customWidth="1"/>
  </cols>
  <sheetData>
    <row r="1" spans="2:13" x14ac:dyDescent="0.25">
      <c r="B1" s="1" t="s">
        <v>56</v>
      </c>
      <c r="C1" s="387" t="s">
        <v>57</v>
      </c>
      <c r="D1" s="387"/>
    </row>
    <row r="2" spans="2:13" x14ac:dyDescent="0.25">
      <c r="B2" s="1"/>
    </row>
    <row r="3" spans="2:13" x14ac:dyDescent="0.25">
      <c r="B3" s="1" t="s">
        <v>548</v>
      </c>
    </row>
    <row r="4" spans="2:13" ht="45.5" x14ac:dyDescent="0.25">
      <c r="B4" s="2" t="s">
        <v>549</v>
      </c>
      <c r="C4" s="26" t="s">
        <v>552</v>
      </c>
      <c r="D4" s="26" t="s">
        <v>556</v>
      </c>
      <c r="E4" s="139" t="s">
        <v>592</v>
      </c>
      <c r="F4" s="139" t="s">
        <v>590</v>
      </c>
      <c r="G4" s="139" t="s">
        <v>594</v>
      </c>
      <c r="H4" s="139" t="s">
        <v>607</v>
      </c>
      <c r="I4" s="139" t="s">
        <v>579</v>
      </c>
    </row>
    <row r="5" spans="2:13" x14ac:dyDescent="0.25">
      <c r="B5" s="287">
        <v>9.81</v>
      </c>
      <c r="C5" s="288">
        <v>1</v>
      </c>
      <c r="D5" s="291">
        <v>1.4999999999999999E-2</v>
      </c>
      <c r="E5" s="121">
        <v>481.36</v>
      </c>
      <c r="F5" s="121">
        <v>454</v>
      </c>
      <c r="G5" s="26">
        <v>6</v>
      </c>
      <c r="H5" s="291">
        <v>0.34</v>
      </c>
      <c r="I5" s="26">
        <f>501.5-10</f>
        <v>491.5</v>
      </c>
    </row>
    <row r="6" spans="2:13" x14ac:dyDescent="0.25">
      <c r="B6" s="1"/>
      <c r="M6" s="253"/>
    </row>
    <row r="7" spans="2:13" ht="21" x14ac:dyDescent="0.25">
      <c r="B7" s="299" t="s">
        <v>539</v>
      </c>
    </row>
    <row r="8" spans="2:13" x14ac:dyDescent="0.25">
      <c r="B8" s="1" t="s">
        <v>560</v>
      </c>
    </row>
    <row r="9" spans="2:13" ht="48" x14ac:dyDescent="0.4">
      <c r="B9" s="139" t="s">
        <v>546</v>
      </c>
      <c r="C9" s="139" t="s">
        <v>551</v>
      </c>
      <c r="D9" s="139" t="s">
        <v>550</v>
      </c>
      <c r="E9" s="139" t="s">
        <v>547</v>
      </c>
      <c r="F9" s="281" t="s">
        <v>553</v>
      </c>
      <c r="G9" s="139" t="s">
        <v>554</v>
      </c>
      <c r="H9" s="139" t="s">
        <v>555</v>
      </c>
      <c r="I9" s="139" t="s">
        <v>557</v>
      </c>
      <c r="L9" s="282" t="s">
        <v>540</v>
      </c>
    </row>
    <row r="10" spans="2:13" ht="15.5" x14ac:dyDescent="0.3">
      <c r="B10" s="284">
        <v>3.2080000000000002</v>
      </c>
      <c r="C10" s="255">
        <v>5</v>
      </c>
      <c r="D10" s="286">
        <f>B10*C10</f>
        <v>16.04</v>
      </c>
      <c r="E10" s="289">
        <f>SQRT($B$5*D10^3/($C$5*C10))</f>
        <v>89.982084034367631</v>
      </c>
      <c r="F10" s="290">
        <f>C10+2*B10</f>
        <v>11.416</v>
      </c>
      <c r="G10" s="289">
        <f>D10/F10</f>
        <v>1.4050455501051156</v>
      </c>
      <c r="H10" s="293">
        <f>G10^(1/6)/$D$5</f>
        <v>70.554352125631709</v>
      </c>
      <c r="I10" s="292">
        <f>E10^2/((D10^2)*(H10^2)*G10)</f>
        <v>4.499511298079511E-3</v>
      </c>
      <c r="J10" s="422" t="s">
        <v>558</v>
      </c>
      <c r="K10" s="367" t="s">
        <v>565</v>
      </c>
      <c r="L10" s="282"/>
    </row>
    <row r="11" spans="2:13" ht="15.5" x14ac:dyDescent="0.3">
      <c r="B11" s="284">
        <v>3.4420000000000002</v>
      </c>
      <c r="C11" s="255">
        <v>5</v>
      </c>
      <c r="D11" s="286">
        <f t="shared" ref="D11:D17" si="0">B11*C11</f>
        <v>17.21</v>
      </c>
      <c r="E11" s="289">
        <f t="shared" ref="E11:E17" si="1">SQRT($B$5*D11^3/($C$5*C11))</f>
        <v>100.0047911066365</v>
      </c>
      <c r="F11" s="290">
        <f t="shared" ref="F11:F17" si="2">C11+2*B11</f>
        <v>11.884</v>
      </c>
      <c r="G11" s="289">
        <f t="shared" ref="G11:G17" si="3">D11/F11</f>
        <v>1.4481656008078088</v>
      </c>
      <c r="H11" s="293">
        <f t="shared" ref="H11:H17" si="4">G11^(1/6)/$D$5</f>
        <v>70.910701019810418</v>
      </c>
      <c r="I11" s="292">
        <f t="shared" ref="I11:I17" si="5">E11^2/((D11^2)*(H11^2)*G11)</f>
        <v>4.6370105987201494E-3</v>
      </c>
      <c r="J11" s="422"/>
      <c r="K11" s="367"/>
      <c r="L11" s="282"/>
    </row>
    <row r="12" spans="2:13" ht="16.5" x14ac:dyDescent="0.4">
      <c r="B12" s="285">
        <v>3.6680000000000001</v>
      </c>
      <c r="C12" s="255">
        <v>5</v>
      </c>
      <c r="D12" s="286">
        <f t="shared" si="0"/>
        <v>18.34</v>
      </c>
      <c r="E12" s="289">
        <f t="shared" si="1"/>
        <v>110.01413756080625</v>
      </c>
      <c r="F12" s="290">
        <f t="shared" si="2"/>
        <v>12.336</v>
      </c>
      <c r="G12" s="289">
        <f t="shared" si="3"/>
        <v>1.4867055771725033</v>
      </c>
      <c r="H12" s="293">
        <f t="shared" si="4"/>
        <v>71.221792988314007</v>
      </c>
      <c r="I12" s="292">
        <f t="shared" si="5"/>
        <v>4.771419029805499E-3</v>
      </c>
      <c r="J12" s="422"/>
      <c r="K12" s="367"/>
      <c r="L12" s="283" t="s">
        <v>541</v>
      </c>
    </row>
    <row r="13" spans="2:13" ht="17.5" x14ac:dyDescent="0.4">
      <c r="B13" s="285">
        <v>3.887</v>
      </c>
      <c r="C13" s="255">
        <v>5</v>
      </c>
      <c r="D13" s="286">
        <f t="shared" si="0"/>
        <v>19.434999999999999</v>
      </c>
      <c r="E13" s="289">
        <f t="shared" si="1"/>
        <v>120.01245475579086</v>
      </c>
      <c r="F13" s="290">
        <f t="shared" si="2"/>
        <v>12.774000000000001</v>
      </c>
      <c r="G13" s="289">
        <f t="shared" si="3"/>
        <v>1.5214498199467668</v>
      </c>
      <c r="H13" s="293">
        <f t="shared" si="4"/>
        <v>71.496538032896638</v>
      </c>
      <c r="I13" s="292">
        <f t="shared" si="5"/>
        <v>4.902932210516027E-3</v>
      </c>
      <c r="J13" s="422"/>
      <c r="K13" s="367"/>
      <c r="L13" s="283" t="s">
        <v>542</v>
      </c>
    </row>
    <row r="14" spans="2:13" ht="16.5" x14ac:dyDescent="0.4">
      <c r="B14" s="285">
        <v>4.0999999999999996</v>
      </c>
      <c r="C14" s="255">
        <v>5</v>
      </c>
      <c r="D14" s="286">
        <f t="shared" si="0"/>
        <v>20.5</v>
      </c>
      <c r="E14" s="289">
        <f t="shared" si="1"/>
        <v>130.01105818352531</v>
      </c>
      <c r="F14" s="290">
        <f t="shared" si="2"/>
        <v>13.2</v>
      </c>
      <c r="G14" s="289">
        <f t="shared" si="3"/>
        <v>1.5530303030303032</v>
      </c>
      <c r="H14" s="293">
        <f t="shared" si="4"/>
        <v>71.741765916263176</v>
      </c>
      <c r="I14" s="292">
        <f t="shared" si="5"/>
        <v>5.0318630092322384E-3</v>
      </c>
      <c r="J14" s="422"/>
      <c r="K14" s="367"/>
      <c r="L14" s="283" t="s">
        <v>543</v>
      </c>
    </row>
    <row r="15" spans="2:13" ht="15.5" x14ac:dyDescent="0.3">
      <c r="B15" s="285">
        <v>4.3070000000000004</v>
      </c>
      <c r="C15" s="255">
        <v>5</v>
      </c>
      <c r="D15" s="286">
        <f t="shared" si="0"/>
        <v>21.535000000000004</v>
      </c>
      <c r="E15" s="289">
        <f t="shared" si="1"/>
        <v>139.98026639189453</v>
      </c>
      <c r="F15" s="290">
        <f t="shared" si="2"/>
        <v>13.614000000000001</v>
      </c>
      <c r="G15" s="289">
        <f t="shared" si="3"/>
        <v>1.5818275304833262</v>
      </c>
      <c r="H15" s="293">
        <f t="shared" si="4"/>
        <v>71.961785304961538</v>
      </c>
      <c r="I15" s="292">
        <f t="shared" si="5"/>
        <v>5.1579946912444817E-3</v>
      </c>
      <c r="J15" s="422"/>
      <c r="K15" s="367"/>
      <c r="L15" s="283"/>
    </row>
    <row r="16" spans="2:13" ht="15.5" x14ac:dyDescent="0.3">
      <c r="B16" s="285">
        <v>4.51</v>
      </c>
      <c r="C16" s="255">
        <v>5</v>
      </c>
      <c r="D16" s="286">
        <f t="shared" si="0"/>
        <v>22.549999999999997</v>
      </c>
      <c r="E16" s="289">
        <f t="shared" si="1"/>
        <v>149.99242300113025</v>
      </c>
      <c r="F16" s="290">
        <f t="shared" si="2"/>
        <v>14.02</v>
      </c>
      <c r="G16" s="289">
        <f t="shared" si="3"/>
        <v>1.6084165477888728</v>
      </c>
      <c r="H16" s="293">
        <f t="shared" si="4"/>
        <v>72.16198920315361</v>
      </c>
      <c r="I16" s="292">
        <f t="shared" si="5"/>
        <v>5.2823846702839952E-3</v>
      </c>
      <c r="J16" s="422"/>
      <c r="K16" s="367"/>
      <c r="L16" s="283"/>
    </row>
    <row r="17" spans="2:12" ht="16.5" x14ac:dyDescent="0.4">
      <c r="B17" s="285">
        <v>4.5570000000000004</v>
      </c>
      <c r="C17" s="255">
        <v>5</v>
      </c>
      <c r="D17" s="286">
        <f t="shared" si="0"/>
        <v>22.785000000000004</v>
      </c>
      <c r="E17" s="289">
        <f t="shared" si="1"/>
        <v>152.34319196786663</v>
      </c>
      <c r="F17" s="290">
        <f t="shared" si="2"/>
        <v>14.114000000000001</v>
      </c>
      <c r="G17" s="289">
        <f t="shared" si="3"/>
        <v>1.614354541589911</v>
      </c>
      <c r="H17" s="293">
        <f t="shared" si="4"/>
        <v>72.206322638580787</v>
      </c>
      <c r="I17" s="292">
        <f t="shared" si="5"/>
        <v>5.3112734427662855E-3</v>
      </c>
      <c r="J17" s="422"/>
      <c r="K17" s="367"/>
      <c r="L17" s="283" t="s">
        <v>544</v>
      </c>
    </row>
    <row r="18" spans="2:12" ht="32.25" customHeight="1" x14ac:dyDescent="0.3">
      <c r="B18" s="285">
        <v>5.5</v>
      </c>
      <c r="C18" s="255">
        <v>3.2480000000000002</v>
      </c>
      <c r="D18" s="26">
        <v>26.798999999999999</v>
      </c>
      <c r="E18" s="289">
        <f>SQRT($B$5*D18^3/($C$5*C18))</f>
        <v>241.10397831145184</v>
      </c>
      <c r="F18" s="26">
        <v>16.71</v>
      </c>
      <c r="G18" s="289">
        <f>D18/F18</f>
        <v>1.6037701974865348</v>
      </c>
      <c r="H18" s="293">
        <f>G18^(1/6)/$D$5</f>
        <v>72.127204042534188</v>
      </c>
      <c r="I18" s="292">
        <f>E18^2/((D18^2)*(H18^2)*G18)</f>
        <v>9.7013291980399784E-3</v>
      </c>
      <c r="J18" s="139" t="s">
        <v>559</v>
      </c>
      <c r="K18" s="367"/>
      <c r="L18" s="283"/>
    </row>
    <row r="19" spans="2:12" ht="17.5" x14ac:dyDescent="0.4">
      <c r="B19" s="1" t="s">
        <v>561</v>
      </c>
      <c r="L19" s="283" t="s">
        <v>545</v>
      </c>
    </row>
    <row r="20" spans="2:12" ht="15.5" x14ac:dyDescent="0.3">
      <c r="B20" s="2" t="s">
        <v>562</v>
      </c>
      <c r="C20" s="26" t="s">
        <v>563</v>
      </c>
      <c r="D20" s="26" t="s">
        <v>564</v>
      </c>
      <c r="E20" s="26"/>
      <c r="F20" s="26"/>
      <c r="G20" s="26"/>
      <c r="L20" s="283"/>
    </row>
    <row r="21" spans="2:12" ht="15.5" x14ac:dyDescent="0.3">
      <c r="B21" s="294">
        <v>5.6829999999999999E-2</v>
      </c>
      <c r="C21" s="265" t="str">
        <f>IF(AND(ROUND($B$21,5)&gt;ROUND(I10,5),ROUND($B$21,5)&gt;ROUND(I11,5),ROUND($B$21,5)&gt;ROUND(I12,5),ROUND($B$21,5)&gt;ROUND(I13,5),ROUND($B$21,5)&gt;ROUND(I14,5),ROUND($B$21,5)&gt;ROUND(I15,5),ROUND($B$21,5)&gt;ROUND(I16,5),ROUND($B$21,5)&gt;ROUND(I17,5),ROUND($B$21,5)&gt;ROUND(I18,5)),"大于临界底坡",IF(AND(ROUND($B$21,5)&lt;ROUND(I10,5),ROUND($B$21,5)&lt;ROUND(I11,5),ROUND($B$21,5)&lt;ROUND(I12,5),ROUND($B$21,5)&lt;ROUND(I13,5),ROUND($B$21,5)&lt;ROUND(I14,5),ROUND($B$21,5)&lt;ROUND(I15,5),ROUND($B$21,5)&lt;ROUND(I16,5),ROUND($B$21,5)&lt;ROUND(I17,5),ROUND($B$21,5)&lt;ROUND(I18,5)),"小于临界底坡","等于临界底坡，或者不同流量下已有大于临界底坡的、也有小于临界底坡的"))</f>
        <v>大于临界底坡</v>
      </c>
      <c r="D21" s="265" t="str">
        <f>IF(C21="大于临界底坡","陡坡",IF(C21="小于临界底坡",IF(AND((ROUND(B21,2)&gt;ROUND(I10,2)),(ROUND(B21,2)&lt;ROUND(I18,2))),"缓坡且接近于临界坡",IF(ROUND(B21,2)&lt;ROUND(0.1%,2),"缓坡且趋于平坡","其他类型的缓坡")),"临界坡"))</f>
        <v>陡坡</v>
      </c>
      <c r="E21" s="26"/>
      <c r="F21" s="26"/>
      <c r="G21" s="26"/>
      <c r="L21" s="283"/>
    </row>
    <row r="22" spans="2:12" ht="15.5" x14ac:dyDescent="0.3">
      <c r="B22" s="1"/>
      <c r="L22" s="283"/>
    </row>
    <row r="23" spans="2:12" ht="21" x14ac:dyDescent="0.4">
      <c r="B23" s="298" t="s">
        <v>566</v>
      </c>
    </row>
    <row r="24" spans="2:12" ht="15.5" x14ac:dyDescent="0.3">
      <c r="B24" t="s">
        <v>567</v>
      </c>
    </row>
    <row r="25" spans="2:12" ht="63" x14ac:dyDescent="0.25">
      <c r="B25" s="139" t="s">
        <v>530</v>
      </c>
      <c r="C25" s="139" t="s">
        <v>533</v>
      </c>
      <c r="D25" s="139" t="s">
        <v>534</v>
      </c>
      <c r="E25" s="139" t="s">
        <v>532</v>
      </c>
    </row>
    <row r="26" spans="2:12" ht="18" customHeight="1" x14ac:dyDescent="0.25">
      <c r="B26" s="265">
        <f>$G$5</f>
        <v>6</v>
      </c>
      <c r="C26" s="265">
        <f>B26*1.2</f>
        <v>7.1999999999999993</v>
      </c>
      <c r="D26" s="289">
        <f>$E$5</f>
        <v>481.36</v>
      </c>
      <c r="E26" s="265">
        <f>D26+C26</f>
        <v>488.56</v>
      </c>
    </row>
    <row r="27" spans="2:12" x14ac:dyDescent="0.25">
      <c r="B27" s="190" t="s">
        <v>568</v>
      </c>
    </row>
    <row r="28" spans="2:12" ht="63" x14ac:dyDescent="0.25">
      <c r="B28" s="139" t="s">
        <v>530</v>
      </c>
      <c r="C28" s="139" t="s">
        <v>531</v>
      </c>
      <c r="D28" s="139" t="s">
        <v>534</v>
      </c>
      <c r="E28" s="139" t="s">
        <v>535</v>
      </c>
    </row>
    <row r="29" spans="2:12" s="26" customFormat="1" ht="18" customHeight="1" x14ac:dyDescent="0.25">
      <c r="B29" s="265">
        <f>$G$5</f>
        <v>6</v>
      </c>
      <c r="C29" s="265">
        <f>B29*1.5</f>
        <v>9</v>
      </c>
      <c r="D29" s="289">
        <f>$E$5</f>
        <v>481.36</v>
      </c>
      <c r="E29" s="265">
        <f>D29+C29</f>
        <v>490.36</v>
      </c>
    </row>
    <row r="30" spans="2:12" x14ac:dyDescent="0.25">
      <c r="B30" t="s">
        <v>569</v>
      </c>
    </row>
    <row r="31" spans="2:12" ht="45.5" x14ac:dyDescent="0.25">
      <c r="B31" s="139" t="s">
        <v>536</v>
      </c>
      <c r="C31" s="26" t="s">
        <v>537</v>
      </c>
      <c r="D31" t="s">
        <v>538</v>
      </c>
    </row>
    <row r="32" spans="2:12" x14ac:dyDescent="0.25">
      <c r="B32" s="26">
        <v>0.3</v>
      </c>
      <c r="C32" s="26">
        <v>9.81</v>
      </c>
    </row>
    <row r="34" spans="2:11" ht="21" x14ac:dyDescent="0.4">
      <c r="B34" s="298" t="s">
        <v>602</v>
      </c>
    </row>
    <row r="35" spans="2:11" x14ac:dyDescent="0.25">
      <c r="B35" s="296" t="s">
        <v>571</v>
      </c>
    </row>
    <row r="36" spans="2:11" ht="18.75" customHeight="1" x14ac:dyDescent="0.25">
      <c r="B36" s="192" t="s">
        <v>570</v>
      </c>
    </row>
    <row r="37" spans="2:11" ht="21.65" customHeight="1" x14ac:dyDescent="0.25">
      <c r="B37" s="367" t="s">
        <v>585</v>
      </c>
      <c r="C37" s="422" t="s">
        <v>572</v>
      </c>
      <c r="D37" s="422" t="s">
        <v>573</v>
      </c>
      <c r="E37" s="422" t="s">
        <v>574</v>
      </c>
      <c r="F37" s="422"/>
      <c r="G37" s="422"/>
      <c r="H37" s="422"/>
      <c r="I37" s="367" t="s">
        <v>586</v>
      </c>
      <c r="J37" s="26"/>
    </row>
    <row r="38" spans="2:11" ht="29.25" customHeight="1" x14ac:dyDescent="0.25">
      <c r="B38" s="367"/>
      <c r="C38" s="422"/>
      <c r="D38" s="422"/>
      <c r="E38" s="139" t="s">
        <v>577</v>
      </c>
      <c r="F38" s="139" t="s">
        <v>575</v>
      </c>
      <c r="G38" s="139" t="s">
        <v>576</v>
      </c>
      <c r="H38" s="139" t="s">
        <v>574</v>
      </c>
      <c r="I38" s="367"/>
      <c r="J38" s="26"/>
    </row>
    <row r="39" spans="2:11" ht="20.25" customHeight="1" x14ac:dyDescent="0.25">
      <c r="B39" s="367"/>
      <c r="C39" s="26">
        <v>0.1</v>
      </c>
      <c r="D39" s="26">
        <v>0.1</v>
      </c>
      <c r="E39" s="26">
        <v>5</v>
      </c>
      <c r="F39" s="26">
        <v>50</v>
      </c>
      <c r="G39" s="26">
        <v>15</v>
      </c>
      <c r="H39" s="293">
        <f>(0.131+0.1632*((E39/F39)^(7/2)))*((G39/90)^(1/2))</f>
        <v>5.3501595080169419E-2</v>
      </c>
      <c r="I39" s="293">
        <f>C39+D39+H39</f>
        <v>0.25350159508016945</v>
      </c>
      <c r="J39" s="26"/>
    </row>
    <row r="40" spans="2:11" ht="35.15" customHeight="1" x14ac:dyDescent="0.25">
      <c r="B40" s="367" t="s">
        <v>578</v>
      </c>
      <c r="C40" s="139" t="s">
        <v>579</v>
      </c>
      <c r="D40" s="139" t="s">
        <v>580</v>
      </c>
      <c r="E40" s="139" t="s">
        <v>581</v>
      </c>
      <c r="F40" s="139" t="s">
        <v>582</v>
      </c>
      <c r="G40" s="26" t="s">
        <v>583</v>
      </c>
      <c r="H40" s="284" t="s">
        <v>584</v>
      </c>
      <c r="I40" s="26"/>
      <c r="J40" s="26"/>
      <c r="K40" s="26"/>
    </row>
    <row r="41" spans="2:11" ht="25" customHeight="1" x14ac:dyDescent="0.25">
      <c r="B41" s="422"/>
      <c r="C41" s="26">
        <f>$I$5</f>
        <v>491.5</v>
      </c>
      <c r="D41" s="26">
        <v>27.901</v>
      </c>
      <c r="E41" s="26">
        <v>20.158999999999999</v>
      </c>
      <c r="F41" s="293">
        <f>D41/E41</f>
        <v>1.3840468277196289</v>
      </c>
      <c r="G41" s="293">
        <f>(F41^(1/6))/$D$5</f>
        <v>70.377505866137426</v>
      </c>
      <c r="H41" s="293">
        <f>2*$B$5*C41/((G41^2)*F41)</f>
        <v>1.4067081306682518</v>
      </c>
      <c r="I41" s="26"/>
      <c r="J41" s="26"/>
      <c r="K41" s="26"/>
    </row>
    <row r="42" spans="2:11" ht="30" x14ac:dyDescent="0.25">
      <c r="B42" s="139" t="s">
        <v>587</v>
      </c>
      <c r="C42" s="293">
        <f>1/SQRT(1+I39+H41)</f>
        <v>0.61311516965350787</v>
      </c>
      <c r="F42" s="26"/>
      <c r="G42" s="26"/>
      <c r="H42" s="295"/>
    </row>
    <row r="43" spans="2:11" ht="22.5" customHeight="1" x14ac:dyDescent="0.25">
      <c r="B43" s="192" t="s">
        <v>588</v>
      </c>
      <c r="F43" s="26"/>
      <c r="G43" s="26"/>
      <c r="H43" s="295"/>
    </row>
    <row r="44" spans="2:11" ht="22.5" customHeight="1" x14ac:dyDescent="0.25">
      <c r="B44" s="367" t="s">
        <v>589</v>
      </c>
      <c r="C44" s="367" t="s">
        <v>591</v>
      </c>
      <c r="D44" s="367" t="s">
        <v>597</v>
      </c>
      <c r="E44" s="367" t="s">
        <v>593</v>
      </c>
      <c r="F44" s="367" t="s">
        <v>595</v>
      </c>
      <c r="G44" s="367" t="s">
        <v>596</v>
      </c>
      <c r="H44" s="295"/>
    </row>
    <row r="45" spans="2:11" ht="60.75" customHeight="1" x14ac:dyDescent="0.25">
      <c r="B45" s="367"/>
      <c r="C45" s="367"/>
      <c r="D45" s="367"/>
      <c r="E45" s="367"/>
      <c r="F45" s="367"/>
      <c r="G45" s="367"/>
      <c r="H45" s="139" t="s">
        <v>598</v>
      </c>
      <c r="I45" s="139" t="s">
        <v>599</v>
      </c>
      <c r="J45" s="139" t="s">
        <v>600</v>
      </c>
    </row>
    <row r="46" spans="2:11" ht="21" customHeight="1" x14ac:dyDescent="0.25">
      <c r="B46" s="26">
        <v>27.901</v>
      </c>
      <c r="C46" s="289">
        <f>$F$5</f>
        <v>454</v>
      </c>
      <c r="D46" s="265">
        <f>E29</f>
        <v>490.36</v>
      </c>
      <c r="E46" s="289">
        <f>D46-C46</f>
        <v>36.360000000000014</v>
      </c>
      <c r="F46" s="289">
        <f>$G$5</f>
        <v>6</v>
      </c>
      <c r="G46" s="289">
        <f>$C$42*B46*SQRT(2*$B$5*(E46-F46))</f>
        <v>417.50551418619187</v>
      </c>
      <c r="H46" s="121">
        <v>454.85</v>
      </c>
      <c r="I46" s="289">
        <f>$F$5+$G$5</f>
        <v>460</v>
      </c>
      <c r="J46" s="265" t="str">
        <f>IF(ROUND(H46,2)&lt;ROUND(I46,2),"自由出流,符合假定","非自由出流,不符合假定")</f>
        <v>自由出流,符合假定</v>
      </c>
    </row>
    <row r="47" spans="2:11" ht="14.25" customHeight="1" x14ac:dyDescent="0.25">
      <c r="B47" s="26">
        <v>27.901</v>
      </c>
      <c r="C47" s="289">
        <f t="shared" ref="C47:C89" si="6">$F$5</f>
        <v>454</v>
      </c>
      <c r="D47" s="121">
        <v>490.5</v>
      </c>
      <c r="E47" s="289">
        <f t="shared" ref="E47:E89" si="7">D47-C47</f>
        <v>36.5</v>
      </c>
      <c r="F47" s="289">
        <f t="shared" ref="F47:F89" si="8">$G$5</f>
        <v>6</v>
      </c>
      <c r="G47" s="289">
        <f t="shared" ref="G47:G89" si="9">$C$42*B47*SQRT(2*$B$5*(E47-F47))</f>
        <v>418.46703498567786</v>
      </c>
      <c r="H47" s="465" t="s">
        <v>601</v>
      </c>
      <c r="I47" s="465"/>
      <c r="J47" s="465"/>
    </row>
    <row r="48" spans="2:11" x14ac:dyDescent="0.25">
      <c r="B48" s="26">
        <v>27.901</v>
      </c>
      <c r="C48" s="289">
        <f t="shared" si="6"/>
        <v>454</v>
      </c>
      <c r="D48" s="121">
        <v>491</v>
      </c>
      <c r="E48" s="289">
        <f t="shared" si="7"/>
        <v>37</v>
      </c>
      <c r="F48" s="289">
        <f t="shared" si="8"/>
        <v>6</v>
      </c>
      <c r="G48" s="289">
        <f t="shared" si="9"/>
        <v>421.88314909524337</v>
      </c>
      <c r="H48" s="465"/>
      <c r="I48" s="465"/>
      <c r="J48" s="465"/>
    </row>
    <row r="49" spans="2:10" x14ac:dyDescent="0.25">
      <c r="B49" s="26">
        <v>27.901</v>
      </c>
      <c r="C49" s="289">
        <f t="shared" si="6"/>
        <v>454</v>
      </c>
      <c r="D49" s="121">
        <v>491.5</v>
      </c>
      <c r="E49" s="289">
        <f t="shared" si="7"/>
        <v>37.5</v>
      </c>
      <c r="F49" s="289">
        <f t="shared" si="8"/>
        <v>6</v>
      </c>
      <c r="G49" s="289">
        <f t="shared" si="9"/>
        <v>425.27182320409406</v>
      </c>
      <c r="H49" s="465"/>
      <c r="I49" s="465"/>
      <c r="J49" s="465"/>
    </row>
    <row r="50" spans="2:10" x14ac:dyDescent="0.25">
      <c r="B50" s="26">
        <v>27.901</v>
      </c>
      <c r="C50" s="289">
        <f t="shared" si="6"/>
        <v>454</v>
      </c>
      <c r="D50" s="121">
        <v>492</v>
      </c>
      <c r="E50" s="289">
        <f t="shared" si="7"/>
        <v>38</v>
      </c>
      <c r="F50" s="289">
        <f t="shared" si="8"/>
        <v>6</v>
      </c>
      <c r="G50" s="289">
        <f t="shared" si="9"/>
        <v>428.63370811468974</v>
      </c>
      <c r="H50" s="465"/>
      <c r="I50" s="465"/>
      <c r="J50" s="465"/>
    </row>
    <row r="51" spans="2:10" x14ac:dyDescent="0.25">
      <c r="B51" s="26">
        <v>27.901</v>
      </c>
      <c r="C51" s="289">
        <f t="shared" si="6"/>
        <v>454</v>
      </c>
      <c r="D51" s="121">
        <v>492.5</v>
      </c>
      <c r="E51" s="289">
        <f t="shared" si="7"/>
        <v>38.5</v>
      </c>
      <c r="F51" s="289">
        <f t="shared" si="8"/>
        <v>6</v>
      </c>
      <c r="G51" s="289">
        <f t="shared" si="9"/>
        <v>431.96942930369954</v>
      </c>
      <c r="H51" s="465"/>
      <c r="I51" s="465"/>
      <c r="J51" s="465"/>
    </row>
    <row r="52" spans="2:10" x14ac:dyDescent="0.25">
      <c r="B52" s="26">
        <v>27.901</v>
      </c>
      <c r="C52" s="289">
        <f t="shared" si="6"/>
        <v>454</v>
      </c>
      <c r="D52" s="121">
        <v>493</v>
      </c>
      <c r="E52" s="289">
        <f t="shared" si="7"/>
        <v>39</v>
      </c>
      <c r="F52" s="289">
        <f t="shared" si="8"/>
        <v>6</v>
      </c>
      <c r="G52" s="289">
        <f t="shared" si="9"/>
        <v>435.27958828065749</v>
      </c>
      <c r="H52" s="465"/>
      <c r="I52" s="465"/>
      <c r="J52" s="465"/>
    </row>
    <row r="53" spans="2:10" x14ac:dyDescent="0.25">
      <c r="B53" s="26">
        <v>27.901</v>
      </c>
      <c r="C53" s="289">
        <f t="shared" si="6"/>
        <v>454</v>
      </c>
      <c r="D53" s="121">
        <v>493.5</v>
      </c>
      <c r="E53" s="289">
        <f t="shared" si="7"/>
        <v>39.5</v>
      </c>
      <c r="F53" s="289">
        <f t="shared" si="8"/>
        <v>6</v>
      </c>
      <c r="G53" s="289">
        <f t="shared" si="9"/>
        <v>438.56476385431779</v>
      </c>
      <c r="H53" s="465"/>
      <c r="I53" s="465"/>
      <c r="J53" s="465"/>
    </row>
    <row r="54" spans="2:10" x14ac:dyDescent="0.25">
      <c r="B54" s="26">
        <v>27.901</v>
      </c>
      <c r="C54" s="289">
        <f t="shared" si="6"/>
        <v>454</v>
      </c>
      <c r="D54" s="121">
        <v>494</v>
      </c>
      <c r="E54" s="289">
        <f t="shared" si="7"/>
        <v>40</v>
      </c>
      <c r="F54" s="289">
        <f t="shared" si="8"/>
        <v>6</v>
      </c>
      <c r="G54" s="289">
        <f t="shared" si="9"/>
        <v>441.8255133142589</v>
      </c>
      <c r="H54" s="465"/>
      <c r="I54" s="465"/>
      <c r="J54" s="465"/>
    </row>
    <row r="55" spans="2:10" x14ac:dyDescent="0.25">
      <c r="B55" s="26">
        <v>27.901</v>
      </c>
      <c r="C55" s="289">
        <f t="shared" si="6"/>
        <v>454</v>
      </c>
      <c r="D55" s="121">
        <v>494.5</v>
      </c>
      <c r="E55" s="289">
        <f t="shared" si="7"/>
        <v>40.5</v>
      </c>
      <c r="F55" s="289">
        <f t="shared" si="8"/>
        <v>6</v>
      </c>
      <c r="G55" s="289">
        <f t="shared" si="9"/>
        <v>445.06237353456783</v>
      </c>
      <c r="H55" s="465"/>
      <c r="I55" s="465"/>
      <c r="J55" s="465"/>
    </row>
    <row r="56" spans="2:10" x14ac:dyDescent="0.25">
      <c r="B56" s="26">
        <v>27.901</v>
      </c>
      <c r="C56" s="289">
        <f t="shared" si="6"/>
        <v>454</v>
      </c>
      <c r="D56" s="121">
        <v>495</v>
      </c>
      <c r="E56" s="289">
        <f t="shared" si="7"/>
        <v>41</v>
      </c>
      <c r="F56" s="289">
        <f t="shared" si="8"/>
        <v>6</v>
      </c>
      <c r="G56" s="289">
        <f t="shared" si="9"/>
        <v>448.27586200579441</v>
      </c>
      <c r="H56" s="465"/>
      <c r="I56" s="465"/>
      <c r="J56" s="465"/>
    </row>
    <row r="57" spans="2:10" x14ac:dyDescent="0.25">
      <c r="B57" s="26">
        <v>27.901</v>
      </c>
      <c r="C57" s="289">
        <f t="shared" si="6"/>
        <v>454</v>
      </c>
      <c r="D57" s="121">
        <v>495.5</v>
      </c>
      <c r="E57" s="289">
        <f t="shared" si="7"/>
        <v>41.5</v>
      </c>
      <c r="F57" s="289">
        <f t="shared" si="8"/>
        <v>6</v>
      </c>
      <c r="G57" s="289">
        <f t="shared" si="9"/>
        <v>451.46647780079178</v>
      </c>
      <c r="H57" s="465"/>
      <c r="I57" s="465"/>
      <c r="J57" s="465"/>
    </row>
    <row r="58" spans="2:10" x14ac:dyDescent="0.25">
      <c r="B58" s="26">
        <v>27.901</v>
      </c>
      <c r="C58" s="289">
        <f t="shared" si="6"/>
        <v>454</v>
      </c>
      <c r="D58" s="121">
        <v>496</v>
      </c>
      <c r="E58" s="289">
        <f t="shared" si="7"/>
        <v>42</v>
      </c>
      <c r="F58" s="289">
        <f t="shared" si="8"/>
        <v>6</v>
      </c>
      <c r="G58" s="289">
        <f t="shared" si="9"/>
        <v>454.63470247954859</v>
      </c>
      <c r="H58" s="465"/>
      <c r="I58" s="465"/>
      <c r="J58" s="465"/>
    </row>
    <row r="59" spans="2:10" x14ac:dyDescent="0.25">
      <c r="B59" s="26">
        <v>27.901</v>
      </c>
      <c r="C59" s="289">
        <f t="shared" si="6"/>
        <v>454</v>
      </c>
      <c r="D59" s="121">
        <v>496.5</v>
      </c>
      <c r="E59" s="289">
        <f t="shared" si="7"/>
        <v>42.5</v>
      </c>
      <c r="F59" s="289">
        <f t="shared" si="8"/>
        <v>6</v>
      </c>
      <c r="G59" s="289">
        <f t="shared" si="9"/>
        <v>457.78100093765636</v>
      </c>
      <c r="H59" s="465"/>
      <c r="I59" s="465"/>
      <c r="J59" s="465"/>
    </row>
    <row r="60" spans="2:10" x14ac:dyDescent="0.25">
      <c r="B60" s="26">
        <v>27.901</v>
      </c>
      <c r="C60" s="289">
        <f t="shared" si="6"/>
        <v>454</v>
      </c>
      <c r="D60" s="121">
        <v>497</v>
      </c>
      <c r="E60" s="289">
        <f t="shared" si="7"/>
        <v>43</v>
      </c>
      <c r="F60" s="289">
        <f t="shared" si="8"/>
        <v>6</v>
      </c>
      <c r="G60" s="289">
        <f t="shared" si="9"/>
        <v>460.90582220264622</v>
      </c>
      <c r="H60" s="465"/>
      <c r="I60" s="465"/>
      <c r="J60" s="465"/>
    </row>
    <row r="61" spans="2:10" x14ac:dyDescent="0.25">
      <c r="B61" s="26">
        <v>27.901</v>
      </c>
      <c r="C61" s="289">
        <f t="shared" si="6"/>
        <v>454</v>
      </c>
      <c r="D61" s="121">
        <v>497.5</v>
      </c>
      <c r="E61" s="289">
        <f t="shared" si="7"/>
        <v>43.5</v>
      </c>
      <c r="F61" s="289">
        <f t="shared" si="8"/>
        <v>6</v>
      </c>
      <c r="G61" s="289">
        <f t="shared" si="9"/>
        <v>464.00960018205677</v>
      </c>
      <c r="H61" s="465"/>
      <c r="I61" s="465"/>
      <c r="J61" s="465"/>
    </row>
    <row r="62" spans="2:10" x14ac:dyDescent="0.25">
      <c r="B62" s="26">
        <v>27.901</v>
      </c>
      <c r="C62" s="289">
        <f t="shared" si="6"/>
        <v>454</v>
      </c>
      <c r="D62" s="121">
        <v>498</v>
      </c>
      <c r="E62" s="289">
        <f t="shared" si="7"/>
        <v>44</v>
      </c>
      <c r="F62" s="289">
        <f t="shared" si="8"/>
        <v>6</v>
      </c>
      <c r="G62" s="289">
        <f t="shared" si="9"/>
        <v>467.09275436676063</v>
      </c>
      <c r="H62" s="465"/>
      <c r="I62" s="465"/>
      <c r="J62" s="465"/>
    </row>
    <row r="63" spans="2:10" x14ac:dyDescent="0.25">
      <c r="B63" s="26">
        <v>27.901</v>
      </c>
      <c r="C63" s="289">
        <f t="shared" si="6"/>
        <v>454</v>
      </c>
      <c r="D63" s="121">
        <v>498.5</v>
      </c>
      <c r="E63" s="289">
        <f t="shared" si="7"/>
        <v>44.5</v>
      </c>
      <c r="F63" s="289">
        <f t="shared" si="8"/>
        <v>6</v>
      </c>
      <c r="G63" s="289">
        <f t="shared" si="9"/>
        <v>470.155690492779</v>
      </c>
      <c r="H63" s="465"/>
      <c r="I63" s="465"/>
      <c r="J63" s="465"/>
    </row>
    <row r="64" spans="2:10" x14ac:dyDescent="0.25">
      <c r="B64" s="26">
        <v>27.901</v>
      </c>
      <c r="C64" s="289">
        <f t="shared" si="6"/>
        <v>454</v>
      </c>
      <c r="D64" s="121">
        <v>499</v>
      </c>
      <c r="E64" s="289">
        <f t="shared" si="7"/>
        <v>45</v>
      </c>
      <c r="F64" s="289">
        <f t="shared" si="8"/>
        <v>6</v>
      </c>
      <c r="G64" s="289">
        <f t="shared" si="9"/>
        <v>473.19880116453868</v>
      </c>
      <c r="H64" s="465"/>
      <c r="I64" s="465"/>
      <c r="J64" s="465"/>
    </row>
    <row r="65" spans="2:10" x14ac:dyDescent="0.25">
      <c r="B65" s="26">
        <v>27.901</v>
      </c>
      <c r="C65" s="289">
        <f t="shared" si="6"/>
        <v>454</v>
      </c>
      <c r="D65" s="121">
        <v>499.5</v>
      </c>
      <c r="E65" s="289">
        <f t="shared" si="7"/>
        <v>45.5</v>
      </c>
      <c r="F65" s="289">
        <f t="shared" si="8"/>
        <v>6</v>
      </c>
      <c r="G65" s="289">
        <f t="shared" si="9"/>
        <v>476.22246644228312</v>
      </c>
      <c r="H65" s="465"/>
      <c r="I65" s="465"/>
      <c r="J65" s="465"/>
    </row>
    <row r="66" spans="2:10" x14ac:dyDescent="0.25">
      <c r="B66" s="26">
        <v>27.901</v>
      </c>
      <c r="C66" s="289">
        <f t="shared" si="6"/>
        <v>454</v>
      </c>
      <c r="D66" s="121">
        <v>500</v>
      </c>
      <c r="E66" s="289">
        <f t="shared" si="7"/>
        <v>46</v>
      </c>
      <c r="F66" s="289">
        <f t="shared" si="8"/>
        <v>6</v>
      </c>
      <c r="G66" s="289">
        <f t="shared" si="9"/>
        <v>479.22705439612474</v>
      </c>
      <c r="H66" s="465"/>
      <c r="I66" s="465"/>
      <c r="J66" s="465"/>
    </row>
    <row r="67" spans="2:10" x14ac:dyDescent="0.25">
      <c r="B67" s="26">
        <v>27.901</v>
      </c>
      <c r="C67" s="289">
        <f t="shared" si="6"/>
        <v>454</v>
      </c>
      <c r="D67" s="121">
        <v>500.5</v>
      </c>
      <c r="E67" s="289">
        <f t="shared" si="7"/>
        <v>46.5</v>
      </c>
      <c r="F67" s="289">
        <f t="shared" si="8"/>
        <v>6</v>
      </c>
      <c r="G67" s="289">
        <f t="shared" si="9"/>
        <v>482.21292162902597</v>
      </c>
      <c r="H67" s="465"/>
      <c r="I67" s="465"/>
      <c r="J67" s="465"/>
    </row>
    <row r="68" spans="2:10" x14ac:dyDescent="0.25">
      <c r="B68" s="26">
        <v>27.901</v>
      </c>
      <c r="C68" s="289">
        <f t="shared" si="6"/>
        <v>454</v>
      </c>
      <c r="D68" s="121">
        <v>501</v>
      </c>
      <c r="E68" s="289">
        <f t="shared" si="7"/>
        <v>47</v>
      </c>
      <c r="F68" s="289">
        <f t="shared" si="8"/>
        <v>6</v>
      </c>
      <c r="G68" s="289">
        <f t="shared" si="9"/>
        <v>485.18041377081158</v>
      </c>
      <c r="H68" s="465"/>
      <c r="I68" s="465"/>
      <c r="J68" s="465"/>
    </row>
    <row r="69" spans="2:10" x14ac:dyDescent="0.25">
      <c r="B69" s="26">
        <v>27.901</v>
      </c>
      <c r="C69" s="289">
        <f t="shared" si="6"/>
        <v>454</v>
      </c>
      <c r="D69" s="121">
        <v>501.5</v>
      </c>
      <c r="E69" s="289">
        <f t="shared" si="7"/>
        <v>47.5</v>
      </c>
      <c r="F69" s="289">
        <f t="shared" si="8"/>
        <v>6</v>
      </c>
      <c r="G69" s="289">
        <f t="shared" si="9"/>
        <v>488.1298659451507</v>
      </c>
      <c r="H69" s="465"/>
      <c r="I69" s="465"/>
      <c r="J69" s="465"/>
    </row>
    <row r="70" spans="2:10" x14ac:dyDescent="0.25">
      <c r="B70" s="26">
        <v>27.901</v>
      </c>
      <c r="C70" s="289">
        <f t="shared" si="6"/>
        <v>454</v>
      </c>
      <c r="D70" s="121">
        <v>502</v>
      </c>
      <c r="E70" s="289">
        <f t="shared" si="7"/>
        <v>48</v>
      </c>
      <c r="F70" s="289">
        <f t="shared" si="8"/>
        <v>6</v>
      </c>
      <c r="G70" s="289">
        <f t="shared" si="9"/>
        <v>491.06160321129329</v>
      </c>
      <c r="H70" s="465"/>
      <c r="I70" s="465"/>
      <c r="J70" s="465"/>
    </row>
    <row r="71" spans="2:10" x14ac:dyDescent="0.25">
      <c r="B71" s="26">
        <v>27.901</v>
      </c>
      <c r="C71" s="289">
        <f t="shared" si="6"/>
        <v>454</v>
      </c>
      <c r="D71" s="121">
        <v>502.5</v>
      </c>
      <c r="E71" s="289">
        <f t="shared" si="7"/>
        <v>48.5</v>
      </c>
      <c r="F71" s="289">
        <f t="shared" si="8"/>
        <v>6</v>
      </c>
      <c r="G71" s="289">
        <f t="shared" si="9"/>
        <v>493.97594098221066</v>
      </c>
      <c r="H71" s="465"/>
      <c r="I71" s="465"/>
      <c r="J71" s="465"/>
    </row>
    <row r="72" spans="2:10" x14ac:dyDescent="0.25">
      <c r="B72" s="26">
        <v>27.901</v>
      </c>
      <c r="C72" s="289">
        <f t="shared" si="6"/>
        <v>454</v>
      </c>
      <c r="D72" s="121">
        <v>503</v>
      </c>
      <c r="E72" s="289">
        <f t="shared" si="7"/>
        <v>49</v>
      </c>
      <c r="F72" s="289">
        <f t="shared" si="8"/>
        <v>6</v>
      </c>
      <c r="G72" s="289">
        <f t="shared" si="9"/>
        <v>496.87318542066168</v>
      </c>
      <c r="H72" s="465"/>
      <c r="I72" s="465"/>
      <c r="J72" s="465"/>
    </row>
    <row r="73" spans="2:10" x14ac:dyDescent="0.25">
      <c r="B73" s="26">
        <v>27.901</v>
      </c>
      <c r="C73" s="289">
        <f t="shared" si="6"/>
        <v>454</v>
      </c>
      <c r="D73" s="121">
        <v>503.5</v>
      </c>
      <c r="E73" s="289">
        <f t="shared" si="7"/>
        <v>49.5</v>
      </c>
      <c r="F73" s="289">
        <f t="shared" si="8"/>
        <v>6</v>
      </c>
      <c r="G73" s="289">
        <f t="shared" si="9"/>
        <v>499.75363381459283</v>
      </c>
      <c r="H73" s="465"/>
      <c r="I73" s="465"/>
      <c r="J73" s="465"/>
    </row>
    <row r="74" spans="2:10" x14ac:dyDescent="0.25">
      <c r="B74" s="26">
        <v>27.901</v>
      </c>
      <c r="C74" s="289">
        <f t="shared" si="6"/>
        <v>454</v>
      </c>
      <c r="D74" s="121">
        <v>504</v>
      </c>
      <c r="E74" s="289">
        <f t="shared" si="7"/>
        <v>50</v>
      </c>
      <c r="F74" s="289">
        <f t="shared" si="8"/>
        <v>6</v>
      </c>
      <c r="G74" s="289">
        <f t="shared" si="9"/>
        <v>502.61757493317418</v>
      </c>
      <c r="H74" s="465"/>
      <c r="I74" s="465"/>
      <c r="J74" s="465"/>
    </row>
    <row r="75" spans="2:10" x14ac:dyDescent="0.25">
      <c r="B75" s="26">
        <v>27.901</v>
      </c>
      <c r="C75" s="289">
        <f t="shared" si="6"/>
        <v>454</v>
      </c>
      <c r="D75" s="121">
        <v>504.5</v>
      </c>
      <c r="E75" s="289">
        <f t="shared" si="7"/>
        <v>50.5</v>
      </c>
      <c r="F75" s="289">
        <f t="shared" si="8"/>
        <v>6</v>
      </c>
      <c r="G75" s="289">
        <f t="shared" si="9"/>
        <v>505.46528936468007</v>
      </c>
      <c r="H75" s="465"/>
      <c r="I75" s="465"/>
      <c r="J75" s="465"/>
    </row>
    <row r="76" spans="2:10" x14ac:dyDescent="0.25">
      <c r="B76" s="26">
        <v>27.901</v>
      </c>
      <c r="C76" s="289">
        <f t="shared" si="6"/>
        <v>454</v>
      </c>
      <c r="D76" s="121">
        <v>505</v>
      </c>
      <c r="E76" s="289">
        <f t="shared" si="7"/>
        <v>51</v>
      </c>
      <c r="F76" s="289">
        <f t="shared" si="8"/>
        <v>6</v>
      </c>
      <c r="G76" s="289">
        <f t="shared" si="9"/>
        <v>508.29704983733143</v>
      </c>
      <c r="H76" s="465"/>
      <c r="I76" s="465"/>
      <c r="J76" s="465"/>
    </row>
    <row r="77" spans="2:10" x14ac:dyDescent="0.25">
      <c r="B77" s="26">
        <v>27.901</v>
      </c>
      <c r="C77" s="289">
        <f t="shared" si="6"/>
        <v>454</v>
      </c>
      <c r="D77" s="121">
        <v>505.5</v>
      </c>
      <c r="E77" s="289">
        <f t="shared" si="7"/>
        <v>51.5</v>
      </c>
      <c r="F77" s="289">
        <f t="shared" si="8"/>
        <v>6</v>
      </c>
      <c r="G77" s="289">
        <f t="shared" si="9"/>
        <v>511.1131215241391</v>
      </c>
      <c r="H77" s="465"/>
      <c r="I77" s="465"/>
      <c r="J77" s="465"/>
    </row>
    <row r="78" spans="2:10" x14ac:dyDescent="0.25">
      <c r="B78" s="26">
        <v>27.901</v>
      </c>
      <c r="C78" s="289">
        <f t="shared" si="6"/>
        <v>454</v>
      </c>
      <c r="D78" s="121">
        <v>506</v>
      </c>
      <c r="E78" s="289">
        <f t="shared" si="7"/>
        <v>52</v>
      </c>
      <c r="F78" s="289">
        <f t="shared" si="8"/>
        <v>6</v>
      </c>
      <c r="G78" s="289">
        <f t="shared" si="9"/>
        <v>513.91376233271308</v>
      </c>
      <c r="H78" s="465"/>
      <c r="I78" s="465"/>
      <c r="J78" s="465"/>
    </row>
    <row r="79" spans="2:10" x14ac:dyDescent="0.25">
      <c r="B79" s="26">
        <v>27.901</v>
      </c>
      <c r="C79" s="289">
        <f t="shared" si="6"/>
        <v>454</v>
      </c>
      <c r="D79" s="121">
        <v>506.5</v>
      </c>
      <c r="E79" s="289">
        <f t="shared" si="7"/>
        <v>52.5</v>
      </c>
      <c r="F79" s="289">
        <f t="shared" si="8"/>
        <v>6</v>
      </c>
      <c r="G79" s="289">
        <f t="shared" si="9"/>
        <v>516.69922318093245</v>
      </c>
      <c r="H79" s="465"/>
      <c r="I79" s="465"/>
      <c r="J79" s="465"/>
    </row>
    <row r="80" spans="2:10" x14ac:dyDescent="0.25">
      <c r="B80" s="26">
        <v>27.901</v>
      </c>
      <c r="C80" s="289">
        <f t="shared" si="6"/>
        <v>454</v>
      </c>
      <c r="D80" s="121">
        <v>507</v>
      </c>
      <c r="E80" s="289">
        <f t="shared" si="7"/>
        <v>53</v>
      </c>
      <c r="F80" s="289">
        <f t="shared" si="8"/>
        <v>6</v>
      </c>
      <c r="G80" s="289">
        <f t="shared" si="9"/>
        <v>519.46974825931295</v>
      </c>
      <c r="H80" s="465"/>
      <c r="I80" s="465"/>
      <c r="J80" s="465"/>
    </row>
    <row r="81" spans="2:10" x14ac:dyDescent="0.25">
      <c r="B81" s="26">
        <v>27.901</v>
      </c>
      <c r="C81" s="289">
        <f t="shared" si="6"/>
        <v>454</v>
      </c>
      <c r="D81" s="121">
        <v>507.5</v>
      </c>
      <c r="E81" s="289">
        <f t="shared" si="7"/>
        <v>53.5</v>
      </c>
      <c r="F81" s="289">
        <f t="shared" si="8"/>
        <v>6</v>
      </c>
      <c r="G81" s="289">
        <f t="shared" si="9"/>
        <v>522.22557528084428</v>
      </c>
      <c r="H81" s="465"/>
      <c r="I81" s="465"/>
      <c r="J81" s="465"/>
    </row>
    <row r="82" spans="2:10" x14ac:dyDescent="0.25">
      <c r="B82" s="26">
        <v>27.901</v>
      </c>
      <c r="C82" s="289">
        <f t="shared" si="6"/>
        <v>454</v>
      </c>
      <c r="D82" s="121">
        <v>508</v>
      </c>
      <c r="E82" s="289">
        <f t="shared" si="7"/>
        <v>54</v>
      </c>
      <c r="F82" s="289">
        <f t="shared" si="8"/>
        <v>6</v>
      </c>
      <c r="G82" s="289">
        <f t="shared" si="9"/>
        <v>524.96693571902551</v>
      </c>
      <c r="H82" s="465"/>
      <c r="I82" s="465"/>
      <c r="J82" s="465"/>
    </row>
    <row r="83" spans="2:10" x14ac:dyDescent="0.25">
      <c r="B83" s="26">
        <v>27.901</v>
      </c>
      <c r="C83" s="289">
        <f t="shared" si="6"/>
        <v>454</v>
      </c>
      <c r="D83" s="121">
        <v>508.5</v>
      </c>
      <c r="E83" s="289">
        <f t="shared" si="7"/>
        <v>54.5</v>
      </c>
      <c r="F83" s="289">
        <f t="shared" si="8"/>
        <v>6</v>
      </c>
      <c r="G83" s="289">
        <f t="shared" si="9"/>
        <v>527.69405503476958</v>
      </c>
      <c r="H83" s="465"/>
      <c r="I83" s="465"/>
      <c r="J83" s="465"/>
    </row>
    <row r="84" spans="2:10" x14ac:dyDescent="0.25">
      <c r="B84" s="26">
        <v>27.901</v>
      </c>
      <c r="C84" s="289">
        <f t="shared" si="6"/>
        <v>454</v>
      </c>
      <c r="D84" s="121">
        <v>509</v>
      </c>
      <c r="E84" s="289">
        <f t="shared" si="7"/>
        <v>55</v>
      </c>
      <c r="F84" s="289">
        <f t="shared" si="8"/>
        <v>6</v>
      </c>
      <c r="G84" s="289">
        <f t="shared" si="9"/>
        <v>530.40715289280661</v>
      </c>
      <c r="H84" s="465"/>
      <c r="I84" s="465"/>
      <c r="J84" s="465"/>
    </row>
    <row r="85" spans="2:10" x14ac:dyDescent="0.25">
      <c r="B85" s="26">
        <v>27.901</v>
      </c>
      <c r="C85" s="289">
        <f t="shared" si="6"/>
        <v>454</v>
      </c>
      <c r="D85" s="121">
        <v>509.5</v>
      </c>
      <c r="E85" s="289">
        <f t="shared" si="7"/>
        <v>55.5</v>
      </c>
      <c r="F85" s="289">
        <f t="shared" si="8"/>
        <v>6</v>
      </c>
      <c r="G85" s="289">
        <f t="shared" si="9"/>
        <v>533.10644336817768</v>
      </c>
      <c r="H85" s="465"/>
      <c r="I85" s="465"/>
      <c r="J85" s="465"/>
    </row>
    <row r="86" spans="2:10" x14ac:dyDescent="0.25">
      <c r="B86" s="26">
        <v>27.901</v>
      </c>
      <c r="C86" s="289">
        <f t="shared" si="6"/>
        <v>454</v>
      </c>
      <c r="D86" s="121">
        <v>510</v>
      </c>
      <c r="E86" s="289">
        <f t="shared" si="7"/>
        <v>56</v>
      </c>
      <c r="F86" s="289">
        <f t="shared" si="8"/>
        <v>6</v>
      </c>
      <c r="G86" s="289">
        <f t="shared" si="9"/>
        <v>535.7921351433622</v>
      </c>
      <c r="H86" s="465"/>
      <c r="I86" s="465"/>
      <c r="J86" s="465"/>
    </row>
    <row r="87" spans="2:10" x14ac:dyDescent="0.25">
      <c r="B87" s="26">
        <v>27.901</v>
      </c>
      <c r="C87" s="289">
        <f t="shared" si="6"/>
        <v>454</v>
      </c>
      <c r="D87" s="121">
        <v>510.5</v>
      </c>
      <c r="E87" s="289">
        <f t="shared" si="7"/>
        <v>56.5</v>
      </c>
      <c r="F87" s="289">
        <f t="shared" si="8"/>
        <v>6</v>
      </c>
      <c r="G87" s="289">
        <f t="shared" si="9"/>
        <v>538.46443169655856</v>
      </c>
      <c r="H87" s="465"/>
      <c r="I87" s="465"/>
      <c r="J87" s="465"/>
    </row>
    <row r="88" spans="2:10" x14ac:dyDescent="0.25">
      <c r="B88" s="26">
        <v>27.901</v>
      </c>
      <c r="C88" s="289">
        <f t="shared" si="6"/>
        <v>454</v>
      </c>
      <c r="D88" s="121">
        <v>511</v>
      </c>
      <c r="E88" s="289">
        <f t="shared" si="7"/>
        <v>57</v>
      </c>
      <c r="F88" s="289">
        <f t="shared" si="8"/>
        <v>6</v>
      </c>
      <c r="G88" s="289">
        <f t="shared" si="9"/>
        <v>541.1235314815948</v>
      </c>
      <c r="H88" s="465"/>
      <c r="I88" s="465"/>
      <c r="J88" s="465"/>
    </row>
    <row r="89" spans="2:10" x14ac:dyDescent="0.25">
      <c r="B89" s="26">
        <v>27.901</v>
      </c>
      <c r="C89" s="289">
        <f t="shared" si="6"/>
        <v>454</v>
      </c>
      <c r="D89" s="121">
        <v>511.5</v>
      </c>
      <c r="E89" s="289">
        <f t="shared" si="7"/>
        <v>57.5</v>
      </c>
      <c r="F89" s="289">
        <f t="shared" si="8"/>
        <v>6</v>
      </c>
      <c r="G89" s="289">
        <f t="shared" si="9"/>
        <v>543.76962809992187</v>
      </c>
      <c r="H89" s="26">
        <v>455.09</v>
      </c>
      <c r="I89" s="289">
        <f t="shared" ref="I89" si="10">$F$5+$G$5</f>
        <v>460</v>
      </c>
      <c r="J89" s="265" t="str">
        <f t="shared" ref="J89" si="11">IF(ROUND(H89,2)&lt;ROUND(I89,2),"自由出流,符合假定","非自由出流,不符合假定")</f>
        <v>自由出流,符合假定</v>
      </c>
    </row>
    <row r="90" spans="2:10" x14ac:dyDescent="0.25">
      <c r="H90" s="26"/>
    </row>
    <row r="91" spans="2:10" ht="21" x14ac:dyDescent="0.4">
      <c r="B91" s="298" t="s">
        <v>603</v>
      </c>
    </row>
    <row r="92" spans="2:10" ht="19.5" customHeight="1" x14ac:dyDescent="0.25">
      <c r="B92" s="192" t="s">
        <v>604</v>
      </c>
    </row>
    <row r="93" spans="2:10" ht="19.5" customHeight="1" x14ac:dyDescent="0.25">
      <c r="B93" t="s">
        <v>605</v>
      </c>
      <c r="D93" s="265" t="str">
        <f>$D$21</f>
        <v>陡坡</v>
      </c>
      <c r="E93" t="s">
        <v>615</v>
      </c>
    </row>
    <row r="94" spans="2:10" ht="19.5" customHeight="1" x14ac:dyDescent="0.25">
      <c r="B94" t="s">
        <v>606</v>
      </c>
    </row>
    <row r="95" spans="2:10" ht="19.5" customHeight="1" x14ac:dyDescent="0.25">
      <c r="B95" t="s">
        <v>613</v>
      </c>
    </row>
    <row r="96" spans="2:10" ht="54" customHeight="1" x14ac:dyDescent="0.25">
      <c r="B96" s="139" t="s">
        <v>608</v>
      </c>
      <c r="C96" s="139" t="s">
        <v>610</v>
      </c>
      <c r="D96" s="139" t="s">
        <v>609</v>
      </c>
      <c r="E96" s="139" t="s">
        <v>611</v>
      </c>
      <c r="F96" s="139" t="s">
        <v>612</v>
      </c>
    </row>
    <row r="97" spans="2:6" ht="24.75" customHeight="1" x14ac:dyDescent="0.25">
      <c r="B97" s="265">
        <f>$H$5</f>
        <v>0.34</v>
      </c>
      <c r="C97" s="26">
        <f>511.4-482.5</f>
        <v>28.899999999999977</v>
      </c>
      <c r="D97" s="265">
        <f>(64-163*B97)*C97</f>
        <v>247.96199999999976</v>
      </c>
      <c r="E97" s="265">
        <f>$I$5</f>
        <v>491.5</v>
      </c>
      <c r="F97" s="265" t="str">
        <f>IF(ROUND(E97,2)&gt;ROUND(D97,2),"长洞","还要继续分析，在上游水深较高时为短洞，在上游水位较低时为长洞")</f>
        <v>长洞</v>
      </c>
    </row>
    <row r="98" spans="2:6" ht="19.5" customHeight="1" x14ac:dyDescent="0.25">
      <c r="B98" t="s">
        <v>614</v>
      </c>
    </row>
    <row r="99" spans="2:6" ht="54" customHeight="1" x14ac:dyDescent="0.25">
      <c r="B99" s="139" t="s">
        <v>609</v>
      </c>
      <c r="C99" s="139" t="s">
        <v>611</v>
      </c>
      <c r="D99" s="26" t="s">
        <v>612</v>
      </c>
    </row>
    <row r="100" spans="2:6" ht="19.5" customHeight="1" x14ac:dyDescent="0.25">
      <c r="B100" s="289">
        <f>1.3*D97</f>
        <v>322.3505999999997</v>
      </c>
      <c r="C100" s="265">
        <f>$I$5</f>
        <v>491.5</v>
      </c>
      <c r="D100" s="265" t="str">
        <f>IF(ROUND(C100,2)&gt;ROUND(B100,2),"长洞","还要继续分析，在上游水深较高时为短洞，在上游水位较低时为长洞")</f>
        <v>长洞</v>
      </c>
    </row>
    <row r="101" spans="2:6" ht="19.5" customHeight="1" x14ac:dyDescent="0.25">
      <c r="B101" t="s">
        <v>616</v>
      </c>
      <c r="E101" s="300"/>
    </row>
    <row r="102" spans="2:6" ht="19.5" customHeight="1" x14ac:dyDescent="0.25">
      <c r="E102" s="300"/>
    </row>
    <row r="103" spans="2:6" ht="19.5" customHeight="1" x14ac:dyDescent="0.25"/>
    <row r="104" spans="2:6" ht="19.5" customHeight="1" x14ac:dyDescent="0.25"/>
    <row r="105" spans="2:6" ht="19.5" customHeight="1" x14ac:dyDescent="0.25"/>
    <row r="106" spans="2:6" ht="19.5" customHeight="1" x14ac:dyDescent="0.25"/>
    <row r="107" spans="2:6" ht="19.5" customHeight="1" x14ac:dyDescent="0.25"/>
    <row r="108" spans="2:6" ht="19.5" customHeight="1" x14ac:dyDescent="0.25"/>
    <row r="109" spans="2:6" ht="19.5" customHeight="1" x14ac:dyDescent="0.25"/>
    <row r="110" spans="2:6" ht="19.5" customHeight="1" x14ac:dyDescent="0.25"/>
    <row r="111" spans="2:6" ht="19.5" customHeight="1" x14ac:dyDescent="0.25"/>
    <row r="112" spans="2:6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9.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  <row r="144" ht="19.5" customHeight="1" x14ac:dyDescent="0.25"/>
    <row r="145" ht="19.5" customHeight="1" x14ac:dyDescent="0.25"/>
    <row r="146" ht="19.5" customHeight="1" x14ac:dyDescent="0.25"/>
    <row r="147" ht="19.5" customHeight="1" x14ac:dyDescent="0.25"/>
    <row r="148" ht="19.5" customHeight="1" x14ac:dyDescent="0.25"/>
    <row r="149" ht="19.5" customHeight="1" x14ac:dyDescent="0.25"/>
    <row r="150" ht="19.5" customHeight="1" x14ac:dyDescent="0.25"/>
    <row r="151" ht="19.5" customHeight="1" x14ac:dyDescent="0.25"/>
    <row r="152" ht="19.5" customHeight="1" x14ac:dyDescent="0.25"/>
    <row r="153" ht="19.5" customHeight="1" x14ac:dyDescent="0.25"/>
    <row r="154" ht="19.5" customHeight="1" x14ac:dyDescent="0.25"/>
    <row r="155" ht="19.5" customHeight="1" x14ac:dyDescent="0.25"/>
    <row r="156" ht="19.5" customHeight="1" x14ac:dyDescent="0.25"/>
    <row r="157" ht="19.5" customHeight="1" x14ac:dyDescent="0.25"/>
    <row r="158" ht="19.5" customHeight="1" x14ac:dyDescent="0.25"/>
    <row r="159" ht="19.5" customHeight="1" x14ac:dyDescent="0.25"/>
    <row r="160" ht="19.5" customHeight="1" x14ac:dyDescent="0.25"/>
    <row r="161" ht="19.5" customHeight="1" x14ac:dyDescent="0.25"/>
    <row r="162" ht="19.5" customHeight="1" x14ac:dyDescent="0.25"/>
    <row r="163" ht="19.5" customHeight="1" x14ac:dyDescent="0.25"/>
    <row r="164" ht="19.5" customHeight="1" x14ac:dyDescent="0.25"/>
    <row r="165" ht="19.5" customHeight="1" x14ac:dyDescent="0.25"/>
    <row r="166" ht="19.5" customHeight="1" x14ac:dyDescent="0.25"/>
    <row r="167" ht="19.5" customHeight="1" x14ac:dyDescent="0.25"/>
    <row r="168" ht="19.5" customHeight="1" x14ac:dyDescent="0.25"/>
    <row r="169" ht="19.5" customHeight="1" x14ac:dyDescent="0.25"/>
    <row r="170" ht="19.5" customHeight="1" x14ac:dyDescent="0.25"/>
    <row r="171" ht="19.5" customHeight="1" x14ac:dyDescent="0.25"/>
    <row r="172" ht="19.5" customHeight="1" x14ac:dyDescent="0.25"/>
    <row r="173" ht="19.5" customHeight="1" x14ac:dyDescent="0.25"/>
    <row r="174" ht="19.5" customHeight="1" x14ac:dyDescent="0.25"/>
    <row r="175" ht="19.5" customHeight="1" x14ac:dyDescent="0.25"/>
    <row r="176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  <row r="184" ht="19.5" customHeight="1" x14ac:dyDescent="0.25"/>
    <row r="185" ht="19.5" customHeight="1" x14ac:dyDescent="0.25"/>
    <row r="186" ht="19.5" customHeight="1" x14ac:dyDescent="0.25"/>
    <row r="187" ht="19.5" customHeight="1" x14ac:dyDescent="0.25"/>
    <row r="188" ht="19.5" customHeight="1" x14ac:dyDescent="0.25"/>
    <row r="189" ht="19.5" customHeight="1" x14ac:dyDescent="0.25"/>
    <row r="190" ht="19.5" customHeight="1" x14ac:dyDescent="0.25"/>
    <row r="191" ht="19.5" customHeight="1" x14ac:dyDescent="0.25"/>
    <row r="192" ht="19.5" customHeight="1" x14ac:dyDescent="0.25"/>
    <row r="193" ht="19.5" customHeight="1" x14ac:dyDescent="0.25"/>
    <row r="194" ht="19.5" customHeight="1" x14ac:dyDescent="0.25"/>
    <row r="195" ht="19.5" customHeight="1" x14ac:dyDescent="0.25"/>
    <row r="196" ht="19.5" customHeight="1" x14ac:dyDescent="0.25"/>
    <row r="197" ht="19.5" customHeight="1" x14ac:dyDescent="0.25"/>
    <row r="198" ht="19.5" customHeight="1" x14ac:dyDescent="0.25"/>
    <row r="199" ht="19.5" customHeight="1" x14ac:dyDescent="0.25"/>
    <row r="200" ht="19.5" customHeight="1" x14ac:dyDescent="0.25"/>
    <row r="201" ht="19.5" customHeight="1" x14ac:dyDescent="0.25"/>
    <row r="202" ht="19.5" customHeight="1" x14ac:dyDescent="0.25"/>
    <row r="203" ht="19.5" customHeight="1" x14ac:dyDescent="0.25"/>
    <row r="204" ht="19.5" customHeight="1" x14ac:dyDescent="0.25"/>
    <row r="205" ht="19.5" customHeight="1" x14ac:dyDescent="0.25"/>
    <row r="206" ht="19.5" customHeight="1" x14ac:dyDescent="0.25"/>
    <row r="207" ht="19.5" customHeight="1" x14ac:dyDescent="0.25"/>
    <row r="208" ht="19.5" customHeight="1" x14ac:dyDescent="0.25"/>
    <row r="209" ht="19.5" customHeight="1" x14ac:dyDescent="0.25"/>
    <row r="210" ht="19.5" customHeight="1" x14ac:dyDescent="0.25"/>
    <row r="211" ht="19.5" customHeight="1" x14ac:dyDescent="0.25"/>
    <row r="212" ht="19.5" customHeight="1" x14ac:dyDescent="0.25"/>
    <row r="213" ht="19.5" customHeight="1" x14ac:dyDescent="0.25"/>
    <row r="214" ht="19.5" customHeight="1" x14ac:dyDescent="0.25"/>
    <row r="215" ht="19.5" customHeight="1" x14ac:dyDescent="0.25"/>
    <row r="216" ht="19.5" customHeight="1" x14ac:dyDescent="0.25"/>
    <row r="217" ht="19.5" customHeight="1" x14ac:dyDescent="0.25"/>
    <row r="218" ht="19.5" customHeight="1" x14ac:dyDescent="0.25"/>
    <row r="219" ht="19.5" customHeight="1" x14ac:dyDescent="0.25"/>
    <row r="220" ht="19.5" customHeight="1" x14ac:dyDescent="0.25"/>
    <row r="221" ht="19.5" customHeight="1" x14ac:dyDescent="0.25"/>
    <row r="222" ht="19.5" customHeight="1" x14ac:dyDescent="0.25"/>
    <row r="223" ht="19.5" customHeight="1" x14ac:dyDescent="0.25"/>
    <row r="224" ht="19.5" customHeight="1" x14ac:dyDescent="0.25"/>
    <row r="225" ht="19.5" customHeight="1" x14ac:dyDescent="0.25"/>
    <row r="226" ht="19.5" customHeight="1" x14ac:dyDescent="0.25"/>
    <row r="227" ht="19.5" customHeight="1" x14ac:dyDescent="0.25"/>
    <row r="228" ht="19.5" customHeight="1" x14ac:dyDescent="0.25"/>
    <row r="229" ht="19.5" customHeight="1" x14ac:dyDescent="0.25"/>
    <row r="230" ht="19.5" customHeight="1" x14ac:dyDescent="0.25"/>
    <row r="231" ht="19.5" customHeight="1" x14ac:dyDescent="0.25"/>
    <row r="232" ht="19.5" customHeight="1" x14ac:dyDescent="0.25"/>
    <row r="233" ht="19.5" customHeight="1" x14ac:dyDescent="0.25"/>
    <row r="234" ht="19.5" customHeight="1" x14ac:dyDescent="0.25"/>
    <row r="235" ht="19.5" customHeight="1" x14ac:dyDescent="0.25"/>
    <row r="236" ht="19.5" customHeight="1" x14ac:dyDescent="0.25"/>
    <row r="237" ht="19.5" customHeight="1" x14ac:dyDescent="0.25"/>
    <row r="238" ht="19.5" customHeight="1" x14ac:dyDescent="0.25"/>
    <row r="239" ht="19.5" customHeight="1" x14ac:dyDescent="0.25"/>
    <row r="240" ht="19.5" customHeight="1" x14ac:dyDescent="0.25"/>
    <row r="241" ht="19.5" customHeight="1" x14ac:dyDescent="0.25"/>
    <row r="242" ht="19.5" customHeight="1" x14ac:dyDescent="0.25"/>
    <row r="243" ht="19.5" customHeight="1" x14ac:dyDescent="0.25"/>
    <row r="244" ht="19.5" customHeight="1" x14ac:dyDescent="0.25"/>
    <row r="245" ht="19.5" customHeight="1" x14ac:dyDescent="0.25"/>
    <row r="246" ht="19.5" customHeight="1" x14ac:dyDescent="0.25"/>
    <row r="247" ht="19.5" customHeight="1" x14ac:dyDescent="0.25"/>
    <row r="248" ht="19.5" customHeight="1" x14ac:dyDescent="0.25"/>
    <row r="249" ht="19.5" customHeight="1" x14ac:dyDescent="0.25"/>
    <row r="250" ht="19.5" customHeight="1" x14ac:dyDescent="0.25"/>
    <row r="251" ht="19.5" customHeight="1" x14ac:dyDescent="0.25"/>
    <row r="252" ht="19.5" customHeight="1" x14ac:dyDescent="0.25"/>
    <row r="253" ht="19.5" customHeight="1" x14ac:dyDescent="0.25"/>
    <row r="254" ht="19.5" customHeight="1" x14ac:dyDescent="0.25"/>
    <row r="255" ht="19.5" customHeight="1" x14ac:dyDescent="0.25"/>
    <row r="256" ht="19.5" customHeight="1" x14ac:dyDescent="0.25"/>
    <row r="257" ht="19.5" customHeight="1" x14ac:dyDescent="0.25"/>
    <row r="258" ht="19.5" customHeight="1" x14ac:dyDescent="0.25"/>
    <row r="259" ht="19.5" customHeight="1" x14ac:dyDescent="0.25"/>
    <row r="260" ht="19.5" customHeight="1" x14ac:dyDescent="0.25"/>
    <row r="261" ht="19.5" customHeight="1" x14ac:dyDescent="0.25"/>
    <row r="262" ht="19.5" customHeight="1" x14ac:dyDescent="0.25"/>
    <row r="263" ht="19.5" customHeight="1" x14ac:dyDescent="0.25"/>
    <row r="264" ht="19.5" customHeight="1" x14ac:dyDescent="0.25"/>
    <row r="265" ht="19.5" customHeight="1" x14ac:dyDescent="0.25"/>
    <row r="266" ht="19.5" customHeight="1" x14ac:dyDescent="0.25"/>
    <row r="267" ht="19.5" customHeight="1" x14ac:dyDescent="0.25"/>
    <row r="268" ht="19.5" customHeight="1" x14ac:dyDescent="0.25"/>
    <row r="269" ht="19.5" customHeight="1" x14ac:dyDescent="0.25"/>
    <row r="270" ht="19.5" customHeight="1" x14ac:dyDescent="0.25"/>
    <row r="271" ht="19.5" customHeight="1" x14ac:dyDescent="0.25"/>
    <row r="272" ht="19.5" customHeight="1" x14ac:dyDescent="0.25"/>
    <row r="273" ht="19.5" customHeight="1" x14ac:dyDescent="0.25"/>
    <row r="274" ht="19.5" customHeight="1" x14ac:dyDescent="0.25"/>
    <row r="275" ht="19.5" customHeight="1" x14ac:dyDescent="0.25"/>
    <row r="276" ht="19.5" customHeight="1" x14ac:dyDescent="0.25"/>
    <row r="277" ht="19.5" customHeight="1" x14ac:dyDescent="0.25"/>
    <row r="278" ht="19.5" customHeight="1" x14ac:dyDescent="0.25"/>
    <row r="279" ht="19.5" customHeight="1" x14ac:dyDescent="0.25"/>
    <row r="280" ht="19.5" customHeight="1" x14ac:dyDescent="0.25"/>
    <row r="281" ht="19.5" customHeight="1" x14ac:dyDescent="0.25"/>
    <row r="282" ht="19.5" customHeight="1" x14ac:dyDescent="0.25"/>
  </sheetData>
  <mergeCells count="16">
    <mergeCell ref="B40:B41"/>
    <mergeCell ref="C1:D1"/>
    <mergeCell ref="J10:J17"/>
    <mergeCell ref="K10:K18"/>
    <mergeCell ref="E37:H37"/>
    <mergeCell ref="B37:B39"/>
    <mergeCell ref="C37:C38"/>
    <mergeCell ref="D37:D38"/>
    <mergeCell ref="I37:I38"/>
    <mergeCell ref="G44:G45"/>
    <mergeCell ref="H47:J88"/>
    <mergeCell ref="B44:B45"/>
    <mergeCell ref="C44:C45"/>
    <mergeCell ref="D44:D45"/>
    <mergeCell ref="E44:E45"/>
    <mergeCell ref="F44:F45"/>
  </mergeCells>
  <phoneticPr fontId="3" type="noConversion"/>
  <conditionalFormatting sqref="B94:E94">
    <cfRule type="expression" dxfId="2" priority="4">
      <formula>$D$93="陡坡"</formula>
    </cfRule>
  </conditionalFormatting>
  <conditionalFormatting sqref="B95:C95">
    <cfRule type="expression" dxfId="1" priority="3">
      <formula>$D$93="缓坡且趋于平坡"</formula>
    </cfRule>
  </conditionalFormatting>
  <conditionalFormatting sqref="B98:C98">
    <cfRule type="expression" dxfId="0" priority="1">
      <formula>$D$93="缓坡且接近于临界坡"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BAE-215B-4F12-869E-DE3A3C991662}">
  <dimension ref="B1:M17"/>
  <sheetViews>
    <sheetView showGridLines="0" zoomScale="115" zoomScaleNormal="115" workbookViewId="0">
      <selection activeCell="F18" sqref="F18"/>
    </sheetView>
  </sheetViews>
  <sheetFormatPr defaultColWidth="9" defaultRowHeight="15" customHeight="1" x14ac:dyDescent="0.25"/>
  <cols>
    <col min="1" max="1" width="9" style="26"/>
    <col min="2" max="2" width="6.5" style="26" customWidth="1"/>
    <col min="3" max="3" width="7.83203125" style="26" customWidth="1"/>
    <col min="4" max="4" width="3.5" style="26" customWidth="1"/>
    <col min="5" max="5" width="3.33203125" style="26" customWidth="1"/>
    <col min="6" max="6" width="3.83203125" style="26" customWidth="1"/>
    <col min="7" max="7" width="4" style="26" customWidth="1"/>
    <col min="8" max="8" width="9.33203125" style="26" customWidth="1"/>
    <col min="9" max="9" width="9" style="26"/>
    <col min="10" max="10" width="13.58203125" style="26" customWidth="1"/>
    <col min="11" max="13" width="15.5" style="26" customWidth="1"/>
    <col min="14" max="16384" width="9" style="26"/>
  </cols>
  <sheetData>
    <row r="1" spans="2:13" ht="15" customHeight="1" thickBot="1" x14ac:dyDescent="0.3"/>
    <row r="2" spans="2:13" ht="15" customHeight="1" x14ac:dyDescent="0.25">
      <c r="B2" s="485" t="s">
        <v>296</v>
      </c>
      <c r="C2" s="466">
        <v>2022</v>
      </c>
      <c r="D2" s="486" t="s">
        <v>297</v>
      </c>
      <c r="E2" s="466">
        <v>11</v>
      </c>
      <c r="F2" s="486" t="s">
        <v>298</v>
      </c>
      <c r="G2" s="466">
        <v>19</v>
      </c>
      <c r="H2" s="468" t="s">
        <v>299</v>
      </c>
      <c r="J2" s="26" t="s">
        <v>300</v>
      </c>
      <c r="K2" s="470" t="s">
        <v>295</v>
      </c>
      <c r="L2" s="471"/>
      <c r="M2" s="472"/>
    </row>
    <row r="3" spans="2:13" ht="15" customHeight="1" thickBot="1" x14ac:dyDescent="0.3">
      <c r="B3" s="487"/>
      <c r="C3" s="467"/>
      <c r="D3" s="488"/>
      <c r="E3" s="467"/>
      <c r="F3" s="488"/>
      <c r="G3" s="467"/>
      <c r="H3" s="469"/>
      <c r="K3" s="473"/>
      <c r="L3" s="474"/>
      <c r="M3" s="475"/>
    </row>
    <row r="4" spans="2:13" ht="15" customHeight="1" x14ac:dyDescent="0.25">
      <c r="B4" s="479">
        <f ca="1">DATE(C2,E2,G2)-TODAY()</f>
        <v>-1013</v>
      </c>
      <c r="C4" s="480"/>
      <c r="D4" s="480"/>
      <c r="E4" s="480"/>
      <c r="F4" s="480"/>
      <c r="G4" s="480"/>
      <c r="H4" s="481"/>
      <c r="K4" s="476">
        <f ca="1">DATE(2022,11,19)-TODAY()</f>
        <v>-1013</v>
      </c>
      <c r="L4" s="477"/>
      <c r="M4" s="478"/>
    </row>
    <row r="5" spans="2:13" ht="15" customHeight="1" x14ac:dyDescent="0.25">
      <c r="B5" s="479"/>
      <c r="C5" s="480"/>
      <c r="D5" s="480"/>
      <c r="E5" s="480"/>
      <c r="F5" s="480"/>
      <c r="G5" s="480"/>
      <c r="H5" s="481"/>
      <c r="K5" s="479"/>
      <c r="L5" s="480"/>
      <c r="M5" s="481"/>
    </row>
    <row r="6" spans="2:13" ht="15" customHeight="1" x14ac:dyDescent="0.25">
      <c r="B6" s="479"/>
      <c r="C6" s="480"/>
      <c r="D6" s="480"/>
      <c r="E6" s="480"/>
      <c r="F6" s="480"/>
      <c r="G6" s="480"/>
      <c r="H6" s="481"/>
      <c r="K6" s="479"/>
      <c r="L6" s="480"/>
      <c r="M6" s="481"/>
    </row>
    <row r="7" spans="2:13" ht="15" customHeight="1" thickBot="1" x14ac:dyDescent="0.3">
      <c r="B7" s="482"/>
      <c r="C7" s="483"/>
      <c r="D7" s="483"/>
      <c r="E7" s="483"/>
      <c r="F7" s="483"/>
      <c r="G7" s="483"/>
      <c r="H7" s="484"/>
      <c r="K7" s="482"/>
      <c r="L7" s="483"/>
      <c r="M7" s="484"/>
    </row>
    <row r="8" spans="2:13" ht="15" customHeight="1" x14ac:dyDescent="0.25">
      <c r="B8" s="485" t="s">
        <v>292</v>
      </c>
      <c r="C8" s="486"/>
      <c r="D8" s="486"/>
      <c r="E8" s="486"/>
      <c r="F8" s="486"/>
      <c r="G8" s="486"/>
      <c r="H8" s="468"/>
      <c r="K8" s="470" t="s">
        <v>292</v>
      </c>
      <c r="L8" s="471"/>
      <c r="M8" s="472"/>
    </row>
    <row r="9" spans="2:13" ht="15" customHeight="1" thickBot="1" x14ac:dyDescent="0.3">
      <c r="B9" s="487"/>
      <c r="C9" s="488"/>
      <c r="D9" s="488"/>
      <c r="E9" s="488"/>
      <c r="F9" s="488"/>
      <c r="G9" s="488"/>
      <c r="H9" s="469"/>
      <c r="K9" s="473"/>
      <c r="L9" s="474"/>
      <c r="M9" s="475"/>
    </row>
    <row r="10" spans="2:13" ht="15" customHeight="1" x14ac:dyDescent="0.25">
      <c r="B10" s="192" t="s">
        <v>301</v>
      </c>
      <c r="K10" s="191" t="s">
        <v>293</v>
      </c>
      <c r="L10" s="191"/>
      <c r="M10" s="191"/>
    </row>
    <row r="11" spans="2:13" ht="15" customHeight="1" x14ac:dyDescent="0.25">
      <c r="K11" s="191" t="s">
        <v>294</v>
      </c>
      <c r="L11" s="191"/>
      <c r="M11" s="191"/>
    </row>
    <row r="17" spans="10:10" ht="15" customHeight="1" x14ac:dyDescent="0.25">
      <c r="J17" s="192"/>
    </row>
  </sheetData>
  <mergeCells count="12">
    <mergeCell ref="G2:G3"/>
    <mergeCell ref="H2:H3"/>
    <mergeCell ref="K2:M3"/>
    <mergeCell ref="K4:M7"/>
    <mergeCell ref="K8:M9"/>
    <mergeCell ref="B4:H7"/>
    <mergeCell ref="B8:H9"/>
    <mergeCell ref="B2:B3"/>
    <mergeCell ref="C2:C3"/>
    <mergeCell ref="D2:D3"/>
    <mergeCell ref="E2:E3"/>
    <mergeCell ref="F2:F3"/>
  </mergeCells>
  <phoneticPr fontId="3" type="noConversion"/>
  <dataValidations count="3">
    <dataValidation type="list" allowBlank="1" showInputMessage="1" showErrorMessage="1" sqref="C2" xr:uid="{62BEDBC5-0F1C-4642-B572-6D526467EFC6}">
      <formula1>"2022,2023,2024,2025,2026,2027,2028,2029,2030,2031,2032"</formula1>
    </dataValidation>
    <dataValidation type="list" allowBlank="1" showInputMessage="1" showErrorMessage="1" sqref="E2:E3" xr:uid="{AE72B1BA-51FF-4C31-B842-E337D690AF8B}">
      <formula1>"1,2,3,4,5,6,7,8,9,10,11,12"</formula1>
    </dataValidation>
    <dataValidation type="list" allowBlank="1" showInputMessage="1" showErrorMessage="1" sqref="G2:G3" xr:uid="{12D15937-6EB4-4738-98FC-6A880AB61698}">
      <formula1>"1,2,3,4,5,6,7,8,9,10,11,12,13,14,15,16,17,18,19,20,21,22,23,24,25,26,27,28,29,30,31"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7 b 6 3 6 0 6 - 5 b c 0 - 4 a b 7 - 8 2 2 9 - 8 d 0 c c 2 4 1 7 2 c f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 2 7 . 8 1 8 2 0 5 5 0 0 2 3 2 6 7 2 < / L a t i t u d e > < L o n g i t u d e > 9 9 . 7 1 9 0 0 5 0 5 5 9 3 3 5 5 < / L o n g i t u d e > < R o t a t i o n > 0 < / R o t a t i o n > < P i v o t A n g l e > - 0 . 0 3 3 4 8 7 4 8 6 5 1 0 7 8 8 2 2 1 < / P i v o t A n g l e > < D i s t a n c e > 0 . 0 0 2 6 5 5 6 1 2 8 1 5 5 5 5 1 7 3 6 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+ 7 S U R B V H h e 7 Z 0 J c B z n d e f / 0 z 0 X B s D g v g g S J E F S 4 A W K u m X S k i x Z d n y t 1 0 c 2 8 d Z u U l u V 2 m x V K t n E s b 1 x K p t 4 s 1 v l b K J 4 7 V y b s 8 r r 2 H L i S L I j S 5 Z E S R R F S q L E + w R J E D w A E P c x w G D u v m b f + 7 q H B A a D w d w E y P n Z E K c b M 8 C g p / / f O 7 7 3 v c + m x e b i y A M 9 O E 3 / j U O u a j R P Z M j r 1 6 L 4 e K f b O i o d x q k v Q 7 r v 2 9 Z R Z u g R P + S K G u v o D k C d A h y 3 P i 8 t O A V 7 q s 8 v T r e G z W Y d l M k E y f o 3 Z + S q B s R 1 x T r K n I f X O K 1 H p Y X F J F 3 6 m n W U G Z L D Y z 2 6 M z D m r i N u q O J x X F N S i w l G W U w 5 k L e F E s T 5 4 m e n T U M M f n H Y 6 H + F I E 6 / / 9 t / + y x + 4 b O f w N T 0 L L o 3 1 N I v I M F 7 6 F + B + X v 8 w Q i u D 0 3 A 6 9 T Q 0 N I M S Z I w O j W I x p o 2 T M 6 M i P c k S X a s a 9 l E L 7 b B T m P O j / f / L d a 1 b k M k G o C n o h q P 7 H x C / K z V S x z G 7 H l I t T u F F T K U K C T X v E G j b J l y J m 8 L J c j h 4 k v 0 k v 3 X Y t Z R A a B 7 Y M 9 D D 4 i 3 M j U z A 7 m y j s R U R 9 / g 9 3 b r / d X V N e H 8 t W F 4 q t z o G z i L Z 3 / 6 L R w 5 8 z q e 2 / e X u H j t O A 4 d e w n v n X w Z / c O X E Q z O Y X i 8 H 6 q q w + 2 q w M j E N b g c p X d T C 4 8 N U m W L + J c H Q l 0 J i s e B s E L u n w 8 q j Y 9 l c q M g F k q P h S C 7 K q 2 j z L k 2 o 6 G z z m 4 d F Y 6 4 F o P N 7 r K O F j I 4 O E j / l R D y n c H W n U / T Y E x W U p J h k P W R K + v N J 8 2 D 3 V m b f H v c 0 2 J i z J 4 l C 7 X L O g I G R m f x 8 u v 7 0 V x f h 2 h M w S / 9 / C e s 7 5 T J h o I I S p 0 Z g q N u r X W U G T G N X C s a I B 3 k V h U a L T A B e 3 W z d b Q E 5 K Y q R 7 8 O 5 y N / Y p 1 I j T Y 7 B H t t d n / b a i A e 7 I P N T X + X v U I c s 9 s X l 1 2 Q 7 b I 4 F m 5 8 m a w p i M t n 9 y 5 z 8 6 a A Y 6 h i i I m R 3 V 7 r U R r I 1 X F U m I F 5 g r i + 8 J i R v W 3 W o z s L W 0 U 7 W e V R G g y H x b H k d E P m z 4 O F V B Z T z h R E U L m 4 R C y o Y m G T H d a j 9 G i x h d k 7 f p 0 e n r G O T N g d z A e b v R K S o w o D A / 0 Y m w p C 0 W z 4 u 2 d f x L m + I Q x N z I n j / u H J 0 r u V M v 3 t W o C E 5 I G h a 9 b J M v l S m K R E D l Q 4 b J i J F H 4 k N J Q I / V W Z i U C S Q t Y j E 0 O N i U R G 3 N B E o o t J / J s r 4 9 M + / P k P f o J Y V I P X W 4 U p 3 w y e 2 P M o W h t r M T k 5 j S O n z m O c / o 3 f j p v a 7 o Y e m q b L t T C O N d S o 9 a h M t h Q m b W 7 B L l O m 1 o E 5 N B j D 4 x 2 p k w c 5 Y Z B A p c z H C O n S V 2 F s / V P x W J 0 d g a N 2 j X j s D 0 R x 8 I M T m J q a Q b W 3 G v / u 0 7 m n y a e m p h A O R c i d k t C + t t 0 6 u z K I x 4 Z h c y W 9 p 3 L K P C 8 K K i i G K y d 4 s j c T 9 l 2 N 4 u c 2 3 b 4 0 t O 3 i V 6 B v + S N I 9 o X u l m H Y Y I s r 5 B Z R w M 5 z Z X H d + k 7 h 0 E O + 1 F l F Q 8 / b z c y U e G y E B G U O I m V y h Q Y f G o D G p w P Q y c s o u M s n K i e 0 x c F 9 K t b X y B g P F s b t U 2 d u W I 8 y x 1 D i i 8 T E S F K c w g u K a 6 A V R E z a 3 D g N N F P m 4 + A k f Z G b 5 a o y y 7 b I I v D v u g k J q i T E y a 0 N j 1 k H Z X L l 2 t A k f v L a I R w 7 f R 4 n z v Q U 3 k I x c f L B b R l O g A 4 F d L h J 1 o 2 V p R m V 5 x M / / W X Y d i 9 V 1 8 e X J X / X J + E G K 7 5 B O O v W Q v O P 0 7 V x 3 b R O 8 6 + V 5 h + D v a Z V P C 4 2 h v 8 C J G 8 X / Y m l v + 5 3 M k V J S m Q q J m Z t t Y w B v 4 7 Z 6 G 1 I 1 f J E 2 J L k J i Y j F h T C Y N e N S c S U z v o O s o h h S B X V w j o x n L J O X C t O p p R K T D x Y 2 C o a y 2 I q A i k F F Y 9 L M M A X m / 3 D 3 C 4 6 Z 4 r 4 x s o k T f b A G i d q X B J e p 5 g q 5 3 R 6 D n M n M f l h G E l p 8 n x h s b A w 4 k p I W C c u P l V m R h C b m 4 D C G q P 3 y d U X y k Q f H H X t U M Y v m y 8 s Q p y 2 F G d f + 3 2 c f O W b 1 l G Z Q p J S U K q m 4 9 k X f o a + / l H 8 9 I 1 3 r L P Z I d H I K 0 Z c C t i 0 0 P I 3 L S e W P r 7 J D V + O q X S d R v 9 s c e / 4 R a j n v m U d F Q 4 j 4 o f k 9 g r r p N k c O O C r x 9 u T X h w c t e O t U a c Q n b N 5 i 3 i u s + U e Y b l K O Q + 1 d e + H U d v C t X x l C k 3 q G I r u b j N 7 y m 4 P P c h 3 M i Y L J s M 6 m j y l c 0 U 4 0 x f f l l p U R i x E N 3 / 6 G k U R 9 3 h b x J o i v l o 2 p 2 f R a 3 j t V / I l t N N Q 9 t G N b l F D K B I U U T / 9 M B V y d Z P 1 j O L R e + g b 2 L D 7 k 3 B 5 H 7 X O l C k U q W M o + v R J U s I 9 K a W Y m P M T m W U I k 9 E j c 9 a j 7 A g H 2 4 V r l o p 4 G j d S m x 0 V / y a s s J 2 E w G J I J c D t j Y v n 5 j T 6 0 S K m c l e L 1 8 u u 6 p K I q f / 4 M + j Y s Q O u 6 k e s M 2 U K S V G S E q n g k T g T Z L q 5 e H 6 q Z z I 7 Y c V z c P k Y 9 + 5 f Q + T E P 1 h H C 5 H 5 Z k 8 F D T L 2 2 s x r / N Z 6 F 1 p c J x 2 K + b f 5 g 5 W o e O d l F M V l c u A G + o 6 c E i I u U 3 h K J i g u R s 2 E x 9 e 7 x M 0 2 N J d d k M 6 u V i 5 w l q 2 6 7 p p 1 l B o t 5 L M e x a H 4 b u R 0 M 3 r s 5 m s c d B m e 3 O C G O n V 9 k T V b s M i v S D z 4 2 W / g 3 k / 8 p n V U p t C U T F D Z 3 v A b a 7 O L o y 6 P B D E y F c C 5 S / 0 Z i z d B Y L p N x E t L Y b 9 Z 0 W C D s 3 6 d 9 T g 7 N j e Y 9 X J 7 1 r n E + 5 M b O s X x g i w q n U / n Z h a C e H A Q c a l U 6 f m 7 j 6 J M 7 K Z C i / h h z 6 L R y Q f D C h 5 t z z z z 9 e 6 J C 9 h 1 z w a o h o Q K l w y P O / O a Q k a 6 8 F U Y 2 8 2 6 v m I T j h l 4 a d 8 B 8 v J k O B 1 O u F 1 O N N T V 4 s F d m z N K h O R K P H A R t u p t 1 l G Z Y l A y Q X E F t 0 3 K f H X u D X L 5 1 i X F H s u R b q V u g u n p a T S 1 r h e P A 4 E A 3 v n g G J q b G j E 6 N o p P 7 t 0 J y V 3 8 7 k Z K 0 A d b R Z 1 Y D 6 Z p B h k p W b g K 3 M + C S d T 5 Z V t s n J b o E J n a W v o y J 5 X L F I f S u X w k p k T 1 Q C Z o O c z w L i c m J h g M 4 A / / 8 n v 4 p 5 f f Q C A U x n 3 d 2 z D t m 4 X K K 4 i v / E / r W c X D i I X h r K q / u b j S b i f 3 j w t w L T E x L C Z u X V Y o M X F V O R x N Z T G V g J J Z K I Y b g N j p Z s q E X C v R 9 b k J y M u s I G Y r x T Q 0 L K y K D x 9 5 B u 5 d / x l S R a J T U u H h G M m W Z Y y X D w k x 2 a Q S L 2 C 8 S y m p o D K F j V O U L I b H k X 0 2 T Q u M w 1 6 d e x V A / N x X Y O v O r 3 r C i M 6 J S o l k V P 8 Y H C W r 1 2 M x j V h i K p D b W G Z Z S j d U W q i c d l 6 G g G L k J C Z B n m v r o 0 o X I k f / C n p w E n E 1 Y p 3 N A r J A q c T E O F J Y T j 0 8 u 2 j Z f U G g m M n m b C m L q c S s S A u V S 0 I i A Q v W k W N q O 4 E R C 0 C d v A x t 9 A Q k Z R S e h g B i V V + C c + 2 D 1 j O W J t 0 S D E 6 a a C Q g F h 0 3 4 J Q c Z s e h Q h M P X Y H q W E c x p R u R a B R e T w F X R Z d J y 4 o U 1 L u D M X w 4 x 6 X x 2 h z X 1 h X e r Y p c e g 1 V 0 n 6 o a 3 8 P 0 s 1 u t A t R f Y M k 5 g 7 r a D E i e 8 f N N 4 X x t Z F l 8 t N x Y b O K 3 G / v 3 Y s x V N c 0 Y e 2 a V v R c 6 s V H H r 3 X + m 6 Z Y l N y Q a m z w 3 D U p u + t 8 A 4 J 6 r F c e 0 3 w x G g R g / 7 g k b + H t 7 Y X e u f / g s 2 y M K q P + x L S 3 5 S m g o K b o U B 2 0 v 8 9 U G a G 4 W z o E N U S j s a N 1 j P y x 5 g + z n 4 l J O 8 9 d J R 4 L 7 l + v P z 6 F T f W r n h W p I W 6 3 b 0 m U h F X Y y Q g p y i K t d e u Q e T E X 8 P t u A J s / + a C d L 3 O H W h T 1 A D y E v j F O 5 T w p c 8 x V k z C 8 B 2 j i N g N q b b b O p M b 3 3 9 h H 5 q b G j A w N I J f / Q 9 f o L d Y b j G W D S U T 1 K G j 5 7 G l c x 3 8 c 2 F s 7 V y 6 s P T N 6 1 H s X e d C h V X 7 l h u F u 1 G Z R a 5 Z P A 6 N L Q 6 h n f k W 7 E 4 N 9 o e e E c d M t P 8 I 3 B s W V n N z X C a 5 F g r N r J C P Q 6 7 g J A a 5 g G J C l 2 7 m 4 Q m 0 0 E 3 t m / F j T Q v 3 Z 0 + P E R p E P D Y O u f 4 h 6 0 z u z A S i q H A 5 4 b D L k K W y h c q W k m X 5 2 l u b U e 3 x I B I O I Z 4 m 8 1 T j l P I U E 8 d R 8 5 q e F A D z h p 8 H u X a 8 B Y y 9 q g H O h / 8 A 8 g P / G + o H v w m 5 7 2 u Q e r + K S v V 5 G I E z 1 p N N E m L i F b w J + O e a 1 S P m 3 8 s T u l F F x 9 u H j 4 v z v s D S 9 Y U J W E x Q p w s i J q a u 2 g 0 3 f Q Z l M e V G y V 0 + b X Z E u E x L 8 d 6 N m L B Q u R C P 2 / D 8 K w f w + U 8 + J R r e V 1 X k v x H B 4 j 7 p i 6 0 f N 6 m 0 y T w 2 0 R f F c N r x L 0 P e + d u k E A k 2 5 8 K M I 8 d S b I V M F v 8 s Q 4 t B I h d y 2 U l w P U p v z g c j P A 6 p 7 j 7 r Z J n b T c k s F G f f m H R i Y l h M Z 8 d z W 2 T I 5 T t d m z b y f Y w 3 3 n 7 f O p s f y Z s O 8 M Y I j O g u a + h W i Z C d z p s L D t k d V O 3 d G L t 2 E C d f / B O y S C E x o c t L n w L h A C 7 E e n D O d w j T k V E y L P P m 5 E i U 6 s y I E B N z U 0 y c Z J m H M X e J 3 s Q k 9 N l z g G t N W U w r j B W Z l H i L 4 q i n N u a X l M i m 4 W Y 6 9 M B k V i t p o 3 1 v w d X x E G z k 4 k 1 e / G u E Q 3 5 U b / 9 v 9 J 0 4 a q U w 4 K j A d G g K T V 5 z f y Z u 1 p L o L 7 E U R v C 6 W P 4 S j / l g q + o y S 5 d Y o e V F g i u O k l m o b N i z L v + 6 M + n m G q b 8 W E 5 M e s S c q E 3 g C O 0 T Y h K u n d u G 2 R E f 6 p 1 D q O c + G S Q E I z i J e u 7 T N z 0 I Z f I q J O 6 l b q 0 2 n t / w 0 p i 7 Q A I i y x a 6 C p u 7 U V Q 9 S N X b T D E x J K Z c G t O U K T w v v H o I g 6 M + P P e z t 1 e m o N x 2 C V d n 8 k v X i g Y z 8 5 e Y Z 4 l o g Z Y G z t C J b k 7 i V 9 y y F A 4 X u Y H B K V F S 5 G 3 4 H L r 2 P o 5 j / 2 q u s x J V E g T H U M 6 G 9 X A 2 d k J y V k K d m x D n J W O K 3 L k J x P 3 n 6 H w 1 C b M V t s p N s N l T L 8 X n O a 3 E d j S F 4 N L V E U z N h v G v r 7 9 L f 1 b Z + m X K Z z / 2 G D w e D / Y + t H t l C o r h 3 Q 3 z h S d c c y V d 0 0 l u r s I Z O r v Y d p T 3 8 j V v P k M J I h h o Q 1 z X K a 5 y i o o N p 3 c H 6 t Y 0 Q p l 6 D Z J o r L l Q 5 J K z A g 6 3 A i P Q A 5 u n n R T Z D F t N t 7 B m m S A m l J P i r F w 5 f P w U w u E w n t x D L q t 1 r s z y O O w 2 N N a 4 s a a 5 d m X G U A z 3 5 6 u v y F P v O c U Z E l 4 7 e A S e S g / O n r + E T R v W m R O d g y N o b K j F 3 p 1 r z f K h F I S O / D E 8 D 3 y Z L I o T F 2 b e w / a 6 v S Q f H u t t Y h m F F l A g V d S I 9 L g J v T 9 1 0 s w S u h c m a / S x t y C 3 P J n h + + e P s C y B l U B p L F Q O r h e L K a T k q f W s x Q R E Y i q 2 b + n E 4 w / u R P e 2 z f S 1 R V i A e 3 d u R X t D 1 Z J i i s e C c M j T Q k w M i 6 l 3 9 i g u + Q 4 j q k Y Q d 7 a S 1 a s W 4 m H i k X H 6 u m F a J O s 1 P L H L X 0 I g T i + M U L 8 4 v 4 C U i z R t o o 4 w w X d / 9 D P o s O P i V S v z W K Z k F M l C W T c y / 0 N i y n U d 0 B v X o v h Y Z 2 l L k L h h J U / a J p O 6 d O g W c u / X o H f d q p Z g u E N S o q l L d P I K i W k I L g 9 d B 4 M 3 N L N B q r W K V j W K n e y N Y p c O b p q Z w P C d g F T / g H V E W G J S f A O Q H J 5 F b q l B c R 1 b w B t j P q x t r c f J c 1 f x Q L f V D K Z M S S i K o N 5 + / 4 w I 0 v p v D O G L n 3 4 a N j U o Y o V s u T 6 r Y W N t n p O z C e u Y x l p x Y x R u F c Z N Z K T k q g h m G d c x d P x Z O L c 8 Q Y P G v M 2 t U 7 w m q g X h R p Q M H k / 4 m m 5 f R I 2 j w j a N s U k F r a 1 t C 1 + j T c P Q X P R c t 1 V R Y c J b 4 t g r y F I m 7 z y o K W I M M 8 g i y l k 0 x C l T O I r i 8 u 0 m 9 2 j 9 2 j Z 8 h I L b Y C i c k 5 i Y v M X E 8 A 1 K X w v 2 Y E p A N z 1 X b n C X I b Y k K c V E x J d p 5 F 9 h P 7 d Q T E y S m P S 4 h p B q Z v l Y T C d G F F E E 7 L T K r F r b K I Z K e g 1 b J M l d R Z b H b B L K 8 3 P 8 G j t X W p C Y T P f w F p L s E O 7 j z d b O q x x e K 3 r 5 + j h u D I 3 i n 3 + 6 3 z q 7 s i m K o K r h R w v F G 8 3 1 V a i p y n E Z h s U H N 2 L W o / z g V s n z V 8 a y k P g G X q 5 y Q 7 C M D V d T J C T 3 k 7 v K N 3 / i 6 8 1 r G q 7 P s M t o w 2 T I E D u O f K x d Q b q N 8 I 0 Q Z y n j Z E G D w v r w Z D d X 4 b N r y J U a n G 1 M o E f n b g q S d 0 C U 3 T X C 8 q 5 q 6 L q f P n 8 B M b q + j z 6 w 2 z q 5 s l m x W b 4 E J 8 d U 3 N 9 6 e 5 d x L 9 e n I j Z 8 D p L d g b e C G 3 B / 9 Q x i 7 i a s 9 d r p n A e x I 2 9 i p q Y Z z 7 1 7 C v f t 6 i Y 5 U U y p a R g e n U B 9 j Q c 1 t Q 0 I B I L Q d A 3 t r S 1 i A + v p G R 9 Z L g e 6 t m z G d j J 8 K u 9 I Q t b K 0 b A e 2 g w v Y q R / R b z F Z V E k I n q t o S v k C d x q J m q m 7 m W x r R D v h L J a E e 3 n b L L 5 b 6 F a q h W R g l u o 5 S Z E s 6 U q j 2 v 4 / C s H 8 e r b x / D y / g 9 g i O g i e 7 h y P Z 2 Y u J 7 P 1 d 4 N 7 d J f o 6 V S Q l N z m x C T y O b Z J L H t p h Z T R I e l 9 t Y m b N 1 Q g y m f H 7 U 1 1 W h q a k F H W x O q q i v F p C A v m Z i e n U U z P d d u t 8 N b W Y F 4 d A w y u a Q 8 7 6 V O X h W L G l k 8 Z v L C / J s U u u b z x c S w m J R p T l 6 w R V u 9 W 3 / q Q Z / 4 e x e 5 w y u U F W + h m I M D M T y x P n v X 8 c e v H k R r c w u N + D N o a q j D o / d t t b 6 T G b z B A e 8 s a K M Y M O W i Q b E P V I 3 Y r u Z T x u 9 D 3 / K M q E 5 n d 4 u 3 / W T i h k E 3 B Y m S B B A c 3 Y e q J q s v B c V l v P E a 9 B h s r l r E I 2 a 1 R D I 2 V x 2 0 s C F c 0 z j F f P r s M G z 0 X h J J B 9 7 P 2 E b W L B l + 7 u D A D T g c D q x p b x M u o 7 m f M N + Y 8 z 5 y v l E 5 g W K J 0 1 B C 4 u / m j G Z i 8 2 w e N E q 1 k f Z 8 N P 8 I 7 D U Z u O Q r i I I K K j n t W y g O U x w l e o K X E G W 6 H 8 6 G D d a R C d f f i T Q 4 3 Y T q 7 B A O + B r x e I d T l E r x W i i l 7 X e s 1 D o v Q J y h m 5 D O W z 3 + O N 6 J z / V A r u s G K U 6 c E z c y 3 9 D a N M Z 8 A y T + + 8 V p w 3 c c U t V m w E m v p e + p c 2 F 6 m g Q 7 V 0 U Q i e u s 0 + + Q K x f P i 7 E A L p 8 / i 6 O D Q b Q 1 k P D I W q 5 p b R U D y x y 5 l 4 8 9 c j 9 e e / s w H L K E y e k Z f O 6 T T + P 4 2 R 5 y Q b 0 4 e + E S H r l / F 9 4 / f g b / 5 U u f I L H S d b d E p 9 L v s 3 t o s C i B u F R 2 b e u W 7 s + x U s l P U P Q h h 6 M q P C 4 Z E c U G F w 2 U 5 3 u v k 9 9 f K b Z m c d S t E z e V u B E b F 9 6 c 2 a D o c Y R V A 7 X u 0 o + S S 8 H b l / K O i 2 I T a t 6 R c P B / 4 H z T F 6 H F F W x 3 d 9 + c A F b J 7 R K J D 7 r J o U + S d b m 1 P s o I + c T N L 1 d I J D j F n O j V w u S I 2 8 n C k Q v H / S E c N X Q j x 4 Q o u O o C 1 l 5 W 7 P p x o o V R / a O c 4 h P 7 + C Y Y G B 7 A x g 0 7 M E s C 8 p J + z / Y O Y M e W j S S c C / A H Q h g Z H c X n f + 5 x + I I q h k d G s f f B b r x 3 / D w i s a g Q X R 2 J 6 6 k 9 S y 8 N S S V m f h + 8 C b e z g H 0 y V h t 5 C U q h m / y N d 4 7 i k 0 / u w a W r N y j Y V n F j e A y f + e j i n f H y b Y L P S + O f z n N J R 7 7 w h W I h r a 2 W s K P 5 V k X 8 3 K E / h 5 3 i K P f 6 P b g Y O I 7 1 a g M 8 t a Z w u P i V s 4 t C Y D y v Z N D f Q A M R t / j i d H z P 7 G F 0 e 3 d A 9 / e R M J v o f J V p w W Q P G Q Y 7 9 J m T k D z t J M S l J 8 Y 5 V n K Q x c p k s / D k z k w i 1 o u T W x q d E 2 J w 1 C 1 M / 4 t N 4 Z L i s 2 L C R c e L V k i v I o o e Q 8 3 3 v 9 m v N 2 N L 0 1 / P B p 1 e e 2 h A Q Z 3 b h t 2 t + S / v y J b j w z F 6 D 8 A j a x e 6 n m J z 6 p 7 / D u m + b 1 t n U s O p b 0 m O k V U a 5 7 t Y C I b u H v q G B s l L 4 r M n r 9 0 i t 5 G r 0 L U 5 2 I w Z w L 1 J L P V g i 6 9 y k s G I w 2 F t + q Z a U w B 8 V e 0 1 y 2 8 E p 5 P 3 I L v N P u f F F o z C P e P p j c l 0 D 9 h s 6 Y t 4 l 1 v N v R o o u q B 4 9 O S l C v P J 1 1 r d 8 G u 4 M K X h Q 2 u d 8 L q K W 4 4 4 H t R x e l z F h 9 c 5 U e l c + L t 4 9 a 5 r 4 j s w u p b f B k c 0 Y H E o F B e 1 k m t H r p E W F W 4 a x 0 a c 9 J g v K G W K L E 4 d C 4 N E I t s R 9 5 8 X F e i Z x K i J M i 9 O l / N A x h U g b L 1 M + K O + N Z i J p q B s k U i M I h m h 8 K Q x W V J 6 T 4 w e C Z C 1 W J y M S c d N a 2 z x L y 8 f Q D Q a w 4 6 u L d j Y 0 S a m C p L h y g 6 2 x q m S K 6 u N o g o q 3 R Y 2 f D M m u x f Z w j H 9 o c E Y q u h G f 6 A t 9 w / j 0 r V R x J Q Y r l 6 / g a 4 t 6 7 F j c w c 0 M k f 7 + 2 P Y u 9 a B K o o R U 6 G f + G 1 I u / 8 4 g / k R i n 7 0 K I z Z c 5 D q H h A i 4 p t Y N G y R S V T 6 L F S p G r a A W V z L r h t f N 0 4 I s P W R M Q n D 1 p y R 9 U k P v Q + 6 Z r x W L N E f k b O Y X M m S 6 G W R L 8 k 9 O L j P h / B K + I t / e U o W C n 0 1 U 3 Q L l Q 7 u o e C o K 4 y J D y o G 3 r u h 4 M k N L j j T l R + k 4 K f 7 D + M j H 3 o Y c b r R z 5 z r Q a x h i 9 g X d 1 v T 0 k I J 9 z 5 H l j a C q l 2 / b J 1 Z G r 5 p o f k R n O l D h b s D h 4 O t 6 P B e E P M r H f a 1 c F S 5 E Y s Z k E n E 3 O y F E w 7 c k 5 z F p U 2 d E n N K c t 0 u 6 6 c V H k 7 f 8 / q t Q s A p d 7 E R d 1 a U B b U k y t R 1 M v m 1 C 8 x + O p a a R 8 m H d w b I n a J h M d v u s w G 6 q Q 8 P K S J 7 l / b j 5 S D + 9 F c g L x M 3 J R D 1 g v o w 4 o 4 W i l 9 i U G o 6 F 1 o 9 b Z p + p E f U 3 / G i x P l x j e E / B 1 2 r p t i i X S Q U n E 2 b x P k 7 g 7 j p d q Z p X 7 3 a K K i g 8 n E b i h E c z 5 F A h g I 6 p k I G o j T 6 s 8 f B m 0 b z W q v O O g c q H T b R I S l G g f P b A 9 z + 2 Q k P P y E F v E x Q U T U x U R o b + j 6 k l n 8 P X d c z 3 n r U 8 J 2 E 5 O 2 C 4 h v D m F p B c Y 6 K Z p k G H T 0 G 2 S 1 R v G K 6 h f b a W 2 4 w d 0 f i D O D i h M X q h v t t c N 8 N c 6 L 5 z q K w g u J M l i v 3 X f K W W o t U T F h 0 u g H U Z b A 6 m C u e P 9 V w G n 0 1 n 8 f Y x A Q + / d T i 6 Y F k d D j x w a n z 2 N B Y g Q N H e 7 C m r R V + f w C h S B h V l V U I B I M w S O l r 2 1 r E z 2 x u a C S B a 3 C 7 7 B g a H o P T 5 Y S i q P B W V m L L I x K 6 G x 6 z f v L K h D O T Z o 1 h E v Q 3 i q R K D u v i S o E e l 0 R G m n e U 5 P c a i 6 l w 8 c R q l i x / F 2 V B x t u z 0 B v m F H o y L C a N J y l L C G c J M x E T 8 6 V / + 3 H U t s 7 i g e 7 N + P R H 9 1 h n 0 y N J M i L k 5 r k r a + A P B H H l + n W s 7 2 h H Q 3 0 9 X E 4 7 1 r Q 2 Y + u W T k z P + B F T N C j k A v v n 5 h C N q g j T 6 0 L B M I m t W S Q S M G / b U E U h 1 1 G 5 1 Y V 2 p c B i Y j c + A S e m e K B k F 3 y l i o n 5 h x / + B B f 6 B v D q W 0 c Q i h q 4 3 J / b f V g w C 7 X c h B y 7 d I n 5 K L O 5 P v / a 1 J H K S p 3 c 4 2 X u + p n f g / 3 h P 7 P O L I 9 h G J i b H I L N E U c F Z D h 5 7 s i 6 D j y w 6 O z y I Y T Y 2 C m 4 W n d D 9 4 9 A b j A T E N y H 4 n z o q n g 8 O v M w 2 u q O o r v + c X I 9 F b g 9 9 c L l 5 L m s 4 b F p E l 0 D T l / o x + 7 t u V e k F B o t O g f 7 E p v P r T x 4 H Y D 5 G e c z p V M Y C 0 V B e j o B q L O j I j 5 i I d 3 a q c I m 5 q N S I X 5 W C g t 2 u x E l R r X Z u Q G S J K G 2 a Q 2 q 7 U E 4 6 9 v F h 5 a A 5 6 K M o L l I 0 G h 9 F P t v y D g x 1 4 j p k T f p / G X Y Z D c m / L s w Q m J q q j 6 P r t q H x X N 5 C v d b / + 8 5 f P s f X x D H P Z e v w R + M 4 d z F S + J 4 p c B i y m T H y m z g U i 7 e H V 8 8 L u j K h j j 9 7 P 6 8 x M T k b a E W 9 / 5 O g o U h J i J S w 7 v 6 3 R L Z Y p b a H u Z 2 w c v P 1 X P / G + 6 H / p D e d / p 4 U T G i o l E L s 4 6 8 M 2 / l G t g q 2 k Q 7 Z Z t s w H A 1 0 E 2 3 k e 4 M 7 i n R A I M + 1 F O T p z E V 2 A G P 5 M P e 5 i D e G O t A c / V Z 8 u 2 j w j q t N v q H p 3 H s 1 D n U e K v R v b 0 L b Y 3 Z x d j J E 8 V L k e / m d d l 2 C F 6 K g q f N 5 2 O o M Y q r l s / 6 8 f L 0 R K F n K g r V V r l Q R M 7 8 E x A 4 D / f D v 0 5 / p A y b e + k B Z T h 4 B X 5 l D B v J P a u o 3 Q H d d x F x Z y e 5 g o O 4 3 v M G b L o N M y O j 6 H z k Q c g O L 6 r X f R Y 9 0 x e w I X o U E c 9 m T N n M i f G t 2 J j 3 V q e 3 A z U a x o 3 J E D o 7 W n C u t x 9 d 9 f q i W F t M j C e N u X x u q b 2 K l y L X 0 q V C Z p j z E l Q 6 I e Q i g n S 7 G 3 K H V N H U c Y U Q O f 8 C D N 8 Z u L d / E n L t F m g z 9 G E 2 z Z 9 8 j c O Y P g G p Z i O M w A D 9 2 8 1 Z G + t 7 J m L A s Y 3 j w o G / g Z 2 + F w o F c e / e L 5 E H H Y H k r S c X c 6 f 1 z N W J M t W f 1 y q D X M h W H J l a w E z J S 1 C 8 q x + P L M k u W z 7 p 7 5 Q X Z B m 3 8 X Y R O f c 8 j N k e e B 7 + K r l x Z 2 C T n J A a H o Q + d Q y S h w Y a Z x O N t B 6 z Z T P F S 6 l G T / 5 A e S Q W C R s j A G 0 u g M s n / g q G b m D n x / 8 I + t w 4 5 C K s M b u z M b P I N / v A L 0 E m 2 9 N m S 1 5 J C V 6 V K s R k 6 B Q G 9 I u g j v + Y X M T 0 / R / v w z v H e n B 5 y A + f P 0 L C 4 t 5 1 K 5 u K 7 p 8 H d 1 m J T v R A q j c T B l z 1 I F W 0 w u b Z Q N e G A l x O F 1 f V 3 x Q T V 5 L w W j F e j c r E n P N q H a U q 8 C 4 b 6 7 t 3 I T g z Z 6 6 c X a 1 i M g r T H j o 3 u H 5 Q E h 7 U U v D A X W g x M Y X J 8 t H o 6 i D T 7 h A r X H O z J F y N z G X + v H P 5 F N 1 M k t M N x T d o X p Q V a J 0 S V O 7 5 A 7 h n f m T + 1 R J d T q k W t s q l Y x 1 7 V R N 6 w i e h G S r 8 M 1 c Q m L l K 7 u K w 2 M B a W G J 9 G H 1 H j + H h L / z G r Z q 4 A v U u L w X 8 m Q n 4 W t x m O B x Z a l 6 z 0 F U 5 C Y q a l C g E n F r m x X j L Y V D Q P z Y + g f r 6 O r j d y R P M C / 9 E 3 h l D n J P J R R O V 3 a m r y T O F X Q f 7 4 L d g 2 / a 7 g C N 1 T O m P j s M Z p I E C d r g a N 9 J r R m i E N K 0 W V 5 2 b x 2 0 U V 9 1 A L H w G n o Y v i h Q x d z p a a U m Z 1 Q Y v n p T n J T i S k 2 U / f P F N f O q j j + H o q f N Y t 2 a N a B X w w K 6 t q E h a r p M J t 3 8 Y W Q Y h p k z m p C h W + c 4 / 7 Y O L A s z / + 6 N v 4 O 0 j r + D H b 3 4 X w W g Y Z / p O 4 L n X / w 4 / e P n P 8 J 0 f f B 2 9 k / 1 4 p + d 9 0 U 0 o l Z h Y c F x C w 1 / m X N n S v 9 8 U Q j t i P g W G 3 5 y E T Y X X 1 Y w Q F F y W r H k Z q 3 k m l + N w V T n P v f H j 3 s P f R c / b B 8 X 3 W E x M n K z Z S o f X X a 1 U W E x c s c H w 4 J e c e X 5 w 1 3 Z c v n K d P C Q b H A 4 Z j z 3 c n Z O Y m B V v o e Z j 6 D S y y A s v R o L h 4 X G M z C l 4 u L s L P Z f f F 5 7 n 1 M w k v N V e N N a s w S s H v 4 v 7 d j y O 6 s o 6 D A x f p o s q 4 W M P f c F 6 9 f J M z Y Q w T B a w u 2 s z d F 2 D p C Y W 3 5 n u a L T 3 d b g 2 P U b i W L 7 8 y q y w X i c m J r l U J 7 G X F S 9 H j w d P Y W L 8 D F q 7 f l U U x z I b 0 I 7 q + h V a Z c 7 u 6 D L B / 0 q B 5 6 p 4 Z Y M e M P v U S 6 7 C u 3 2 r S l C M R h f D X m 0 m P T j 2 4 J b E 7 A 7 x g j z 2 l x O L 8 B T 6 n r P A a X Z N t 6 F / 2 P T J N 3 c s r E u L 9 L 0 C R + u D 6 S e 5 5 8 H T A L x S 1 0 4 W l X d B F I W Z l Q 2 I R y k G c a 9 D M O Z D h c O L 4 X A f 1 j k 6 c l h j V G Y x H I s W V / y r T l C M H q I R p j J 1 J p F N O 4 9 A p S 7 E V A b f Q 9 z h g a s t s 0 2 k u U E L d 0 R d F B 9 Z O 3 G s B h K r f V c y q p 9 c 8 n m 9 / Y p d e S O B P l T u r H r 2 0 g D e P 3 k J r x 0 8 h l c P m O U y K 5 W l x C T c D w 7 7 L T E l 9 m I q B f b m H T B m M q s t i 6 g q x X l / i N n Q L L 6 3 / + 8 R p v j j u z 9 5 B j M B P 1 4 6 / J p w o Z 7 b 9 z 3 r 2 S u X l S 4 m I x Z Y I C a G x a R S r F o s y P 7 F c T / F H Z W e C u z e s Q V 7 H r w X H 3 q w 2 / r 2 6 k E k D + h G 5 K 5 A C b j B C c / l l A K b o 5 K G v 6 W X U 8 z 4 g z C k C v o i K + Z w o K N 9 C 6 4 P 9 a K 2 u g m y q w Y z 3 M m I X h + J U q w 2 0 Q + 7 n d d p c V y 1 M h M S K / V 9 z Y e 7 O 6 W C m 9 a I z S K K A K + q w p r m O m z q a E a F S 4 a 3 0 k k f 8 s o e e Z L h e G S p K m G O P b j a v d i w k O O x i 9 b R Y m K R A P a / d w T h S A S z g R n c e 8 9 j W N + 8 E a 2 8 A Y A W w 7 Z N j 6 K 2 y o X N 6 + 5 F S 8 N a f P S R z 0 O W J e E S Z g o v F Z E c V e K L H 7 9 7 r E e c D 8 f S b 8 e T P d z 7 I v v F d 6 W E K y U c a Z r a 8 L a s Y g f / A r M 6 0 j N L w J X q H M w v V + P H 8 z t a s U V F r n N V F c U / S 8 C b q d 3 T X o v R / l 7 4 A z 6 8 8 d 4 / o 4 q s U 9 / A W Y T D Q Q y N 9 k K N + N A / 3 I N o L I z X D z 8 v s l J k o 6 y f s D x 8 E 3 3 n e / + C r z 3 z N 2 K t 1 K M P 7 B R W W 9 M K K y h + X y s Z 3 r B C Z E 7 T Q Q N C o k 1 2 v o t a x T S L Z f F W Z V K C W a q v 9 + 0 k N n A Y c D n h a r U 2 B E g F z 6 k l f 9 h 0 T h / d B 5 t 3 K 7 S w C t n b e j N w z q Q X 3 3 y u X L k C J R b D P V 1 d Y g e P u 4 n 5 k + X Z Y j Z k Z f u y j B A t O M O c 6 D U / n 1 U l K M 7 Q c M 9 v i W u U c p j 7 m J 9 W L x b 6 m a 9 A v v d b 1 t F i E v s 2 M Q t a b m n k 2 l n N W H i E 5 f 4 c z u b N S 3 5 w Z W 5 R y O U X v K N K u u 1 U u S l n u l Y P K 9 7 l E x 1 N 6 Y 9 k e N S W + G b M c S K x 2 G J i j O j S m U W u z k + I i e E 5 t Z t Y 9 X r K 5 F U z S 2 l 1 B G I x L b W y u Q x d Q 7 L g h a z L Y z H d r E e 0 U I N T 9 L m a C Y 7 l + q a s S E H x n k q i r z f B z f Z 5 Z / N F 5 F g w K p Z S F J O N v 4 b Y 0 C n r 4 B a i i 2 5 S y Y u 9 x p w E 1 n 1 n o U + d F I 8 T g 8 X 8 q Q F O u B R 2 u X d u p K v e v h 3 w 5 g b F 2 D 5 J 7 G I i 9 u 8 y M 5 k O r q q w e s E v x 8 o R F M U R 3 J 6 Z / 2 V f N m U r q n m o M 7 n 1 K i h 2 8 x e 5 p h 0 V w W e t o 1 s k 1 w x q F M j y Y M E F s H J 1 G 2 y N T 4 j l L 1 z x w U t h 5 K S y G K 4 O U X 2 8 5 + 7 t w V C V J R e T 3 h b 4 P i n m V q c 2 O a d M 5 m 0 X F G 9 s B g o I O V B P N K 7 P B N 5 n N h f y r S x P h 9 j R 0 F U F V e H R L D k 0 X f h 3 2 T 1 m h k l 2 G D C C o / j h T w 8 h 6 u n A d L w O 5 8 Y N / O P z r + L d 4 x c w M j E L j Z f Z k 9 A c 9 f n 1 g s 8 G r u I w H / C / E r k 6 K 6 s p p d j 9 c Q V y W w T F g R 0 H k o z Y J T D H m z y e o 9 v H F c f L I e I b z s h l C F d b 3 w x m N / 0 6 I n 1 v m I + J h P u a Q J m 8 L v 7 V 4 Y K 9 o R s T 6 l r U 1 X k R j c U w 5 Z v B w N A I a r x e 1 F R X Q 9 M M H D 9 j z i e V k s G R a R 5 9 8 M L P 3 k J U K V 3 F S W b w P F j x B N 5 / v R + j v g h U O M U W R h e u n 0 E g G s K b R 1 7 E / q M v 4 t m f / Q U 9 K / X A X z J B s T / K W 7 o w H N g V I p D U / b m V k K S b 8 E v A H X R E g 8 Y M E L v E V 9 Z b R 2 b 8 U x l / 3 T q i v 3 e e + 8 Z z O A l / / P T F P v z x 3 / 0 A s 9 O j 2 L a l E 9 4 q j 9 i 4 + q N 7 H 8 L u 7 u 1 0 b j 3 d z D G x P / D Y l B + h S O m q E z r W c M b R h s 8 9 t h P u J X Y f u V 3 o 4 T k 2 o d Z R 4 e H 5 v B c P v I 9 I R I G q x e D z T 8 B l d 6 G K 7 o m 1 L Z t R 5 2 X X N / V g W 9 C 0 e T g c x u T k F F p b W + B y m + u Y + K b k C T Q u A z J J X A j + t e Z W J 6 m 6 y B a T T O Y r e K P p u G 7 A X p M + 6 F 0 q F a 8 c + 1 0 4 H / o m P U r + 4 M 1 6 Q 5 6 l v 3 r 1 C q r q 1 k A n l / f Q i U v Y t r k T F / q u Y t f 2 L h K X F z d G R t A / O A R Z l r G u v R W 1 Z L W 6 u + 6 c x v q 5 U K p m P a + d H S F X G / j M 7 u z m t Q o 7 D y V 7 8 P Y 3 3 8 e H v / Y g n v v p q 2 J 0 3 b i + Q 6 y k 5 Y a P O t 2 g M X J r X C 4 X v N V V u H f H N r z + 9 j t i A n L X j i 5 0 b V y H M x e v Y P 3 a 9 q z 7 t x W S U 3 3 j u L e r E 3 M 0 Q k 2 O D O B H L 7 6 K r / / G r + B 8 7 1 V U V T h w 8 v x V I Y L q y k q c 6 b m E 3 / n 1 / 4 T T F 6 7 i y I n T U F U V o X A U P / f U Y z h 5 t g e / + h + / g G B Y x Q f H T + G J 7 r Z b Q k 6 q K u f + 6 j K X L / H / 6 B P h x W 4 s P p X D S 3 5 k x E U 5 0 U q z F i W H L 0 4 R r V M y B w d i 4 v o / v j 7 1 O r x k C u r y h Q J + 7 P q F b W I B X l 1 d L Z 7 Y 8 w j 8 / j k R C + z a v l U U h a 5 p a 0 F D f S 2 2 3 b M Z Z y 5 c x D 2 d G 9 B Q V 4 P d W z e I W s L d J K z T 5 5 e u i U t G Z A a z I J M y E 6 + 3 F n 9 z Y A L 1 V S 7 E S C B b N m 0 U D f 0 r P R 5 0 b u j A t I 9 d V x s i 0 a j o T T 4 9 G 8 K p c x e w d c s m G i i q 8 c u / 8 D m x u 3 p n G + + T K 5 P Y e u E h 8 S X E p E 8 d I X d 1 4 f v m X U B Y Q N w Q W B I 9 z M 3 4 0 E H 6 I S 8 Q T o f t r h c T N 1 U t l Z i i q m l n n i A h s Z i m w j r e u h 4 V e y w f G Y 6 J 7 6 V i 1 Z U e D Q x P Q y P B 9 v R e o Z h Z Q i 3 d w H W 1 N d h 5 z / J N I H n e I p N U K 7 u g p y 6 P I z o 7 h k e 6 N y 7 q S M o T r e Y u I 3 z p b F A m r s D Z n F h R y x + 4 e U n D P S / B X t c B W x V Z J m + L E L + j p p n e x z g M z S N 6 G 3 C d Y Z n l K d Q O i 5 n C g j o x q m B v R + r f 2 T O h o q N W x h m x X a z 5 n N N j y u 3 J 8 u U D W 4 z L V w f g r q g A N 2 a J k A v J l i I T u H d D J n B h 5 f 1 d r X h 4 Z 4 d o E j N / Q p O T K 2 Z l e 2 I c i t 8 U E / v 3 t 8 4 D n h 3 / B t L Y 9 0 l M P K c W N 3 1 / w 0 / m p h 2 8 l q g s p s w Q f S C K K C b f T F B s O 8 Q F x Y l w 3 m W X 0 j Z u 2 t H s Q L V T E m L q m V Q x F 4 u L z d R X b X F s b v C f m r v L Y E T m I F V 4 R Z e i p c T J a 3 A 4 A c P d l M T x q d + C f N 9 3 z M e + k + R k O y H X r u 6 O s K U k m / b K v E y F Y / U J c r c 7 W m 9 l X Z c j p j v w 9 W / / P X 7 z i 0 + i b 2 h a Z F x f 2 X 8 Q H 3 r 6 U + h u y W 5 y 9 6 4 S l F l R n F 0 c w k t E x L L p i p o F M + f L d c f l S g 5 H 3 T p E e n 4 C R / t D k K v q y d W b I k H e 3 V m 6 b N D C M 6 L n R i Z M + I J 4 / q V 9 a G p o Q G 2 d F x / b e 7 / 1 n e U Z G / e h u X U N + q 9 e x I a N n c J D U T U d Y y E d H T X Z V e z f Z R a K 4 5 / M d 1 l c r v K Y S 4 G W q 1 7 g S h D 7 0 F / A a P s l 2 J v v p T O l y 1 C t Z t S 5 C c t V z p b E 9 c 3 / t p 4 O 6 2 j w Z D c A r 7 o Y K l 9 E a V A G N X G i n i 6 N m B g W E w f L 6 e B K E J 7 U d / m 5 v q 8 s p k z J / U q x k A p j I 3 J J K N 5 1 g m J Y C K I F W R r s G d b N 8 Y 5 3 y x H y d 2 B u p s s 6 K p M J t 7 s Q l 0 u O 6 i u y n 6 a 4 K w X F 8 D o j P Y 0 Y k u v v l k L s Q L I M 7 l 2 / B E m 7 / c s v V g s c t 2 Z r H o 4 O K T g 6 r O D Q Q E z Y p / G g j j e v R f H B 0 P K f T y r 2 0 2 t z 4 a 6 L o Z L J J V E x H 6 5 P 5 I Y f a e F c 7 I W v Q u / 8 h s g Q J h p 1 J s N b 3 / D c 2 s i N K x i e D G B 3 9 z Z M + / y o r 6 l E 3 / U h 1 N Z 6 o W l x r G t N 7 4 q u d j L Z j X A 2 a u D Y i A K X b M P O Z g d Z k 6 V t A 0 / E P t K e e d p 9 I m T G T v S j s + a u t V A J z D 4 C q T G 0 x a P U b C C G V w 4 c w V w g i h / + 6 x v Y f + I a / u W l A / j + C / v w s 7 c + s J 6 V B I 2 2 k s N G M Z k X 9 j R N / 0 e m f P i V 3 / 9 T z P k D O H v h M v y B M F 5 4 e R / m g m E 0 N t Q i G I o g m u G c 2 2 p m K T H N k Y j e I M v h j x m o d U v 4 W K d b V D G k E x P D Y j o z x h Y s h t f p 9 f w z V P b p U s B n g 4 q R k 5 g Y 2 + W r 1 + K d a 5 d O / 9 4 N G L o C K c V y g F T W y x 9 U 4 K 2 u o B t b w R z d 4 D z J 7 H I 6 c e + O L r x x 6 D A + 8 9 S j 1 j M X I v d 9 D f q W Z 6 y j 1 P T 0 n I e L K 9 E N D Z u 3 b L b O 3 l 2 o / t G U q w E u T q n Y 1 l i 4 1 m U G K Y d d Q o Z b l P D x m m p Z W L t 8 s B 0 5 c T L + w M 6 7 8 8 O b j x q Y h K O I g b B + 6 r c h 3 / d / r K M y j K p L e P 3 g + + h o b 8 P E 1 D Q 2 b + h A Y 3 0 N x i Z 9 a G u u h 8 d t z g H x z R 5 R D V T m u C N G K Z H K Y j J h M a X q m c B z U U v B 3 Y k y R V U a E V c j 1 l E Z 5 s y F X o Q j Y V G x v 2 P r P e L 4 + N m L i M Y U R M n t Y m I U M w 4 H t F U h J u a u T 0 r M h 5 d V J 6 8 E T d c Q 3 1 C j N 0 u M l i N 6 6 W X I D V v h a C o P Y N n g i x j L x k g r i d X z T k u A E F O i O t I i X U P 8 T M X E O N d 9 C M q V l 6 y j M s k Y K X q l v 9 0 f X V V i Y s q C S k K Z X V x F k X J O K k l 4 y 2 G r q I H T x p t 6 l 0 l F Y h P v B J w w + M i G z A e s l U J Z U E k 4 6 x a v q 5 I r z Q 5 F C 8 h 0 4 t H Q x R d 3 L X L V F y 5 L d a f h t L p Y R S h m C i g 6 n u 4 s j Z g i 4 T B 5 G l V Q d E 6 A S B S 7 6 Y j p M h R 6 H 3 H w c s / s 8 u f l G C o F q W I p Y Z G y n L 1 f 0 G q Z y C R 1 f t f C A 4 8 k 4 / B Q D H v W l m 4 h 4 Z U r 1 + C u a R E 7 n f R e v k w C k n D q 7 D l s 3 r g R L p d D t G v 4 y C O Z b + 9 U F l Q K x B 6 s S d U M n N F L 3 h X x X G 8 / 6 r w k G J u E t W 2 N 6 L 8 x j n V t D f T h 0 M j G n W L J K s 2 n L K j U K J P X c M 3 W g Z G A h q c 2 l t b N 4 1 Z 0 o Q h 5 E D R Y V l Y 4 6 T O j z 4 7 H T p K W 2 P l E q C N z i Z R d v h Q k i 4 l Z 0 P L X 6 g c 4 O D y O y 9 c H 0 U d f U z M B 9 F 7 t x 4 W r Z t G t l q L F m R Y j C 5 d l 7 H U 3 4 G z q h I e 8 4 V K L i b H R Y F h F v 7 y y g g c / Q 0 z m k 4 s i h G Z + V t l 9 X m U L t Q S p 6 s k M T Y H E K 3 U N u t i i Z C n h A i Y u I R + b j 1 N V W U T e + z 2 4 7 v s K J E / m q 0 n v d P x h B d M 0 0 H T W 3 R n x Z d l C L Q H v 0 L 4 I r i z n U e t m / R + L 5 9 Z 4 F F f M i V v e 2 z d V w a 3 h 6 o I 6 V v o u s E z v p c s i + J b s l d h / + B Q O f H A G Y 9 M B R B Q D Y c W G c J p d Q 4 r F 2 X E F X n K z 7 h Q x M W U L l Q W 8 t W h y Y x V h i X j H j A w S F l p w A t H T 3 8 f z o 9 s x F w h i 5 9 Y t W L u m F f d s K P 6 O 9 T 5 y S V 8 4 c B x f + t R T O H j 4 f Y r 5 W u D z + a F p G u w O O 6 7 f G M K v / O J n r G c X F + 4 O F F b j 2 G N 1 C 7 q T K A s q D a k E l A + i H f X J r + J s x X + l m G u W f H c P 3 B U u 3 L + 9 0 3 p G 8 e A m m V e v X o f D 4 c S G D c u 3 X C s W X O n N K f H s 8 q W r h 7 K g M k C P z E H m K n B r 7 6 Z 8 K G f 6 7 m z K M V Q G i D 2 l C i C m u x 3 u v n u n U 7 5 L c i Q c 0 z A b u L X Y r + f y A K 4 P T W B w Z L K k u 2 S s J r h P + H x e f + c E X t r / P g Z G f D B s i 9 e j r U b K g s q R 4 2 d 6 c e i D k 7 j c P 4 q e v i G c 7 7 2 G o 6 f O 4 8 S 5 X v h m A 9 a z F m M Y d 2 r 0 k J 7 J k I E n k 2 r z H r x 3 B 9 x O J + r r a i D F V + Y G a t l S j q F y 5 t a c 0 0 K W O m 8 S O f R b c O / 9 U 9 z a 3 u f u o M + n Y s t d U M t Y d E E d O d 0 r 6 q H G J y Z F i n h w Z A y q q u G z T 3 / I e s b d R e j 4 D + D a 9 A T s S U W 4 q u 8 G H P W 3 L / t W b E Y C u l h i v t p I 7 F 3 G p U n L A / x / p c S X 4 Q P d U 7 I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 G u i d = " a e e 7 5 f 6 d - 8 2 6 2 - 4 1 2 e - b 1 b f - 3 3 e f a 1 b d 3 2 b 5 "   R e v = " 1 "   R e v G u i d = " f c 2 9 e 4 9 f - 1 0 7 c - 4 c 1 6 - 9 d 6 c - d b c 7 b d e 4 7 2 c 0 " 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3 2 7 B A C 8 - B 0 7 7 - 4 C 8 6 - B 0 0 8 - 4 F 1 2 B F B 4 8 2 7 F } "   T o u r I d = " 7 5 6 c 7 e 3 1 - f 6 7 6 - 4 2 2 6 - 9 8 d 3 - 0 c 4 1 6 a 6 7 4 1 6 8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m I A A A J i A W y J d J c A A C + 7 S U R B V H h e 7 Z 0 J c B z n d e f / 0 z 0 X B s D g v g g S J E F S 4 A W K u m X S k i x Z d n y t 1 0 c 2 8 d Z u U l u V 2 m x V K t n E s b 1 x K p t 4 s 1 v l b K J 4 7 V y b s 8 r r 2 H L i S L I j S 5 Z E S R R F S q L E + w R J E D w A E P c x w G D u v m b f + 7 q H B A a D w d w E y P n Z E K c b M 8 C g p / / f O 7 7 3 v c + m x e b i y A M 9 O E 3 / j U O u a j R P Z M j r 1 6 L 4 e K f b O i o d x q k v Q 7 r v 2 9 Z R Z u g R P + S K G u v o D k C d A h y 3 P i 8 t O A V 7 q s 8 v T r e G z W Y d l M k E y f o 3 Z + S q B s R 1 x T r K n I f X O K 1 H p Y X F J F 3 6 m n W U G Z L D Y z 2 6 M z D m r i N u q O J x X F N S i w l G W U w 5 k L e F E s T 5 4 m e n T U M M f n H Y 6 H + F I E 6 / / 9 t / + y x + 4 b O f w N T 0 L L o 3 1 N I v I M F 7 6 F + B + X v 8 w Q i u D 0 3 A 6 9 T Q 0 N I M S Z I w O j W I x p o 2 T M 6 M i P c k S X a s a 9 l E L 7 b B T m P O j / f / L d a 1 b k M k G o C n o h q P 7 H x C / K z V S x z G 7 H l I t T u F F T K U K C T X v E G j b J l y J m 8 L J c j h 4 k v 0 k v 3 X Y t Z R A a B 7 Y M 9 D D 4 i 3 M j U z A 7 m y j s R U R 9 / g 9 3 b r / d X V N e H 8 t W F 4 q t z o G z i L Z 3 / 6 L R w 5 8 z q e 2 / e X u H j t O A 4 d e w n v n X w Z / c O X E Q z O Y X i 8 H 6 q q w + 2 q w M j E N b g c p X d T C 4 8 N U m W L + J c H Q l 0 J i s e B s E L u n w 8 q j Y 9 l c q M g F k q P h S C 7 K q 2 j z L k 2 o 6 G z z m 4 d F Y 6 4 F o P N 7 r K O F j I 4 O E j / l R D y n c H W n U / T Y E x W U p J h k P W R K + v N J 8 2 D 3 V m b f H v c 0 2 J i z J 4 l C 7 X L O g I G R m f x 8 u v 7 0 V x f h 2 h M w S / 9 / C e s 7 5 T J h o I I S p 0 Z g q N u r X W U G T G N X C s a I B 3 k V h U a L T A B e 3 W z d b Q E 5 K Y q R 7 8 O 5 y N / Y p 1 I j T Y 7 B H t t d n / b a i A e 7 I P N T X + X v U I c s 9 s X l 1 2 Q 7 b I 4 F m 5 8 m a w p i M t n 9 y 5 z 8 6 a A Y 6 h i i I m R 3 V 7 r U R r I 1 X F U m I F 5 g r i + 8 J i R v W 3 W o z s L W 0 U 7 W e V R G g y H x b H k d E P m z 4 O F V B Z T z h R E U L m 4 R C y o Y m G T H d a j 9 G i x h d k 7 f p 0 e n r G O T N g d z A e b v R K S o w o D A / 0 Y m w p C 0 W z 4 u 2 d f x L m + I Q x N z I n j / u H J 0 r u V M v 3 t W o C E 5 I G h a 9 b J M v l S m K R E D l Q 4 b J i J F H 4 k N J Q I / V W Z i U C S Q t Y j E 0 O N i U R G 3 N B E o o t J / J s r 4 9 M + / P k P f o J Y V I P X W 4 U p 3 w y e 2 P M o W h t r M T k 5 j S O n z m O c / o 3 f j p v a 7 o Y e m q b L t T C O N d S o 9 a h M t h Q m b W 7 B L l O m 1 o E 5 N B j D 4 x 2 p k w c 5 Y Z B A p c z H C O n S V 2 F s / V P x W J 0 d g a N 2 j X j s D 0 R x 8 I M T m J q a Q b W 3 G v / u 0 7 m n y a e m p h A O R c i d k t C + t t 0 6 u z K I x 4 Z h c y W 9 p 3 L K P C 8 K K i i G K y d 4 s j c T 9 l 2 N 4 u c 2 3 b 4 0 t O 3 i V 6 B v + S N I 9 o X u l m H Y Y I s r 5 B Z R w M 5 z Z X H d + k 7 h 0 E O + 1 F l F Q 8 / b z c y U e G y E B G U O I m V y h Q Y f G o D G p w P Q y c s o u M s n K i e 0 x c F 9 K t b X y B g P F s b t U 2 d u W I 8 y x 1 D i i 8 T E S F K c w g u K a 6 A V R E z a 3 D g N N F P m 4 + A k f Z G b 5 a o y y 7 b I I v D v u g k J q i T E y a 0 N j 1 k H Z X L l 2 t A k f v L a I R w 7 f R 4 n z v Q U 3 k I x c f L B b R l O g A 4 F d L h J 1 o 2 V p R m V 5 x M / / W X Y d i 9 V 1 8 e X J X / X J + E G K 7 5 B O O v W Q v O P 0 7 V x 3 b R O 8 6 + V 5 h + D v a Z V P C 4 2 h v 8 C J G 8 X / Y m l v + 5 3 M k V J S m Q q J m Z t t Y w B v 4 7 Z 6 G 1 I 1 f J E 2 J L k J i Y j F h T C Y N e N S c S U z v o O s o h h S B X V w j o x n L J O X C t O p p R K T D x Y 2 C o a y 2 I q A i k F F Y 9 L M M A X m / 3 D 3 C 4 6 Z 4 r 4 x s o k T f b A G i d q X B J e p 5 g q 5 3 R 6 D n M n M f l h G E l p 8 n x h s b A w 4 k p I W C c u P l V m R h C b m 4 D C G q P 3 y d U X y k Q f H H X t U M Y v m y 8 s Q p y 2 F G d f + 3 2 c f O W b 1 l G Z Q p J S U K q m 4 9 k X f o a + / l H 8 9 I 1 3 r L P Z I d H I K 0 Z c C t i 0 0 P I 3 L S e W P r 7 J D V + O q X S d R v 9 s c e / 4 R a j n v m U d F Q 4 j 4 o f k 9 g r r p N k c O O C r x 9 u T X h w c t e O t U a c Q n b N 5 i 3 i u s + U e Y b l K O Q + 1 d e + H U d v C t X x l C k 3 q G I r u b j N 7 y m 4 P P c h 3 M i Y L J s M 6 m j y l c 0 U 4 0 x f f l l p U R i x E N 3 / 6 G k U R 9 3 h b x J o i v l o 2 p 2 f R a 3 j t V / I l t N N Q 9 t G N b l F D K B I U U T / 9 M B V y d Z P 1 j O L R e + g b 2 L D 7 k 3 B 5 H 7 X O l C k U q W M o + v R J U s I 9 K a W Y m P M T m W U I k 9 E j c 9 a j 7 A g H 2 4 V r l o p 4 G j d S m x 0 V / y a s s J 2 E w G J I J c D t j Y v n 5 j T 6 0 S K m c l e L 1 8 u u 6 p K I q f / 4 M + j Y s Q O u 6 k e s M 2 U K S V G S E q n g k T g T Z L q 5 e H 6 q Z z I 7 Y c V z c P k Y 9 + 5 f Q + T E P 1 h H C 5 H 5 Z k 8 F D T L 2 2 s x r / N Z 6 F 1 p c J x 2 K + b f 5 g 5 W o e O d l F M V l c u A G + o 6 c E i I u U 3 h K J i g u R s 2 E x 9 e 7 x M 0 2 N J d d k M 6 u V i 5 w l q 2 6 7 p p 1 l B o t 5 L M e x a H 4 b u R 0 M 3 r s 5 m s c d B m e 3 O C G O n V 9 k T V b s M i v S D z 4 2 W / g 3 k / 8 p n V U p t C U T F D Z 3 v A b a 7 O L o y 6 P B D E y F c C 5 S / 0 Z i z d B Y L p N x E t L Y b 9 Z 0 W C D s 3 6 d 9 T g 7 N j e Y 9 X J 7 1 r n E + 5 M b O s X x g i w q n U / n Z h a C e H A Q c a l U 6 f m 7 j 6 J M 7 K Z C i / h h z 6 L R y Q f D C h 5 t z z z z 9 e 6 J C 9 h 1 z w a o h o Q K l w y P O / O a Q k a 6 8 F U Y 2 8 2 6 v m I T j h l 4 a d 8 B 8 v J k O B 1 O u F 1 O N N T V 4 s F d m z N K h O R K P H A R t u p t 1 l G Z Y l A y Q X E F t 0 3 K f H X u D X L 5 1 i X F H s u R b q V u g u n p a T S 1 r h e P A 4 E A 3 v n g G J q b G j E 6 N o p P 7 t 0 J y V 3 8 7 k Z K 0 A d b R Z 1 Y D 6 Z p B h k p W b g K 3 M + C S d T 5 Z V t s n J b o E J n a W v o y J 5 X L F I f S u X w k p k T 1 Q C Z o O c z w L i c m J h g M 4 A / / 8 n v 4 p 5 f f Q C A U x n 3 d 2 z D t m 4 X K K 4 i v / E / r W c X D i I X h r K q / u b j S b i f 3 j w t w L T E x L C Z u X V Y o M X F V O R x N Z T G V g J J Z K I Y b g N j p Z s q E X C v R 9 b k J y M u s I G Y r x T Q 0 L K y K D x 9 5 B u 5 d / x l S R a J T U u H h G M m W Z Y y X D w k x 2 a Q S L 2 C 8 S y m p o D K F j V O U L I b H k X 0 2 T Q u M w 1 6 d e x V A / N x X Y O v O r 3 r C i M 6 J S o l k V P 8 Y H C W r 1 2 M x j V h i K p D b W G Z Z S j d U W q i c d l 6 G g G L k J C Z B n m v r o 0 o X I k f / C n p w E n E 1 Y p 3 N A r J A q c T E O F J Y T j 0 8 u 2 j Z f U G g m M n m b C m L q c S s S A u V S 0 I i A Q v W k W N q O 4 E R C 0 C d v A x t 9 A Q k Z R S e h g B i V V + C c + 2 D 1 j O W J t 0 S D E 6 a a C Q g F h 0 3 4 J Q c Z s e h Q h M P X Y H q W E c x p R u R a B R e T w F X R Z d J y 4 o U 1 L u D M X w 4 x 6 X x 2 h z X 1 h X e r Y p c e g 1 V 0 n 6 o a 3 8 P 0 s 1 u t A t R f Y M k 5 g 7 r a D E i e 8 f N N 4 X x t Z F l 8 t N x Y b O K 3 G / v 3 Y s x V N c 0 Y e 2 a V v R c 6 s V H H r 3 X + m 6 Z Y l N y Q a m z w 3 D U p u + t 8 A 4 J 6 r F c e 0 3 w x G g R g / 7 g k b + H t 7 Y X e u f / g s 2 y M K q P + x L S 3 5 S m g o K b o U B 2 0 v 8 9 U G a G 4 W z o E N U S j s a N 1 j P y x 5 g + z n 4 l J O 8 9 d J R 4 L 7 l + v P z 6 F T f W r n h W p I W 6 3 b 0 m U h F X Y y Q g p y i K t d e u Q e T E X 8 P t u A J s / + a C d L 3 O H W h T 1 A D y E v j F O 5 T w p c 8 x V k z C 8 B 2 j i N g N q b b b O p M b 3 3 9 h H 5 q b G j A w N I J f / Q 9 f o L d Y b j G W D S U T 1 K G j 5 7 G l c x 3 8 c 2 F s 7 V y 6 s P T N 6 1 H s X e d C h V X 7 l h u F u 1 G Z R a 5 Z P A 6 N L Q 6 h n f k W 7 E 4 N 9 o e e E c d M t P 8 I 3 B s W V n N z X C a 5 F g r N r J C P Q 6 7 g J A a 5 g G J C l 2 7 m 4 Q m 0 0 E 3 t m / F j T Q v 3 Z 0 + P E R p E P D Y O u f 4 h 6 0 z u z A S i q H A 5 4 b D L k K W y h c q W k m X 5 2 l u b U e 3 x I B I O I Z 4 m 8 1 T j l P I U E 8 d R 8 5 q e F A D z h p 8 H u X a 8 B Y y 9 q g H O h / 8 A 8 g P / G + o H v w m 5 7 2 u Q e r + K S v V 5 G I E z 1 p N N E m L i F b w J + O e a 1 S P m 3 8 s T u l F F x 9 u H j 4 v z v s D S 9 Y U J W E x Q p w s i J q a u 2 g 0 3 f Q Z l M e V G y V 0 + b X Z E u E x L 8 d 6 N m L B Q u R C P 2 / D 8 K w f w + U 8 + J R r e V 1 X k v x H B 4 j 7 p i 6 0 f N 6 m 0 y T w 2 0 R f F c N r x L 0 P e + d u k E A k 2 5 8 K M I 8 d S b I V M F v 8 s Q 4 t B I h d y 2 U l w P U p v z g c j P A 6 p 7 j 7 r Z J n b T c k s F G f f m H R i Y l h M Z 8 d z W 2 T I 5 T t d m z b y f Y w 3 3 n 7 f O p s f y Z s O 8 M Y I j O g u a + h W i Z C d z p s L D t k d V O 3 d G L t 2 E C d f / B O y S C E x o c t L n w L h A C 7 E e n D O d w j T k V E y L P P m 5 E i U 6 s y I E B N z U 0 y c Z J m H M X e J 3 s Q k 9 N l z g G t N W U w r j B W Z l H i L 4 q i n N u a X l M i m 4 W Y 6 9 M B k V i t p o 3 1 v w d X x E G z k 4 k 1 e / G u E Q 3 5 U b / 9 v 9 J 0 4 a q U w 4 K j A d G g K T V 5 z f y Z u 1 p L o L 7 E U R v C 6 W P 4 S j / l g q + o y S 5 d Y o e V F g i u O k l m o b N i z L v + 6 M + n m G q b 8 W E 5 M e s S c q E 3 g C O 0 T Y h K u n d u G 2 R E f 6 p 1 D q O c + G S Q E I z i J e u 7 T N z 0 I Z f I q J O 6 l b q 0 2 n t / w 0 p i 7 Q A I i y x a 6 C p u 7 U V Q 9 S N X b T D E x J K Z c G t O U K T w v v H o I g 6 M + P P e z t 1 e m o N x 2 C V d n 8 k v X i g Y z 8 5 e Y Z 4 l o g Z Y G z t C J b k 7 i V 9 y y F A 4 X u Y H B K V F S 5 G 3 4 H L r 2 P o 5 j / 2 q u s x J V E g T H U M 6 G 9 X A 2 d k J y V k K d m x D n J W O K 3 L k J x P 3 n 6 H w 1 C b M V t s p N s N l T L 8 X n O a 3 E d j S F 4 N L V E U z N h v G v r 7 9 L f 1 b Z + m X K Z z / 2 G D w e D / Y + t H t l C o r h 3 Q 3 z h S d c c y V d 0 0 l u r s I Z O r v Y d p T 3 8 j V v P k M J I h h o Q 1 z X K a 5 y i o o N p 3 c H 6 t Y 0 Q p l 6 D Z J o r L l Q 5 J K z A g 6 3 A i P Q A 5 u n n R T Z D F t N t 7 B m m S A m l J P i r F w 5 f P w U w u E w n t x D L q t 1 r s z y O O w 2 N N a 4 s a a 5 d m X G U A z 3 5 6 u v y F P v O c U Z E l 4 7 e A S e S g / O n r + E T R v W m R O d g y N o b K j F 3 p 1 r z f K h F I S O / D E 8 D 3 y Z L I o T F 2 b e w / a 6 v S Q f H u t t Y h m F F l A g V d S I 9 L g J v T 9 1 0 s w S u h c m a / S x t y C 3 P J n h + + e P s C y B l U B p L F Q O r h e L K a T k q f W s x Q R E Y i q 2 b + n E 4 w / u R P e 2 z f S 1 R V i A e 3 d u R X t D 1 Z J i i s e C c M j T Q k w M i 6 l 3 9 i g u + Q 4 j q k Y Q d 7 a S 1 a s W 4 m H i k X H 6 u m F a J O s 1 P L H L X 0 I g T i + M U L 8 4 v 4 C U i z R t o o 4 w w X d / 9 D P o s O P i V S v z W K Z k F M l C W T c y / 0 N i y n U d 0 B v X o v h Y Z 2 l L k L h h J U / a J p O 6 d O g W c u / X o H f d q p Z g u E N S o q l L d P I K i W k I L g 9 d B 4 M 3 N L N B q r W K V j W K n e y N Y p c O b p q Z w P C d g F T / g H V E W G J S f A O Q H J 5 F b q l B c R 1 b w B t j P q x t r c f J c 1 f x Q L f V D K Z M S S i K o N 5 + / 4 w I 0 v p v D O G L n 3 4 a N j U o Y o V s u T 6 r Y W N t n p O z C e u Y x l p x Y x R u F c Z N Z K T k q g h m G d c x d P x Z O L c 8 Q Y P G v M 2 t U 7 w m q g X h R p Q M H k / 4 m m 5 f R I 2 j w j a N s U k F r a 1 t C 1 + j T c P Q X P R c t 1 V R Y c J b 4 t g r y F I m 7 z y o K W I M M 8 g i y l k 0 x C l T O I r i 8 u 0 m 9 2 j 9 2 j Z 8 h I L b Y C i c k 5 i Y v M X E 8 A 1 K X w v 2 Y E p A N z 1 X b n C X I b Y k K c V E x J d p 5 F 9 h P 7 d Q T E y S m P S 4 h p B q Z v l Y T C d G F F E E 7 L T K r F r b K I Z K e g 1 b J M l d R Z b H b B L K 8 3 P 8 G j t X W p C Y T P f w F p L s E O 7 j z d b O q x x e K 3 r 5 + j h u D I 3 i n 3 + 6 3 z q 7 s i m K o K r h R w v F G 8 3 1 V a i p y n E Z h s U H N 2 L W o / z g V s n z V 8 a y k P g G X q 5 y Q 7 C M D V d T J C T 3 k 7 v K N 3 / i 6 8 1 r G q 7 P s M t o w 2 T I E D u O f K x d Q b q N 8 I 0 Q Z y n j Z E G D w v r w Z D d X 4 b N r y J U a n G 1 M o E f n b g q S d 0 C U 3 T X C 8 q 5 q 6 L q f P n 8 B M b q + j z 6 w 2 z q 5 s l m x W b 4 E J 8 d U 3 N 9 6 e 5 d x L 9 e n I j Z 8 D p L d g b e C G 3 B / 9 Q x i 7 i a s 9 d r p n A e x I 2 9 i p q Y Z z 7 1 7 C v f t 6 i Y 5 U U y p a R g e n U B 9 j Q c 1 t Q 0 I B I L Q d A 3 t r S 1 i A + v p G R 9 Z L g e 6 t m z G d j J 8 K u 9 I Q t b K 0 b A e 2 g w v Y q R / R b z F Z V E k I n q t o S v k C d x q J m q m 7 m W x r R D v h L J a E e 3 n b L L 5 b 6 F a q h W R g l u o 5 S Z E s 6 U q j 2 v 4 / C s H 8 e r b x / D y / g 9 g i O g i e 7 h y P Z 2 Y u J 7 P 1 d 4 N 7 d J f o 6 V S Q l N z m x C T y O b Z J L H t p h Z T R I e l 9 t Y m b N 1 Q g y m f H 7 U 1 1 W h q a k F H W x O q q i v F p C A v m Z i e n U U z P d d u t 8 N b W Y F 4 d A w y u a Q 8 7 6 V O X h W L G l k 8 Z v L C / J s U u u b z x c S w m J R p T l 6 w R V u 9 W 3 / q Q Z / 4 e x e 5 w y u U F W + h m I M D M T y x P n v X 8 c e v H k R r c w u N + D N o a q j D o / d t t b 6 T G b z B A e 8 s a K M Y M O W i Q b E P V I 3 Y r u Z T x u 9 D 3 / K M q E 5 n d 4 u 3 / W T i h k E 3 B Y m S B B A c 3 Y e q J q s v B c V l v P E a 9 B h s r l r E I 2 a 1 R D I 2 V x 2 0 s C F c 0 z j F f P r s M G z 0 X h J J B 9 7 P 2 E b W L B l + 7 u D A D T g c D q x p b x M u o 7 m f M N + Y 8 z 5 y v l E 5 g W K J 0 1 B C 4 u / m j G Z i 8 2 w e N E q 1 k f Z 8 N P 8 I 7 D U Z u O Q r i I I K K j n t W y g O U x w l e o K X E G W 6 H 8 6 G D d a R C d f f i T Q 4 3 Y T q 7 B A O + B r x e I d T l E r x W i i l 7 X e s 1 D o v Q J y h m 5 D O W z 3 + O N 6 J z / V A r u s G K U 6 c E z c y 3 9 D a N M Z 8 A y T + + 8 V p w 3 c c U t V m w E m v p e + p c 2 F 6 m g Q 7 V 0 U Q i e u s 0 + + Q K x f P i 7 E A L p 8 / i 6 O D Q b Q 1 k P D I W q 5 p b R U D y x y 5 l 4 8 9 c j 9 e e / s w H L K E y e k Z f O 6 T T + P 4 2 R 5 y Q b 0 4 e + E S H r l / F 9 4 / f g b / 5 U u f I L H S d b d E p 9 L v s 3 t o s C i B u F R 2 b e u W 7 s + x U s l P U P Q h h 6 M q P C 4 Z E c U G F w 2 U 5 3 u v k 9 9 f K b Z m c d S t E z e V u B E b F 9 6 c 2 a D o c Y R V A 7 X u 0 o + S S 8 H b l / K O i 2 I T a t 6 R c P B / 4 H z T F 6 H F F W x 3 d 9 + c A F b J 7 R K J D 7 r J o U + S d b m 1 P s o I + c T N L 1 d I J D j F n O j V w u S I 2 8 n C k Q v H / S E c N X Q j x 4 Q o u O o C 1 l 5 W 7 P p x o o V R / a O c 4 h P 7 + C Y Y G B 7 A x g 0 7 M E s C 8 p J + z / Y O Y M e W j S S c C / A H Q h g Z H c X n f + 5 x + I I q h k d G s f f B b r x 3 / D w i s a g Q X R 2 J 6 6 k 9 S y 8 N S S V m f h + 8 C b e z g H 0 y V h t 5 C U q h m / y N d 4 7 i k 0 / u w a W r N y j Y V n F j e A y f + e j i n f H y b Y L P S + O f z n N J R 7 7 w h W I h r a 2 W s K P 5 V k X 8 3 K E / h 5 3 i K P f 6 P b g Y O I 7 1 a g M 8 t a Z w u P i V s 4 t C Y D y v Z N D f Q A M R t / j i d H z P 7 G F 0 e 3 d A 9 / e R M J v o f J V p w W Q P G Q Y 7 9 J m T k D z t J M S l J 8 Y 5 V n K Q x c p k s / D k z k w i 1 o u T W x q d E 2 J w 1 C 1 M / 4 t N 4 Z L i s 2 L C R c e L V k i v I o o e Q 8 3 3 v 9 m v N 2 N L 0 1 / P B p 1 e e 2 h A Q Z 3 b h t 2 t + S / v y J b j w z F 6 D 8 A j a x e 6 n m J z 6 p 7 / D u m + b 1 t n U s O p b 0 m O k V U a 5 7 t Y C I b u H v q G B s l L 4 r M n r 9 0 i t 5 G r 0 L U 5 2 I w Z w L 1 J L P V g i 6 9 y k s G I w 2 F t + q Z a U w B 8 V e 0 1 y 2 8 E p 5 P 3 I L v N P u f F F o z C P e P p j c l 0 D 9 h s 6 Y t 4 l 1 v N v R o o u q B 4 9 O S l C v P J 1 1 r d 8 G u 4 M K X h Q 2 u d 8 L q K W 4 4 4 H t R x e l z F h 9 c 5 U e l c + L t 4 9 a 5 r 4 j s w u p b f B k c 0 Y H E o F B e 1 k m t H r p E W F W 4 a x 0 a c 9 J g v K G W K L E 4 d C 4 N E I t s R 9 5 8 X F e i Z x K i J M i 9 O l / N A x h U g b L 1 M + K O + N Z i J p q B s k U i M I h m h 8 K Q x W V J 6 T 4 w e C Z C 1 W J y M S c d N a 2 z x L y 8 f Q D Q a w 4 6 u L d j Y 0 S a m C p L h y g 6 2 x q m S K 6 u N o g o q 3 R Y 2 f D M m u x f Z w j H 9 o c E Y q u h G f 6 A t 9 w / j 0 r V R x J Q Y r l 6 / g a 4 t 6 7 F j c w c 0 M k f 7 + 2 P Y u 9 a B K o o R U 6 G f + G 1 I u / 8 4 g / k R i n 7 0 K I z Z c 5 D q H h A i 4 p t Y N G y R S V T 6 L F S p G r a A W V z L r h t f N 0 4 I s P W R M Q n D 1 p y R 9 U k P v Q + 6 Z r x W L N E f k b O Y X M m S 6 G W R L 8 k 9 O L j P h / B K + I t / e U o W C n 0 1 U 3 Q L l Q 7 u o e C o K 4 y J D y o G 3 r u h 4 M k N L j j T l R + k 4 K f 7 D + M j H 3 o Y c b r R z 5 z r Q a x h i 9 g X d 1 v T 0 k I J 9 z 5 H l j a C q l 2 / b J 1 Z G r 5 p o f k R n O l D h b s D h 4 O t 6 P B e E P M r H f a 1 c F S 5 E Y s Z k E n E 3 O y F E w 7 c k 5 z F p U 2 d E n N K c t 0 u 6 6 c V H k 7 f 8 / q t Q s A p d 7 E R d 1 a U B b U k y t R 1 M v m 1 C 8 x + O p a a R 8 m H d w b I n a J h M d v u s w G 6 q Q 8 P K S J 7 l / b j 5 S D + 9 F c g L x M 3 J R D 1 g v o w 4 o 4 W i l 9 i U G o 6 F 1 o 9 b Z p + p E f U 3 / G i x P l x j e E / B 1 2 r p t i i X S Q U n E 2 b x P k 7 g 7 j p d q Z p X 7 3 a K K i g 8 n E b i h E c z 5 F A h g I 6 p k I G o j T 6 s 8 f B m 0 b z W q v O O g c q H T b R I S l G g f P b A 9 z + 2 Q k P P y E F v E x Q U T U x U R o b + j 6 k l n 8 P X d c z 3 n r U 8 J 2 E 5 O 2 C 4 h v D m F p B c Y 6 K Z p k G H T 0 G 2 S 1 R v G K 6 h f b a W 2 4 w d 0 f i D O D i h M X q h v t t c N 8 N c 6 L 5 z q K w g u J M l i v 3 X f K W W o t U T F h 0 u g H U Z b A 6 m C u e P 9 V w G n 0 1 n 8 f Y x A Q + / d T i 6 Y F k d D j x w a n z 2 N B Y g Q N H e 7 C m r R V + f w C h S B h V l V U I B I M w S O l r 2 1 r E z 2 x u a C S B a 3 C 7 7 B g a H o P T 5 Y S i q P B W V m L L I x K 6 G x 6 z f v L K h D O T Z o 1 h E v Q 3 i q R K D u v i S o E e l 0 R G m n e U 5 P c a i 6 l w 8 c R q l i x / F 2 V B x t u z 0 B v m F H o y L C a N J y l L C G c J M x E T 8 6 V / + 3 H U t s 7 i g e 7 N + P R H 9 1 h n 0 y N J M i L k 5 r k r a + A P B H H l + n W s 7 2 h H Q 3 0 9 X E 4 7 1 r Q 2 Y + u W T k z P + B F T N C j k A v v n 5 h C N q g j T 6 0 L B M I m t W S Q S M G / b U E U h 1 1 G 5 1 Y V 2 p c B i Y j c + A S e m e K B k F 3 y l i o n 5 h x / + B B f 6 B v D q W 0 c Q i h q 4 3 J / b f V g w C 7 X c h B y 7 d I n 5 K L O 5 P v / a 1 J H K S p 3 c 4 2 X u + p n f g / 3 h P 7 P O L I 9 h G J i b H I L N E U c F Z D h 5 7 s i 6 D j y w 6 O z y I Y T Y 2 C m 4 W n d D 9 4 9 A b j A T E N y H 4 n z o q n g 8 O v M w 2 u q O o r v + c X I 9 F b g 9 9 c L l 5 L m s 4 b F p E l 0 D T l / o x + 7 t u V e k F B o t O g f 7 E p v P r T x 4 H Y D 5 G e c z p V M Y C 0 V B e j o B q L O j I j 5 i I d 3 a q c I m 5 q N S I X 5 W C g t 2 u x E l R r X Z u Q G S J K G 2 a Q 2 q 7 U E 4 6 9 v F h 5 a A 5 6 K M o L l I 0 G h 9 F P t v y D g x 1 4 j p k T f p / G X Y Z D c m / L s w Q m J q q j 6 P r t q H x X N 5 C v d b / + 8 5 f P s f X x D H P Z e v w R + M 4 d z F S + J 4 p c B i y m T H y m z g U i 7 e H V 8 8 L u j K h j j 9 7 P 6 8 x M T k b a E W 9 / 5 O g o U h J i J S w 7 v 6 3 R L Z Y p b a H u Z 2 w c v P 1 X P / G + 6 H / p D e d / p 4 U T G i o l E L s 4 6 8 M 2 / l G t g q 2 k Q 7 Z Z t s w H A 1 0 E 2 3 k e 4 M 7 i n R A I M + 1 F O T p z E V 2 A G P 5 M P e 5 i D e G O t A c / V Z 8 u 2 j w j q t N v q H p 3 H s 1 D n U e K v R v b 0 L b Y 3 Z x d j J E 8 V L k e / m d d l 2 C F 6 K g q f N 5 2 O o M Y q r l s / 6 8 f L 0 R K F n K g r V V r l Q R M 7 8 E x A 4 D / f D v 0 5 / p A y b e + k B Z T h 4 B X 5 l D B v J P a u o 3 Q H d d x F x Z y e 5 g o O 4 3 v M G b L o N M y O j 6 H z k Q c g O L 6 r X f R Y 9 0 x e w I X o U E c 9 m T N n M i f G t 2 J j 3 V q e 3 A z U a x o 3 J E D o 7 W n C u t x 9 d 9 f q i W F t M j C e N u X x u q b 2 K l y L X 0 q V C Z p j z E l Q 6 I e Q i g n S 7 G 3 K H V N H U c Y U Q O f 8 C D N 8 Z u L d / E n L t F m g z 9 G E 2 z Z 9 8 j c O Y P g G p Z i O M w A D 9 2 8 1 Z G + t 7 J m L A s Y 3 j w o G / g Z 2 + F w o F c e / e L 5 E H H Y H k r S c X c 6 f 1 z N W J M t W f 1 y q D X M h W H J l a w E z J S 1 C 8 q x + P L M k u W z 7 p 7 5 Q X Z B m 3 8 X Y R O f c 8 j N k e e B 7 + K r l x Z 2 C T n J A a H o Q + d Q y S h w Y a Z x O N t B 6 z Z T P F S 6 l G T / 5 A e S Q W C R s j A G 0 u g M s n / g q G b m D n x / 8 I + t w 4 5 C K s M b u z M b P I N / v A L 0 E m 2 9 N m S 1 5 J C V 6 V K s R k 6 B Q G 9 I u g j v + Y X M T 0 / R / v w z v H e n B 5 y A + f P 0 L C 4 t 5 1 K 5 u K 7 p 8 H d 1 m J T v R A q j c T B l z 1 I F W 0 w u b Z Q N e G A l x O F 1 f V 3 x Q T V 5 L w W j F e j c r E n P N q H a U q 8 C 4 b 6 7 t 3 I T g z Z 6 6 c X a 1 i M g r T H j o 3 u H 5 Q E h 7 U U v D A X W g x M Y X J 8 t H o 6 i D T 7 h A r X H O z J F y N z G X + v H P 5 F N 1 M k t M N x T d o X p Q V a J 0 S V O 7 5 A 7 h n f m T + 1 R J d T q k W t s q l Y x 1 7 V R N 6 w i e h G S r 8 M 1 c Q m L l K 7 u K w 2 M B a W G J 9 G H 1 H j + H h L / z G r Z q 4 A v U u L w X 8 m Q n 4 W t x m O B x Z a l 6 z 0 F U 5 C Y q a l C g E n F r m x X j L Y V D Q P z Y + g f r 6 O r j d y R P M C / 9 E 3 h l D n J P J R R O V 3 a m r y T O F X Q f 7 4 L d g 2 / a 7 g C N 1 T O m P j s M Z p I E C d r g a N 9 J r R m i E N K 0 W V 5 2 b x 2 0 U V 9 1 A L H w G n o Y v i h Q x d z p a a U m Z 1 Q Y v n p T n J T i S k 2 U / f P F N f O q j j + H o q f N Y t 2 a N a B X w w K 6 t q E h a r p M J t 3 8 Y W Q Y h p k z m p C h W + c 4 / 7 Y O L A s z / + 6 N v 4 O 0 j r + D H b 3 4 X w W g Y Z / p O 4 L n X / w 4 / e P n P 8 J 0 f f B 2 9 k / 1 4 p + d 9 0 U 0 o l Z h Y c F x C w 1 / m X N n S v 9 8 U Q j t i P g W G 3 5 y E T Y X X 1 Y w Q F F y W r H k Z q 3 k m l + N w V T n P v f H j 3 s P f R c / b B 8 X 3 W E x M n K z Z S o f X X a 1 U W E x c s c H w 4 J e c e X 5 w 1 3 Z c v n K d P C Q b H A 4 Z j z 3 c n Z O Y m B V v o e Z j 6 D S y y A s v R o L h 4 X G M z C l 4 u L s L P Z f f F 5 7 n 1 M w k v N V e N N a s w S s H v 4 v 7 d j y O 6 s o 6 D A x f p o s q 4 W M P f c F 6 9 f J M z Y Q w T B a w u 2 s z d F 2 D p C Y W 3 5 n u a L T 3 d b g 2 P U b i W L 7 8 y q y w X i c m J r l U J 7 G X F S 9 H j w d P Y W L 8 D F q 7 f l U U x z I b 0 I 7 q + h V a Z c 7 u 6 D L B / 0 q B 5 6 p 4 Z Y M e M P v U S 6 7 C u 3 2 r S l C M R h f D X m 0 m P T j 2 4 J b E 7 A 7 x g j z 2 l x O L 8 B T 6 n r P A a X Z N t 6 F / 2 P T J N 3 c s r E u L 9 L 0 C R + u D 6 S e 5 5 8 H T A L x S 1 0 4 W l X d B F I W Z l Q 2 I R y k G c a 9 D M O Z D h c O L 4 X A f 1 j k 6 c l h j V G Y x H I s W V / y r T l C M H q I R p j J 1 J p F N O 4 9 A p S 7 E V A b f Q 9 z h g a s t s 0 2 k u U E L d 0 R d F B 9 Z O 3 G s B h K r f V c y q p 9 c 8 n m 9 / Y p d e S O B P l T u r H r 2 0 g D e P 3 k J r x 0 8 h l c P m O U y K 5 W l x C T c D w 7 7 L T E l 9 m I q B f b m H T B m M q s t i 6 g q x X l / i N n Q L L 6 3 / + 8 R p v j j u z 9 5 B j M B P 1 4 6 / J p w o Z 7 b 9 z 3 r 2 S u X l S 4 m I x Z Y I C a G x a R S r F o s y P 7 F c T / F H Z W e C u z e s Q V 7 H r w X H 3 q w 2 / r 2 6 k E k D + h G 5 K 5 A C b j B C c / l l A K b o 5 K G v 6 W X U 8 z 4 g z C k C v o i K + Z w o K N 9 C 6 4 P 9 a K 2 u g m y q w Y z 3 M m I X h + J U q w 2 0 Q + 7 n d d p c V y 1 M h M S K / V 9 z Y e 7 O 6 W C m 9 a I z S K K A K + q w p r m O m z q a E a F S 4 a 3 0 k k f 8 s o e e Z L h e G S p K m G O P b j a v d i w k O O x i 9 b R Y m K R A P a / d w T h S A S z g R n c e 8 9 j W N + 8 E a 2 8 A Y A W w 7 Z N j 6 K 2 y o X N 6 + 5 F S 8 N a f P S R z 0 O W J e E S Z g o v F Z E c V e K L H 7 9 7 r E e c D 8 f S b 8 e T P d z 7 I v v F d 6 W E K y U c a Z r a 8 L a s Y g f / A r M 6 0 j N L w J X q H M w v V + P H 8 z t a s U V F r n N V F c U / S 8 C b q d 3 T X o v R / l 7 4 A z 6 8 8 d 4 / o 4 q s U 9 / A W Y T D Q Q y N 9 k K N + N A / 3 I N o L I z X D z 8 v s l J k o 6 y f s D x 8 E 3 3 n e / + C r z 3 z N 2 K t 1 K M P 7 B R W W 9 M K K y h + X y s Z 3 r B C Z E 7 T Q Q N C o k 1 2 v o t a x T S L Z f F W Z V K C W a q v 9 + 0 k N n A Y c D n h a r U 2 B E g F z 6 k l f 9 h 0 T h / d B 5 t 3 K 7 S w C t n b e j N w z q Q X 3 3 y u X L k C J R b D P V 1 d Y g e P u 4 n 5 k + X Z Y j Z k Z f u y j B A t O M O c 6 D U / n 1 U l K M 7 Q c M 9 v i W u U c p j 7 m J 9 W L x b 6 m a 9 A v v d b 1 t F i E v s 2 M Q t a b m n k 2 l n N W H i E 5 f 4 c z u b N S 3 5 w Z W 5 R y O U X v K N K u u 1 U u S l n u l Y P K 9 7 l E x 1 N 6 Y 9 k e N S W + G b M c S K x 2 G J i j O j S m U W u z k + I i e E 5 t Z t Y 9 X r K 5 F U z S 2 l 1 B G I x L b W y u Q x d Q 7 L g h a z L Y z H d r E e 0 U I N T 9 L m a C Y 7 l + q a s S E H x n k q i r z f B z f Z 5 Z / N F 5 F g w K p Z S F J O N v 4 b Y 0 C n r 4 B a i i 2 5 S y Y u 9 x p w E 1 n 1 n o U + d F I 8 T g 8 X 8 q Q F O u B R 2 u X d u p K v e v h 3 w 5 g b F 2 D 5 J 7 G I i 9 u 8 y M 5 k O r q q w e s E v x 8 o R F M U R 3 J 6 Z / 2 V f N m U r q n m o M 7 n 1 K i h 2 8 x e 5 p h 0 V w W e t o 1 s k 1 w x q F M j y Y M E F s H J 1 G 2 y N T 4 j l L 1 z x w U t h 5 K S y G K 4 O U X 2 8 5 + 7 t w V C V J R e T 3 h b 4 P i n m V q c 2 O a d M 5 m 0 X F G 9 s B g o I O V B P N K 7 P B N 5 n N h f y r S x P h 9 j R 0 F U F V e H R L D k 0 X f h 3 2 T 1 m h k l 2 G D C C o / j h T w 8 h 6 u n A d L w O 5 8 Y N / O P z r + L d 4 x c w M j E L j Z f Z k 9 A c 9 f n 1 g s 8 G r u I w H / C / E r k 6 K 6 s p p d j 9 c Q V y W w T F g R 0 H k o z Y J T D H m z y e o 9 v H F c f L I e I b z s h l C F d b 3 w x m N / 0 6 I n 1 v m I + J h P u a Q J m 8 L v 7 V 4 Y K 9 o R s T 6 l r U 1 X k R j c U w 5 Z v B w N A I a r x e 1 F R X Q 9 M M H D 9 j z i e V k s G R a R 5 9 8 M L P 3 k J U K V 3 F S W b w P F j x B N 5 / v R + j v g h U O M U W R h e u n 0 E g G s K b R 1 7 E / q M v 4 t m f / Q U 9 K / X A X z J B s T / K W 7 o w H N g V I p D U / b m V k K S b 8 E v A H X R E g 8 Y M E L v E V 9 Z b R 2 b 8 U x l / 3 T q i v 3 e e + 8 Z z O A l / / P T F P v z x 3 / 0 A s 9 O j 2 L a l E 9 4 q j 9 i 4 + q N 7 H 8 L u 7 u 1 0 b j 3 d z D G x P / D Y l B + h S O m q E z r W c M b R h s 8 9 t h P u J X Y f u V 3 o 4 T k 2 o d Z R 4 e H 5 v B c P v I 9 I R I G q x e D z T 8 B l d 6 G K 7 o m 1 L Z t R 5 2 X X N / V g W 9 C 0 e T g c x u T k F F p b W + B y m + u Y + K b k C T Q u A z J J X A j + t e Z W J 6 m 6 y B a T T O Y r e K P p u G 7 A X p M + 6 F 0 q F a 8 c + 1 0 4 H / o m P U r + 4 M 1 6 Q 5 6 l v 3 r 1 C q r q 1 k A n l / f Q i U v Y t r k T F / q u Y t f 2 L h K X F z d G R t A / O A R Z l r G u v R W 1 Z L W 6 u + 6 c x v q 5 U K p m P a + d H S F X G / j M 7 u z m t Q o 7 D y V 7 8 P Y 3 3 8 e H v / Y g n v v p q 2 J 0 3 b i + Q 6 y k 5 Y a P O t 2 g M X J r X C 4 X v N V V u H f H N r z + 9 j t i A n L X j i 5 0 b V y H M x e v Y P 3 a 9 q z 7 t x W S U 3 3 j u L e r E 3 M 0 Q k 2 O D O B H L 7 6 K r / / G r + B 8 7 1 V U V T h w 8 v x V I Y L q y k q c 6 b m E 3 / n 1 / 4 T T F 6 7 i y I n T U F U V o X A U P / f U Y z h 5 t g e / + h + / g G B Y x Q f H T + G J 7 r Z b Q k 6 q K u f + 6 j K X L / H / 6 B P h x W 4 s P p X D S 3 5 k x E U 5 0 U q z F i W H L 0 4 R r V M y B w d i 4 v o / v j 7 1 O r x k C u r y h Q J + 7 P q F b W I B X l 1 d L Z 7 Y 8 w j 8 / j k R C + z a v l U U h a 5 p a 0 F D f S 2 2 3 b M Z Z y 5 c x D 2 d G 9 B Q V 4 P d W z e I W s L d J K z T 5 5 e u i U t G Z A a z I J M y E 6 + 3 F n 9 z Y A L 1 V S 7 E S C B b N m 0 U D f 0 r P R 5 0 b u j A t I 9 d V x s i 0 a j o T T 4 9 G 8 K p c x e w d c s m G i i q 8 c u / 8 D m x u 3 p n G + + T K 5 P Y e u E h 8 S X E p E 8 d I X d 1 4 f v m X U B Y Q N w Q W B I 9 z M 3 4 0 E H 6 I S 8 Q T o f t r h c T N 1 U t l Z i i q m l n n i A h s Z i m w j r e u h 4 V e y w f G Y 6 J 7 6 V i 1 Z U e D Q x P Q y P B 9 v R e o Z h Z Q i 3 d w H W 1 N d h 5 z / J N I H n e I p N U K 7 u g p y 6 P I z o 7 h k e 6 N y 7 q S M o T r e Y u I 3 z p b F A m r s D Z n F h R y x + 4 e U n D P S / B X t c B W x V Z J m + L E L + j p p n e x z g M z S N 6 G 3 C d Y Z n l K d Q O i 5 n C g j o x q m B v R + r f 2 T O h o q N W x h m x X a z 5 n N N j y u 3 J 8 u U D W 4 z L V w f g r q g A N 2 a J k A v J l i I T u H d D J n B h 5 f 1 d r X h 4 Z 4 d o E j N / Q p O T K 2 Z l e 2 I c i t 8 U E / v 3 t 8 4 D n h 3 / B t L Y 9 0 l M P K c W N 3 1 / w 0 / m p h 2 8 l q g s p s w Q f S C K K C b f T F B s O 8 Q F x Y l w 3 m W X 0 j Z u 2 t H s Q L V T E m L q m V Q x F 4 u L z d R X b X F s b v C f m r v L Y E T m I F V 4 R Z e i p c T J a 3 A 4 A c P d l M T x q d + C f N 9 3 z M e + k + R k O y H X r u 6 O s K U k m / b K v E y F Y / U J c r c 7 W m 9 l X Z c j p j v w 9 W / / P X 7 z i 0 + i b 2 h a Z F x f 2 X 8 Q H 3 r 6 U + h u y W 5 y 9 6 4 S l F l R n F 0 c w k t E x L L p i p o F M + f L d c f l S g 5 H 3 T p E e n 4 C R / t D k K v q y d W b I k H e 3 V m 6 b N D C M 6 L n R i Z M + I J 4 / q V 9 a G p o Q G 2 d F x / b e 7 / 1 n e U Z G / e h u X U N + q 9 e x I a N n c J D U T U d Y y E d H T X Z V e z f Z R a K 4 5 / M d 1 l c r v K Y S 4 G W q 1 7 g S h D 7 0 F / A a P s l 2 J v v p T O l y 1 C t Z t S 5 C c t V z p b E 9 c 3 / t p 4 O 6 2 j w Z D c A r 7 o Y K l 9 E a V A G N X G i n i 6 N m B g W E w f L 6 e B K E J 7 U d / m 5 v q 8 s p k z J / U q x k A p j I 3 J J K N 5 1 g m J Y C K I F W R r s G d b N 8 Y 5 3 y x H y d 2 B u p s s 6 K p M J t 7 s Q l 0 u O 6 i u y n 6 a 4 K w X F 8 D o j P Y 0 Y k u v v l k L s Q L I M 7 l 2 / B E m 7 / c s v V g s c t 2 Z r H o 4 O K T g 6 r O D Q Q E z Y p / G g j j e v R f H B 0 P K f T y r 2 0 2 t z 4 a 6 L o Z L J J V E x H 6 5 P 5 I Y f a e F c 7 I W v Q u / 8 h s g Q J h p 1 J s N b 3 / D c 2 s i N K x i e D G B 3 9 z Z M + / y o r 6 l E 3 / U h 1 N Z 6 o W l x r G t N 7 4 q u d j L Z j X A 2 a u D Y i A K X b M P O Z g d Z k 6 V t A 0 / E P t K e e d p 9 I m T G T v S j s + a u t V A J z D 4 C q T G 0 x a P U b C C G V w 4 c w V w g i h / + 6 x v Y f + I a / u W l A / j + C / v w s 7 c + s J 6 V B I 2 2 k s N G M Z k X 9 j R N / 0 e m f P i V 3 / 9 T z P k D O H v h M v y B M F 5 4 e R / m g m E 0 N t Q i G I o g m u G c 2 2 p m K T H N k Y j e I M v h j x m o d U v 4 W K d b V D G k E x P D Y j o z x h Y s h t f p 9 f w z V P b p U s B n g 4 q R k 5 g Y 2 + W r 1 + K d a 5 d O / 9 4 N G L o C K c V y g F T W y x 9 U 4 K 2 u o B t b w R z d 4 D z J 7 H I 6 c e + O L r x x 6 D A + 8 9 S j 1 j M X I v d 9 D f q W Z 6 y j 1 P T 0 n I e L K 9 E N D Z u 3 b L b O 3 l 2 o / t G U q w E u T q n Y 1 l i 4 1 m U G K Y d d Q o Z b l P D x m m p Z W L t 8 s B 0 5 c T L + w M 6 7 8 8 O b j x q Y h K O I g b B + 6 r c h 3 / d / r K M y j K p L e P 3 g + + h o b 8 P E 1 D Q 2 b + h A Y 3 0 N x i Z 9 a G u u h 8 d t z g H x z R 5 R D V T m u C N G K Z H K Y j J h M a X q m c B z U U v B 3 Y k y R V U a E V c j 1 l E Z 5 s y F X o Q j Y V G x v 2 P r P e L 4 + N m L i M Y U R M n t Y m I U M w 4 H t F U h J u a u T 0 r M h 5 d V J 6 8 E T d c Q 3 1 C j N 0 u M l i N 6 6 W X I D V v h a C o P Y N n g i x j L x k g r i d X z T k u A E F O i O t I i X U P 8 T M X E O N d 9 C M q V l 6 y j M s k Y K X q l v 9 0 f X V V i Y s q C S k K Z X V x F k X J O K k l 4 y 2 G r q I H T x p t 6 l 0 l F Y h P v B J w w + M i G z A e s l U J Z U E k 4 6 x a v q 5 I r z Q 5 F C 8 h 0 4 t H Q x R d 3 L X L V F y 5 L d a f h t L p Y R S h m C i g 6 n u 4 s j Z g i 4 T B 5 G l V Q d E 6 A S B S 7 6 Y j p M h R 6 H 3 H w c s / s 8 u f l G C o F q W I p Y Z G y n L 1 f 0 G q Z y C R 1 f t f C A 4 8 k 4 / B Q D H v W l m 4 h 4 Z U r 1 + C u a R E 7 n f R e v k w C k n D q 7 D l s 3 r g R L p d D t G v 4 y C O Z b + 9 U F l Q K x B 6 s S d U M n N F L 3 h X x X G 8 / 6 r w k G J u E t W 2 N 6 L 8 x j n V t D f T h 0 M j G n W L J K s 2 n L K j U K J P X c M 3 W g Z G A h q c 2 l t b N 4 1 Z 0 o Q h 5 E D R Y V l Y 4 6 T O j z 4 7 H T p K W 2 P l E q C N z i Z R d v h Q k i 4 l Z 0 P L X 6 g c 4 O D y O y 9 c H 0 U d f U z M B 9 F 7 t x 4 W r Z t G t l q L F m R Y j C 5 d l 7 H U 3 4 G z q h I e 8 4 V K L i b H R Y F h F v 7 y y g g c / Q 0 z m k 4 s i h G Z + V t l 9 X m U L t Q S p 6 s k M T Y H E K 3 U N u t i i Z C n h A i Y u I R + b j 1 N V W U T e + z 2 4 7 v s K J E / m q 0 n v d P x h B d M 0 0 H T W 3 R n x Z d l C L Q H v 0 L 4 I r i z n U e t m / R + L 5 9 Z 4 F F f M i V v e 2 z d V w a 3 h 6 o I 6 V v o u s E z v p c s i + J b s l d h / + B Q O f H A G Y 9 M B R B Q D Y c W G c J p d Q 4 r F 2 X E F X n K z 7 h Q x M W U L l Q W 8 t W h y Y x V h i X j H j A w S F l p w A t H T 3 8 f z o 9 s x F w h i 5 9 Y t W L u m F f d s K P 6 O 9 T 5 y S V 8 4 c B x f + t R T O H j 4 f Y r 5 W u D z + a F p G u w O O 6 7 f G M K v / O J n r G c X F + 4 O F F b j 2 G N 1 C 7 q T K A s q D a k E l A + i H f X J r + J s x X + l m G u W f H c P 3 B U u 3 L + 9 0 3 p G 8 e A m m V e v X o f D 4 c S G D c u 3 X C s W X O n N K f H s 8 q W r h 7 K g M k C P z E H m K n B r 7 6 Z 8 K G f 6 7 m z K M V Q G i D 2 l C i C m u x 3 u v n u n U 7 5 L c i Q c 0 z A b u L X Y r + f y A K 4 P T W B w Z L K k u 2 S s J r h P + H x e f + c E X t r / P g Z G f D B s i 9 e j r U b K g s q R 4 2 d 6 c e i D k 7 j c P 4 q e v i G c 7 7 2 G o 6 f O 4 8 S 5 X v h m A 9 a z F m M Y d 2 r 0 k J 7 J k I E n k 2 r z H r x 3 B 9 x O J + r r a i D F V + Y G a t l S j q F y 5 t a c 0 0 K W O m 8 S O f R b c O / 9 U 9 z a 3 u f u o M + n Y s t d U M t Y d E E d O d 0 r 6 q H G J y Z F i n h w Z A y q q u G z T 3 / I e s b d R e j 4 D + D a 9 A T s S U W 4 q u 8 G H P W 3 L / t W b E Y C u l h i v t p I 7 F 3 G p U n L A / x / p c S X 4 Q P d U 7 I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F327BAC8-B077-4C86-B008-4F12BFB4827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0DFF8298-6B1B-40B4-B4C8-E9809372D62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单位换算等前期杂乱部分</vt:lpstr>
      <vt:lpstr>钢筋表查询</vt:lpstr>
      <vt:lpstr>典型通用计算书</vt:lpstr>
      <vt:lpstr>外来物资和设备运输量</vt:lpstr>
      <vt:lpstr>(场内土石方)运距表</vt:lpstr>
      <vt:lpstr>单位换算</vt:lpstr>
      <vt:lpstr>导流特性表</vt:lpstr>
      <vt:lpstr>水工隧洞水力计算</vt:lpstr>
      <vt:lpstr>倒计时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何海志</dc:creator>
  <cp:lastModifiedBy>陈俊</cp:lastModifiedBy>
  <cp:lastPrinted>2025-08-18T16:44:35Z</cp:lastPrinted>
  <dcterms:created xsi:type="dcterms:W3CDTF">2019-05-22T13:01:11Z</dcterms:created>
  <dcterms:modified xsi:type="dcterms:W3CDTF">2025-08-28T12:36:41Z</dcterms:modified>
</cp:coreProperties>
</file>