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私人文件夹\【重要】明德善言分享网2025年9月17日备份副本上传至github终\studyGoodArticle\"/>
    </mc:Choice>
  </mc:AlternateContent>
  <xr:revisionPtr revIDLastSave="0" documentId="13_ncr:1_{77BE3787-D1DE-49D3-A1EA-45A420ACE338}" xr6:coauthVersionLast="47" xr6:coauthVersionMax="47" xr10:uidLastSave="{00000000-0000-0000-0000-000000000000}"/>
  <bookViews>
    <workbookView xWindow="-120" yWindow="-120" windowWidth="29040" windowHeight="15720" tabRatio="651" firstSheet="1" activeTab="2" xr2:uid="{00000000-000D-0000-FFFF-FFFF00000000}"/>
  </bookViews>
  <sheets>
    <sheet name="单位换算等前期杂乱部分" sheetId="1" r:id="rId1"/>
    <sheet name="钢筋表查询" sheetId="5" r:id="rId2"/>
    <sheet name="典型通用计算书" sheetId="4" r:id="rId3"/>
    <sheet name="外来物资和设备运输量" sheetId="7" r:id="rId4"/>
    <sheet name="(场内土石方)运距表" sheetId="13" r:id="rId5"/>
    <sheet name="单位换算" sheetId="6" r:id="rId6"/>
    <sheet name="导流特性表" sheetId="10" r:id="rId7"/>
    <sheet name="水工隧洞水力计算" sheetId="14" r:id="rId8"/>
    <sheet name="倒计时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3" i="4" l="1"/>
  <c r="E123" i="4"/>
  <c r="C123" i="4"/>
  <c r="I39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46" i="14"/>
  <c r="C47" i="14" l="1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46" i="14"/>
  <c r="G41" i="14"/>
  <c r="K115" i="14"/>
  <c r="L115" i="14"/>
  <c r="M115" i="14"/>
  <c r="R115" i="14"/>
  <c r="S115" i="14"/>
  <c r="K116" i="14"/>
  <c r="L116" i="14"/>
  <c r="M116" i="14"/>
  <c r="R116" i="14"/>
  <c r="S116" i="14"/>
  <c r="K117" i="14"/>
  <c r="L117" i="14"/>
  <c r="M117" i="14"/>
  <c r="N117" i="14" s="1"/>
  <c r="O117" i="14" s="1"/>
  <c r="P117" i="14" s="1"/>
  <c r="Q117" i="14" s="1"/>
  <c r="R117" i="14"/>
  <c r="S117" i="14" s="1"/>
  <c r="K118" i="14"/>
  <c r="L118" i="14"/>
  <c r="M118" i="14"/>
  <c r="R118" i="14"/>
  <c r="S118" i="14"/>
  <c r="K119" i="14"/>
  <c r="L119" i="14" s="1"/>
  <c r="M119" i="14"/>
  <c r="R119" i="14"/>
  <c r="S119" i="14"/>
  <c r="K120" i="14"/>
  <c r="L120" i="14"/>
  <c r="M120" i="14"/>
  <c r="R120" i="14"/>
  <c r="S120" i="14" s="1"/>
  <c r="V116" i="14"/>
  <c r="W116" i="14" s="1"/>
  <c r="V117" i="14"/>
  <c r="W117" i="14" s="1"/>
  <c r="V118" i="14"/>
  <c r="F118" i="14" s="1"/>
  <c r="H118" i="14" s="1"/>
  <c r="V119" i="14"/>
  <c r="F119" i="14" s="1"/>
  <c r="H119" i="14" s="1"/>
  <c r="V120" i="14"/>
  <c r="F120" i="14" s="1"/>
  <c r="H120" i="14" s="1"/>
  <c r="V115" i="14"/>
  <c r="F115" i="14" s="1"/>
  <c r="H115" i="14" s="1"/>
  <c r="D115" i="14"/>
  <c r="D116" i="14"/>
  <c r="D117" i="14"/>
  <c r="D118" i="14"/>
  <c r="D119" i="14"/>
  <c r="D120" i="14"/>
  <c r="I115" i="14"/>
  <c r="I116" i="14"/>
  <c r="I117" i="14"/>
  <c r="I118" i="14"/>
  <c r="I119" i="14"/>
  <c r="I120" i="14"/>
  <c r="S106" i="14"/>
  <c r="S108" i="14"/>
  <c r="S109" i="14"/>
  <c r="S110" i="14"/>
  <c r="S111" i="14"/>
  <c r="S113" i="14"/>
  <c r="S114" i="14"/>
  <c r="S105" i="14"/>
  <c r="R106" i="14"/>
  <c r="R107" i="14"/>
  <c r="S107" i="14" s="1"/>
  <c r="R108" i="14"/>
  <c r="R109" i="14"/>
  <c r="R110" i="14"/>
  <c r="R111" i="14"/>
  <c r="R112" i="14"/>
  <c r="S112" i="14" s="1"/>
  <c r="R113" i="14"/>
  <c r="R114" i="14"/>
  <c r="R105" i="14"/>
  <c r="M106" i="14"/>
  <c r="M107" i="14"/>
  <c r="M108" i="14"/>
  <c r="M109" i="14"/>
  <c r="M110" i="14"/>
  <c r="M111" i="14"/>
  <c r="M112" i="14"/>
  <c r="M113" i="14"/>
  <c r="M114" i="14"/>
  <c r="M105" i="14"/>
  <c r="L106" i="14"/>
  <c r="L107" i="14"/>
  <c r="L108" i="14"/>
  <c r="L109" i="14"/>
  <c r="L110" i="14"/>
  <c r="L111" i="14"/>
  <c r="L112" i="14"/>
  <c r="L113" i="14"/>
  <c r="L114" i="14"/>
  <c r="L105" i="14"/>
  <c r="K106" i="14"/>
  <c r="K107" i="14"/>
  <c r="K108" i="14"/>
  <c r="K109" i="14"/>
  <c r="K110" i="14"/>
  <c r="K111" i="14"/>
  <c r="K112" i="14"/>
  <c r="K113" i="14"/>
  <c r="K114" i="14"/>
  <c r="K105" i="14"/>
  <c r="H113" i="14"/>
  <c r="I113" i="14"/>
  <c r="H114" i="14"/>
  <c r="I114" i="14"/>
  <c r="D113" i="14"/>
  <c r="D114" i="14"/>
  <c r="I106" i="14"/>
  <c r="I107" i="14"/>
  <c r="I108" i="14"/>
  <c r="I109" i="14"/>
  <c r="I110" i="14"/>
  <c r="I111" i="14"/>
  <c r="I112" i="14"/>
  <c r="I105" i="14"/>
  <c r="H106" i="14"/>
  <c r="H107" i="14"/>
  <c r="H108" i="14"/>
  <c r="H109" i="14"/>
  <c r="H110" i="14"/>
  <c r="H111" i="14"/>
  <c r="H112" i="14"/>
  <c r="H105" i="14"/>
  <c r="D106" i="14"/>
  <c r="D107" i="14"/>
  <c r="D108" i="14"/>
  <c r="D109" i="14"/>
  <c r="D110" i="14"/>
  <c r="D111" i="14"/>
  <c r="D112" i="14"/>
  <c r="D105" i="14"/>
  <c r="N120" i="14" l="1"/>
  <c r="O120" i="14" s="1"/>
  <c r="P120" i="14" s="1"/>
  <c r="Q120" i="14" s="1"/>
  <c r="N116" i="14"/>
  <c r="O116" i="14" s="1"/>
  <c r="P116" i="14" s="1"/>
  <c r="Q116" i="14" s="1"/>
  <c r="N115" i="14"/>
  <c r="O115" i="14" s="1"/>
  <c r="P115" i="14" s="1"/>
  <c r="Q115" i="14" s="1"/>
  <c r="N119" i="14"/>
  <c r="O119" i="14" s="1"/>
  <c r="P119" i="14" s="1"/>
  <c r="Q119" i="14" s="1"/>
  <c r="N118" i="14"/>
  <c r="O118" i="14" s="1"/>
  <c r="P118" i="14" s="1"/>
  <c r="Q118" i="14" s="1"/>
  <c r="F116" i="14"/>
  <c r="H116" i="14" s="1"/>
  <c r="X116" i="14" s="1"/>
  <c r="F117" i="14"/>
  <c r="H117" i="14" s="1"/>
  <c r="X117" i="14" s="1"/>
  <c r="W118" i="14"/>
  <c r="X118" i="14" s="1"/>
  <c r="W119" i="14"/>
  <c r="X119" i="14" s="1"/>
  <c r="W120" i="14"/>
  <c r="X120" i="14" s="1"/>
  <c r="W115" i="14"/>
  <c r="X115" i="14" s="1"/>
  <c r="N114" i="14"/>
  <c r="O114" i="14" s="1"/>
  <c r="P114" i="14" s="1"/>
  <c r="Q114" i="14" s="1"/>
  <c r="N113" i="14"/>
  <c r="O113" i="14" s="1"/>
  <c r="P113" i="14" s="1"/>
  <c r="Q113" i="14" s="1"/>
  <c r="N112" i="14"/>
  <c r="O112" i="14" s="1"/>
  <c r="P112" i="14" s="1"/>
  <c r="Q112" i="14" s="1"/>
  <c r="N111" i="14"/>
  <c r="O111" i="14" s="1"/>
  <c r="P111" i="14" s="1"/>
  <c r="Q111" i="14" s="1"/>
  <c r="N110" i="14"/>
  <c r="O110" i="14" s="1"/>
  <c r="P110" i="14" s="1"/>
  <c r="Q110" i="14" s="1"/>
  <c r="N109" i="14"/>
  <c r="O109" i="14" s="1"/>
  <c r="P109" i="14" s="1"/>
  <c r="Q109" i="14" s="1"/>
  <c r="N108" i="14"/>
  <c r="O108" i="14" s="1"/>
  <c r="P108" i="14" s="1"/>
  <c r="Q108" i="14" s="1"/>
  <c r="N107" i="14"/>
  <c r="O107" i="14" s="1"/>
  <c r="P107" i="14" s="1"/>
  <c r="Q107" i="14" s="1"/>
  <c r="N106" i="14"/>
  <c r="O106" i="14" s="1"/>
  <c r="P106" i="14" s="1"/>
  <c r="Q106" i="14" s="1"/>
  <c r="N105" i="14"/>
  <c r="O105" i="14" s="1"/>
  <c r="P105" i="14" s="1"/>
  <c r="Q105" i="14" s="1"/>
  <c r="B97" i="14" l="1"/>
  <c r="C97" i="14"/>
  <c r="C94" i="4"/>
  <c r="E94" i="4"/>
  <c r="I94" i="4" s="1"/>
  <c r="L94" i="4" s="1"/>
  <c r="L91" i="4"/>
  <c r="K91" i="4"/>
  <c r="H76" i="4"/>
  <c r="I76" i="4" s="1"/>
  <c r="B120" i="4"/>
  <c r="E120" i="4" s="1"/>
  <c r="D117" i="4"/>
  <c r="F117" i="4" s="1"/>
  <c r="P115" i="4"/>
  <c r="F115" i="4"/>
  <c r="P113" i="4"/>
  <c r="D113" i="4"/>
  <c r="F113" i="4" s="1"/>
  <c r="Q113" i="4" s="1"/>
  <c r="R115" i="4" l="1"/>
  <c r="F120" i="4"/>
  <c r="G120" i="4"/>
  <c r="E117" i="4"/>
  <c r="D111" i="4" l="1"/>
  <c r="F111" i="4" s="1"/>
  <c r="P109" i="4"/>
  <c r="F109" i="4"/>
  <c r="P107" i="4"/>
  <c r="F107" i="4"/>
  <c r="G104" i="4"/>
  <c r="H104" i="4" s="1"/>
  <c r="E101" i="4"/>
  <c r="F101" i="4" s="1"/>
  <c r="C98" i="4"/>
  <c r="F98" i="4" s="1"/>
  <c r="I5" i="14"/>
  <c r="D97" i="14"/>
  <c r="B100" i="14" s="1"/>
  <c r="I89" i="14"/>
  <c r="J89" i="14"/>
  <c r="E79" i="14"/>
  <c r="E80" i="14"/>
  <c r="E82" i="14"/>
  <c r="E72" i="14"/>
  <c r="E73" i="14"/>
  <c r="E74" i="14"/>
  <c r="E75" i="14"/>
  <c r="E76" i="14"/>
  <c r="E77" i="14"/>
  <c r="E78" i="14"/>
  <c r="E81" i="14"/>
  <c r="E83" i="14"/>
  <c r="E84" i="14"/>
  <c r="E85" i="14"/>
  <c r="E86" i="14"/>
  <c r="E87" i="14"/>
  <c r="E88" i="14"/>
  <c r="E89" i="14"/>
  <c r="I46" i="14"/>
  <c r="J46" i="14" s="1"/>
  <c r="R109" i="4" l="1"/>
  <c r="E97" i="14"/>
  <c r="F97" i="14" s="1"/>
  <c r="C100" i="14"/>
  <c r="D100" i="14" s="1"/>
  <c r="Q107" i="4"/>
  <c r="E111" i="4"/>
  <c r="B29" i="14"/>
  <c r="D26" i="14"/>
  <c r="B26" i="14"/>
  <c r="E63" i="14"/>
  <c r="E64" i="14"/>
  <c r="E65" i="14"/>
  <c r="E66" i="14"/>
  <c r="E67" i="14"/>
  <c r="E68" i="14"/>
  <c r="E69" i="14"/>
  <c r="E70" i="14"/>
  <c r="E71" i="14"/>
  <c r="E60" i="14"/>
  <c r="E61" i="14"/>
  <c r="E62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D29" i="14"/>
  <c r="F41" i="14"/>
  <c r="H41" i="14" s="1"/>
  <c r="H39" i="14" l="1"/>
  <c r="C42" i="14" s="1"/>
  <c r="G88" i="14" l="1"/>
  <c r="G89" i="14"/>
  <c r="G50" i="14"/>
  <c r="G51" i="14"/>
  <c r="G52" i="14"/>
  <c r="G81" i="14"/>
  <c r="G84" i="14"/>
  <c r="G72" i="14"/>
  <c r="G73" i="14"/>
  <c r="G75" i="14"/>
  <c r="G74" i="14"/>
  <c r="G78" i="14"/>
  <c r="G79" i="14"/>
  <c r="G80" i="14"/>
  <c r="G82" i="14"/>
  <c r="G83" i="14"/>
  <c r="G85" i="14"/>
  <c r="G86" i="14"/>
  <c r="G87" i="14"/>
  <c r="G76" i="14"/>
  <c r="G77" i="14"/>
  <c r="G48" i="14"/>
  <c r="G64" i="14"/>
  <c r="G47" i="14"/>
  <c r="G49" i="14"/>
  <c r="G65" i="14"/>
  <c r="G66" i="14"/>
  <c r="G67" i="14"/>
  <c r="G68" i="14"/>
  <c r="G53" i="14"/>
  <c r="G69" i="14"/>
  <c r="G54" i="14"/>
  <c r="G70" i="14"/>
  <c r="G55" i="14"/>
  <c r="G71" i="14"/>
  <c r="G56" i="14"/>
  <c r="G57" i="14"/>
  <c r="G58" i="14"/>
  <c r="G59" i="14"/>
  <c r="G60" i="14"/>
  <c r="G61" i="14"/>
  <c r="G62" i="14"/>
  <c r="G63" i="14"/>
  <c r="G18" i="14"/>
  <c r="H18" i="14" s="1"/>
  <c r="E18" i="14"/>
  <c r="F11" i="14"/>
  <c r="F12" i="14"/>
  <c r="F13" i="14"/>
  <c r="F14" i="14"/>
  <c r="F15" i="14"/>
  <c r="F16" i="14"/>
  <c r="F17" i="14"/>
  <c r="F10" i="14"/>
  <c r="D11" i="14"/>
  <c r="D12" i="14"/>
  <c r="D13" i="14"/>
  <c r="D14" i="14"/>
  <c r="D15" i="14"/>
  <c r="E15" i="14" s="1"/>
  <c r="D16" i="14"/>
  <c r="E16" i="14" s="1"/>
  <c r="D17" i="14"/>
  <c r="E17" i="14" s="1"/>
  <c r="D10" i="14"/>
  <c r="E10" i="14" s="1"/>
  <c r="G12" i="14" l="1"/>
  <c r="H12" i="14" s="1"/>
  <c r="G11" i="14"/>
  <c r="H11" i="14" s="1"/>
  <c r="G10" i="14"/>
  <c r="H10" i="14" s="1"/>
  <c r="I10" i="14" s="1"/>
  <c r="G17" i="14"/>
  <c r="H17" i="14" s="1"/>
  <c r="I17" i="14" s="1"/>
  <c r="G14" i="14"/>
  <c r="H14" i="14" s="1"/>
  <c r="G13" i="14"/>
  <c r="H13" i="14" s="1"/>
  <c r="G15" i="14"/>
  <c r="H15" i="14" s="1"/>
  <c r="I15" i="14" s="1"/>
  <c r="E14" i="14"/>
  <c r="I14" i="14" s="1"/>
  <c r="E13" i="14"/>
  <c r="I13" i="14" s="1"/>
  <c r="E12" i="14"/>
  <c r="G16" i="14"/>
  <c r="H16" i="14" s="1"/>
  <c r="I16" i="14" s="1"/>
  <c r="E11" i="14"/>
  <c r="I18" i="14"/>
  <c r="I11" i="14" l="1"/>
  <c r="I12" i="14"/>
  <c r="C21" i="14" s="1"/>
  <c r="D21" i="14" s="1"/>
  <c r="D93" i="14" s="1"/>
  <c r="C29" i="14" l="1"/>
  <c r="C26" i="14"/>
  <c r="E26" i="14" s="1"/>
  <c r="P53" i="7"/>
  <c r="N48" i="7"/>
  <c r="C48" i="7" s="1"/>
  <c r="P13" i="7"/>
  <c r="E29" i="14" l="1"/>
  <c r="D46" i="14" s="1"/>
  <c r="E46" i="14" s="1"/>
  <c r="G46" i="14" s="1"/>
  <c r="L48" i="7"/>
  <c r="J48" i="7"/>
  <c r="G48" i="7"/>
  <c r="D48" i="7"/>
  <c r="M48" i="7"/>
  <c r="K48" i="7"/>
  <c r="I48" i="7"/>
  <c r="H48" i="7"/>
  <c r="F48" i="7"/>
  <c r="E48" i="7"/>
  <c r="N43" i="7"/>
  <c r="N44" i="7"/>
  <c r="N45" i="7"/>
  <c r="N46" i="7"/>
  <c r="N47" i="7"/>
  <c r="N49" i="7"/>
  <c r="N50" i="7"/>
  <c r="N51" i="7"/>
  <c r="N52" i="7"/>
  <c r="N42" i="7"/>
  <c r="C88" i="4"/>
  <c r="J88" i="4" s="1"/>
  <c r="K7" i="1"/>
  <c r="G7" i="1"/>
  <c r="C7" i="1"/>
  <c r="N40" i="13"/>
  <c r="K40" i="13"/>
  <c r="J40" i="13"/>
  <c r="N39" i="13"/>
  <c r="K39" i="13"/>
  <c r="J39" i="13"/>
  <c r="N38" i="13"/>
  <c r="K38" i="13"/>
  <c r="J38" i="13"/>
  <c r="N37" i="13"/>
  <c r="K37" i="13"/>
  <c r="J37" i="13"/>
  <c r="N36" i="13"/>
  <c r="K36" i="13"/>
  <c r="J36" i="13"/>
  <c r="N35" i="13"/>
  <c r="K35" i="13"/>
  <c r="J35" i="13"/>
  <c r="N34" i="13"/>
  <c r="K34" i="13"/>
  <c r="J34" i="13"/>
  <c r="N33" i="13"/>
  <c r="K33" i="13"/>
  <c r="J33" i="13"/>
  <c r="N32" i="13"/>
  <c r="K32" i="13"/>
  <c r="J32" i="13"/>
  <c r="N31" i="13"/>
  <c r="K31" i="13"/>
  <c r="J31" i="13"/>
  <c r="N30" i="13"/>
  <c r="K30" i="13"/>
  <c r="J30" i="13"/>
  <c r="N29" i="13"/>
  <c r="K29" i="13"/>
  <c r="J29" i="13"/>
  <c r="N28" i="13"/>
  <c r="K28" i="13"/>
  <c r="J28" i="13"/>
  <c r="N27" i="13"/>
  <c r="K27" i="13"/>
  <c r="J27" i="13"/>
  <c r="N26" i="13"/>
  <c r="K26" i="13"/>
  <c r="J26" i="13"/>
  <c r="N25" i="13"/>
  <c r="K25" i="13"/>
  <c r="J25" i="13"/>
  <c r="N24" i="13"/>
  <c r="K24" i="13"/>
  <c r="J24" i="13"/>
  <c r="N23" i="13"/>
  <c r="K23" i="13"/>
  <c r="J23" i="13"/>
  <c r="N22" i="13"/>
  <c r="K22" i="13"/>
  <c r="J22" i="13"/>
  <c r="N21" i="13"/>
  <c r="K21" i="13"/>
  <c r="J21" i="13"/>
  <c r="N20" i="13"/>
  <c r="K20" i="13"/>
  <c r="J20" i="13"/>
  <c r="N19" i="13"/>
  <c r="K19" i="13"/>
  <c r="J19" i="13"/>
  <c r="N18" i="13"/>
  <c r="K18" i="13"/>
  <c r="J18" i="13"/>
  <c r="N17" i="13"/>
  <c r="K17" i="13"/>
  <c r="J17" i="13"/>
  <c r="N16" i="13"/>
  <c r="K16" i="13"/>
  <c r="J16" i="13"/>
  <c r="N15" i="13"/>
  <c r="K15" i="13"/>
  <c r="J15" i="13"/>
  <c r="N14" i="13"/>
  <c r="K14" i="13"/>
  <c r="J14" i="13"/>
  <c r="N13" i="13"/>
  <c r="K13" i="13"/>
  <c r="J13" i="13"/>
  <c r="N12" i="13"/>
  <c r="K12" i="13"/>
  <c r="J12" i="13"/>
  <c r="N11" i="13"/>
  <c r="K11" i="13"/>
  <c r="J11" i="13"/>
  <c r="N10" i="13"/>
  <c r="K10" i="13"/>
  <c r="J10" i="13"/>
  <c r="N9" i="13"/>
  <c r="K9" i="13"/>
  <c r="J9" i="13"/>
  <c r="N8" i="13"/>
  <c r="K8" i="13"/>
  <c r="J8" i="13"/>
  <c r="N7" i="13"/>
  <c r="K7" i="13"/>
  <c r="J7" i="13"/>
  <c r="N6" i="13"/>
  <c r="K6" i="13"/>
  <c r="J6" i="13"/>
  <c r="E26" i="4"/>
  <c r="D80" i="4"/>
  <c r="F80" i="4" s="1"/>
  <c r="H80" i="4" s="1"/>
  <c r="I80" i="4" s="1"/>
  <c r="Q48" i="7" l="1"/>
  <c r="N53" i="7"/>
  <c r="I88" i="4"/>
  <c r="C52" i="7"/>
  <c r="G52" i="7"/>
  <c r="D52" i="7"/>
  <c r="L52" i="7"/>
  <c r="F52" i="7"/>
  <c r="K52" i="7"/>
  <c r="J52" i="7"/>
  <c r="H52" i="7"/>
  <c r="M52" i="7"/>
  <c r="E52" i="7"/>
  <c r="I52" i="7"/>
  <c r="L47" i="7"/>
  <c r="J47" i="7"/>
  <c r="H47" i="7"/>
  <c r="F47" i="7"/>
  <c r="E47" i="7"/>
  <c r="K47" i="7"/>
  <c r="I47" i="7"/>
  <c r="C47" i="7"/>
  <c r="G47" i="7"/>
  <c r="M47" i="7"/>
  <c r="D47" i="7"/>
  <c r="C51" i="7"/>
  <c r="G51" i="7"/>
  <c r="D51" i="7"/>
  <c r="L51" i="7"/>
  <c r="J51" i="7"/>
  <c r="H51" i="7"/>
  <c r="F51" i="7"/>
  <c r="M51" i="7"/>
  <c r="K51" i="7"/>
  <c r="I51" i="7"/>
  <c r="E51" i="7"/>
  <c r="J46" i="7"/>
  <c r="H46" i="7"/>
  <c r="I46" i="7"/>
  <c r="C46" i="7"/>
  <c r="G46" i="7"/>
  <c r="D46" i="7"/>
  <c r="L46" i="7"/>
  <c r="F46" i="7"/>
  <c r="M46" i="7"/>
  <c r="E46" i="7"/>
  <c r="K46" i="7"/>
  <c r="D50" i="7"/>
  <c r="L50" i="7"/>
  <c r="G50" i="7"/>
  <c r="F50" i="7"/>
  <c r="M50" i="7"/>
  <c r="E50" i="7"/>
  <c r="K50" i="7"/>
  <c r="I50" i="7"/>
  <c r="C50" i="7"/>
  <c r="J50" i="7"/>
  <c r="H50" i="7"/>
  <c r="J45" i="7"/>
  <c r="H45" i="7"/>
  <c r="F45" i="7"/>
  <c r="E45" i="7"/>
  <c r="K45" i="7"/>
  <c r="C45" i="7"/>
  <c r="L45" i="7"/>
  <c r="M45" i="7"/>
  <c r="G45" i="7"/>
  <c r="D45" i="7"/>
  <c r="I45" i="7"/>
  <c r="I42" i="7"/>
  <c r="H42" i="7"/>
  <c r="G42" i="7"/>
  <c r="C42" i="7"/>
  <c r="F42" i="7"/>
  <c r="D42" i="7"/>
  <c r="M42" i="7"/>
  <c r="L42" i="7"/>
  <c r="J42" i="7"/>
  <c r="E42" i="7"/>
  <c r="E53" i="7" s="1"/>
  <c r="K42" i="7"/>
  <c r="K53" i="7" s="1"/>
  <c r="J44" i="7"/>
  <c r="H44" i="7"/>
  <c r="F44" i="7"/>
  <c r="M44" i="7"/>
  <c r="E44" i="7"/>
  <c r="D44" i="7"/>
  <c r="K44" i="7"/>
  <c r="I44" i="7"/>
  <c r="G44" i="7"/>
  <c r="L44" i="7"/>
  <c r="C44" i="7"/>
  <c r="C49" i="7"/>
  <c r="D49" i="7"/>
  <c r="L49" i="7"/>
  <c r="J49" i="7"/>
  <c r="H49" i="7"/>
  <c r="M49" i="7"/>
  <c r="E49" i="7"/>
  <c r="F49" i="7"/>
  <c r="K49" i="7"/>
  <c r="I49" i="7"/>
  <c r="G49" i="7"/>
  <c r="J43" i="7"/>
  <c r="H43" i="7"/>
  <c r="F43" i="7"/>
  <c r="M43" i="7"/>
  <c r="E43" i="7"/>
  <c r="D43" i="7"/>
  <c r="K43" i="7"/>
  <c r="I43" i="7"/>
  <c r="G43" i="7"/>
  <c r="L43" i="7"/>
  <c r="C43" i="7"/>
  <c r="G83" i="4"/>
  <c r="H83" i="4" s="1"/>
  <c r="G71" i="4"/>
  <c r="H71" i="4" s="1"/>
  <c r="B4" i="8"/>
  <c r="K4" i="8"/>
  <c r="N4" i="7"/>
  <c r="O13" i="7" s="1"/>
  <c r="N13" i="7" s="1"/>
  <c r="P8" i="7"/>
  <c r="P9" i="7"/>
  <c r="P10" i="7"/>
  <c r="P11" i="7"/>
  <c r="P12" i="7"/>
  <c r="P14" i="7"/>
  <c r="P15" i="7"/>
  <c r="P16" i="7"/>
  <c r="P17" i="7"/>
  <c r="P7" i="7"/>
  <c r="N5" i="7"/>
  <c r="F53" i="7" l="1"/>
  <c r="J53" i="7"/>
  <c r="G53" i="7"/>
  <c r="H53" i="7"/>
  <c r="I53" i="7"/>
  <c r="L53" i="7"/>
  <c r="M53" i="7"/>
  <c r="D53" i="7"/>
  <c r="C53" i="7"/>
  <c r="C13" i="7"/>
  <c r="F13" i="7"/>
  <c r="G13" i="7"/>
  <c r="H13" i="7"/>
  <c r="I13" i="7"/>
  <c r="J13" i="7"/>
  <c r="L13" i="7"/>
  <c r="D13" i="7"/>
  <c r="K13" i="7"/>
  <c r="M13" i="7"/>
  <c r="E13" i="7"/>
  <c r="Q43" i="7"/>
  <c r="Q49" i="7"/>
  <c r="Q44" i="7"/>
  <c r="Q51" i="7"/>
  <c r="Q42" i="7"/>
  <c r="Q45" i="7"/>
  <c r="Q46" i="7"/>
  <c r="Q50" i="7"/>
  <c r="Q47" i="7"/>
  <c r="Q52" i="7"/>
  <c r="P18" i="7"/>
  <c r="O10" i="7"/>
  <c r="N10" i="7" s="1"/>
  <c r="O7" i="7"/>
  <c r="N7" i="7" s="1"/>
  <c r="O12" i="7"/>
  <c r="N12" i="7" s="1"/>
  <c r="O8" i="7"/>
  <c r="N8" i="7" s="1"/>
  <c r="O17" i="7"/>
  <c r="N17" i="7" s="1"/>
  <c r="O4" i="7"/>
  <c r="O16" i="7"/>
  <c r="N16" i="7" s="1"/>
  <c r="O11" i="7"/>
  <c r="N11" i="7" s="1"/>
  <c r="O14" i="7"/>
  <c r="N14" i="7" s="1"/>
  <c r="O9" i="7"/>
  <c r="N9" i="7" s="1"/>
  <c r="O15" i="7"/>
  <c r="N15" i="7" s="1"/>
  <c r="H62" i="4"/>
  <c r="Q53" i="7" l="1"/>
  <c r="N18" i="7"/>
  <c r="M11" i="7"/>
  <c r="C11" i="7"/>
  <c r="D11" i="7"/>
  <c r="E11" i="7"/>
  <c r="I11" i="7"/>
  <c r="F11" i="7"/>
  <c r="K11" i="7"/>
  <c r="G11" i="7"/>
  <c r="H11" i="7"/>
  <c r="J11" i="7"/>
  <c r="L11" i="7"/>
  <c r="D17" i="7"/>
  <c r="E17" i="7"/>
  <c r="F17" i="7"/>
  <c r="I17" i="7"/>
  <c r="K17" i="7"/>
  <c r="G17" i="7"/>
  <c r="C17" i="7"/>
  <c r="H17" i="7"/>
  <c r="L17" i="7"/>
  <c r="J17" i="7"/>
  <c r="M17" i="7"/>
  <c r="D9" i="7"/>
  <c r="E9" i="7"/>
  <c r="F9" i="7"/>
  <c r="I9" i="7"/>
  <c r="K9" i="7"/>
  <c r="L9" i="7"/>
  <c r="G9" i="7"/>
  <c r="H9" i="7"/>
  <c r="M9" i="7"/>
  <c r="J9" i="7"/>
  <c r="C9" i="7"/>
  <c r="K8" i="7"/>
  <c r="M8" i="7"/>
  <c r="J8" i="7"/>
  <c r="L8" i="7"/>
  <c r="F8" i="7"/>
  <c r="G8" i="7"/>
  <c r="D8" i="7"/>
  <c r="H8" i="7"/>
  <c r="E8" i="7"/>
  <c r="C8" i="7"/>
  <c r="I8" i="7"/>
  <c r="E15" i="7"/>
  <c r="G15" i="7"/>
  <c r="F15" i="7"/>
  <c r="H15" i="7"/>
  <c r="I15" i="7"/>
  <c r="C15" i="7"/>
  <c r="J15" i="7"/>
  <c r="M15" i="7"/>
  <c r="K15" i="7"/>
  <c r="L15" i="7"/>
  <c r="D15" i="7"/>
  <c r="K16" i="7"/>
  <c r="J16" i="7"/>
  <c r="L16" i="7"/>
  <c r="M16" i="7"/>
  <c r="H16" i="7"/>
  <c r="C16" i="7"/>
  <c r="F16" i="7"/>
  <c r="E16" i="7"/>
  <c r="G16" i="7"/>
  <c r="D16" i="7"/>
  <c r="I16" i="7"/>
  <c r="E7" i="7"/>
  <c r="F7" i="7"/>
  <c r="G7" i="7"/>
  <c r="H7" i="7"/>
  <c r="I7" i="7"/>
  <c r="J7" i="7"/>
  <c r="C7" i="7"/>
  <c r="K7" i="7"/>
  <c r="L7" i="7"/>
  <c r="M7" i="7"/>
  <c r="D7" i="7"/>
  <c r="C14" i="7"/>
  <c r="D14" i="7"/>
  <c r="E14" i="7"/>
  <c r="F14" i="7"/>
  <c r="G14" i="7"/>
  <c r="J14" i="7"/>
  <c r="H14" i="7"/>
  <c r="L14" i="7"/>
  <c r="M14" i="7"/>
  <c r="I14" i="7"/>
  <c r="K14" i="7"/>
  <c r="E12" i="7"/>
  <c r="D12" i="7"/>
  <c r="C12" i="7"/>
  <c r="F12" i="7"/>
  <c r="G12" i="7"/>
  <c r="H12" i="7"/>
  <c r="K12" i="7"/>
  <c r="M12" i="7"/>
  <c r="I12" i="7"/>
  <c r="J12" i="7"/>
  <c r="L12" i="7"/>
  <c r="G10" i="7"/>
  <c r="H10" i="7"/>
  <c r="I10" i="7"/>
  <c r="J10" i="7"/>
  <c r="D10" i="7"/>
  <c r="E10" i="7"/>
  <c r="K10" i="7"/>
  <c r="L10" i="7"/>
  <c r="M10" i="7"/>
  <c r="F10" i="7"/>
  <c r="C10" i="7"/>
  <c r="J41" i="4"/>
  <c r="C18" i="7" l="1"/>
  <c r="M18" i="7"/>
  <c r="I18" i="7"/>
  <c r="F18" i="7"/>
  <c r="L18" i="7"/>
  <c r="H18" i="7"/>
  <c r="E18" i="7"/>
  <c r="G18" i="7"/>
  <c r="D18" i="7"/>
  <c r="K18" i="7"/>
  <c r="J18" i="7"/>
  <c r="C39" i="4"/>
  <c r="E39" i="4" s="1"/>
  <c r="I41" i="4"/>
  <c r="C42" i="4"/>
  <c r="D42" i="4" s="1"/>
  <c r="G39" i="4"/>
  <c r="J39" i="4" s="1"/>
  <c r="I42" i="4" l="1"/>
  <c r="H42" i="4" s="1"/>
  <c r="J42" i="4" s="1"/>
  <c r="L39" i="4"/>
  <c r="C34" i="4"/>
  <c r="E34" i="4" s="1"/>
  <c r="G34" i="4" s="1"/>
  <c r="G13" i="4"/>
  <c r="C13" i="4"/>
  <c r="D10" i="4"/>
  <c r="C10" i="4"/>
  <c r="E10" i="4" s="1"/>
  <c r="J34" i="4" l="1"/>
  <c r="I34" i="4"/>
  <c r="H16" i="4"/>
  <c r="I16" i="4" s="1"/>
  <c r="C30" i="4" l="1"/>
  <c r="E30" i="4" s="1"/>
  <c r="G30" i="4" s="1"/>
  <c r="I30" i="4" l="1"/>
  <c r="J30" i="4"/>
  <c r="C127" i="1"/>
  <c r="C129" i="1" s="1"/>
  <c r="C122" i="1"/>
  <c r="C123" i="1" s="1"/>
  <c r="C125" i="1" s="1"/>
  <c r="C115" i="1"/>
  <c r="C117" i="1" s="1"/>
  <c r="C106" i="1"/>
  <c r="C108" i="1" s="1"/>
  <c r="C101" i="1"/>
  <c r="C102" i="1" s="1"/>
  <c r="C104" i="1" s="1"/>
  <c r="C94" i="1"/>
  <c r="C96" i="1" s="1"/>
  <c r="C85" i="1"/>
  <c r="C87" i="1" s="1"/>
  <c r="C80" i="1"/>
  <c r="C81" i="1" s="1"/>
  <c r="C83" i="1" s="1"/>
  <c r="C73" i="1"/>
  <c r="C75" i="1" s="1"/>
  <c r="U64" i="1"/>
  <c r="U66" i="1" s="1"/>
  <c r="U59" i="1"/>
  <c r="U60" i="1" s="1"/>
  <c r="U62" i="1" s="1"/>
  <c r="U52" i="1"/>
  <c r="U54" i="1" s="1"/>
  <c r="O64" i="1"/>
  <c r="O66" i="1" s="1"/>
  <c r="O59" i="1"/>
  <c r="O60" i="1" s="1"/>
  <c r="O62" i="1" s="1"/>
  <c r="O52" i="1"/>
  <c r="O54" i="1" s="1"/>
  <c r="I64" i="1"/>
  <c r="I66" i="1" s="1"/>
  <c r="I59" i="1"/>
  <c r="I60" i="1" s="1"/>
  <c r="I62" i="1" s="1"/>
  <c r="I52" i="1"/>
  <c r="I54" i="1" s="1"/>
  <c r="C64" i="1"/>
  <c r="C66" i="1" s="1"/>
  <c r="C59" i="1"/>
  <c r="C60" i="1" s="1"/>
  <c r="C62" i="1" s="1"/>
  <c r="C52" i="1"/>
  <c r="C54" i="1" s="1"/>
  <c r="C43" i="1"/>
  <c r="C45" i="1" s="1"/>
  <c r="C31" i="1"/>
  <c r="C33" i="1" s="1"/>
  <c r="C38" i="1"/>
  <c r="C39" i="1" s="1"/>
  <c r="C41" i="1" s="1"/>
  <c r="J22" i="6" l="1"/>
  <c r="C23" i="6"/>
  <c r="Q6" i="6" l="1"/>
  <c r="Q9" i="6"/>
  <c r="R6" i="6"/>
  <c r="R9" i="6"/>
  <c r="M9" i="6"/>
  <c r="M6" i="6"/>
  <c r="S9" i="6"/>
  <c r="P9" i="6"/>
  <c r="O9" i="6"/>
  <c r="N9" i="6"/>
  <c r="L9" i="6"/>
  <c r="K9" i="6"/>
  <c r="J9" i="6"/>
  <c r="I9" i="6"/>
  <c r="H9" i="6"/>
  <c r="G9" i="6"/>
  <c r="F9" i="6"/>
  <c r="E9" i="6"/>
  <c r="D9" i="6"/>
  <c r="C9" i="6"/>
  <c r="B9" i="6"/>
  <c r="K22" i="6"/>
  <c r="I22" i="6"/>
  <c r="D23" i="6"/>
  <c r="B23" i="6"/>
  <c r="S6" i="6"/>
  <c r="P6" i="6"/>
  <c r="O6" i="6"/>
  <c r="N6" i="6"/>
  <c r="L6" i="6"/>
  <c r="K6" i="6"/>
  <c r="J6" i="6"/>
  <c r="I6" i="6"/>
  <c r="H6" i="6"/>
  <c r="G6" i="6"/>
  <c r="F6" i="6"/>
  <c r="E6" i="6"/>
  <c r="D6" i="6"/>
  <c r="C6" i="6"/>
  <c r="B6" i="6"/>
  <c r="F22" i="4" l="1"/>
  <c r="D22" i="4"/>
  <c r="B22" i="4"/>
  <c r="J24" i="5" l="1"/>
  <c r="M4" i="5" l="1"/>
  <c r="M6" i="5" s="1"/>
  <c r="M9" i="5" l="1"/>
  <c r="M16" i="5"/>
  <c r="M20" i="5"/>
  <c r="M19" i="5"/>
  <c r="M18" i="5"/>
  <c r="M17" i="5"/>
  <c r="M13" i="5"/>
  <c r="M12" i="5"/>
  <c r="M5" i="5"/>
  <c r="M11" i="5"/>
  <c r="M10" i="5"/>
  <c r="M8" i="5"/>
  <c r="M15" i="5"/>
  <c r="M7" i="5"/>
  <c r="M14" i="5"/>
  <c r="E4" i="4"/>
  <c r="D24" i="5" l="1"/>
  <c r="C16" i="4" l="1"/>
  <c r="D16" i="4" s="1"/>
  <c r="C7" i="4"/>
  <c r="C19" i="4" l="1"/>
  <c r="D19" i="4" l="1"/>
  <c r="B19" i="4"/>
  <c r="G4" i="1" l="1"/>
  <c r="L22" i="1" l="1"/>
  <c r="K22" i="1"/>
  <c r="J22" i="1"/>
  <c r="M22" i="1" l="1"/>
  <c r="N22" i="1"/>
  <c r="O22" i="1"/>
  <c r="E17" i="1"/>
  <c r="D17" i="1"/>
  <c r="F17" i="1" s="1"/>
  <c r="P22" i="1" l="1"/>
  <c r="Q22" i="1" s="1"/>
  <c r="C13" i="1"/>
  <c r="F13" i="1" l="1"/>
  <c r="E13" i="1" l="1"/>
  <c r="C4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陈俊</author>
  </authors>
  <commentList>
    <comment ref="P106" authorId="0" shapeId="0" xr:uid="{129450E9-C4DD-4590-931B-30E9010F1535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非城门洞型断面时，计算出Sλ综合值后，直接修改此值填入此处即可</t>
        </r>
      </text>
    </comment>
    <comment ref="P108" authorId="0" shapeId="0" xr:uid="{7FDD74D3-72DF-4ACC-9309-C94179A33186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非城门洞型断面时，计算出Sλ综合值后，直接修改此值填入此处即可</t>
        </r>
      </text>
    </comment>
    <comment ref="P112" authorId="0" shapeId="0" xr:uid="{72529F73-BB82-4700-BE24-1FAAA2D1AFCB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非城门洞型断面时，计算出Sλ综合值后，直接修改此值填入此处即可</t>
        </r>
      </text>
    </comment>
    <comment ref="P114" authorId="0" shapeId="0" xr:uid="{5AACAA62-C9B9-4873-9008-4F5516903A1E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非城门洞型断面时，计算出Sλ综合值后，直接修改此值填入此处即可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陈俊</author>
    <author>tc={F9A04292-84A1-4E37-9DCD-7600E3807435}</author>
    <author>tc={7E758398-9101-4F25-AEDC-D09DBFBCA416}</author>
    <author>tc={3D98AFEF-CA39-412A-A4B6-DD7D3A6EE5E5}</author>
    <author>tc={15710DD1-117A-4B83-B916-79775F3C598E}</author>
  </authors>
  <commentList>
    <comment ref="I4" authorId="0" shapeId="0" xr:uid="{9E905BB2-AB10-4010-8382-67E1DF8F36B4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包含了进口进水塔长度以及出口明管段长度？</t>
        </r>
      </text>
    </comment>
    <comment ref="D21" authorId="0" shapeId="0" xr:uid="{F94A8EA3-9210-41D4-9F16-1FFDB84661A0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缓坡情况下，暂定i&lt;0.1%时，为缓坡且趋于平坡</t>
        </r>
      </text>
    </comment>
    <comment ref="C41" authorId="0" shapeId="0" xr:uid="{2F4E0E00-107E-4B6C-AE37-53DD14924E5A}">
      <text>
        <r>
          <rPr>
            <b/>
            <sz val="9"/>
            <color indexed="81"/>
            <rFont val="宋体"/>
            <family val="3"/>
            <charset val="134"/>
          </rPr>
          <t>陈俊:</t>
        </r>
        <r>
          <rPr>
            <sz val="9"/>
            <color indexed="81"/>
            <rFont val="宋体"/>
            <family val="3"/>
            <charset val="134"/>
          </rPr>
          <t xml:space="preserve">
整个洞子的长度吧？还是只有前面一截长度？更不会只根据进水塔长度按照有压短管计算吧(拿林州举例，这个长度l不会只等于进水塔长度10m吧)？</t>
        </r>
      </text>
    </comment>
    <comment ref="J104" authorId="1" shapeId="0" xr:uid="{F9A04292-84A1-4E37-9DCD-7600E3807435}">
      <text>
        <t>[线程批注]
你的Excel版本可读取此线程批注; 但如果在更新版本的Excel中打开文件，则对批注所作的任何改动都将被删除。了解详细信息: https://go.microsoft.com/fwlink/?linkid=870924
注释:
    用均匀流公式难以直接计算出正常水深，所以采用迭代（先假定）计算的方式来计算正常水深。正常水深计算正确的标准为，流量和用宽顶堰公式计算出的流量相等。</t>
      </text>
    </comment>
    <comment ref="G114" authorId="2" shapeId="0" xr:uid="{7E758398-9101-4F25-AEDC-D09DBFBCA416}">
      <text>
        <t>[线程批注]
你的Excel版本可读取此线程批注; 但如果在更新版本的Excel中打开文件，则对批注所作的任何改动都将被删除。了解详细信息: https://go.microsoft.com/fwlink/?linkid=870924
注释:
    过水断面是否为矩形断面的分界线</t>
      </text>
    </comment>
    <comment ref="T114" authorId="3" shapeId="0" xr:uid="{3D98AFEF-CA39-412A-A4B6-DD7D3A6EE5E5}">
      <text>
        <t>[线程批注]
你的Excel版本可读取此线程批注; 但如果在更新版本的Excel中打开文件，则对批注所作的任何改动都将被删除。了解详细信息: https://go.microsoft.com/fwlink/?linkid=870924
注释:
    需迭代计算来判断</t>
      </text>
    </comment>
    <comment ref="G120" authorId="4" shapeId="0" xr:uid="{15710DD1-117A-4B83-B916-79775F3C598E}">
      <text>
        <t>[线程批注]
你的Excel版本可读取此线程批注; 但如果在更新版本的Excel中打开文件，则对批注所作的任何改动都将被删除。了解详细信息: https://go.microsoft.com/fwlink/?linkid=870924
注释:
    1.2倍洞高是无压流的上限</t>
      </text>
    </comment>
  </commentList>
</comments>
</file>

<file path=xl/sharedStrings.xml><?xml version="1.0" encoding="utf-8"?>
<sst xmlns="http://schemas.openxmlformats.org/spreadsheetml/2006/main" count="1210" uniqueCount="747">
  <si>
    <t>内摩擦角（°）</t>
    <phoneticPr fontId="3" type="noConversion"/>
  </si>
  <si>
    <t>对应的</t>
    <phoneticPr fontId="3" type="noConversion"/>
  </si>
  <si>
    <t>摩擦系数</t>
  </si>
  <si>
    <t>密度（kg/m3）</t>
    <phoneticPr fontId="3" type="noConversion"/>
  </si>
  <si>
    <t>（天然）容重ρ(KN/m3)</t>
    <phoneticPr fontId="3" type="noConversion"/>
  </si>
  <si>
    <t>围岩C值(MPa)</t>
    <phoneticPr fontId="3" type="noConversion"/>
  </si>
  <si>
    <t>围岩摩擦系数f</t>
    <phoneticPr fontId="3" type="noConversion"/>
  </si>
  <si>
    <t>则，摩擦角φ为（°）</t>
    <phoneticPr fontId="3" type="noConversion"/>
  </si>
  <si>
    <t>其对应的DP模型中的相关参数为</t>
    <phoneticPr fontId="3" type="noConversion"/>
  </si>
  <si>
    <t>备注</t>
    <phoneticPr fontId="3" type="noConversion"/>
  </si>
  <si>
    <t>填C、f值便可</t>
    <phoneticPr fontId="3" type="noConversion"/>
  </si>
  <si>
    <t>由一般应力求最大最小主应力及最大主应力与X轴的夹角</t>
    <phoneticPr fontId="3" type="noConversion"/>
  </si>
  <si>
    <r>
      <t>S</t>
    </r>
    <r>
      <rPr>
        <sz val="12"/>
        <rFont val="宋体"/>
        <family val="3"/>
        <charset val="134"/>
      </rPr>
      <t>x</t>
    </r>
  </si>
  <si>
    <r>
      <t>S</t>
    </r>
    <r>
      <rPr>
        <sz val="12"/>
        <rFont val="宋体"/>
        <family val="3"/>
        <charset val="134"/>
      </rPr>
      <t>y</t>
    </r>
  </si>
  <si>
    <r>
      <t>S</t>
    </r>
    <r>
      <rPr>
        <sz val="12"/>
        <rFont val="宋体"/>
        <family val="3"/>
        <charset val="134"/>
      </rPr>
      <t>z</t>
    </r>
  </si>
  <si>
    <r>
      <t>S</t>
    </r>
    <r>
      <rPr>
        <sz val="12"/>
        <rFont val="宋体"/>
        <family val="3"/>
        <charset val="134"/>
      </rPr>
      <t>xy</t>
    </r>
  </si>
  <si>
    <r>
      <t>S</t>
    </r>
    <r>
      <rPr>
        <sz val="12"/>
        <rFont val="宋体"/>
        <family val="3"/>
        <charset val="134"/>
      </rPr>
      <t>yz</t>
    </r>
  </si>
  <si>
    <r>
      <t>S</t>
    </r>
    <r>
      <rPr>
        <sz val="12"/>
        <rFont val="宋体"/>
        <family val="3"/>
        <charset val="134"/>
      </rPr>
      <t>zx</t>
    </r>
  </si>
  <si>
    <t>6个应力分量</t>
    <phoneticPr fontId="3" type="noConversion"/>
  </si>
  <si>
    <t>某一任意斜面外法线的方向余弦</t>
    <phoneticPr fontId="3" type="noConversion"/>
  </si>
  <si>
    <t>l</t>
    <phoneticPr fontId="3" type="noConversion"/>
  </si>
  <si>
    <t>m</t>
    <phoneticPr fontId="3" type="noConversion"/>
  </si>
  <si>
    <t>n</t>
    <phoneticPr fontId="3" type="noConversion"/>
  </si>
  <si>
    <t>全应力P在坐标轴上的投影</t>
    <phoneticPr fontId="3" type="noConversion"/>
  </si>
  <si>
    <t>Px</t>
    <phoneticPr fontId="3" type="noConversion"/>
  </si>
  <si>
    <t>Py</t>
    <phoneticPr fontId="3" type="noConversion"/>
  </si>
  <si>
    <t>Pz</t>
    <phoneticPr fontId="3" type="noConversion"/>
  </si>
  <si>
    <t>某一任意斜面外法线与坐标轴的夹角</t>
    <phoneticPr fontId="3" type="noConversion"/>
  </si>
  <si>
    <t>应力在截面上分量</t>
  </si>
  <si>
    <t>由空间上的6个应力分量求某点任意截面上的正应力及剪应力</t>
    <phoneticPr fontId="3" type="noConversion"/>
  </si>
  <si>
    <t>(n,x)（°）</t>
    <phoneticPr fontId="3" type="noConversion"/>
  </si>
  <si>
    <t>(n,y)（°）</t>
    <phoneticPr fontId="3" type="noConversion"/>
  </si>
  <si>
    <t>(n,z)（°）</t>
    <phoneticPr fontId="3" type="noConversion"/>
  </si>
  <si>
    <t>等效围岩压力（MPa）</t>
    <phoneticPr fontId="3" type="noConversion"/>
  </si>
  <si>
    <t>埋深(m)</t>
    <phoneticPr fontId="3" type="noConversion"/>
  </si>
  <si>
    <t>sinα</t>
  </si>
  <si>
    <t>角度(°)</t>
    <phoneticPr fontId="3" type="noConversion"/>
  </si>
  <si>
    <t>弧长(m)</t>
    <phoneticPr fontId="3" type="noConversion"/>
  </si>
  <si>
    <t>半径(m)</t>
    <phoneticPr fontId="3" type="noConversion"/>
  </si>
  <si>
    <t>h(m)</t>
    <phoneticPr fontId="3" type="noConversion"/>
  </si>
  <si>
    <t>L(m)</t>
    <phoneticPr fontId="3" type="noConversion"/>
  </si>
  <si>
    <t>斜边长(m)</t>
  </si>
  <si>
    <t>α(°)</t>
    <phoneticPr fontId="3" type="noConversion"/>
  </si>
  <si>
    <t>tanα</t>
    <phoneticPr fontId="3" type="noConversion"/>
  </si>
  <si>
    <t>cosα</t>
    <phoneticPr fontId="3" type="noConversion"/>
  </si>
  <si>
    <t>度(°)</t>
    <phoneticPr fontId="3" type="noConversion"/>
  </si>
  <si>
    <t>分(')</t>
    <phoneticPr fontId="3" type="noConversion"/>
  </si>
  <si>
    <t>秒(")</t>
    <phoneticPr fontId="3" type="noConversion"/>
  </si>
  <si>
    <t>转化为带小数点的度(°)</t>
    <phoneticPr fontId="3" type="noConversion"/>
  </si>
  <si>
    <t>表C.1钢筋的公称直径、计算截面面积及理论质量</t>
  </si>
  <si>
    <t xml:space="preserve">3695 </t>
  </si>
  <si>
    <t xml:space="preserve">8796 </t>
  </si>
  <si>
    <t>根数</t>
    <phoneticPr fontId="3" type="noConversion"/>
  </si>
  <si>
    <r>
      <rPr>
        <sz val="11"/>
        <color indexed="8"/>
        <rFont val="宋体"/>
        <family val="3"/>
        <charset val="134"/>
      </rPr>
      <t xml:space="preserve">公称直径
</t>
    </r>
    <r>
      <rPr>
        <sz val="11"/>
        <color indexed="8"/>
        <rFont val="Calibri"/>
        <family val="2"/>
      </rPr>
      <t>mm</t>
    </r>
    <phoneticPr fontId="3" type="noConversion"/>
  </si>
  <si>
    <t>不同根数钢筋的计算截面面积mm2</t>
  </si>
  <si>
    <t>请选择配筋根数及公称直径，便可</t>
    <phoneticPr fontId="3" type="noConversion"/>
  </si>
  <si>
    <t>白底为输入值</t>
    <phoneticPr fontId="3" type="noConversion"/>
  </si>
  <si>
    <t>黄底公式自动计算值</t>
    <phoneticPr fontId="3" type="noConversion"/>
  </si>
  <si>
    <t>蓝底为下拉菜单选择值</t>
    <phoneticPr fontId="3" type="noConversion"/>
  </si>
  <si>
    <r>
      <rPr>
        <sz val="11"/>
        <color indexed="8"/>
        <rFont val="宋体"/>
        <family val="3"/>
        <charset val="134"/>
      </rPr>
      <t>不同根数钢筋的计算截面面积</t>
    </r>
    <r>
      <rPr>
        <sz val="11"/>
        <color indexed="8"/>
        <rFont val="Calibri"/>
        <family val="2"/>
      </rPr>
      <t>mm</t>
    </r>
    <r>
      <rPr>
        <vertAlign val="superscript"/>
        <sz val="11"/>
        <color indexed="8"/>
        <rFont val="Calibri"/>
        <family val="2"/>
      </rPr>
      <t>2</t>
    </r>
    <phoneticPr fontId="3" type="noConversion"/>
  </si>
  <si>
    <r>
      <rPr>
        <sz val="11"/>
        <color indexed="8"/>
        <rFont val="宋体"/>
        <family val="3"/>
        <charset val="134"/>
      </rPr>
      <t xml:space="preserve">单根钢筋
理论质量
</t>
    </r>
    <r>
      <rPr>
        <sz val="11"/>
        <color indexed="8"/>
        <rFont val="Calibri"/>
        <family val="2"/>
      </rPr>
      <t>kg/m</t>
    </r>
    <phoneticPr fontId="3" type="noConversion"/>
  </si>
  <si>
    <t>单根钢筋理论质量
kg/m</t>
    <phoneticPr fontId="3" type="noConversion"/>
  </si>
  <si>
    <t>公称直径
mm</t>
    <phoneticPr fontId="3" type="noConversion"/>
  </si>
  <si>
    <t>请选择钢筋公称直径，便可</t>
  </si>
  <si>
    <t>σx</t>
    <phoneticPr fontId="3" type="noConversion"/>
  </si>
  <si>
    <t>σy</t>
    <phoneticPr fontId="3" type="noConversion"/>
  </si>
  <si>
    <t>τxy</t>
    <phoneticPr fontId="3" type="noConversion"/>
  </si>
  <si>
    <t>σmax</t>
    <phoneticPr fontId="3" type="noConversion"/>
  </si>
  <si>
    <t>σmin</t>
    <phoneticPr fontId="3" type="noConversion"/>
  </si>
  <si>
    <t>α(max)</t>
  </si>
  <si>
    <r>
      <rPr>
        <sz val="12"/>
        <rFont val="Calibri"/>
        <family val="2"/>
      </rPr>
      <t>σ</t>
    </r>
    <r>
      <rPr>
        <vertAlign val="subscript"/>
        <sz val="12"/>
        <rFont val="宋体"/>
        <family val="3"/>
        <charset val="134"/>
      </rPr>
      <t>n</t>
    </r>
    <r>
      <rPr>
        <sz val="12"/>
        <rFont val="宋体"/>
        <family val="3"/>
        <charset val="134"/>
      </rPr>
      <t>法向</t>
    </r>
    <phoneticPr fontId="3" type="noConversion"/>
  </si>
  <si>
    <r>
      <rPr>
        <sz val="12"/>
        <rFont val="等线"/>
        <family val="3"/>
        <charset val="134"/>
      </rPr>
      <t>τ</t>
    </r>
    <r>
      <rPr>
        <vertAlign val="subscript"/>
        <sz val="12"/>
        <rFont val="宋体"/>
        <family val="3"/>
        <charset val="134"/>
      </rPr>
      <t>n</t>
    </r>
    <r>
      <rPr>
        <sz val="12"/>
        <rFont val="宋体"/>
        <family val="3"/>
        <charset val="134"/>
      </rPr>
      <t>剪向</t>
    </r>
    <phoneticPr fontId="3" type="noConversion"/>
  </si>
  <si>
    <t>白底为输入值</t>
    <phoneticPr fontId="3" type="noConversion"/>
  </si>
  <si>
    <t>黄底公式自动计算值</t>
    <phoneticPr fontId="3" type="noConversion"/>
  </si>
  <si>
    <t>摩擦角β
(°)</t>
    <phoneticPr fontId="3" type="noConversion"/>
  </si>
  <si>
    <t>屈服应力σ_c
(MPa)</t>
    <phoneticPr fontId="3" type="noConversion"/>
  </si>
  <si>
    <t>需换算的单位</t>
    <phoneticPr fontId="3" type="noConversion"/>
  </si>
  <si>
    <t>需换算的值</t>
    <phoneticPr fontId="3" type="noConversion"/>
  </si>
  <si>
    <t>换算结果(m)</t>
    <phoneticPr fontId="3" type="noConversion"/>
  </si>
  <si>
    <t>Mm</t>
    <phoneticPr fontId="3" type="noConversion"/>
  </si>
  <si>
    <t>Km</t>
    <phoneticPr fontId="3" type="noConversion"/>
  </si>
  <si>
    <t>dm</t>
    <phoneticPr fontId="3" type="noConversion"/>
  </si>
  <si>
    <t>cm</t>
    <phoneticPr fontId="3" type="noConversion"/>
  </si>
  <si>
    <t>mm</t>
    <phoneticPr fontId="3" type="noConversion"/>
  </si>
  <si>
    <t>μm</t>
    <phoneticPr fontId="3" type="noConversion"/>
  </si>
  <si>
    <t>nm</t>
    <phoneticPr fontId="3" type="noConversion"/>
  </si>
  <si>
    <t>埃</t>
    <phoneticPr fontId="3" type="noConversion"/>
  </si>
  <si>
    <t>pm</t>
    <phoneticPr fontId="3" type="noConversion"/>
  </si>
  <si>
    <t>fm</t>
    <phoneticPr fontId="3" type="noConversion"/>
  </si>
  <si>
    <t>am</t>
    <phoneticPr fontId="3" type="noConversion"/>
  </si>
  <si>
    <t>丈</t>
    <phoneticPr fontId="3" type="noConversion"/>
  </si>
  <si>
    <t>尺</t>
    <phoneticPr fontId="3" type="noConversion"/>
  </si>
  <si>
    <t>寸</t>
    <phoneticPr fontId="3" type="noConversion"/>
  </si>
  <si>
    <t>光年</t>
    <phoneticPr fontId="3" type="noConversion"/>
  </si>
  <si>
    <t>备注：</t>
    <phoneticPr fontId="3" type="noConversion"/>
  </si>
  <si>
    <t>▲其他的长度单位还有兆米(Mm)、千米(km)、分米(dm)、厘米(cm)、毫米(mm)、微米(μm)、纳米(nm)、皮米（pm)、飞米（ fm)、阿米（am)等。他们同米的换算关系如下：</t>
  </si>
  <si>
    <t>1Mm=1×10^6m；      1km=1×10^3m；      1米 ＝10分米 ＝100厘米 ＝1000毫米 ＝1e6微米 ＝1e9纳米 ＝1e10埃 ＝1e12皮米 ＝1e15飞米=1e18阿米</t>
  </si>
  <si>
    <t xml:space="preserve">１米＝０.３（丈）＝３（尺）＝３０（寸）  ；                      1（丈）＝10（尺）＝100（寸）      </t>
  </si>
  <si>
    <t>▲在天文学中常用“光年”来做长度单位，它是真空状态下光１年所走过的距离，也因此被称为光年。１光年＝9.04653×10^12km</t>
    <phoneticPr fontId="3" type="noConversion"/>
  </si>
  <si>
    <t>①长度单位：国际单位制中，长度的标准单位是“米”，用符号“m”表示。</t>
    <phoneticPr fontId="3" type="noConversion"/>
  </si>
  <si>
    <t>②面积单位：</t>
    <phoneticPr fontId="3" type="noConversion"/>
  </si>
  <si>
    <t>▲我国传统的长度单位还有尺、寸、丈、里等。它们和米之间的换算关系为：</t>
    <phoneticPr fontId="3" type="noConversion"/>
  </si>
  <si>
    <r>
      <t>换算结果(m</t>
    </r>
    <r>
      <rPr>
        <vertAlign val="superscript"/>
        <sz val="11"/>
        <color rgb="FF000000"/>
        <rFont val="等线"/>
        <family val="3"/>
        <charset val="134"/>
      </rPr>
      <t>2</t>
    </r>
    <r>
      <rPr>
        <sz val="11"/>
        <color rgb="FF000000"/>
        <rFont val="等线"/>
        <family val="3"/>
        <charset val="134"/>
      </rPr>
      <t>)</t>
    </r>
    <phoneticPr fontId="3" type="noConversion"/>
  </si>
  <si>
    <t>公顷</t>
    <phoneticPr fontId="3" type="noConversion"/>
  </si>
  <si>
    <t>(市)亩</t>
  </si>
  <si>
    <t>公亩</t>
  </si>
  <si>
    <t>反之</t>
    <phoneticPr fontId="3" type="noConversion"/>
  </si>
  <si>
    <r>
      <t>m</t>
    </r>
    <r>
      <rPr>
        <vertAlign val="superscript"/>
        <sz val="12"/>
        <rFont val="等线"/>
        <family val="3"/>
        <charset val="134"/>
      </rPr>
      <t>2</t>
    </r>
    <phoneticPr fontId="3" type="noConversion"/>
  </si>
  <si>
    <t>换算为：</t>
    <phoneticPr fontId="3" type="noConversion"/>
  </si>
  <si>
    <t>换算结果单位</t>
    <phoneticPr fontId="3" type="noConversion"/>
  </si>
  <si>
    <t>换算结果单位：</t>
    <phoneticPr fontId="3" type="noConversion"/>
  </si>
  <si>
    <t>里</t>
    <phoneticPr fontId="3" type="noConversion"/>
  </si>
  <si>
    <t>英寸</t>
    <phoneticPr fontId="3" type="noConversion"/>
  </si>
  <si>
    <t>英尺</t>
    <phoneticPr fontId="3" type="noConversion"/>
  </si>
  <si>
    <t>▲1里=500m； 2里=1km；   1m=39.3700787英寸；    1英尺=12英寸；   1m=3.2808399英尺</t>
    <phoneticPr fontId="3" type="noConversion"/>
  </si>
  <si>
    <t>▲1公顷=15亩=100公亩=10000平方米；   1公顷=10000平方米 ;       1(市)亩=10000/15(平方米)；     1公亩=100平方米</t>
    <phoneticPr fontId="3" type="noConversion"/>
  </si>
  <si>
    <t>客厅：</t>
    <phoneticPr fontId="3" type="noConversion"/>
  </si>
  <si>
    <t>客厅长(m):</t>
    <phoneticPr fontId="3" type="noConversion"/>
  </si>
  <si>
    <t>客厅宽(m):</t>
    <phoneticPr fontId="3" type="noConversion"/>
  </si>
  <si>
    <t>长(m):</t>
    <phoneticPr fontId="3" type="noConversion"/>
  </si>
  <si>
    <t>宽(m):</t>
    <phoneticPr fontId="3" type="noConversion"/>
  </si>
  <si>
    <t>所需块数(块):</t>
    <phoneticPr fontId="3" type="noConversion"/>
  </si>
  <si>
    <t>所用地板砖</t>
    <phoneticPr fontId="3" type="noConversion"/>
  </si>
  <si>
    <t>所用墙砖</t>
    <phoneticPr fontId="3" type="noConversion"/>
  </si>
  <si>
    <t>横着贴还是竖着贴：</t>
    <phoneticPr fontId="3" type="noConversion"/>
  </si>
  <si>
    <t>竖着贴</t>
  </si>
  <si>
    <t>在高度方向上贴几块:</t>
    <phoneticPr fontId="3" type="noConversion"/>
  </si>
  <si>
    <t>竖着贴=块数×瓷砖长
横着贴=块数×瓷砖宽</t>
    <phoneticPr fontId="3" type="noConversion"/>
  </si>
  <si>
    <t>所贴瓷砖高度(m):</t>
    <phoneticPr fontId="3" type="noConversion"/>
  </si>
  <si>
    <t>客厅基本数据</t>
    <phoneticPr fontId="3" type="noConversion"/>
  </si>
  <si>
    <t>所需件数(件)：</t>
    <phoneticPr fontId="3" type="noConversion"/>
  </si>
  <si>
    <t>每件有多少块(块/件):</t>
    <phoneticPr fontId="3" type="noConversion"/>
  </si>
  <si>
    <t>所用扫脚线</t>
    <phoneticPr fontId="3" type="noConversion"/>
  </si>
  <si>
    <t>备注</t>
    <phoneticPr fontId="3" type="noConversion"/>
  </si>
  <si>
    <t>是否需要该类型的瓷砖</t>
    <phoneticPr fontId="3" type="noConversion"/>
  </si>
  <si>
    <t>——</t>
    <phoneticPr fontId="3" type="noConversion"/>
  </si>
  <si>
    <t>是</t>
  </si>
  <si>
    <t>主卧：</t>
    <phoneticPr fontId="3" type="noConversion"/>
  </si>
  <si>
    <t>主卧基本数据</t>
  </si>
  <si>
    <t>主卧长(m):</t>
  </si>
  <si>
    <t>主卧宽(m):</t>
  </si>
  <si>
    <t>次卧1：</t>
    <phoneticPr fontId="3" type="noConversion"/>
  </si>
  <si>
    <t>次卧1基本数据</t>
    <phoneticPr fontId="3" type="noConversion"/>
  </si>
  <si>
    <t>次卧1长(m):</t>
    <phoneticPr fontId="3" type="noConversion"/>
  </si>
  <si>
    <t>次卧1宽(m):</t>
    <phoneticPr fontId="3" type="noConversion"/>
  </si>
  <si>
    <t>次卧2：</t>
    <phoneticPr fontId="3" type="noConversion"/>
  </si>
  <si>
    <t>次卧2基本数据</t>
    <phoneticPr fontId="3" type="noConversion"/>
  </si>
  <si>
    <t>次卧2长(m):</t>
    <phoneticPr fontId="3" type="noConversion"/>
  </si>
  <si>
    <t>次卧2宽(m):</t>
    <phoneticPr fontId="3" type="noConversion"/>
  </si>
  <si>
    <t>次卧3：</t>
    <phoneticPr fontId="3" type="noConversion"/>
  </si>
  <si>
    <t>次卧3基本数据</t>
    <phoneticPr fontId="3" type="noConversion"/>
  </si>
  <si>
    <t>次卧3长(m):</t>
    <phoneticPr fontId="3" type="noConversion"/>
  </si>
  <si>
    <t>次卧3宽(m):</t>
    <phoneticPr fontId="3" type="noConversion"/>
  </si>
  <si>
    <t>厨房：</t>
    <phoneticPr fontId="3" type="noConversion"/>
  </si>
  <si>
    <t>厨房基本数据</t>
    <phoneticPr fontId="3" type="noConversion"/>
  </si>
  <si>
    <t>厨房长(m):</t>
    <phoneticPr fontId="3" type="noConversion"/>
  </si>
  <si>
    <t>厨房宽(m):</t>
    <phoneticPr fontId="3" type="noConversion"/>
  </si>
  <si>
    <t>餐厅：</t>
    <phoneticPr fontId="3" type="noConversion"/>
  </si>
  <si>
    <t>餐厅基本数据</t>
    <phoneticPr fontId="3" type="noConversion"/>
  </si>
  <si>
    <t>餐厅长(m):</t>
    <phoneticPr fontId="3" type="noConversion"/>
  </si>
  <si>
    <t>餐厅宽(m):</t>
    <phoneticPr fontId="3" type="noConversion"/>
  </si>
  <si>
    <t>厕所：</t>
    <phoneticPr fontId="3" type="noConversion"/>
  </si>
  <si>
    <t>厕所基本数据</t>
    <phoneticPr fontId="3" type="noConversion"/>
  </si>
  <si>
    <t>厕所长(m):</t>
    <phoneticPr fontId="3" type="noConversion"/>
  </si>
  <si>
    <t>厕所宽(m):</t>
    <phoneticPr fontId="3" type="noConversion"/>
  </si>
  <si>
    <t>浅蓝下拉选择</t>
    <phoneticPr fontId="3" type="noConversion"/>
  </si>
  <si>
    <t>进场交通洞洞口到施工支洞进洞口的水平距离L(m)</t>
    <phoneticPr fontId="3" type="noConversion"/>
  </si>
  <si>
    <t>高差Δh(进场交通洞洞口——施工支洞进洞口)(m)</t>
    <phoneticPr fontId="3" type="noConversion"/>
  </si>
  <si>
    <t>∴该施工支洞进出口底板高差Δh为(m)</t>
    <phoneticPr fontId="3" type="noConversion"/>
  </si>
  <si>
    <t>求输水发电系统施工支洞底坡(一般为下平洞及其下游的施工支洞)</t>
    <phoneticPr fontId="3" type="noConversion"/>
  </si>
  <si>
    <t>h(m)</t>
    <phoneticPr fontId="3" type="noConversion"/>
  </si>
  <si>
    <t>sinα</t>
    <phoneticPr fontId="3" type="noConversion"/>
  </si>
  <si>
    <t>tanα（即底坡i）</t>
    <phoneticPr fontId="3" type="noConversion"/>
  </si>
  <si>
    <t>sinα</t>
    <phoneticPr fontId="3" type="noConversion"/>
  </si>
  <si>
    <t>L(m)</t>
    <phoneticPr fontId="3" type="noConversion"/>
  </si>
  <si>
    <t>h(m)</t>
    <phoneticPr fontId="3" type="noConversion"/>
  </si>
  <si>
    <t>tanα（即底坡i)</t>
    <phoneticPr fontId="3" type="noConversion"/>
  </si>
  <si>
    <t>求输水发电系统施工支洞底坡(一般为下平洞及其下游的施工支洞)</t>
    <phoneticPr fontId="3" type="noConversion"/>
  </si>
  <si>
    <r>
      <t>备注:sinα</t>
    </r>
    <r>
      <rPr>
        <vertAlign val="subscript"/>
        <sz val="12"/>
        <rFont val="宋体"/>
        <family val="3"/>
        <charset val="134"/>
      </rPr>
      <t>2</t>
    </r>
    <phoneticPr fontId="3" type="noConversion"/>
  </si>
  <si>
    <r>
      <t>又∵进场交通洞进口底板高程H</t>
    </r>
    <r>
      <rPr>
        <vertAlign val="subscript"/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(m)</t>
    </r>
    <phoneticPr fontId="3" type="noConversion"/>
  </si>
  <si>
    <r>
      <t>∴施工支洞进洞口底板高程H</t>
    </r>
    <r>
      <rPr>
        <vertAlign val="sub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(m)</t>
    </r>
    <phoneticPr fontId="3" type="noConversion"/>
  </si>
  <si>
    <r>
      <t>而，施工支洞在输水发电系统中出口底板高程H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(m)为</t>
    </r>
    <phoneticPr fontId="3" type="noConversion"/>
  </si>
  <si>
    <r>
      <t>且，规划的该施工支洞水平投影长度L</t>
    </r>
    <r>
      <rPr>
        <vertAlign val="sub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(m)为</t>
    </r>
    <phoneticPr fontId="3" type="noConversion"/>
  </si>
  <si>
    <r>
      <t>进场交通洞底坡i</t>
    </r>
    <r>
      <rPr>
        <vertAlign val="subscript"/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(即tanα</t>
    </r>
    <r>
      <rPr>
        <vertAlign val="subscript"/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)</t>
    </r>
  </si>
  <si>
    <r>
      <t>∴该施工支洞的底坡i</t>
    </r>
    <r>
      <rPr>
        <vertAlign val="sub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(即tanα</t>
    </r>
    <r>
      <rPr>
        <vertAlign val="sub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)为</t>
    </r>
    <phoneticPr fontId="3" type="noConversion"/>
  </si>
  <si>
    <r>
      <t>进场交通洞底坡i</t>
    </r>
    <r>
      <rPr>
        <strike/>
        <vertAlign val="subscript"/>
        <sz val="12"/>
        <rFont val="宋体"/>
        <family val="3"/>
        <charset val="134"/>
      </rPr>
      <t>1</t>
    </r>
    <r>
      <rPr>
        <strike/>
        <sz val="12"/>
        <rFont val="宋体"/>
        <family val="3"/>
        <charset val="134"/>
      </rPr>
      <t>(即sinα</t>
    </r>
    <r>
      <rPr>
        <strike/>
        <vertAlign val="subscript"/>
        <sz val="12"/>
        <rFont val="宋体"/>
        <family val="3"/>
        <charset val="134"/>
      </rPr>
      <t>1</t>
    </r>
    <r>
      <rPr>
        <strike/>
        <sz val="12"/>
        <rFont val="宋体"/>
        <family val="3"/>
        <charset val="134"/>
      </rPr>
      <t>)</t>
    </r>
    <phoneticPr fontId="3" type="noConversion"/>
  </si>
  <si>
    <r>
      <t>又∵进场交通洞进口底板高程H</t>
    </r>
    <r>
      <rPr>
        <strike/>
        <vertAlign val="subscript"/>
        <sz val="12"/>
        <rFont val="宋体"/>
        <family val="3"/>
        <charset val="134"/>
      </rPr>
      <t>1</t>
    </r>
    <r>
      <rPr>
        <strike/>
        <sz val="12"/>
        <rFont val="宋体"/>
        <family val="3"/>
        <charset val="134"/>
      </rPr>
      <t>(m)</t>
    </r>
    <phoneticPr fontId="3" type="noConversion"/>
  </si>
  <si>
    <r>
      <t>∴施工支洞进洞口底板高程H</t>
    </r>
    <r>
      <rPr>
        <strike/>
        <vertAlign val="subscript"/>
        <sz val="12"/>
        <rFont val="宋体"/>
        <family val="3"/>
        <charset val="134"/>
      </rPr>
      <t>2</t>
    </r>
    <r>
      <rPr>
        <strike/>
        <sz val="12"/>
        <rFont val="宋体"/>
        <family val="3"/>
        <charset val="134"/>
      </rPr>
      <t>(m)</t>
    </r>
    <phoneticPr fontId="3" type="noConversion"/>
  </si>
  <si>
    <r>
      <t>而，施工支洞在输水发电系统中出口底板高程H</t>
    </r>
    <r>
      <rPr>
        <strike/>
        <vertAlign val="subscript"/>
        <sz val="12"/>
        <rFont val="宋体"/>
        <family val="3"/>
        <charset val="134"/>
      </rPr>
      <t>3</t>
    </r>
    <r>
      <rPr>
        <strike/>
        <sz val="12"/>
        <rFont val="宋体"/>
        <family val="3"/>
        <charset val="134"/>
      </rPr>
      <t>(m)为</t>
    </r>
    <phoneticPr fontId="3" type="noConversion"/>
  </si>
  <si>
    <r>
      <t>且，规划的该施工支洞水平投影长度L</t>
    </r>
    <r>
      <rPr>
        <strike/>
        <vertAlign val="subscript"/>
        <sz val="12"/>
        <rFont val="宋体"/>
        <family val="3"/>
        <charset val="134"/>
      </rPr>
      <t>2</t>
    </r>
    <r>
      <rPr>
        <strike/>
        <sz val="12"/>
        <rFont val="宋体"/>
        <family val="3"/>
        <charset val="134"/>
      </rPr>
      <t>(m)为</t>
    </r>
    <phoneticPr fontId="3" type="noConversion"/>
  </si>
  <si>
    <r>
      <t>∴该施工支洞的底坡i</t>
    </r>
    <r>
      <rPr>
        <strike/>
        <vertAlign val="subscript"/>
        <sz val="12"/>
        <rFont val="宋体"/>
        <family val="3"/>
        <charset val="134"/>
      </rPr>
      <t>2</t>
    </r>
    <r>
      <rPr>
        <strike/>
        <sz val="12"/>
        <rFont val="宋体"/>
        <family val="3"/>
        <charset val="134"/>
      </rPr>
      <t>(即sinα</t>
    </r>
    <r>
      <rPr>
        <strike/>
        <vertAlign val="subscript"/>
        <sz val="12"/>
        <rFont val="宋体"/>
        <family val="3"/>
        <charset val="134"/>
      </rPr>
      <t>2</t>
    </r>
    <r>
      <rPr>
        <strike/>
        <sz val="12"/>
        <rFont val="宋体"/>
        <family val="3"/>
        <charset val="134"/>
      </rPr>
      <t>)为</t>
    </r>
    <phoneticPr fontId="3" type="noConversion"/>
  </si>
  <si>
    <r>
      <t>备注:tanα</t>
    </r>
    <r>
      <rPr>
        <strike/>
        <vertAlign val="subscript"/>
        <sz val="12"/>
        <rFont val="宋体"/>
        <family val="3"/>
        <charset val="134"/>
      </rPr>
      <t>2</t>
    </r>
    <phoneticPr fontId="3" type="noConversion"/>
  </si>
  <si>
    <r>
      <t>龙口抛投总工程量V(m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)(包括流失量)</t>
    </r>
    <phoneticPr fontId="3" type="noConversion"/>
  </si>
  <si>
    <t>设计完成龙口抛投工程量的时间T(h)</t>
    <phoneticPr fontId="3" type="noConversion"/>
  </si>
  <si>
    <r>
      <t>抛投强度R(m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/h)</t>
    </r>
    <phoneticPr fontId="3" type="noConversion"/>
  </si>
  <si>
    <t>抛投不均匀系数K</t>
    <phoneticPr fontId="3" type="noConversion"/>
  </si>
  <si>
    <t>选用的单独使用的车辆</t>
    <phoneticPr fontId="3" type="noConversion"/>
  </si>
  <si>
    <r>
      <t>最大抛投强度Rmax(m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/h)</t>
    </r>
    <phoneticPr fontId="3" type="noConversion"/>
  </si>
  <si>
    <r>
      <t>自卸汽车装载量ω(m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</si>
  <si>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32t</t>
  </si>
  <si>
    <t>单车循环时间t(min)</t>
    <phoneticPr fontId="3" type="noConversion"/>
  </si>
  <si>
    <r>
      <t>时间利用数K</t>
    </r>
    <r>
      <rPr>
        <vertAlign val="subscript"/>
        <sz val="12"/>
        <rFont val="宋体"/>
        <family val="3"/>
        <charset val="134"/>
      </rPr>
      <t>B</t>
    </r>
    <phoneticPr fontId="3" type="noConversion"/>
  </si>
  <si>
    <r>
      <t>自卸汽车小时产量W(m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/h)</t>
    </r>
    <phoneticPr fontId="3" type="noConversion"/>
  </si>
  <si>
    <r>
      <t>自卸汽车备用量K</t>
    </r>
    <r>
      <rPr>
        <vertAlign val="subscript"/>
        <sz val="12"/>
        <rFont val="宋体"/>
        <family val="3"/>
        <charset val="134"/>
      </rPr>
      <t>1</t>
    </r>
    <phoneticPr fontId="3" type="noConversion"/>
  </si>
  <si>
    <t>单独使用该自卸汽车所需台数n</t>
    <phoneticPr fontId="3" type="noConversion"/>
  </si>
  <si>
    <t>3、卸车强度</t>
    <phoneticPr fontId="3" type="noConversion"/>
  </si>
  <si>
    <t>卸车点数量(个)</t>
    <phoneticPr fontId="3" type="noConversion"/>
  </si>
  <si>
    <t>最终安排的总车辆台数(台)</t>
    <phoneticPr fontId="3" type="noConversion"/>
  </si>
  <si>
    <t>每个卸车点安排的自卸汽车台数</t>
    <phoneticPr fontId="3" type="noConversion"/>
  </si>
  <si>
    <t>每个卸车点单位时间内的卸车数量(车/min)</t>
    <phoneticPr fontId="3" type="noConversion"/>
  </si>
  <si>
    <t>4、车辆组合</t>
    <phoneticPr fontId="3" type="noConversion"/>
  </si>
  <si>
    <t>类型</t>
    <phoneticPr fontId="3" type="noConversion"/>
  </si>
  <si>
    <t>20t</t>
    <phoneticPr fontId="3" type="noConversion"/>
  </si>
  <si>
    <t>32t</t>
    <phoneticPr fontId="3" type="noConversion"/>
  </si>
  <si>
    <t>一台自卸汽车小时产量(m3/h)</t>
    <phoneticPr fontId="3" type="noConversion"/>
  </si>
  <si>
    <t>需要用的台数</t>
    <phoneticPr fontId="3" type="noConversion"/>
  </si>
  <si>
    <t>该型所有自卸汽车小时产量</t>
    <phoneticPr fontId="3" type="noConversion"/>
  </si>
  <si>
    <t>备用总台数</t>
    <phoneticPr fontId="3" type="noConversion"/>
  </si>
  <si>
    <r>
      <t>截流施工机械设备配置计算(20t车按12m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、32t车按15m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、45t车按20m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考虑)(下面表格的计算顺序应为1、2、4、3)</t>
    </r>
    <phoneticPr fontId="3" type="noConversion"/>
  </si>
  <si>
    <t>1、截流抛投强度计算</t>
    <phoneticPr fontId="3" type="noConversion"/>
  </si>
  <si>
    <t>2、龙口段所需施工机械数量计算</t>
  </si>
  <si>
    <t>2、龙口段所需施工机械数量计算</t>
    <phoneticPr fontId="3" type="noConversion"/>
  </si>
  <si>
    <t>龙口段抛投强度应按下式计算：</t>
    <phoneticPr fontId="3" type="noConversion"/>
  </si>
  <si>
    <t>龙口段小时最大抛投强度应按下式计算：</t>
    <phoneticPr fontId="3" type="noConversion"/>
  </si>
  <si>
    <r>
      <t>式中：</t>
    </r>
    <r>
      <rPr>
        <i/>
        <sz val="12"/>
        <rFont val="宋体"/>
        <family val="3"/>
        <charset val="134"/>
      </rPr>
      <t>R</t>
    </r>
    <r>
      <rPr>
        <sz val="12"/>
        <rFont val="宋体"/>
        <family val="3"/>
        <charset val="134"/>
      </rPr>
      <t>—抛投小时强度(m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/h)</t>
    </r>
    <phoneticPr fontId="3" type="noConversion"/>
  </si>
  <si>
    <r>
      <t xml:space="preserve">      </t>
    </r>
    <r>
      <rPr>
        <i/>
        <sz val="12"/>
        <rFont val="宋体"/>
        <family val="3"/>
        <charset val="134"/>
      </rPr>
      <t>V</t>
    </r>
    <r>
      <rPr>
        <sz val="12"/>
        <rFont val="宋体"/>
        <family val="3"/>
        <charset val="134"/>
      </rPr>
      <t>—龙口抛投总工程量(m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</si>
  <si>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r>
      <t xml:space="preserve">      </t>
    </r>
    <r>
      <rPr>
        <i/>
        <sz val="12"/>
        <rFont val="宋体"/>
        <family val="3"/>
        <charset val="134"/>
      </rPr>
      <t>T</t>
    </r>
    <r>
      <rPr>
        <sz val="12"/>
        <rFont val="宋体"/>
        <family val="3"/>
        <charset val="134"/>
      </rPr>
      <t>—设计完成龙口抛投工程量的时间(h)</t>
    </r>
    <phoneticPr fontId="3" type="noConversion"/>
  </si>
  <si>
    <t>式中：K—抛投不均匀系数，取1.2～1. 5 ，工程规模较大时取小值。</t>
    <phoneticPr fontId="3" type="noConversion"/>
  </si>
  <si>
    <t>施工机械小时产量应按下式计算:</t>
    <phoneticPr fontId="3" type="noConversion"/>
  </si>
  <si>
    <r>
      <t>式中:</t>
    </r>
    <r>
      <rPr>
        <i/>
        <sz val="12"/>
        <rFont val="Times New Roman"/>
        <family val="1"/>
      </rPr>
      <t>W</t>
    </r>
    <r>
      <rPr>
        <sz val="12"/>
        <rFont val="宋体"/>
        <family val="3"/>
        <charset val="134"/>
      </rPr>
      <t>一施工机械小时产量</t>
    </r>
    <r>
      <rPr>
        <sz val="12"/>
        <rFont val="Times New Roman"/>
        <family val="1"/>
      </rPr>
      <t>(m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/h)</t>
    </r>
    <phoneticPr fontId="3" type="noConversion"/>
  </si>
  <si>
    <r>
      <rPr>
        <i/>
        <sz val="12"/>
        <rFont val="Times New Roman"/>
        <family val="1"/>
      </rPr>
      <t xml:space="preserve">          K</t>
    </r>
    <r>
      <rPr>
        <i/>
        <vertAlign val="subscript"/>
        <sz val="12"/>
        <rFont val="Times New Roman"/>
        <family val="1"/>
      </rPr>
      <t>B</t>
    </r>
    <r>
      <rPr>
        <sz val="12"/>
        <rFont val="宋体"/>
        <family val="3"/>
        <charset val="134"/>
      </rPr>
      <t>一时间利用系数，一般取80%;</t>
    </r>
    <phoneticPr fontId="3" type="noConversion"/>
  </si>
  <si>
    <r>
      <rPr>
        <i/>
        <sz val="12"/>
        <rFont val="宋体"/>
        <family val="3"/>
        <charset val="134"/>
      </rPr>
      <t xml:space="preserve">     </t>
    </r>
    <r>
      <rPr>
        <i/>
        <sz val="12"/>
        <rFont val="Times New Roman"/>
        <family val="1"/>
      </rPr>
      <t>ω</t>
    </r>
    <r>
      <rPr>
        <sz val="12"/>
        <rFont val="宋体"/>
        <family val="3"/>
        <charset val="134"/>
      </rPr>
      <t>—机械装载量，挖掘机及装载机对应斗容，自卸汽车对应车厢容量(m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);</t>
    </r>
    <phoneticPr fontId="3" type="noConversion"/>
  </si>
  <si>
    <r>
      <rPr>
        <i/>
        <sz val="12"/>
        <rFont val="宋体"/>
        <family val="3"/>
        <charset val="134"/>
      </rPr>
      <t xml:space="preserve">     </t>
    </r>
    <r>
      <rPr>
        <i/>
        <sz val="12"/>
        <rFont val="Times New Roman"/>
        <family val="1"/>
      </rPr>
      <t>t</t>
    </r>
    <r>
      <rPr>
        <sz val="12"/>
        <rFont val="宋体"/>
        <family val="3"/>
        <charset val="134"/>
      </rPr>
      <t>一施工机械运转一个循环所需的时间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min)</t>
    </r>
    <phoneticPr fontId="3" type="noConversion"/>
  </si>
  <si>
    <t>施工机械数量计算应按下式计算:</t>
    <phoneticPr fontId="3" type="noConversion"/>
  </si>
  <si>
    <r>
      <t xml:space="preserve">式中: </t>
    </r>
    <r>
      <rPr>
        <i/>
        <sz val="12"/>
        <rFont val="Times New Roman"/>
        <family val="1"/>
      </rPr>
      <t>n</t>
    </r>
    <r>
      <rPr>
        <sz val="12"/>
        <rFont val="宋体"/>
        <family val="3"/>
        <charset val="134"/>
      </rPr>
      <t>一机械配置数量(台);</t>
    </r>
  </si>
  <si>
    <t>备注：计算原理(源自《DL/T 5741-2016 水电水利工程截流施工技术规范》附录C)</t>
    <phoneticPr fontId="3" type="noConversion"/>
  </si>
  <si>
    <r>
      <rPr>
        <i/>
        <sz val="12"/>
        <rFont val="宋体"/>
        <family val="3"/>
        <charset val="134"/>
      </rPr>
      <t xml:space="preserve">     </t>
    </r>
    <r>
      <rPr>
        <i/>
        <sz val="12"/>
        <rFont val="Times New Roman"/>
        <family val="1"/>
      </rPr>
      <t>K</t>
    </r>
    <r>
      <rPr>
        <i/>
        <vertAlign val="subscript"/>
        <sz val="12"/>
        <rFont val="Times New Roman"/>
        <family val="1"/>
      </rPr>
      <t>1</t>
    </r>
    <r>
      <rPr>
        <sz val="12"/>
        <rFont val="宋体"/>
        <family val="3"/>
        <charset val="134"/>
      </rPr>
      <t>一机械备用量，取</t>
    </r>
    <r>
      <rPr>
        <sz val="12"/>
        <rFont val="Times New Roman"/>
        <family val="1"/>
      </rPr>
      <t>1.0</t>
    </r>
    <r>
      <rPr>
        <sz val="12"/>
        <rFont val="宋体"/>
        <family val="3"/>
        <charset val="134"/>
      </rPr>
      <t>～</t>
    </r>
    <r>
      <rPr>
        <sz val="12"/>
        <rFont val="Times New Roman"/>
        <family val="1"/>
      </rPr>
      <t>1.3</t>
    </r>
    <r>
      <rPr>
        <sz val="12"/>
        <rFont val="宋体"/>
        <family val="3"/>
        <charset val="134"/>
      </rPr>
      <t>，龙口段取大值。</t>
    </r>
    <phoneticPr fontId="3" type="noConversion"/>
  </si>
  <si>
    <t>备注：</t>
    <phoneticPr fontId="3" type="noConversion"/>
  </si>
  <si>
    <t>原理</t>
    <phoneticPr fontId="3" type="noConversion"/>
  </si>
  <si>
    <t>所有类型,小时产量的和不小于抛投强度R</t>
    <phoneticPr fontId="3" type="noConversion"/>
  </si>
  <si>
    <t>先算32t的,再看需要多少45t的</t>
    <phoneticPr fontId="3" type="noConversion"/>
  </si>
  <si>
    <t>枢纽建筑物安全管理用地范围应以建筑物开挖轮廓线、顶部截水或防护设施边坡开口线为基准线，按开挖边坡高度H确定，并应符合下列规定：</t>
    <phoneticPr fontId="3" type="noConversion"/>
  </si>
  <si>
    <t>用地范围线向外延伸长度(m)</t>
    <phoneticPr fontId="3" type="noConversion"/>
  </si>
  <si>
    <t>H(m)</t>
    <phoneticPr fontId="3" type="noConversion"/>
  </si>
  <si>
    <t>+∞</t>
    <phoneticPr fontId="3" type="noConversion"/>
  </si>
  <si>
    <t>需查询H值：</t>
    <phoneticPr fontId="3" type="noConversion"/>
  </si>
  <si>
    <t>查询结果：</t>
    <phoneticPr fontId="3" type="noConversion"/>
  </si>
  <si>
    <t>项目</t>
    <phoneticPr fontId="38" type="noConversion"/>
  </si>
  <si>
    <t>筹建期</t>
    <phoneticPr fontId="38" type="noConversion"/>
  </si>
  <si>
    <t>第一年</t>
    <phoneticPr fontId="38" type="noConversion"/>
  </si>
  <si>
    <t>第二年</t>
    <phoneticPr fontId="38" type="noConversion"/>
  </si>
  <si>
    <t>第三年</t>
    <phoneticPr fontId="38" type="noConversion"/>
  </si>
  <si>
    <t>第四年</t>
    <phoneticPr fontId="38" type="noConversion"/>
  </si>
  <si>
    <t>第五年</t>
    <phoneticPr fontId="38" type="noConversion"/>
  </si>
  <si>
    <t>第六年</t>
    <phoneticPr fontId="38" type="noConversion"/>
  </si>
  <si>
    <t>第七年</t>
    <phoneticPr fontId="38" type="noConversion"/>
  </si>
  <si>
    <t>合计</t>
    <phoneticPr fontId="38" type="noConversion"/>
  </si>
  <si>
    <t>第八年</t>
    <phoneticPr fontId="38" type="noConversion"/>
  </si>
  <si>
    <t>第九年</t>
    <phoneticPr fontId="38" type="noConversion"/>
  </si>
  <si>
    <t>第十年</t>
    <phoneticPr fontId="38" type="noConversion"/>
  </si>
  <si>
    <t>水泥</t>
  </si>
  <si>
    <t>木材</t>
  </si>
  <si>
    <t>钢材</t>
  </si>
  <si>
    <t>施工机械</t>
  </si>
  <si>
    <t>永久机电设备</t>
  </si>
  <si>
    <t>爆破材料</t>
  </si>
  <si>
    <t>煤炭</t>
  </si>
  <si>
    <t>油料</t>
  </si>
  <si>
    <t>房建筑料</t>
  </si>
  <si>
    <t>生活物资</t>
  </si>
  <si>
    <t>其他</t>
  </si>
  <si>
    <t>黄底:公式自动计算值</t>
    <phoneticPr fontId="40" type="noConversion"/>
  </si>
  <si>
    <t>白底:手动输入值</t>
    <phoneticPr fontId="40" type="noConversion"/>
  </si>
  <si>
    <t>绿底:固定不变值</t>
    <phoneticPr fontId="40" type="noConversion"/>
  </si>
  <si>
    <t>蓝底:下拉选择</t>
    <phoneticPr fontId="40" type="noConversion"/>
  </si>
  <si>
    <t>合计</t>
    <phoneticPr fontId="3" type="noConversion"/>
  </si>
  <si>
    <t>混凝土总工程量占土石总填筑量的比值</t>
    <phoneticPr fontId="3" type="noConversion"/>
  </si>
  <si>
    <t>项 目</t>
  </si>
  <si>
    <t>混凝土总工程量占土石总填筑量百分比</t>
  </si>
  <si>
    <t>1m3混凝土外来物资和
设备运输量</t>
  </si>
  <si>
    <t/>
  </si>
  <si>
    <t>-</t>
  </si>
  <si>
    <t>1m3土石填筑外来物资和
设备运输量</t>
  </si>
  <si>
    <t>其中</t>
  </si>
  <si>
    <r>
      <rPr>
        <sz val="10"/>
        <rFont val="宋体"/>
        <family val="3"/>
        <charset val="134"/>
      </rPr>
      <t>附：</t>
    </r>
    <r>
      <rPr>
        <sz val="10"/>
        <rFont val="Arial"/>
        <family val="2"/>
      </rPr>
      <t xml:space="preserve">                                                                          </t>
    </r>
    <r>
      <rPr>
        <sz val="10"/>
        <rFont val="宋体"/>
        <family val="3"/>
        <charset val="134"/>
      </rPr>
      <t>土石坝枢纽外来物资和设备运输量指标表</t>
    </r>
    <r>
      <rPr>
        <sz val="10"/>
        <rFont val="Arial"/>
        <family val="2"/>
      </rPr>
      <t xml:space="preserve">                                                                   </t>
    </r>
    <r>
      <rPr>
        <sz val="10"/>
        <rFont val="宋体"/>
        <family val="3"/>
        <charset val="134"/>
      </rPr>
      <t>单位：</t>
    </r>
    <r>
      <rPr>
        <sz val="10"/>
        <rFont val="Arial"/>
        <family val="2"/>
      </rPr>
      <t>t/m</t>
    </r>
    <r>
      <rPr>
        <vertAlign val="superscript"/>
        <sz val="10"/>
        <rFont val="Arial"/>
        <family val="2"/>
      </rPr>
      <t>3</t>
    </r>
    <phoneticPr fontId="3" type="noConversion"/>
  </si>
  <si>
    <t>计算值</t>
    <phoneticPr fontId="3" type="noConversion"/>
  </si>
  <si>
    <t>取值</t>
    <phoneticPr fontId="3" type="noConversion"/>
  </si>
  <si>
    <r>
      <rPr>
        <sz val="10"/>
        <rFont val="宋体"/>
        <family val="3"/>
        <charset val="134"/>
      </rPr>
      <t>合计</t>
    </r>
    <phoneticPr fontId="3" type="noConversion"/>
  </si>
  <si>
    <t>D的取值</t>
    <phoneticPr fontId="3" type="noConversion"/>
  </si>
  <si>
    <t>选用的混凝土或土石的总量V</t>
    <phoneticPr fontId="3" type="noConversion"/>
  </si>
  <si>
    <r>
      <t>每年的混凝土量(万m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</si>
  <si>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r>
      <t>每年的土石填筑量(万m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</si>
  <si>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天</t>
    <phoneticPr fontId="3" type="noConversion"/>
  </si>
  <si>
    <t xml:space="preserve">备注：2022年度一级建造师考试时间为2022年11月19日、20日；
    </t>
    <phoneticPr fontId="3" type="noConversion"/>
  </si>
  <si>
    <t xml:space="preserve">      2022年一级建造师报名时间预测可能集中在8、9月份</t>
    <phoneticPr fontId="3" type="noConversion"/>
  </si>
  <si>
    <t>距离2022年一级建造师考试还有</t>
    <phoneticPr fontId="3" type="noConversion"/>
  </si>
  <si>
    <t>距离</t>
    <phoneticPr fontId="3" type="noConversion"/>
  </si>
  <si>
    <t>年</t>
    <phoneticPr fontId="3" type="noConversion"/>
  </si>
  <si>
    <t>月</t>
    <phoneticPr fontId="3" type="noConversion"/>
  </si>
  <si>
    <t>日还有</t>
    <phoneticPr fontId="3" type="noConversion"/>
  </si>
  <si>
    <t>直接计算例子：</t>
    <phoneticPr fontId="3" type="noConversion"/>
  </si>
  <si>
    <t>备注：绿底时间修改后，自动计算还有多少天</t>
    <phoneticPr fontId="3" type="noConversion"/>
  </si>
  <si>
    <t>枢纽建筑物施工用地</t>
    <phoneticPr fontId="3" type="noConversion"/>
  </si>
  <si>
    <t>其他项目施工用地</t>
    <phoneticPr fontId="3" type="noConversion"/>
  </si>
  <si>
    <t>项目</t>
    <phoneticPr fontId="3" type="noConversion"/>
  </si>
  <si>
    <t>用地范围偏移</t>
    <phoneticPr fontId="3" type="noConversion"/>
  </si>
  <si>
    <t>砂石加工系统和混凝土生产系统</t>
    <phoneticPr fontId="3" type="noConversion"/>
  </si>
  <si>
    <t>开挖边坡开口线或填筑坡脚线</t>
    <phoneticPr fontId="3" type="noConversion"/>
  </si>
  <si>
    <t>基准线</t>
    <phoneticPr fontId="3" type="noConversion"/>
  </si>
  <si>
    <t>5m～30m</t>
    <phoneticPr fontId="3" type="noConversion"/>
  </si>
  <si>
    <t>渣场</t>
    <phoneticPr fontId="3" type="noConversion"/>
  </si>
  <si>
    <t>挡排水设施：开挖开口线或填筑坡脚线</t>
    <phoneticPr fontId="3" type="noConversion"/>
  </si>
  <si>
    <t>堆渣体：
堆渣外轮廓线</t>
    <phoneticPr fontId="3" type="noConversion"/>
  </si>
  <si>
    <t>均为5m～20m</t>
    <phoneticPr fontId="3" type="noConversion"/>
  </si>
  <si>
    <t>转存料场</t>
    <phoneticPr fontId="3" type="noConversion"/>
  </si>
  <si>
    <t>5m～20m</t>
    <phoneticPr fontId="3" type="noConversion"/>
  </si>
  <si>
    <t>营地</t>
    <phoneticPr fontId="3" type="noConversion"/>
  </si>
  <si>
    <t>施工工厂与仓库；施工供水泵站与水池；压缩空气站；施工变电站</t>
    <phoneticPr fontId="3" type="noConversion"/>
  </si>
  <si>
    <t>施工供水和供风线路</t>
  </si>
  <si>
    <t>自管线中心线向两侧宽度</t>
    <phoneticPr fontId="3" type="noConversion"/>
  </si>
  <si>
    <t>不小于2. 5m</t>
    <phoneticPr fontId="3" type="noConversion"/>
  </si>
  <si>
    <t>前期交通规划</t>
    <phoneticPr fontId="3" type="noConversion"/>
  </si>
  <si>
    <t>按公路等级和路面宽度以道路中心线两侧</t>
    <phoneticPr fontId="3" type="noConversion"/>
  </si>
  <si>
    <t>各15m～ 30m</t>
    <phoneticPr fontId="3" type="noConversion"/>
  </si>
  <si>
    <t>备注：1、围堰、导流洞的施工用地呢？？？转存料场填筑边坡很高呢？？？等等</t>
    <phoneticPr fontId="3" type="noConversion"/>
  </si>
  <si>
    <r>
      <t xml:space="preserve">      2、施工</t>
    </r>
    <r>
      <rPr>
        <b/>
        <sz val="12"/>
        <rFont val="宋体"/>
        <family val="3"/>
        <charset val="134"/>
      </rPr>
      <t>爆破</t>
    </r>
    <r>
      <rPr>
        <sz val="12"/>
        <rFont val="宋体"/>
        <family val="3"/>
        <charset val="134"/>
      </rPr>
      <t>飞石、爆破振动和爆破冲击波的影响区</t>
    </r>
    <r>
      <rPr>
        <b/>
        <sz val="12"/>
        <rFont val="宋体"/>
        <family val="3"/>
        <charset val="134"/>
      </rPr>
      <t>超出</t>
    </r>
    <r>
      <rPr>
        <sz val="12"/>
        <rFont val="宋体"/>
        <family val="3"/>
        <charset val="134"/>
      </rPr>
      <t>施工场地及工程管理区用地范围</t>
    </r>
    <r>
      <rPr>
        <b/>
        <sz val="12"/>
        <rFont val="宋体"/>
        <family val="3"/>
        <charset val="134"/>
      </rPr>
      <t>部分</t>
    </r>
    <r>
      <rPr>
        <sz val="12"/>
        <rFont val="宋体"/>
        <family val="3"/>
        <charset val="134"/>
      </rPr>
      <t>，</t>
    </r>
    <r>
      <rPr>
        <b/>
        <sz val="12"/>
        <rFont val="宋体"/>
        <family val="3"/>
        <charset val="134"/>
      </rPr>
      <t>可纳入工程防护范围，不列入施工用地</t>
    </r>
    <phoneticPr fontId="3" type="noConversion"/>
  </si>
  <si>
    <t>（水库工程或者说挡泄水建筑物工程）施工导流特性表（含导流程序或者说导流时段）</t>
    <phoneticPr fontId="40" type="noConversion"/>
  </si>
  <si>
    <t>导流阶段</t>
    <phoneticPr fontId="40" type="noConversion"/>
  </si>
  <si>
    <t>单位</t>
    <phoneticPr fontId="40" type="noConversion"/>
  </si>
  <si>
    <t>前期导流
(主要指围堰挡水阶段。～坝体高程未超过围堰顶高程）</t>
    <phoneticPr fontId="40" type="noConversion"/>
  </si>
  <si>
    <t>中期导流
（坝体高程超过围堰顶高程～导流泄水建筑物下闸封堵（导流泄水建筑物完全封堵））</t>
    <phoneticPr fontId="40" type="noConversion"/>
  </si>
  <si>
    <t>后期导流
（主要指施工蓄水阶段。导流泄水建筑物下闸封堵（导流泄水建筑物完全封堵）～工程完建）</t>
    <phoneticPr fontId="40" type="noConversion"/>
  </si>
  <si>
    <t>原河床过流期(或者说施工准备期)、导流建筑物过流期</t>
    <phoneticPr fontId="40" type="noConversion"/>
  </si>
  <si>
    <t>截流</t>
    <phoneticPr fontId="40" type="noConversion"/>
  </si>
  <si>
    <t>围堰挡水期、过水围堰的基坑过流期</t>
    <phoneticPr fontId="40" type="noConversion"/>
  </si>
  <si>
    <t>......</t>
    <phoneticPr fontId="40" type="noConversion"/>
  </si>
  <si>
    <t>蓄水前坝体临时挡水度汛期</t>
    <phoneticPr fontId="40" type="noConversion"/>
  </si>
  <si>
    <t>(枯水期)围堰
挡水期</t>
    <phoneticPr fontId="40" type="noConversion"/>
  </si>
  <si>
    <t>导流洞下闸</t>
    <phoneticPr fontId="40" type="noConversion"/>
  </si>
  <si>
    <t>导流泄水建筑物封堵期(导流洞闸门挡水期)</t>
    <phoneticPr fontId="40" type="noConversion"/>
  </si>
  <si>
    <t>水库蓄水后坝体挡水度汛期</t>
    <phoneticPr fontId="40" type="noConversion"/>
  </si>
  <si>
    <t>导流
建筑物</t>
    <phoneticPr fontId="40" type="noConversion"/>
  </si>
  <si>
    <t>导流挡水建筑物</t>
    <phoneticPr fontId="40" type="noConversion"/>
  </si>
  <si>
    <t>导流泄水建筑物</t>
    <phoneticPr fontId="40" type="noConversion"/>
  </si>
  <si>
    <t>导流建筑物级别</t>
    <phoneticPr fontId="40" type="noConversion"/>
  </si>
  <si>
    <t>导流标准</t>
    <phoneticPr fontId="40" type="noConversion"/>
  </si>
  <si>
    <t>导流时段</t>
    <phoneticPr fontId="40" type="noConversion"/>
  </si>
  <si>
    <t>导流频率</t>
    <phoneticPr fontId="40" type="noConversion"/>
  </si>
  <si>
    <t>导流流量/洪量</t>
    <phoneticPr fontId="40" type="noConversion"/>
  </si>
  <si>
    <t>洪峰流量</t>
    <phoneticPr fontId="40" type="noConversion"/>
  </si>
  <si>
    <t>上游围堰</t>
    <phoneticPr fontId="40" type="noConversion"/>
  </si>
  <si>
    <t>上游水位</t>
    <phoneticPr fontId="40" type="noConversion"/>
  </si>
  <si>
    <t>上游堰顶高程</t>
    <phoneticPr fontId="40" type="noConversion"/>
  </si>
  <si>
    <t>上游围堰最大堰高</t>
    <phoneticPr fontId="40" type="noConversion"/>
  </si>
  <si>
    <t>上游堰顶宽度</t>
    <phoneticPr fontId="40" type="noConversion"/>
  </si>
  <si>
    <t>下游围堰</t>
    <phoneticPr fontId="40" type="noConversion"/>
  </si>
  <si>
    <t>下游水位</t>
    <phoneticPr fontId="40" type="noConversion"/>
  </si>
  <si>
    <t>下游堰顶高程</t>
    <phoneticPr fontId="40" type="noConversion"/>
  </si>
  <si>
    <t>下游围堰最大堰高</t>
    <phoneticPr fontId="40" type="noConversion"/>
  </si>
  <si>
    <t>下游堰顶宽度</t>
    <phoneticPr fontId="40" type="noConversion"/>
  </si>
  <si>
    <t>施工项目</t>
    <phoneticPr fontId="40" type="noConversion"/>
  </si>
  <si>
    <t>（进出水口工程）施工导流特性表</t>
    <phoneticPr fontId="40" type="noConversion"/>
  </si>
  <si>
    <t>注：以上2表中均可再加上下泄流量及洞内流速</t>
  </si>
  <si>
    <t>进出水口与地下厂房洞室群贯通前</t>
    <phoneticPr fontId="40" type="noConversion"/>
  </si>
  <si>
    <t>进出水口与地下厂房洞室群贯通后</t>
    <phoneticPr fontId="40" type="noConversion"/>
  </si>
  <si>
    <t>水库蓄水期间</t>
    <phoneticPr fontId="40" type="noConversion"/>
  </si>
  <si>
    <t>原河床过流</t>
    <phoneticPr fontId="40" type="noConversion"/>
  </si>
  <si>
    <t>导流挡水建筑物挡水期</t>
    <phoneticPr fontId="40" type="noConversion"/>
  </si>
  <si>
    <t>导流
建筑物</t>
    <phoneticPr fontId="40" type="noConversion"/>
  </si>
  <si>
    <t>自：导流挡水建筑物
挡水水位</t>
    <phoneticPr fontId="40" type="noConversion"/>
  </si>
  <si>
    <t>自：导流挡水建筑物
顶高程</t>
    <phoneticPr fontId="40" type="noConversion"/>
  </si>
  <si>
    <t>自：导流挡水建筑物
最大高度</t>
    <phoneticPr fontId="40" type="noConversion"/>
  </si>
  <si>
    <t>自：导流挡水建筑物
顶宽</t>
    <phoneticPr fontId="40" type="noConversion"/>
  </si>
  <si>
    <t>蓄水前坝体正式挡水度汛期</t>
    <phoneticPr fontId="40" type="noConversion"/>
  </si>
  <si>
    <t>流量系数m</t>
    <phoneticPr fontId="40" type="noConversion"/>
  </si>
  <si>
    <r>
      <t>淹没系数б</t>
    </r>
    <r>
      <rPr>
        <vertAlign val="subscript"/>
        <sz val="11"/>
        <color theme="1"/>
        <rFont val="等线"/>
        <family val="3"/>
        <charset val="134"/>
      </rPr>
      <t>s</t>
    </r>
    <phoneticPr fontId="40" type="noConversion"/>
  </si>
  <si>
    <t>过水断面宽度b
(m)</t>
    <phoneticPr fontId="40" type="noConversion"/>
  </si>
  <si>
    <r>
      <t>g
(m/s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2"/>
        <rFont val="宋体"/>
        <family val="3"/>
        <charset val="134"/>
      </rPr>
      <t>)</t>
    </r>
    <phoneticPr fontId="40" type="noConversion"/>
  </si>
  <si>
    <r>
      <t>H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2"/>
        <rFont val="宋体"/>
        <family val="3"/>
        <charset val="134"/>
      </rPr>
      <t xml:space="preserve">
(m)</t>
    </r>
    <phoneticPr fontId="40" type="noConversion"/>
  </si>
  <si>
    <t>洞高a
(m)</t>
    <phoneticPr fontId="40" type="noConversion"/>
  </si>
  <si>
    <r>
      <t>注：1、保证无压流需满足H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2"/>
        <rFont val="宋体"/>
        <family val="3"/>
        <charset val="134"/>
      </rPr>
      <t>&lt;1.2a</t>
    </r>
    <phoneticPr fontId="40" type="noConversion"/>
  </si>
  <si>
    <r>
      <t xml:space="preserve">    2、当h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2"/>
        <rFont val="宋体"/>
        <family val="3"/>
        <charset val="134"/>
      </rPr>
      <t>'&lt;0.75H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2"/>
        <rFont val="宋体"/>
        <family val="3"/>
        <charset val="134"/>
      </rPr>
      <t>时，为自由出流，</t>
    </r>
    <r>
      <rPr>
        <sz val="12"/>
        <rFont val="Calibri"/>
        <family val="3"/>
        <charset val="204"/>
      </rPr>
      <t>б</t>
    </r>
    <r>
      <rPr>
        <vertAlign val="subscript"/>
        <sz val="11"/>
        <color theme="1"/>
        <rFont val="等线"/>
        <family val="3"/>
        <charset val="134"/>
        <scheme val="minor"/>
      </rPr>
      <t>s</t>
    </r>
    <r>
      <rPr>
        <sz val="12"/>
        <rFont val="宋体"/>
        <family val="3"/>
        <charset val="134"/>
      </rPr>
      <t>=1；h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2"/>
        <rFont val="宋体"/>
        <family val="3"/>
        <charset val="134"/>
      </rPr>
      <t>'为进口断面处水深，H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2"/>
        <rFont val="宋体"/>
        <family val="3"/>
        <charset val="134"/>
      </rPr>
      <t>为以隧洞进口断面底板高程起算的上游总水头</t>
    </r>
    <phoneticPr fontId="40" type="noConversion"/>
  </si>
  <si>
    <t>流速(m/s)</t>
    <phoneticPr fontId="3" type="noConversion"/>
  </si>
  <si>
    <r>
      <t>水的密度
ρ(kg/m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2"/>
        <rFont val="宋体"/>
        <family val="3"/>
        <charset val="134"/>
      </rPr>
      <t>)</t>
    </r>
    <phoneticPr fontId="40" type="noConversion"/>
  </si>
  <si>
    <r>
      <t>块石密度
ρ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2"/>
        <rFont val="宋体"/>
        <family val="3"/>
        <charset val="134"/>
      </rPr>
      <t>(kg/m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2"/>
        <rFont val="宋体"/>
        <family val="3"/>
        <charset val="134"/>
      </rPr>
      <t>)</t>
    </r>
    <phoneticPr fontId="40" type="noConversion"/>
  </si>
  <si>
    <t>综合稳定系数κ</t>
    <phoneticPr fontId="3" type="noConversion"/>
  </si>
  <si>
    <t>块石粒径(m)</t>
  </si>
  <si>
    <r>
      <t>重力加速度g(m/s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40" type="noConversion"/>
  </si>
  <si>
    <t>块石质量(kg)</t>
    <phoneticPr fontId="3" type="noConversion"/>
  </si>
  <si>
    <t>根据流速求抗冲块石粒径及质量</t>
    <phoneticPr fontId="3" type="noConversion"/>
  </si>
  <si>
    <t>备注：当量直径1.0m以上为特大石、当量直径0.7m～1.0m为大石、当量直径0.4m～0.7m为中石、当量直径小于0.4m为石渣</t>
    <phoneticPr fontId="3" type="noConversion"/>
  </si>
  <si>
    <r>
      <rPr>
        <sz val="12"/>
        <rFont val="宋体"/>
        <family val="3"/>
        <charset val="134"/>
      </rPr>
      <t xml:space="preserve">      另外，对于混凝土骨料，</t>
    </r>
    <r>
      <rPr>
        <sz val="12"/>
        <rFont val="Times New Roman"/>
        <family val="1"/>
      </rPr>
      <t>&lt;5mm</t>
    </r>
    <r>
      <rPr>
        <sz val="12"/>
        <rFont val="宋体"/>
        <family val="3"/>
        <charset val="134"/>
      </rPr>
      <t>为砂、</t>
    </r>
    <r>
      <rPr>
        <sz val="12"/>
        <rFont val="Times New Roman"/>
        <family val="1"/>
      </rPr>
      <t>5⁓20mm</t>
    </r>
    <r>
      <rPr>
        <sz val="12"/>
        <rFont val="宋体"/>
        <family val="3"/>
        <charset val="134"/>
      </rPr>
      <t>为小石、</t>
    </r>
    <r>
      <rPr>
        <sz val="12"/>
        <rFont val="Times New Roman"/>
        <family val="1"/>
      </rPr>
      <t>20⁓40mm</t>
    </r>
    <r>
      <rPr>
        <sz val="12"/>
        <rFont val="宋体"/>
        <family val="3"/>
        <charset val="134"/>
      </rPr>
      <t>为中石、</t>
    </r>
    <r>
      <rPr>
        <sz val="12"/>
        <rFont val="Times New Roman"/>
        <family val="1"/>
      </rPr>
      <t>40⁓80mm</t>
    </r>
    <r>
      <rPr>
        <sz val="12"/>
        <rFont val="宋体"/>
        <family val="3"/>
        <charset val="134"/>
      </rPr>
      <t>为大石。</t>
    </r>
    <phoneticPr fontId="3" type="noConversion"/>
  </si>
  <si>
    <r>
      <t>过水断面面积A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</si>
  <si>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r>
      <t>湿周</t>
    </r>
    <r>
      <rPr>
        <sz val="12"/>
        <rFont val="Calibri"/>
        <family val="3"/>
        <charset val="161"/>
      </rPr>
      <t>χ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</si>
  <si>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水力半径R(R=A/</t>
    </r>
    <r>
      <rPr>
        <sz val="12"/>
        <rFont val="Calibri"/>
        <family val="3"/>
        <charset val="161"/>
      </rPr>
      <t>χ</t>
    </r>
    <r>
      <rPr>
        <sz val="12"/>
        <rFont val="宋体"/>
        <family val="3"/>
        <charset val="134"/>
      </rPr>
      <t>)
(m)</t>
    </r>
    <phoneticPr fontId="3" type="noConversion"/>
  </si>
  <si>
    <t>糙率n</t>
    <phoneticPr fontId="3" type="noConversion"/>
  </si>
  <si>
    <r>
      <t>谢才系数C(C=R</t>
    </r>
    <r>
      <rPr>
        <vertAlign val="superscript"/>
        <sz val="12"/>
        <rFont val="宋体"/>
        <family val="3"/>
        <charset val="134"/>
      </rPr>
      <t>1/6</t>
    </r>
    <r>
      <rPr>
        <sz val="12"/>
        <rFont val="宋体"/>
        <family val="3"/>
        <charset val="134"/>
      </rPr>
      <t>/n)</t>
    </r>
    <phoneticPr fontId="3" type="noConversion"/>
  </si>
  <si>
    <r>
      <t>用均匀流基本公式Q=AC(Ri)</t>
    </r>
    <r>
      <rPr>
        <vertAlign val="superscript"/>
        <sz val="12"/>
        <rFont val="宋体"/>
        <family val="3"/>
        <charset val="134"/>
      </rPr>
      <t>0.5</t>
    </r>
    <r>
      <rPr>
        <sz val="12"/>
        <rFont val="宋体"/>
        <family val="3"/>
        <charset val="134"/>
      </rPr>
      <t>复核排水明渠的排水能力</t>
    </r>
    <phoneticPr fontId="3" type="noConversion"/>
  </si>
  <si>
    <t>排水明渠底坡i</t>
    <phoneticPr fontId="3" type="noConversion"/>
  </si>
  <si>
    <r>
      <t>明渠排水能力Q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3" type="noConversion"/>
  </si>
  <si>
    <t>线性插值计算</t>
    <phoneticPr fontId="3" type="noConversion"/>
  </si>
  <si>
    <t>X</t>
    <phoneticPr fontId="3" type="noConversion"/>
  </si>
  <si>
    <t>Y</t>
    <phoneticPr fontId="3" type="noConversion"/>
  </si>
  <si>
    <t>第一组数据</t>
    <phoneticPr fontId="3" type="noConversion"/>
  </si>
  <si>
    <t>第二组数据</t>
    <phoneticPr fontId="3" type="noConversion"/>
  </si>
  <si>
    <t>所求组的X、Y值</t>
    <phoneticPr fontId="3" type="noConversion"/>
  </si>
  <si>
    <t>此排水能力及过流断面下的平均流速(m/s)</t>
    <phoneticPr fontId="3" type="noConversion"/>
  </si>
  <si>
    <t>物料来源情况</t>
    <phoneticPr fontId="40" type="noConversion"/>
  </si>
  <si>
    <t>运输情况</t>
    <phoneticPr fontId="40" type="noConversion"/>
  </si>
  <si>
    <t>石料</t>
    <phoneticPr fontId="40" type="noConversion"/>
  </si>
  <si>
    <t>土料</t>
    <phoneticPr fontId="40" type="noConversion"/>
  </si>
  <si>
    <t>弃渣料</t>
    <phoneticPr fontId="40" type="noConversion"/>
  </si>
  <si>
    <t>混凝土</t>
    <phoneticPr fontId="40" type="noConversion"/>
  </si>
  <si>
    <t>开挖区</t>
    <phoneticPr fontId="40" type="noConversion"/>
  </si>
  <si>
    <t>实际利用情况区</t>
    <phoneticPr fontId="40" type="noConversion"/>
  </si>
  <si>
    <t>开挖部位</t>
    <phoneticPr fontId="40" type="noConversion"/>
  </si>
  <si>
    <t>土石明挖情况</t>
  </si>
  <si>
    <t>石方洞挖情况</t>
  </si>
  <si>
    <t>合计开挖</t>
    <phoneticPr fontId="40" type="noConversion"/>
  </si>
  <si>
    <t>合计可利用量</t>
    <phoneticPr fontId="40" type="noConversion"/>
  </si>
  <si>
    <t>明挖实际利用</t>
    <phoneticPr fontId="40" type="noConversion"/>
  </si>
  <si>
    <t>洞挖实际利用</t>
    <phoneticPr fontId="40" type="noConversion"/>
  </si>
  <si>
    <t>实际利用合计</t>
    <phoneticPr fontId="40" type="noConversion"/>
  </si>
  <si>
    <t>直接上坝</t>
    <phoneticPr fontId="40" type="noConversion"/>
  </si>
  <si>
    <t>至中转场</t>
    <phoneticPr fontId="40" type="noConversion"/>
  </si>
  <si>
    <t>从中转场上坝</t>
    <phoneticPr fontId="40" type="noConversion"/>
  </si>
  <si>
    <t>从中转场至弃渣场</t>
    <phoneticPr fontId="40" type="noConversion"/>
  </si>
  <si>
    <t>至砂石加工系统（或者毛料堆存场）</t>
    <phoneticPr fontId="40" type="noConversion"/>
  </si>
  <si>
    <t>直接利用</t>
    <phoneticPr fontId="40" type="noConversion"/>
  </si>
  <si>
    <t>从中转场至利用部位</t>
    <phoneticPr fontId="40" type="noConversion"/>
  </si>
  <si>
    <t>至弃渣场</t>
    <phoneticPr fontId="40" type="noConversion"/>
  </si>
  <si>
    <t>从弃渣场回采利用</t>
    <phoneticPr fontId="40" type="noConversion"/>
  </si>
  <si>
    <t>从混凝土系统至利用部位</t>
    <phoneticPr fontId="40" type="noConversion"/>
  </si>
  <si>
    <t>土方
明挖量</t>
  </si>
  <si>
    <t>石方
明挖量</t>
  </si>
  <si>
    <t>石方明挖可利用量</t>
    <phoneticPr fontId="40" type="noConversion"/>
  </si>
  <si>
    <t>石方洞挖量</t>
  </si>
  <si>
    <t>石方洞挖可利用量</t>
    <phoneticPr fontId="40" type="noConversion"/>
  </si>
  <si>
    <t>数量</t>
    <phoneticPr fontId="40" type="noConversion"/>
  </si>
  <si>
    <t>洞内运距</t>
    <phoneticPr fontId="40" type="noConversion"/>
  </si>
  <si>
    <t>洞外运距</t>
    <phoneticPr fontId="40" type="noConversion"/>
  </si>
  <si>
    <t>上水库</t>
  </si>
  <si>
    <t>上水库工程</t>
  </si>
  <si>
    <t>大坝</t>
  </si>
  <si>
    <t>库岸填方区</t>
  </si>
  <si>
    <t>库盆防渗及处理</t>
  </si>
  <si>
    <t>输水系统工程</t>
  </si>
  <si>
    <t>上水库进/出水口</t>
  </si>
  <si>
    <t>引水
隧洞</t>
  </si>
  <si>
    <t>上平段</t>
  </si>
  <si>
    <t>①施工支洞</t>
  </si>
  <si>
    <t>上水库工程量合计</t>
  </si>
  <si>
    <t>下水库</t>
  </si>
  <si>
    <t>导流</t>
  </si>
  <si>
    <t>导流工程</t>
  </si>
  <si>
    <t>下水库工程</t>
  </si>
  <si>
    <t>大坝改造</t>
  </si>
  <si>
    <t>库岸防护</t>
  </si>
  <si>
    <t>泄水消能建筑物</t>
  </si>
  <si>
    <t>引水隧洞</t>
  </si>
  <si>
    <t>上竖井、中平洞</t>
  </si>
  <si>
    <t>下竖井、下平段</t>
  </si>
  <si>
    <t>引支段</t>
  </si>
  <si>
    <t>②③施工支洞</t>
  </si>
  <si>
    <t>尾水隧洞</t>
  </si>
  <si>
    <t>尾闸及其辅助洞室</t>
  </si>
  <si>
    <t>尾调及其辅助洞室</t>
  </si>
  <si>
    <t>钢管外排水廊道</t>
  </si>
  <si>
    <t>下水库进/出水口</t>
  </si>
  <si>
    <t>⑤施工支洞</t>
  </si>
  <si>
    <t>地下厂房工程</t>
  </si>
  <si>
    <t>发电厂房及基础工程</t>
  </si>
  <si>
    <t>排风竖井</t>
  </si>
  <si>
    <t>主变洞及母线洞</t>
  </si>
  <si>
    <t>电缆交通洞</t>
  </si>
  <si>
    <t>通风兼安全洞</t>
  </si>
  <si>
    <t>开关站及出线场</t>
  </si>
  <si>
    <t>进场交通洞</t>
  </si>
  <si>
    <t>排水廊道</t>
  </si>
  <si>
    <t>高压电缆平洞及竖井</t>
  </si>
  <si>
    <t>主变运输洞</t>
  </si>
  <si>
    <t>主变排风洞</t>
  </si>
  <si>
    <t>排水洞</t>
  </si>
  <si>
    <t>④⑥施工支洞</t>
  </si>
  <si>
    <t>下库工程量合计</t>
  </si>
  <si>
    <t>无需砂石加工系统加工的填筑料，如堆石料、过渡料等（注：对于沥青坝，过渡料需砂石系统加工）</t>
    <phoneticPr fontId="40" type="noConversion"/>
  </si>
  <si>
    <t>混凝土骨料；需砂石加工系统加工的填筑料，如反滤料、垫层料等；</t>
    <phoneticPr fontId="40" type="noConversion"/>
  </si>
  <si>
    <t>（混凝土骨料）从砂石系统至砼系统</t>
    <phoneticPr fontId="40" type="noConversion"/>
  </si>
  <si>
    <r>
      <t>计算（无压、陡坡、短洞）隧洞上游水深H</t>
    </r>
    <r>
      <rPr>
        <vertAlign val="subscript"/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以及进口洞高a</t>
    </r>
    <phoneticPr fontId="40" type="noConversion"/>
  </si>
  <si>
    <t>否</t>
  </si>
  <si>
    <r>
      <rPr>
        <b/>
        <sz val="12"/>
        <rFont val="Microsoft YaHei UI"/>
        <family val="2"/>
        <charset val="134"/>
      </rPr>
      <t>密度（</t>
    </r>
    <r>
      <rPr>
        <b/>
        <sz val="12"/>
        <rFont val="Calibri"/>
        <family val="2"/>
      </rPr>
      <t>g/cm</t>
    </r>
    <r>
      <rPr>
        <b/>
        <vertAlign val="superscript"/>
        <sz val="12"/>
        <rFont val="Calibri"/>
        <family val="2"/>
      </rPr>
      <t>3</t>
    </r>
    <r>
      <rPr>
        <b/>
        <sz val="12"/>
        <rFont val="Calibri"/>
        <family val="2"/>
      </rPr>
      <t>=t/m</t>
    </r>
    <r>
      <rPr>
        <b/>
        <vertAlign val="superscript"/>
        <sz val="12"/>
        <rFont val="Calibri"/>
        <family val="2"/>
      </rPr>
      <t>3</t>
    </r>
    <r>
      <rPr>
        <b/>
        <sz val="12"/>
        <rFont val="Calibri"/>
        <family val="2"/>
      </rPr>
      <t>=1000kg/m</t>
    </r>
    <r>
      <rPr>
        <b/>
        <vertAlign val="superscript"/>
        <sz val="12"/>
        <rFont val="Calibri"/>
        <family val="2"/>
      </rPr>
      <t>3</t>
    </r>
    <r>
      <rPr>
        <b/>
        <sz val="12"/>
        <rFont val="Microsoft YaHei UI"/>
        <family val="2"/>
        <charset val="134"/>
      </rPr>
      <t>）</t>
    </r>
    <phoneticPr fontId="3" type="noConversion"/>
  </si>
  <si>
    <t>对应的</t>
    <phoneticPr fontId="3" type="noConversion"/>
  </si>
  <si>
    <r>
      <t>容重</t>
    </r>
    <r>
      <rPr>
        <b/>
        <sz val="12"/>
        <rFont val="Calibri"/>
        <family val="3"/>
        <charset val="161"/>
      </rPr>
      <t>ρ</t>
    </r>
    <r>
      <rPr>
        <b/>
        <sz val="12"/>
        <rFont val="宋体"/>
        <family val="3"/>
        <charset val="134"/>
      </rPr>
      <t>(KN/m3)</t>
    </r>
    <phoneticPr fontId="3" type="noConversion"/>
  </si>
  <si>
    <r>
      <t>容重(KN/m</t>
    </r>
    <r>
      <rPr>
        <b/>
        <vertAlign val="superscript"/>
        <sz val="12"/>
        <rFont val="宋体"/>
        <family val="3"/>
        <charset val="134"/>
      </rPr>
      <t>3</t>
    </r>
    <r>
      <rPr>
        <b/>
        <sz val="12"/>
        <rFont val="宋体"/>
        <family val="3"/>
        <charset val="134"/>
      </rPr>
      <t>)</t>
    </r>
    <phoneticPr fontId="3" type="noConversion"/>
  </si>
  <si>
    <r>
      <rPr>
        <b/>
        <sz val="12"/>
        <rFont val="Microsoft YaHei UI"/>
        <family val="2"/>
        <charset val="134"/>
      </rPr>
      <t>密度（</t>
    </r>
    <r>
      <rPr>
        <b/>
        <sz val="12"/>
        <rFont val="Calibri"/>
        <family val="2"/>
      </rPr>
      <t>kg/m</t>
    </r>
    <r>
      <rPr>
        <b/>
        <vertAlign val="superscript"/>
        <sz val="12"/>
        <rFont val="Calibri"/>
        <family val="2"/>
      </rPr>
      <t>3</t>
    </r>
    <r>
      <rPr>
        <b/>
        <sz val="12"/>
        <rFont val="Microsoft YaHei UI"/>
        <family val="2"/>
        <charset val="134"/>
      </rPr>
      <t>）</t>
    </r>
    <phoneticPr fontId="3" type="noConversion"/>
  </si>
  <si>
    <t>质量(t)</t>
    <phoneticPr fontId="3" type="noConversion"/>
  </si>
  <si>
    <t>力（KN）</t>
    <phoneticPr fontId="3" type="noConversion"/>
  </si>
  <si>
    <t>安全系数Ka</t>
    <phoneticPr fontId="3" type="noConversion"/>
  </si>
  <si>
    <t>单根预应力锚索
超张拉力Pm
(kN)</t>
    <phoneticPr fontId="3" type="noConversion"/>
  </si>
  <si>
    <t>锚索孔直径D
(mm)</t>
    <phoneticPr fontId="3" type="noConversion"/>
  </si>
  <si>
    <r>
      <t>胶结材料与围岩的粘结强度f</t>
    </r>
    <r>
      <rPr>
        <vertAlign val="subscript"/>
        <sz val="12"/>
        <rFont val="宋体"/>
        <family val="3"/>
        <charset val="134"/>
      </rPr>
      <t xml:space="preserve">mg
</t>
    </r>
    <r>
      <rPr>
        <sz val="12"/>
        <rFont val="宋体"/>
        <family val="3"/>
        <charset val="134"/>
      </rPr>
      <t>(MPa)</t>
    </r>
    <phoneticPr fontId="3" type="noConversion"/>
  </si>
  <si>
    <r>
      <t>胶结材料与预应力钢丝或钢绞线的粘结强度f'</t>
    </r>
    <r>
      <rPr>
        <vertAlign val="subscript"/>
        <sz val="12"/>
        <rFont val="宋体"/>
        <family val="3"/>
        <charset val="134"/>
      </rPr>
      <t xml:space="preserve">ms
</t>
    </r>
    <r>
      <rPr>
        <sz val="12"/>
        <rFont val="宋体"/>
        <family val="3"/>
        <charset val="134"/>
      </rPr>
      <t>(MPa)</t>
    </r>
    <phoneticPr fontId="3" type="noConversion"/>
  </si>
  <si>
    <t>单根预应力钢丝或预应力钢绞线直径d
(mm)</t>
    <phoneticPr fontId="3" type="noConversion"/>
  </si>
  <si>
    <t>同根锚索中预应力钢丝或钢绞线的股数n</t>
    <phoneticPr fontId="3" type="noConversion"/>
  </si>
  <si>
    <r>
      <t>预应力锚索
胶结式锚固段长度L</t>
    </r>
    <r>
      <rPr>
        <vertAlign val="subscript"/>
        <sz val="12"/>
        <rFont val="宋体"/>
        <family val="3"/>
        <charset val="134"/>
      </rPr>
      <t>1</t>
    </r>
    <phoneticPr fontId="3" type="noConversion"/>
  </si>
  <si>
    <r>
      <t>锚固段最小长度L</t>
    </r>
    <r>
      <rPr>
        <vertAlign val="subscript"/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 xml:space="preserve">
(按照胶结材料与围岩粘结安全计算)
(m)</t>
    </r>
    <phoneticPr fontId="3" type="noConversion"/>
  </si>
  <si>
    <r>
      <t>锚固段最小长度L</t>
    </r>
    <r>
      <rPr>
        <vertAlign val="subscript"/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 xml:space="preserve">
(</t>
    </r>
    <r>
      <rPr>
        <sz val="11"/>
        <rFont val="宋体"/>
        <family val="3"/>
        <charset val="134"/>
      </rPr>
      <t>按照胶结材料与预应力钢丝或钢绞线粘结安全计算</t>
    </r>
    <r>
      <rPr>
        <sz val="12"/>
        <rFont val="宋体"/>
        <family val="3"/>
        <charset val="134"/>
      </rPr>
      <t>)
(m)</t>
    </r>
    <phoneticPr fontId="3" type="noConversion"/>
  </si>
  <si>
    <t>——————————</t>
    <phoneticPr fontId="3" type="noConversion"/>
  </si>
  <si>
    <t>土石坝</t>
    <phoneticPr fontId="3" type="noConversion"/>
  </si>
  <si>
    <t>项目</t>
    <phoneticPr fontId="3" type="noConversion"/>
  </si>
  <si>
    <t>水泥</t>
    <phoneticPr fontId="3" type="noConversion"/>
  </si>
  <si>
    <t>木材</t>
    <phoneticPr fontId="3" type="noConversion"/>
  </si>
  <si>
    <t>钢材</t>
    <phoneticPr fontId="3" type="noConversion"/>
  </si>
  <si>
    <t>施工机械</t>
    <phoneticPr fontId="3" type="noConversion"/>
  </si>
  <si>
    <t>永久机电设备</t>
    <phoneticPr fontId="3" type="noConversion"/>
  </si>
  <si>
    <t>爆破材料</t>
    <phoneticPr fontId="3" type="noConversion"/>
  </si>
  <si>
    <t>煤炭</t>
    <phoneticPr fontId="3" type="noConversion"/>
  </si>
  <si>
    <t>油料</t>
    <phoneticPr fontId="3" type="noConversion"/>
  </si>
  <si>
    <t>房建材料</t>
    <phoneticPr fontId="3" type="noConversion"/>
  </si>
  <si>
    <t>生活物资</t>
    <phoneticPr fontId="3" type="noConversion"/>
  </si>
  <si>
    <t>其他</t>
    <phoneticPr fontId="3" type="noConversion"/>
  </si>
  <si>
    <t>合计</t>
    <phoneticPr fontId="3" type="noConversion"/>
  </si>
  <si>
    <r>
      <t>D的取值t/m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 xml:space="preserve">
(取手册上的中限)</t>
    </r>
    <phoneticPr fontId="3" type="noConversion"/>
  </si>
  <si>
    <r>
      <t>枢纽混凝土总工程量V(万m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</si>
  <si>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以"合计"复核</t>
    <phoneticPr fontId="3" type="noConversion"/>
  </si>
  <si>
    <t>备注：本方法使用扩大指标进行估算，手册(水利水电工程施工组织设计指南第二版)上说适用于规划、可研以及初步设计初期等各阶段，废止的规范上说适用于规划、项目建议书、可研等</t>
    <phoneticPr fontId="3" type="noConversion"/>
  </si>
  <si>
    <t>混凝土坝</t>
    <phoneticPr fontId="3" type="noConversion"/>
  </si>
  <si>
    <r>
      <t>备注：合计列均未加"煤炭"</t>
    </r>
    <r>
      <rPr>
        <sz val="10"/>
        <rFont val="宋体"/>
        <family val="2"/>
        <charset val="134"/>
      </rPr>
      <t>项</t>
    </r>
    <phoneticPr fontId="3" type="noConversion"/>
  </si>
  <si>
    <t>备注：合计列均未加"煤炭"项</t>
  </si>
  <si>
    <t>隧洞洞高a
(m)</t>
    <phoneticPr fontId="3" type="noConversion"/>
  </si>
  <si>
    <t>上游水深H
(以隧洞进口断面底板高程起算)
应大于(m)</t>
    <phoneticPr fontId="3" type="noConversion"/>
  </si>
  <si>
    <r>
      <t>上游水位Z</t>
    </r>
    <r>
      <rPr>
        <vertAlign val="subscript"/>
        <sz val="12"/>
        <rFont val="宋体"/>
        <family val="3"/>
        <charset val="134"/>
      </rPr>
      <t>上</t>
    </r>
    <r>
      <rPr>
        <sz val="12"/>
        <rFont val="宋体"/>
        <family val="3"/>
        <charset val="134"/>
      </rPr>
      <t xml:space="preserve">
(小于下值时为无压流)
(m)</t>
    </r>
    <phoneticPr fontId="3" type="noConversion"/>
  </si>
  <si>
    <t>上游水深H
(以隧洞进口断面底板高程起算)应小于
(m)</t>
    <phoneticPr fontId="3" type="noConversion"/>
  </si>
  <si>
    <t>隧洞进口
底板高程E1
(m)</t>
    <phoneticPr fontId="3" type="noConversion"/>
  </si>
  <si>
    <r>
      <t>上游水位Z</t>
    </r>
    <r>
      <rPr>
        <vertAlign val="subscript"/>
        <sz val="12"/>
        <rFont val="宋体"/>
        <family val="3"/>
        <charset val="134"/>
      </rPr>
      <t>上</t>
    </r>
    <r>
      <rPr>
        <sz val="12"/>
        <rFont val="宋体"/>
        <family val="3"/>
        <charset val="134"/>
      </rPr>
      <t xml:space="preserve">
(大于下值时为有压流)
(m)</t>
    </r>
    <phoneticPr fontId="3" type="noConversion"/>
  </si>
  <si>
    <r>
      <t xml:space="preserve">局部能量损失系数之和
</t>
    </r>
    <r>
      <rPr>
        <sz val="12"/>
        <rFont val="Times New Roman"/>
        <family val="1"/>
      </rPr>
      <t>Σζ</t>
    </r>
    <phoneticPr fontId="3" type="noConversion"/>
  </si>
  <si>
    <t>g</t>
    <phoneticPr fontId="3" type="noConversion"/>
  </si>
  <si>
    <t>…..........</t>
    <phoneticPr fontId="3" type="noConversion"/>
  </si>
  <si>
    <t>1 隧洞底坡判别</t>
    <phoneticPr fontId="3" type="noConversion"/>
  </si>
  <si>
    <r>
      <t>A、由临界流公式推出，矩形断面临界水深为h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=((αQ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)/(gb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))</t>
    </r>
    <r>
      <rPr>
        <b/>
        <vertAlign val="superscript"/>
        <sz val="11"/>
        <color theme="1"/>
        <rFont val="等线"/>
        <family val="3"/>
        <charset val="134"/>
        <scheme val="minor"/>
      </rPr>
      <t>(1/3)</t>
    </r>
    <phoneticPr fontId="40" type="noConversion"/>
  </si>
  <si>
    <r>
      <t>B、湿周χ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=b+2h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phoneticPr fontId="40" type="noConversion"/>
  </si>
  <si>
    <r>
      <t>E、谢才系数C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=R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vertAlign val="superscript"/>
        <sz val="11"/>
        <color theme="1"/>
        <rFont val="等线"/>
        <family val="3"/>
        <charset val="134"/>
        <scheme val="minor"/>
      </rPr>
      <t>1/6</t>
    </r>
    <r>
      <rPr>
        <b/>
        <sz val="11"/>
        <color theme="1"/>
        <rFont val="等线"/>
        <family val="3"/>
        <charset val="134"/>
        <scheme val="minor"/>
      </rPr>
      <t>/n</t>
    </r>
    <phoneticPr fontId="40" type="noConversion"/>
  </si>
  <si>
    <r>
      <t>D、水力半径R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=A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/χ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phoneticPr fontId="40" type="noConversion"/>
  </si>
  <si>
    <r>
      <t>C、过水面积A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=bh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phoneticPr fontId="40" type="noConversion"/>
  </si>
  <si>
    <r>
      <t>F、临界坡i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=(gχ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sz val="11"/>
        <color theme="1"/>
        <rFont val="等线"/>
        <family val="3"/>
        <charset val="134"/>
        <scheme val="minor"/>
      </rPr>
      <t>)/(αbc</t>
    </r>
    <r>
      <rPr>
        <b/>
        <vertAlign val="subscript"/>
        <sz val="11"/>
        <color theme="1"/>
        <rFont val="等线"/>
        <family val="3"/>
        <charset val="134"/>
        <scheme val="minor"/>
      </rPr>
      <t>k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</t>
    </r>
    <phoneticPr fontId="40" type="noConversion"/>
  </si>
  <si>
    <r>
      <t>临界水深h</t>
    </r>
    <r>
      <rPr>
        <vertAlign val="subscript"/>
        <sz val="12"/>
        <rFont val="宋体"/>
        <family val="3"/>
        <charset val="134"/>
      </rPr>
      <t>k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</si>
  <si>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临界水深对应的流量Q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3" type="noConversion"/>
  </si>
  <si>
    <t>0 常数</t>
    <phoneticPr fontId="3" type="noConversion"/>
  </si>
  <si>
    <t>重力加速度g</t>
    <phoneticPr fontId="3" type="noConversion"/>
  </si>
  <si>
    <r>
      <t>过水断面面积Ak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</si>
  <si>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t>动能修整系数ɑ</t>
    <phoneticPr fontId="3" type="noConversion"/>
  </si>
  <si>
    <r>
      <t>湿周</t>
    </r>
    <r>
      <rPr>
        <sz val="12"/>
        <rFont val="Calibri"/>
        <family val="3"/>
        <charset val="161"/>
      </rPr>
      <t>χ</t>
    </r>
    <r>
      <rPr>
        <sz val="12"/>
        <rFont val="宋体"/>
        <family val="3"/>
        <charset val="134"/>
      </rPr>
      <t>k
(m)</t>
    </r>
    <phoneticPr fontId="3" type="noConversion"/>
  </si>
  <si>
    <t>水力半径Rk
(m)</t>
    <phoneticPr fontId="3" type="noConversion"/>
  </si>
  <si>
    <t>谢才系数Ck</t>
    <phoneticPr fontId="3" type="noConversion"/>
  </si>
  <si>
    <t>糙率n</t>
    <phoneticPr fontId="3" type="noConversion"/>
  </si>
  <si>
    <t>临界底坡ik</t>
    <phoneticPr fontId="3" type="noConversion"/>
  </si>
  <si>
    <t>矩形断面</t>
    <phoneticPr fontId="3" type="noConversion"/>
  </si>
  <si>
    <t>非矩形断面到洞顶0.5m净空</t>
    <phoneticPr fontId="3" type="noConversion"/>
  </si>
  <si>
    <t>1.1 各流量下临界底坡</t>
    <phoneticPr fontId="3" type="noConversion"/>
  </si>
  <si>
    <t>1.2 底坡判别</t>
    <phoneticPr fontId="3" type="noConversion"/>
  </si>
  <si>
    <t>隧道底坡i</t>
    <phoneticPr fontId="3" type="noConversion"/>
  </si>
  <si>
    <t>与临界底坡的关系</t>
    <phoneticPr fontId="3" type="noConversion"/>
  </si>
  <si>
    <t>底坡类别</t>
    <phoneticPr fontId="3" type="noConversion"/>
  </si>
  <si>
    <t>自：陡坡或缓坡，均为针对明流而言</t>
    <phoneticPr fontId="3" type="noConversion"/>
  </si>
  <si>
    <t>2 流态判别</t>
    <phoneticPr fontId="3" type="noConversion"/>
  </si>
  <si>
    <r>
      <t>2.1 至无压流(界限值k1的变动范围在1.1</t>
    </r>
    <r>
      <rPr>
        <sz val="12"/>
        <rFont val="Tahoma"/>
        <family val="3"/>
        <charset val="1"/>
      </rPr>
      <t>⁓</t>
    </r>
    <r>
      <rPr>
        <sz val="12"/>
        <rFont val="宋体"/>
        <family val="3"/>
        <charset val="134"/>
      </rPr>
      <t>1.3，之间，一般取1.2)</t>
    </r>
    <phoneticPr fontId="3" type="noConversion"/>
  </si>
  <si>
    <t>2.2 陡坡隧洞至有压流</t>
    <phoneticPr fontId="3" type="noConversion"/>
  </si>
  <si>
    <t>2.3 缓坡隧洞至有压流</t>
    <phoneticPr fontId="3" type="noConversion"/>
  </si>
  <si>
    <t>3.1 流量系数µ的计算</t>
    <phoneticPr fontId="3" type="noConversion"/>
  </si>
  <si>
    <t>先假定为自由出流</t>
    <phoneticPr fontId="3" type="noConversion"/>
  </si>
  <si>
    <t>门槽局部损失系数</t>
    <phoneticPr fontId="3" type="noConversion"/>
  </si>
  <si>
    <t>弯段局部损失系数</t>
    <phoneticPr fontId="3" type="noConversion"/>
  </si>
  <si>
    <t>转弯半径R
(m)</t>
    <phoneticPr fontId="3" type="noConversion"/>
  </si>
  <si>
    <r>
      <t>转角</t>
    </r>
    <r>
      <rPr>
        <sz val="12"/>
        <rFont val="Calibri"/>
        <family val="3"/>
        <charset val="161"/>
      </rPr>
      <t>θ</t>
    </r>
    <r>
      <rPr>
        <sz val="12"/>
        <rFont val="宋体"/>
        <family val="3"/>
        <charset val="134"/>
      </rPr>
      <t xml:space="preserve">
(°)</t>
    </r>
    <phoneticPr fontId="3" type="noConversion"/>
  </si>
  <si>
    <t>导流洞底宽b
(手册上的d)</t>
    <phoneticPr fontId="3" type="noConversion"/>
  </si>
  <si>
    <r>
      <t>沿程损失系数2gl/（C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R）
简化计算</t>
    </r>
    <phoneticPr fontId="3" type="noConversion"/>
  </si>
  <si>
    <t>隧洞长度l
(m)</t>
    <phoneticPr fontId="3" type="noConversion"/>
  </si>
  <si>
    <r>
      <t>过水断面面积A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</si>
  <si>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r>
      <t>湿周</t>
    </r>
    <r>
      <rPr>
        <sz val="12"/>
        <rFont val="Calibri"/>
        <family val="3"/>
        <charset val="161"/>
      </rPr>
      <t xml:space="preserve">χ
</t>
    </r>
    <r>
      <rPr>
        <sz val="12"/>
        <rFont val="宋体"/>
        <family val="3"/>
        <charset val="134"/>
      </rPr>
      <t>(m)</t>
    </r>
    <phoneticPr fontId="3" type="noConversion"/>
  </si>
  <si>
    <t>水力半径R
(m)</t>
    <phoneticPr fontId="3" type="noConversion"/>
  </si>
  <si>
    <t>谢才系数C</t>
    <phoneticPr fontId="3" type="noConversion"/>
  </si>
  <si>
    <r>
      <t>沿程损失系数2gl/（C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R）</t>
    </r>
    <phoneticPr fontId="3" type="noConversion"/>
  </si>
  <si>
    <t>局部损失系数
∑ξ简化计算</t>
    <phoneticPr fontId="3" type="noConversion"/>
  </si>
  <si>
    <r>
      <t>局部损失系数合计∑</t>
    </r>
    <r>
      <rPr>
        <sz val="12"/>
        <rFont val="Calibri"/>
        <family val="3"/>
        <charset val="161"/>
      </rPr>
      <t>ξ</t>
    </r>
    <phoneticPr fontId="3" type="noConversion"/>
  </si>
  <si>
    <t>综上，
流量系数µ为</t>
    <phoneticPr fontId="3" type="noConversion"/>
  </si>
  <si>
    <t>3.2 泄流能力Q的计算</t>
    <phoneticPr fontId="3" type="noConversion"/>
  </si>
  <si>
    <t>导流隧洞出口底板高程E2
(m)</t>
    <phoneticPr fontId="3" type="noConversion"/>
  </si>
  <si>
    <t>隧洞洞高a
(m)</t>
    <phoneticPr fontId="3" type="noConversion"/>
  </si>
  <si>
    <t>出口洞顶高程
(m)</t>
    <phoneticPr fontId="3" type="noConversion"/>
  </si>
  <si>
    <t>是否为自由出流？是否符合假定</t>
    <phoneticPr fontId="3" type="noConversion"/>
  </si>
  <si>
    <t>一般来说，只要最大下泄流量都是自由出流的话，其他流量下都是自由出流（因为其他流量对应的下游水位更小，更会低于出口洞顶高程）</t>
    <phoneticPr fontId="3" type="noConversion"/>
  </si>
  <si>
    <r>
      <t>3 隧洞</t>
    </r>
    <r>
      <rPr>
        <b/>
        <sz val="16"/>
        <color rgb="FFFF0000"/>
        <rFont val="宋体"/>
        <family val="3"/>
        <charset val="134"/>
      </rPr>
      <t>有压流</t>
    </r>
    <r>
      <rPr>
        <b/>
        <sz val="16"/>
        <rFont val="宋体"/>
        <family val="3"/>
        <charset val="134"/>
      </rPr>
      <t>的基本水力计算</t>
    </r>
    <phoneticPr fontId="3" type="noConversion"/>
  </si>
  <si>
    <r>
      <t>4 隧洞</t>
    </r>
    <r>
      <rPr>
        <b/>
        <sz val="16"/>
        <color rgb="FFFF0000"/>
        <rFont val="宋体"/>
        <family val="3"/>
        <charset val="134"/>
      </rPr>
      <t>无压流</t>
    </r>
    <r>
      <rPr>
        <b/>
        <sz val="16"/>
        <rFont val="宋体"/>
        <family val="3"/>
        <charset val="134"/>
      </rPr>
      <t>的基本水力计算</t>
    </r>
    <phoneticPr fontId="3" type="noConversion"/>
  </si>
  <si>
    <t>4.1 短洞与长洞的判别</t>
    <phoneticPr fontId="3" type="noConversion"/>
  </si>
  <si>
    <t>通过1的判断底坡类别为：</t>
    <phoneticPr fontId="3" type="noConversion"/>
  </si>
  <si>
    <t>(1)当底坡为陡坡时，泄流能力不受洞长影响，按短洞工作状态考虑。</t>
    <phoneticPr fontId="3" type="noConversion"/>
  </si>
  <si>
    <r>
      <t>(隧洞进口的)流量系数m(一般取0.36</t>
    </r>
    <r>
      <rPr>
        <sz val="12"/>
        <rFont val="Tahoma"/>
        <family val="3"/>
        <charset val="1"/>
      </rPr>
      <t>⁓</t>
    </r>
    <r>
      <rPr>
        <sz val="12"/>
        <rFont val="宋体"/>
        <family val="3"/>
        <charset val="134"/>
      </rPr>
      <t>0.32)</t>
    </r>
    <phoneticPr fontId="3" type="noConversion"/>
  </si>
  <si>
    <t>流量系数m</t>
    <phoneticPr fontId="3" type="noConversion"/>
  </si>
  <si>
    <r>
      <t>长短洞的界限长度l</t>
    </r>
    <r>
      <rPr>
        <vertAlign val="subscript"/>
        <sz val="12"/>
        <rFont val="宋体"/>
        <family val="3"/>
        <charset val="134"/>
      </rPr>
      <t>k</t>
    </r>
    <r>
      <rPr>
        <sz val="12"/>
        <rFont val="宋体"/>
        <family val="3"/>
        <charset val="134"/>
      </rPr>
      <t xml:space="preserve">
(m)</t>
    </r>
    <phoneticPr fontId="3" type="noConversion"/>
  </si>
  <si>
    <t>隧洞长度l
(m)</t>
    <phoneticPr fontId="3" type="noConversion"/>
  </si>
  <si>
    <t>长短洞判别结果</t>
    <phoneticPr fontId="3" type="noConversion"/>
  </si>
  <si>
    <t>(2)当底坡为缓坡且趋于平坡时，</t>
    <phoneticPr fontId="3" type="noConversion"/>
  </si>
  <si>
    <t>(3)当底坡为缓坡且接近于临界坡时，</t>
    <phoneticPr fontId="3" type="noConversion"/>
  </si>
  <si>
    <r>
      <t>（以下，</t>
    </r>
    <r>
      <rPr>
        <b/>
        <sz val="12"/>
        <rFont val="宋体"/>
        <family val="3"/>
        <charset val="134"/>
      </rPr>
      <t>绿底单元格</t>
    </r>
    <r>
      <rPr>
        <sz val="12"/>
        <rFont val="宋体"/>
        <family val="3"/>
        <charset val="134"/>
      </rPr>
      <t>为对应情况下分析长短洞）</t>
    </r>
    <phoneticPr fontId="3" type="noConversion"/>
  </si>
  <si>
    <r>
      <t>混凝土高峰浇筑强度Qm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/月)</t>
    </r>
    <phoneticPr fontId="3" type="noConversion"/>
  </si>
  <si>
    <r>
      <t>不均衡系数K</t>
    </r>
    <r>
      <rPr>
        <vertAlign val="subscript"/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 xml:space="preserve">
(一般取1.3</t>
    </r>
    <r>
      <rPr>
        <sz val="12"/>
        <rFont val="Tahoma"/>
        <family val="3"/>
        <charset val="1"/>
      </rPr>
      <t>⁓1.5)</t>
    </r>
    <phoneticPr fontId="3" type="noConversion"/>
  </si>
  <si>
    <t>每天工作小时数n
(h)(取20h)</t>
    <phoneticPr fontId="3" type="noConversion"/>
  </si>
  <si>
    <t>每月工作天数m
(d)(取25d)</t>
    <phoneticPr fontId="3" type="noConversion"/>
  </si>
  <si>
    <r>
      <t>最大混凝土块的
浇筑面积S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</si>
  <si>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t>最大混凝土块浇筑分层厚度D
(m)</t>
    <phoneticPr fontId="3" type="noConversion"/>
  </si>
  <si>
    <t>混凝土初凝时间t1
(h)</t>
    <phoneticPr fontId="3" type="noConversion"/>
  </si>
  <si>
    <t>混凝土出机后浇筑入仓所经历的时间t2
(h)</t>
    <phoneticPr fontId="3" type="noConversion"/>
  </si>
  <si>
    <r>
      <t>小时生产能力Q</t>
    </r>
    <r>
      <rPr>
        <vertAlign val="subscript"/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 xml:space="preserve">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/h)</t>
    </r>
    <phoneticPr fontId="3" type="noConversion"/>
  </si>
  <si>
    <t>浇筑块短边长度L
(m)</t>
    <phoneticPr fontId="3" type="noConversion"/>
  </si>
  <si>
    <r>
      <t>吊灌容积v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</si>
  <si>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1 小时生产能力按高峰月强度计算</t>
    <phoneticPr fontId="3" type="noConversion"/>
  </si>
  <si>
    <t>2.1 小时生产能力按混凝土初凝条件校核（平铺法）</t>
    <phoneticPr fontId="3" type="noConversion"/>
  </si>
  <si>
    <t>2.2 小时生产能力按混凝土初凝条件校核（台阶法）</t>
    <phoneticPr fontId="3" type="noConversion"/>
  </si>
  <si>
    <r>
      <t>铺料厚度(即台阶高度)</t>
    </r>
    <r>
      <rPr>
        <sz val="12"/>
        <rFont val="等线"/>
        <family val="3"/>
        <charset val="134"/>
      </rPr>
      <t>δ</t>
    </r>
    <r>
      <rPr>
        <sz val="12"/>
        <rFont val="宋体"/>
        <family val="3"/>
        <charset val="134"/>
      </rPr>
      <t xml:space="preserve">
(m)</t>
    </r>
    <phoneticPr fontId="3" type="noConversion"/>
  </si>
  <si>
    <t>台阶数n？？</t>
    <phoneticPr fontId="3" type="noConversion"/>
  </si>
  <si>
    <t>安全系数K</t>
    <phoneticPr fontId="3" type="noConversion"/>
  </si>
  <si>
    <t>设计水头的总推力P
(kN)</t>
    <phoneticPr fontId="3" type="noConversion"/>
  </si>
  <si>
    <r>
      <t>混凝土容重</t>
    </r>
    <r>
      <rPr>
        <sz val="12"/>
        <rFont val="Calibri"/>
        <family val="3"/>
        <charset val="161"/>
      </rPr>
      <t xml:space="preserve">γ
</t>
    </r>
    <r>
      <rPr>
        <sz val="12"/>
        <rFont val="宋体"/>
        <family val="3"/>
        <charset val="134"/>
      </rPr>
      <t>(kN/m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)(偏安全一般取浮容重)</t>
    </r>
    <phoneticPr fontId="3" type="noConversion"/>
  </si>
  <si>
    <t>自：抗剪断有效面积计算</t>
    <phoneticPr fontId="3" type="noConversion"/>
  </si>
  <si>
    <t>堵头断面底板长S1
(m)</t>
    <phoneticPr fontId="3" type="noConversion"/>
  </si>
  <si>
    <r>
      <t>底板抗剪断面积有效系数</t>
    </r>
    <r>
      <rPr>
        <sz val="12"/>
        <rFont val="Calibri"/>
        <family val="3"/>
        <charset val="161"/>
      </rPr>
      <t>λ1</t>
    </r>
    <phoneticPr fontId="3" type="noConversion"/>
  </si>
  <si>
    <r>
      <t>边墙抗剪断面积有效系数</t>
    </r>
    <r>
      <rPr>
        <sz val="12"/>
        <rFont val="Calibri"/>
        <family val="3"/>
        <charset val="161"/>
      </rPr>
      <t>λ2</t>
    </r>
    <phoneticPr fontId="3" type="noConversion"/>
  </si>
  <si>
    <t>堵头断面单侧边墙长S2
(m)</t>
    <phoneticPr fontId="3" type="noConversion"/>
  </si>
  <si>
    <t>堵头断面顶拱弧长S3
(m)</t>
    <phoneticPr fontId="3" type="noConversion"/>
  </si>
  <si>
    <r>
      <t>顶拱抗剪断面积有效系数</t>
    </r>
    <r>
      <rPr>
        <sz val="12"/>
        <rFont val="Calibri"/>
        <family val="3"/>
        <charset val="161"/>
      </rPr>
      <t>λ3</t>
    </r>
    <phoneticPr fontId="3" type="noConversion"/>
  </si>
  <si>
    <t>堵头长度l
(m)</t>
    <phoneticPr fontId="3" type="noConversion"/>
  </si>
  <si>
    <r>
      <t>高差</t>
    </r>
    <r>
      <rPr>
        <sz val="12"/>
        <rFont val="Calibri"/>
        <family val="3"/>
        <charset val="161"/>
      </rPr>
      <t>Δ</t>
    </r>
    <r>
      <rPr>
        <sz val="12"/>
        <rFont val="宋体"/>
        <family val="3"/>
        <charset val="134"/>
      </rPr>
      <t>h(进场交通洞洞口——施工支洞进洞口)(m)</t>
    </r>
    <phoneticPr fontId="3" type="noConversion"/>
  </si>
  <si>
    <t>摩擦力的安全系数K1</t>
    <phoneticPr fontId="3" type="noConversion"/>
  </si>
  <si>
    <t>凝聚力的安全系数K2</t>
    <phoneticPr fontId="3" type="noConversion"/>
  </si>
  <si>
    <t>摩擦力与凝聚力二者要求的安全系数分别取用(即按式2-8-241计算)</t>
    <phoneticPr fontId="3" type="noConversion"/>
  </si>
  <si>
    <t>堵头挡水断面面积A(m2)</t>
    <phoneticPr fontId="3" type="noConversion"/>
  </si>
  <si>
    <r>
      <t>堵头等效直径d(m)
(d=2*sqrt(A/</t>
    </r>
    <r>
      <rPr>
        <sz val="12"/>
        <rFont val="Calibri"/>
        <family val="3"/>
        <charset val="161"/>
      </rPr>
      <t>π</t>
    </r>
    <r>
      <rPr>
        <sz val="12"/>
        <rFont val="宋体"/>
        <family val="3"/>
        <charset val="134"/>
      </rPr>
      <t>))</t>
    </r>
    <phoneticPr fontId="3" type="noConversion"/>
  </si>
  <si>
    <t>2d(m)</t>
    <phoneticPr fontId="3" type="noConversion"/>
  </si>
  <si>
    <t>3d(m)</t>
    <phoneticPr fontId="3" type="noConversion"/>
  </si>
  <si>
    <t>堵头体挡水断面质心(即形心)处的挡水水头H(m)</t>
    <phoneticPr fontId="3" type="noConversion"/>
  </si>
  <si>
    <r>
      <t>堵头体挡水断面面积A(m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)（和力的作用方向垂直）</t>
    </r>
    <phoneticPr fontId="3" type="noConversion"/>
  </si>
  <si>
    <t>混凝土与岩石（或混凝土）的摩擦系数f</t>
    <phoneticPr fontId="3" type="noConversion"/>
  </si>
  <si>
    <t>混凝土与岩石（或混凝土）接触面的抗剪断凝聚力C
(MPa)</t>
    <phoneticPr fontId="3" type="noConversion"/>
  </si>
  <si>
    <r>
      <t>堵头长度计算
（</t>
    </r>
    <r>
      <rPr>
        <b/>
        <sz val="12"/>
        <rFont val="宋体"/>
        <family val="3"/>
        <charset val="134"/>
      </rPr>
      <t>堵头直接接触面的计算</t>
    </r>
    <r>
      <rPr>
        <sz val="12"/>
        <rFont val="宋体"/>
        <family val="3"/>
        <charset val="134"/>
      </rPr>
      <t>。分2种情况：1、堵头与岩石接触(c,f取值0.3、0.55)；2、堵头与衬砌接触(c,f取值1.1、1.1)。此2种工况只有c、f值的区别）</t>
    </r>
    <phoneticPr fontId="3" type="noConversion"/>
  </si>
  <si>
    <r>
      <t>联合体体挡水断面面积A(m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)（和力的作用方向垂直）</t>
    </r>
    <phoneticPr fontId="3" type="noConversion"/>
  </si>
  <si>
    <t>联合体与岩石的摩擦系数f</t>
    <phoneticPr fontId="3" type="noConversion"/>
  </si>
  <si>
    <t>联合体与岩石接触面的抗剪断凝聚力C
(MPa)</t>
    <phoneticPr fontId="3" type="noConversion"/>
  </si>
  <si>
    <t>联合体断面底板长S1
(m)</t>
    <phoneticPr fontId="3" type="noConversion"/>
  </si>
  <si>
    <t>联合体断面单侧边墙长S2
(m)</t>
    <phoneticPr fontId="3" type="noConversion"/>
  </si>
  <si>
    <t>联合体断面顶拱弧长S3
(m)</t>
    <phoneticPr fontId="3" type="noConversion"/>
  </si>
  <si>
    <t>联合体挡水断面质心(即形心)处的挡水水头H(m)</t>
    <phoneticPr fontId="3" type="noConversion"/>
  </si>
  <si>
    <r>
      <t>联合体挡水断面面积A(m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)（和力的作用方向垂直）</t>
    </r>
    <phoneticPr fontId="3" type="noConversion"/>
  </si>
  <si>
    <r>
      <t>联合体混凝土容重</t>
    </r>
    <r>
      <rPr>
        <sz val="12"/>
        <rFont val="Calibri"/>
        <family val="3"/>
        <charset val="161"/>
      </rPr>
      <t>γ</t>
    </r>
    <r>
      <rPr>
        <sz val="12"/>
        <rFont val="宋体"/>
        <family val="3"/>
        <charset val="134"/>
      </rPr>
      <t xml:space="preserve">
(kN/m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)(偏安全一般取浮容重)</t>
    </r>
    <phoneticPr fontId="3" type="noConversion"/>
  </si>
  <si>
    <r>
      <t>联合体混凝土容重</t>
    </r>
    <r>
      <rPr>
        <sz val="12"/>
        <rFont val="Calibri"/>
        <family val="3"/>
        <charset val="161"/>
      </rPr>
      <t xml:space="preserve">γ
</t>
    </r>
    <r>
      <rPr>
        <sz val="12"/>
        <rFont val="宋体"/>
        <family val="3"/>
        <charset val="134"/>
      </rPr>
      <t>(kN/m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)(偏安全一般取浮容重)</t>
    </r>
    <phoneticPr fontId="3" type="noConversion"/>
  </si>
  <si>
    <r>
      <t>抗剪断有效面积S</t>
    </r>
    <r>
      <rPr>
        <sz val="12"/>
        <rFont val="Calibri"/>
        <family val="3"/>
        <charset val="161"/>
      </rPr>
      <t xml:space="preserve">λ
</t>
    </r>
    <r>
      <rPr>
        <sz val="12"/>
        <rFont val="宋体"/>
        <family val="3"/>
        <charset val="134"/>
      </rPr>
      <t>=S1×</t>
    </r>
    <r>
      <rPr>
        <sz val="12"/>
        <rFont val="Calibri"/>
        <family val="3"/>
        <charset val="161"/>
      </rPr>
      <t>λ</t>
    </r>
    <r>
      <rPr>
        <sz val="12"/>
        <rFont val="宋体"/>
        <family val="3"/>
        <charset val="134"/>
      </rPr>
      <t>1+2×S2×</t>
    </r>
    <r>
      <rPr>
        <sz val="12"/>
        <rFont val="Calibri"/>
        <family val="3"/>
        <charset val="161"/>
      </rPr>
      <t>λ</t>
    </r>
    <r>
      <rPr>
        <sz val="12"/>
        <rFont val="宋体"/>
        <family val="3"/>
        <charset val="134"/>
      </rPr>
      <t>2+S3×</t>
    </r>
    <r>
      <rPr>
        <sz val="12"/>
        <rFont val="Calibri"/>
        <family val="3"/>
        <charset val="161"/>
      </rPr>
      <t>λ</t>
    </r>
    <r>
      <rPr>
        <sz val="12"/>
        <rFont val="宋体"/>
        <family val="3"/>
        <charset val="134"/>
      </rPr>
      <t>3
(m)</t>
    </r>
    <phoneticPr fontId="3" type="noConversion"/>
  </si>
  <si>
    <r>
      <t>堵头长度计算
（“堵头混凝土+原支护</t>
    </r>
    <r>
      <rPr>
        <b/>
        <sz val="12"/>
        <rFont val="宋体"/>
        <family val="3"/>
        <charset val="134"/>
      </rPr>
      <t>联合体与基岩接触面</t>
    </r>
    <r>
      <rPr>
        <sz val="12"/>
        <rFont val="宋体"/>
        <family val="3"/>
        <charset val="134"/>
      </rPr>
      <t>”的计算）(c,f取值0.5、0.55)</t>
    </r>
    <phoneticPr fontId="3" type="noConversion"/>
  </si>
  <si>
    <t>摩擦力与凝聚力二者要求的安全系数统筹考虑取用
(即按式2-8-240计算)</t>
    <phoneticPr fontId="3" type="noConversion"/>
  </si>
  <si>
    <t>堵头长度一般不宜小于2.0～3.0倍洞径</t>
    <phoneticPr fontId="3" type="noConversion"/>
  </si>
  <si>
    <t>达西定律初步估算渗流量（网搜）</t>
    <phoneticPr fontId="3" type="noConversion"/>
  </si>
  <si>
    <t>水力梯度i</t>
    <phoneticPr fontId="3" type="noConversion"/>
  </si>
  <si>
    <t>渗透系数K
（m/s）</t>
    <phoneticPr fontId="3" type="noConversion"/>
  </si>
  <si>
    <t>垂直于渗流方向的过水断面面积A（m²）</t>
    <phoneticPr fontId="3" type="noConversion"/>
  </si>
  <si>
    <r>
      <t>渗流量Q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3" type="noConversion"/>
  </si>
  <si>
    <r>
      <t>120min渗水量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</si>
  <si>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r>
      <t>1d渗水量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</si>
  <si>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利用宽顶堰流计算水工隧洞进口水力学</t>
    <phoneticPr fontId="3" type="noConversion"/>
  </si>
  <si>
    <r>
      <t>上游水位Z</t>
    </r>
    <r>
      <rPr>
        <vertAlign val="subscript"/>
        <sz val="12"/>
        <rFont val="宋体"/>
        <family val="3"/>
        <charset val="134"/>
      </rPr>
      <t>上</t>
    </r>
    <r>
      <rPr>
        <sz val="12"/>
        <rFont val="宋体"/>
        <family val="3"/>
        <charset val="134"/>
      </rPr>
      <t xml:space="preserve">
(m)</t>
    </r>
  </si>
  <si>
    <r>
      <t>进口底板高程Z</t>
    </r>
    <r>
      <rPr>
        <vertAlign val="subscript"/>
        <sz val="12"/>
        <rFont val="宋体"/>
        <family val="3"/>
        <charset val="134"/>
      </rPr>
      <t xml:space="preserve">进口底板
</t>
    </r>
    <r>
      <rPr>
        <sz val="12"/>
        <rFont val="宋体"/>
        <family val="3"/>
        <charset val="134"/>
      </rPr>
      <t>(m)</t>
    </r>
    <phoneticPr fontId="3" type="noConversion"/>
  </si>
  <si>
    <r>
      <t>流量Q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40" type="noConversion"/>
  </si>
  <si>
    <t>锚杆(含锚索)抗拔力(或者说预应力、张拉力)上限计算</t>
    <phoneticPr fontId="3" type="noConversion"/>
  </si>
  <si>
    <t>锚固段注浆体与地层间极限桔结强度标准值fmg
(MPa)</t>
    <phoneticPr fontId="3" type="noConversion"/>
  </si>
  <si>
    <t>锚杆段注浆体与地层间的粘结抗拔安全系数K</t>
    <phoneticPr fontId="3" type="noConversion"/>
  </si>
  <si>
    <t>锚杆锚固段钻孔直径D
(mm)</t>
    <phoneticPr fontId="3" type="noConversion"/>
  </si>
  <si>
    <t>锚固段长度La
(m)</t>
    <phoneticPr fontId="3" type="noConversion"/>
  </si>
  <si>
    <t>锚固段长度对极限粘结强度的影响系数ψ</t>
  </si>
  <si>
    <t>一钢筋或钢绞线根数n</t>
    <phoneticPr fontId="3" type="noConversion"/>
  </si>
  <si>
    <t>钢筋或钢绞线直径d
(mm)</t>
    <phoneticPr fontId="3" type="noConversion"/>
  </si>
  <si>
    <t>采用2 根或2 根以上钢筋或钢绞线时，界面粘结强度降低系数ξ</t>
    <phoneticPr fontId="3" type="noConversion"/>
  </si>
  <si>
    <t>锚杆或单元锚杆轴向拉力最大设计值Nd（从注浆体与地层间粘聚力角度）
(kN)</t>
    <phoneticPr fontId="3" type="noConversion"/>
  </si>
  <si>
    <t>锚杆或单元锚杆轴向拉力最大设计值Nd（从注浆体与筋体间粘聚力角度）
(kN)</t>
    <phoneticPr fontId="3" type="noConversion"/>
  </si>
  <si>
    <t>锚固段注浆体与筋体间粘结强度设计值f'ms
(MPa)(与灌浆体抗压强度及锚杆类型有关)</t>
    <phoneticPr fontId="3" type="noConversion"/>
  </si>
  <si>
    <t>砂石加工系统小时处理能力计算</t>
    <phoneticPr fontId="3" type="noConversion"/>
  </si>
  <si>
    <t>混凝土拌合系统
生产能力计算</t>
    <phoneticPr fontId="3" type="noConversion"/>
  </si>
  <si>
    <t>不均匀系数K</t>
    <phoneticPr fontId="3" type="noConversion"/>
  </si>
  <si>
    <r>
      <t>高峰时段混凝土和垫层料、反滤料、掺砾料等的月平均强度Qmc(m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/月)</t>
    </r>
    <phoneticPr fontId="3" type="noConversion"/>
  </si>
  <si>
    <r>
      <t>每立方米混凝土或垫层料、反滤料、掺砾料等的砂石用量A(t/m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</si>
  <si>
    <t>成品砂石月需用量Q1(t/月)</t>
    <phoneticPr fontId="3" type="noConversion"/>
  </si>
  <si>
    <r>
      <t>砂率</t>
    </r>
    <r>
      <rPr>
        <sz val="12"/>
        <rFont val="等线"/>
        <family val="3"/>
        <charset val="134"/>
      </rPr>
      <t>γ</t>
    </r>
    <phoneticPr fontId="3" type="noConversion"/>
  </si>
  <si>
    <r>
      <t>计入加工、运输、堆存等损耗后的粗骨料、垫层料、反滤料、
掺砾料成品率</t>
    </r>
    <r>
      <rPr>
        <sz val="12"/>
        <rFont val="等线"/>
        <family val="3"/>
        <charset val="134"/>
      </rPr>
      <t>η</t>
    </r>
    <r>
      <rPr>
        <sz val="10.199999999999999"/>
        <rFont val="宋体"/>
        <family val="3"/>
        <charset val="134"/>
      </rPr>
      <t>1</t>
    </r>
    <phoneticPr fontId="3" type="noConversion"/>
  </si>
  <si>
    <r>
      <t>计入加工、运输、堆存等损耗后的细骨料成品率</t>
    </r>
    <r>
      <rPr>
        <sz val="12"/>
        <rFont val="Calibri"/>
        <family val="3"/>
        <charset val="161"/>
      </rPr>
      <t>η2</t>
    </r>
    <phoneticPr fontId="3" type="noConversion"/>
  </si>
  <si>
    <t>砂石加工系统月处理能力Qm(t/月)</t>
    <phoneticPr fontId="3" type="noConversion"/>
  </si>
  <si>
    <t>月工作日数M(d)</t>
    <phoneticPr fontId="3" type="noConversion"/>
  </si>
  <si>
    <t>日工作小时数N(h)</t>
    <phoneticPr fontId="3" type="noConversion"/>
  </si>
  <si>
    <t>砂石加工系统小时处理能力Qh（t/h）</t>
    <phoneticPr fontId="3" type="noConversion"/>
  </si>
  <si>
    <t>上游水深最大值Hmax
(m)</t>
    <phoneticPr fontId="3" type="noConversion"/>
  </si>
  <si>
    <r>
      <t>隧洞水面宽B</t>
    </r>
    <r>
      <rPr>
        <vertAlign val="subscript"/>
        <sz val="12"/>
        <rFont val="宋体"/>
        <family val="3"/>
        <charset val="134"/>
      </rPr>
      <t>k</t>
    </r>
    <r>
      <rPr>
        <sz val="12"/>
        <rFont val="宋体"/>
        <family val="3"/>
        <charset val="134"/>
      </rPr>
      <t xml:space="preserve">
(m)</t>
    </r>
    <phoneticPr fontId="3" type="noConversion"/>
  </si>
  <si>
    <t>4.2 短洞的水力计算（自：水力学上，不管长洞短洞好像都是按此计算无压流水力学）</t>
    <phoneticPr fontId="3" type="noConversion"/>
  </si>
  <si>
    <t>假定出流型式</t>
  </si>
  <si>
    <t>序号</t>
    <phoneticPr fontId="3" type="noConversion"/>
  </si>
  <si>
    <t>流量系数m</t>
    <phoneticPr fontId="3" type="noConversion"/>
  </si>
  <si>
    <t>自由出流</t>
    <phoneticPr fontId="3" type="noConversion"/>
  </si>
  <si>
    <r>
      <t>淹没系数</t>
    </r>
    <r>
      <rPr>
        <sz val="12"/>
        <rFont val="Calibri"/>
        <family val="3"/>
        <charset val="161"/>
      </rPr>
      <t>σ</t>
    </r>
    <r>
      <rPr>
        <sz val="12"/>
        <rFont val="宋体"/>
        <family val="3"/>
        <charset val="134"/>
      </rPr>
      <t>s</t>
    </r>
    <phoneticPr fontId="3" type="noConversion"/>
  </si>
  <si>
    <t>过水断面宽度b
(m)</t>
    <phoneticPr fontId="3" type="noConversion"/>
  </si>
  <si>
    <t>利用宽顶堰流公式(7-1-6)计算泄流能力</t>
    <phoneticPr fontId="3" type="noConversion"/>
  </si>
  <si>
    <t>导流隧洞进口底板高程E1
(m)</t>
    <phoneticPr fontId="3" type="noConversion"/>
  </si>
  <si>
    <r>
      <t>假定正常水深
h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2"/>
        <rFont val="宋体"/>
        <family val="3"/>
        <charset val="134"/>
      </rPr>
      <t>即h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2"/>
        <rFont val="宋体"/>
        <family val="3"/>
        <charset val="134"/>
      </rPr>
      <t>'(m)</t>
    </r>
    <phoneticPr fontId="40" type="noConversion"/>
  </si>
  <si>
    <t>过水断面宽度b2
(m)</t>
    <phoneticPr fontId="3" type="noConversion"/>
  </si>
  <si>
    <r>
      <t>过水面积A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</si>
  <si>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t>利用均匀流公式（Q=AC(Ri)0.5）判断假定的出流方式是否正确</t>
    <phoneticPr fontId="3" type="noConversion"/>
  </si>
  <si>
    <r>
      <t xml:space="preserve">湿周
</t>
    </r>
    <r>
      <rPr>
        <sz val="12"/>
        <rFont val="Calibri"/>
        <family val="3"/>
        <charset val="161"/>
      </rPr>
      <t>χ</t>
    </r>
    <r>
      <rPr>
        <sz val="12"/>
        <rFont val="宋体"/>
        <family val="3"/>
        <charset val="134"/>
      </rPr>
      <t>(m)</t>
    </r>
    <phoneticPr fontId="3" type="noConversion"/>
  </si>
  <si>
    <t>过流断面型式</t>
    <phoneticPr fontId="3" type="noConversion"/>
  </si>
  <si>
    <t>矩形过流断面</t>
    <phoneticPr fontId="3" type="noConversion"/>
  </si>
  <si>
    <t>水力半径R
(m)</t>
    <phoneticPr fontId="3" type="noConversion"/>
  </si>
  <si>
    <t>谢才系数
C</t>
    <phoneticPr fontId="3" type="noConversion"/>
  </si>
  <si>
    <t>均匀流公式计算的流量Q
(m3/s)</t>
    <phoneticPr fontId="3" type="noConversion"/>
  </si>
  <si>
    <t>两公式计算的流量是否相等</t>
    <phoneticPr fontId="3" type="noConversion"/>
  </si>
  <si>
    <t>假定的出流方式是否正确即hc'与0.75H0的关系假定是否正确</t>
    <phoneticPr fontId="3" type="noConversion"/>
  </si>
  <si>
    <r>
      <t>0.75H</t>
    </r>
    <r>
      <rPr>
        <vertAlign val="subscript"/>
        <sz val="12"/>
        <rFont val="宋体"/>
        <family val="3"/>
        <charset val="134"/>
      </rPr>
      <t>0</t>
    </r>
    <phoneticPr fontId="3" type="noConversion"/>
  </si>
  <si>
    <r>
      <t>上游水位Z</t>
    </r>
    <r>
      <rPr>
        <vertAlign val="subscript"/>
        <sz val="12"/>
        <rFont val="宋体"/>
        <family val="3"/>
        <charset val="134"/>
      </rPr>
      <t>上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</si>
  <si>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上游总水头H</t>
    </r>
    <r>
      <rPr>
        <vertAlign val="subscript"/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</si>
  <si>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流量Q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3" type="noConversion"/>
  </si>
  <si>
    <t>非矩形过流断面</t>
    <phoneticPr fontId="3" type="noConversion"/>
  </si>
  <si>
    <t>原则：利用宽顶堰流公式(7-1-6)计算泄流能力，利用均匀流公式（Q=AC(Ri)0.5）判断假定的出流方式是否正确</t>
    <phoneticPr fontId="3" type="noConversion"/>
  </si>
  <si>
    <t>非矩形断面过水断面宽度b值迭代复核计算</t>
    <phoneticPr fontId="3" type="noConversion"/>
  </si>
  <si>
    <t>临界水深流量和宽顶堰流计算的流量是否相等</t>
    <phoneticPr fontId="3" type="noConversion"/>
  </si>
  <si>
    <t>其实，最大和最小的临界水深都没有超过直墙高度的话，宽顶堰水力计算时的b值就是矩形断面宽度定值。</t>
    <phoneticPr fontId="3" type="noConversion"/>
  </si>
  <si>
    <t>备注</t>
    <phoneticPr fontId="3" type="noConversion"/>
  </si>
  <si>
    <t>进口局部损失系数
（有些人取0.2）</t>
    <phoneticPr fontId="3" type="noConversion"/>
  </si>
  <si>
    <r>
      <t>（有压段）隧洞出口
断面面积</t>
    </r>
    <r>
      <rPr>
        <sz val="12"/>
        <rFont val="等线"/>
        <family val="3"/>
        <charset val="134"/>
      </rPr>
      <t>ω</t>
    </r>
    <r>
      <rPr>
        <sz val="12"/>
        <rFont val="宋体"/>
        <family val="3"/>
        <charset val="134"/>
      </rPr>
      <t xml:space="preserve">
(m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3" type="noConversion"/>
  </si>
  <si>
    <r>
      <t>上游水位Z</t>
    </r>
    <r>
      <rPr>
        <vertAlign val="subscript"/>
        <sz val="12"/>
        <rFont val="宋体"/>
        <family val="3"/>
        <charset val="134"/>
      </rPr>
      <t>上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</si>
  <si>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上游水面与出口底板高差T（近似为T</t>
    </r>
    <r>
      <rPr>
        <vertAlign val="subscript"/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）
(m)</t>
    </r>
    <phoneticPr fontId="3" type="noConversion"/>
  </si>
  <si>
    <r>
      <t>泄流能力Q
(m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/s)</t>
    </r>
    <phoneticPr fontId="3" type="noConversion"/>
  </si>
  <si>
    <r>
      <rPr>
        <b/>
        <sz val="12"/>
        <rFont val="宋体"/>
        <family val="3"/>
        <charset val="134"/>
      </rPr>
      <t>自由出流时</t>
    </r>
    <r>
      <rPr>
        <sz val="12"/>
        <rFont val="宋体"/>
        <family val="3"/>
        <charset val="134"/>
      </rPr>
      <t>出口断面水流的平均单位势能h</t>
    </r>
    <r>
      <rPr>
        <vertAlign val="subscript"/>
        <sz val="12"/>
        <rFont val="宋体"/>
        <family val="3"/>
        <charset val="134"/>
      </rPr>
      <t>p，</t>
    </r>
    <r>
      <rPr>
        <sz val="12"/>
        <rFont val="宋体"/>
        <family val="3"/>
        <charset val="134"/>
      </rPr>
      <t>近似为洞高0.85a
(m)</t>
    </r>
    <phoneticPr fontId="3" type="noConversion"/>
  </si>
  <si>
    <r>
      <t>此时(查下游水位流量关系曲线)对应的（自：判断隧洞出口即可）下游水位Z</t>
    </r>
    <r>
      <rPr>
        <vertAlign val="subscript"/>
        <sz val="12"/>
        <rFont val="宋体"/>
        <family val="3"/>
        <charset val="134"/>
      </rPr>
      <t>下</t>
    </r>
    <r>
      <rPr>
        <sz val="12"/>
        <rFont val="宋体"/>
        <family val="3"/>
        <charset val="134"/>
      </rPr>
      <t xml:space="preserve">
(m)</t>
    </r>
    <phoneticPr fontId="3" type="noConversion"/>
  </si>
  <si>
    <r>
      <t>有压洞出口底板高程
（取进水塔末端底板高程）
(m)（此值越小泄流能力越大。</t>
    </r>
    <r>
      <rPr>
        <b/>
        <sz val="12"/>
        <color rgb="FFFF0000"/>
        <rFont val="宋体"/>
        <family val="3"/>
        <charset val="134"/>
      </rPr>
      <t>要再确认下此值是有压段出口高程？还是隧洞出口底板高程？个人偏向于有压段出口高程！</t>
    </r>
    <r>
      <rPr>
        <sz val="12"/>
        <rFont val="宋体"/>
        <family val="3"/>
        <charset val="134"/>
      </rPr>
      <t>）</t>
    </r>
    <phoneticPr fontId="3" type="noConversion"/>
  </si>
  <si>
    <r>
      <t>5 隧洞</t>
    </r>
    <r>
      <rPr>
        <b/>
        <sz val="16"/>
        <color rgb="FFFF0000"/>
        <rFont val="宋体"/>
        <family val="3"/>
        <charset val="134"/>
      </rPr>
      <t>半有压流</t>
    </r>
    <r>
      <rPr>
        <b/>
        <sz val="16"/>
        <rFont val="宋体"/>
        <family val="3"/>
        <charset val="134"/>
      </rPr>
      <t>的基本水力计算</t>
    </r>
    <phoneticPr fontId="3" type="noConversion"/>
  </si>
  <si>
    <r>
      <t>林州抽蓄导流洞：陡坡半有压</t>
    </r>
    <r>
      <rPr>
        <b/>
        <i/>
        <u/>
        <sz val="12"/>
        <rFont val="宋体"/>
        <family val="3"/>
        <charset val="134"/>
      </rPr>
      <t>长洞（没有按照手册详细计算是否为半有压长洞）</t>
    </r>
    <r>
      <rPr>
        <sz val="12"/>
        <rFont val="宋体"/>
        <family val="3"/>
        <charset val="134"/>
      </rPr>
      <t>，难以计算，此部分泄流能力曲线线性插值处理了</t>
    </r>
    <phoneticPr fontId="3" type="noConversion"/>
  </si>
  <si>
    <t>下次继续半有压长短洞的判别分析</t>
    <phoneticPr fontId="3" type="noConversion"/>
  </si>
  <si>
    <t>5.1 半有压短洞和半有压长洞的判别</t>
    <phoneticPr fontId="3" type="noConversion"/>
  </si>
  <si>
    <t>1 公式(2-8-240)以及(2-8-241)为堵头长度估算公式，针对上述公式，下一步要确定
1.1 P是否应包括堵头自重沿滑动面的分力。
1.2 计算的水推力是否是沿滑动面方向的水推力，而并不是水平方向的，也不是单纯的剖面面积中心点压强乘以剖面面积（这一点应是"换算后的剖面面积中心点压强"乘以剖面面积，即沿滑动面方向的水推力）
1.3 摩擦力是否应为自重垂直滑动面的分力与摩擦系数的乘积，而不是自重与摩擦系数的乘积。
2 堵头长度的精确计算或者说堵头稳定复核计算（含作用分项系数、结构分项系数、材料分项系数、设计分项系数等等的计算），才是堵头长度计算的最终值，所以说，下一步要另开几行做此计算</t>
    <phoneticPr fontId="3" type="noConversion"/>
  </si>
  <si>
    <t>洞内静水压力水头hs
(m)</t>
    <phoneticPr fontId="3" type="noConversion"/>
  </si>
  <si>
    <r>
      <t>经验系数F
(宜取1.30</t>
    </r>
    <r>
      <rPr>
        <sz val="12"/>
        <rFont val="Tahoma"/>
        <family val="3"/>
        <charset val="1"/>
      </rPr>
      <t>⁓</t>
    </r>
    <r>
      <rPr>
        <sz val="12"/>
        <rFont val="宋体"/>
        <family val="3"/>
        <charset val="134"/>
      </rPr>
      <t>1.50, 地质条件较差时宜取高值)</t>
    </r>
    <phoneticPr fontId="3" type="noConversion"/>
  </si>
  <si>
    <r>
      <t>岩体重度</t>
    </r>
    <r>
      <rPr>
        <sz val="12"/>
        <rFont val="Calibri"/>
        <family val="3"/>
        <charset val="161"/>
      </rPr>
      <t>γ</t>
    </r>
    <r>
      <rPr>
        <vertAlign val="subscript"/>
        <sz val="12"/>
        <rFont val="宋体"/>
        <family val="3"/>
        <charset val="134"/>
      </rPr>
      <t>R</t>
    </r>
    <r>
      <rPr>
        <sz val="12"/>
        <rFont val="宋体"/>
        <family val="3"/>
        <charset val="134"/>
      </rPr>
      <t xml:space="preserve">
(N/mm3)</t>
    </r>
    <phoneticPr fontId="3" type="noConversion"/>
  </si>
  <si>
    <r>
      <t>河谷岸边边坡倾角</t>
    </r>
    <r>
      <rPr>
        <sz val="12"/>
        <rFont val="Calibri"/>
        <family val="2"/>
      </rPr>
      <t>α</t>
    </r>
    <r>
      <rPr>
        <sz val="13.8"/>
        <rFont val="宋体"/>
        <family val="3"/>
        <charset val="134"/>
      </rPr>
      <t xml:space="preserve">
(°)</t>
    </r>
    <phoneticPr fontId="3" type="noConversion"/>
  </si>
  <si>
    <r>
      <t>不包括全、强风化厚度的岩体最小覆盖厚度</t>
    </r>
    <r>
      <rPr>
        <i/>
        <sz val="12"/>
        <rFont val="宋体"/>
        <family val="3"/>
        <charset val="134"/>
      </rPr>
      <t>C</t>
    </r>
    <r>
      <rPr>
        <i/>
        <vertAlign val="subscript"/>
        <sz val="12"/>
        <rFont val="宋体"/>
        <family val="3"/>
        <charset val="134"/>
      </rPr>
      <t>RM</t>
    </r>
    <r>
      <rPr>
        <sz val="12"/>
        <rFont val="宋体"/>
        <family val="3"/>
        <charset val="134"/>
      </rPr>
      <t xml:space="preserve">
(m)</t>
    </r>
    <phoneticPr fontId="3" type="noConversion"/>
  </si>
  <si>
    <t>有压隧洞岩体最小覆盖厚度计算</t>
    <phoneticPr fontId="3" type="noConversion"/>
  </si>
  <si>
    <r>
      <t>水的重度</t>
    </r>
    <r>
      <rPr>
        <sz val="12"/>
        <rFont val="等线"/>
        <family val="3"/>
        <charset val="134"/>
      </rPr>
      <t>γ</t>
    </r>
    <r>
      <rPr>
        <vertAlign val="subscript"/>
        <sz val="12"/>
        <rFont val="等线"/>
        <family val="3"/>
        <charset val="134"/>
      </rPr>
      <t>w</t>
    </r>
    <r>
      <rPr>
        <sz val="12"/>
        <rFont val="宋体"/>
        <family val="3"/>
        <charset val="134"/>
      </rPr>
      <t xml:space="preserve">
(N/mm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</si>
</sst>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 "/>
    <numFmt numFmtId="177" formatCode="0.000E+00"/>
    <numFmt numFmtId="178" formatCode="0.000_ "/>
    <numFmt numFmtId="179" formatCode="0_ "/>
    <numFmt numFmtId="180" formatCode="0.000%"/>
    <numFmt numFmtId="181" formatCode="0.0000%"/>
    <numFmt numFmtId="182" formatCode="0.0000_ "/>
    <numFmt numFmtId="183" formatCode="0.000_);[Red]\(0.000\)"/>
    <numFmt numFmtId="184" formatCode="0.0_ "/>
    <numFmt numFmtId="185" formatCode="0.00_);[Red]\(0.00\)"/>
  </numFmts>
  <fonts count="81" x14ac:knownFonts="1">
    <font>
      <sz val="12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Calibri"/>
      <family val="2"/>
    </font>
    <font>
      <b/>
      <sz val="10.5"/>
      <name val="宋体"/>
      <family val="3"/>
      <charset val="134"/>
    </font>
    <font>
      <b/>
      <sz val="11"/>
      <color rgb="FF0070C0"/>
      <name val="Calibri"/>
      <family val="2"/>
    </font>
    <font>
      <b/>
      <sz val="12"/>
      <name val="Times New Roman"/>
      <family val="1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name val="Calibri"/>
      <family val="2"/>
    </font>
    <font>
      <sz val="12"/>
      <name val="宋体"/>
      <family val="2"/>
      <charset val="134"/>
    </font>
    <font>
      <sz val="12"/>
      <name val="等线"/>
      <family val="3"/>
      <charset val="134"/>
    </font>
    <font>
      <vertAlign val="subscript"/>
      <sz val="12"/>
      <name val="宋体"/>
      <family val="3"/>
      <charset val="134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vertAlign val="superscript"/>
      <sz val="11"/>
      <color indexed="8"/>
      <name val="Calibri"/>
      <family val="2"/>
    </font>
    <font>
      <sz val="11"/>
      <color indexed="8"/>
      <name val="Calibri"/>
      <family val="3"/>
      <charset val="134"/>
    </font>
    <font>
      <b/>
      <sz val="16"/>
      <name val="宋体"/>
      <family val="3"/>
      <charset val="134"/>
    </font>
    <font>
      <b/>
      <u/>
      <sz val="11"/>
      <color indexed="8"/>
      <name val="Calibri"/>
      <family val="2"/>
    </font>
    <font>
      <sz val="11"/>
      <color rgb="FF00B050"/>
      <name val="Calibri"/>
      <family val="2"/>
    </font>
    <font>
      <sz val="11"/>
      <color rgb="FF000000"/>
      <name val="等线"/>
      <family val="3"/>
      <charset val="134"/>
    </font>
    <font>
      <i/>
      <sz val="11"/>
      <color rgb="FF000000"/>
      <name val="等线"/>
      <family val="3"/>
      <charset val="134"/>
    </font>
    <font>
      <vertAlign val="superscript"/>
      <sz val="11"/>
      <color rgb="FF000000"/>
      <name val="等线"/>
      <family val="3"/>
      <charset val="134"/>
    </font>
    <font>
      <vertAlign val="superscript"/>
      <sz val="12"/>
      <name val="等线"/>
      <family val="3"/>
      <charset val="134"/>
    </font>
    <font>
      <sz val="16"/>
      <color rgb="FF000000"/>
      <name val="等线"/>
      <family val="3"/>
      <charset val="134"/>
    </font>
    <font>
      <sz val="16"/>
      <name val="等线"/>
      <family val="3"/>
      <charset val="134"/>
    </font>
    <font>
      <strike/>
      <sz val="12"/>
      <name val="宋体"/>
      <family val="3"/>
      <charset val="134"/>
    </font>
    <font>
      <strike/>
      <vertAlign val="subscript"/>
      <sz val="12"/>
      <name val="宋体"/>
      <family val="3"/>
      <charset val="134"/>
    </font>
    <font>
      <vertAlign val="superscript"/>
      <sz val="12"/>
      <name val="宋体"/>
      <family val="3"/>
      <charset val="134"/>
    </font>
    <font>
      <i/>
      <sz val="12"/>
      <name val="宋体"/>
      <family val="3"/>
      <charset val="134"/>
    </font>
    <font>
      <i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i/>
      <vertAlign val="subscript"/>
      <sz val="12"/>
      <name val="Times New Roman"/>
      <family val="1"/>
    </font>
    <font>
      <sz val="12"/>
      <name val="宋体"/>
      <family val="1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3"/>
      <charset val="134"/>
    </font>
    <font>
      <sz val="10"/>
      <name val="宋体"/>
      <family val="3"/>
      <charset val="134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sz val="18"/>
      <name val="华文行楷"/>
      <family val="3"/>
      <charset val="134"/>
    </font>
    <font>
      <b/>
      <sz val="36"/>
      <color rgb="FFFF0000"/>
      <name val="Times New Roman"/>
      <family val="1"/>
    </font>
    <font>
      <sz val="18"/>
      <name val="华文行楷"/>
      <family val="3"/>
      <charset val="134"/>
    </font>
    <font>
      <strike/>
      <sz val="10"/>
      <name val="等线 Light"/>
      <family val="3"/>
      <charset val="134"/>
    </font>
    <font>
      <strike/>
      <sz val="12"/>
      <name val="等线 Light"/>
      <family val="3"/>
      <charset val="134"/>
    </font>
    <font>
      <strike/>
      <sz val="10"/>
      <name val="Arial"/>
      <family val="2"/>
    </font>
    <font>
      <sz val="10"/>
      <name val="宋体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vertAlign val="subscript"/>
      <sz val="11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12"/>
      <name val="Calibri"/>
      <family val="3"/>
      <charset val="204"/>
    </font>
    <font>
      <sz val="11"/>
      <color theme="1"/>
      <name val="Times New Roman"/>
      <family val="1"/>
    </font>
    <font>
      <sz val="12"/>
      <name val="Times New Roman"/>
      <family val="3"/>
      <charset val="134"/>
    </font>
    <font>
      <sz val="12"/>
      <name val="Calibri"/>
      <family val="3"/>
      <charset val="161"/>
    </font>
    <font>
      <b/>
      <sz val="12"/>
      <name val="Microsoft YaHei UI"/>
      <family val="2"/>
      <charset val="134"/>
    </font>
    <font>
      <b/>
      <sz val="12"/>
      <name val="Calibri"/>
      <family val="2"/>
      <charset val="134"/>
    </font>
    <font>
      <b/>
      <vertAlign val="superscript"/>
      <sz val="12"/>
      <name val="Calibri"/>
      <family val="2"/>
    </font>
    <font>
      <b/>
      <sz val="12"/>
      <name val="Calibri"/>
      <family val="3"/>
      <charset val="161"/>
    </font>
    <font>
      <b/>
      <vertAlign val="superscript"/>
      <sz val="12"/>
      <name val="宋体"/>
      <family val="3"/>
      <charset val="134"/>
    </font>
    <font>
      <sz val="11"/>
      <name val="宋体"/>
      <family val="3"/>
      <charset val="134"/>
    </font>
    <font>
      <sz val="12"/>
      <name val="Tahoma"/>
      <family val="3"/>
      <charset val="1"/>
    </font>
    <font>
      <b/>
      <sz val="11"/>
      <color theme="1"/>
      <name val="等线"/>
      <family val="3"/>
      <charset val="134"/>
      <scheme val="minor"/>
    </font>
    <font>
      <b/>
      <vertAlign val="subscript"/>
      <sz val="11"/>
      <color theme="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10.199999999999999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i/>
      <u/>
      <sz val="12"/>
      <name val="宋体"/>
      <family val="3"/>
      <charset val="134"/>
    </font>
    <font>
      <sz val="13.8"/>
      <name val="宋体"/>
      <family val="3"/>
      <charset val="134"/>
    </font>
    <font>
      <vertAlign val="subscript"/>
      <sz val="12"/>
      <name val="等线"/>
      <family val="3"/>
      <charset val="134"/>
    </font>
    <font>
      <i/>
      <vertAlign val="subscript"/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6" fillId="0" borderId="0" applyFill="0" applyProtection="0"/>
    <xf numFmtId="0" fontId="1" fillId="0" borderId="0"/>
    <xf numFmtId="0" fontId="10" fillId="0" borderId="0"/>
  </cellStyleXfs>
  <cellXfs count="525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177" fontId="0" fillId="0" borderId="1" xfId="0" applyNumberFormat="1" applyBorder="1" applyAlignment="1" applyProtection="1">
      <alignment horizontal="center" vertical="center"/>
      <protection locked="0"/>
    </xf>
    <xf numFmtId="179" fontId="13" fillId="0" borderId="1" xfId="0" applyNumberFormat="1" applyFont="1" applyBorder="1" applyAlignment="1" applyProtection="1">
      <alignment horizontal="center" vertical="center"/>
      <protection locked="0"/>
    </xf>
    <xf numFmtId="179" fontId="0" fillId="0" borderId="1" xfId="0" applyNumberFormat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181" fontId="0" fillId="0" borderId="0" xfId="0" applyNumberForma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19" fillId="0" borderId="1" xfId="2" applyFont="1" applyFill="1" applyBorder="1" applyAlignment="1" applyProtection="1">
      <alignment horizontal="center" vertical="center" wrapText="1"/>
    </xf>
    <xf numFmtId="0" fontId="16" fillId="0" borderId="1" xfId="2" applyFill="1" applyBorder="1" applyAlignment="1" applyProtection="1">
      <alignment horizontal="center" vertical="center" wrapText="1"/>
    </xf>
    <xf numFmtId="0" fontId="16" fillId="0" borderId="15" xfId="2" applyFill="1" applyBorder="1" applyAlignment="1" applyProtection="1">
      <alignment horizontal="center" vertical="center" wrapText="1"/>
    </xf>
    <xf numFmtId="0" fontId="16" fillId="0" borderId="6" xfId="2" applyFill="1" applyBorder="1" applyAlignment="1" applyProtection="1">
      <alignment horizontal="center" vertical="center" wrapText="1"/>
    </xf>
    <xf numFmtId="0" fontId="16" fillId="0" borderId="7" xfId="2" applyFill="1" applyBorder="1" applyAlignment="1" applyProtection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6" fillId="3" borderId="6" xfId="2" applyFill="1" applyBorder="1" applyAlignment="1" applyProtection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1" fillId="0" borderId="1" xfId="2" applyFont="1" applyFill="1" applyBorder="1" applyAlignment="1" applyProtection="1">
      <alignment horizontal="center" vertical="center" wrapText="1"/>
    </xf>
    <xf numFmtId="0" fontId="22" fillId="0" borderId="1" xfId="2" applyFont="1" applyFill="1" applyBorder="1" applyAlignment="1" applyProtection="1">
      <alignment horizontal="center" vertical="center" wrapText="1"/>
    </xf>
    <xf numFmtId="0" fontId="22" fillId="0" borderId="14" xfId="2" applyFont="1" applyFill="1" applyBorder="1" applyAlignment="1" applyProtection="1">
      <alignment horizontal="center" vertical="center" wrapText="1"/>
    </xf>
    <xf numFmtId="0" fontId="22" fillId="0" borderId="5" xfId="2" applyFont="1" applyFill="1" applyBorder="1" applyAlignment="1" applyProtection="1">
      <alignment horizontal="center" vertical="center" wrapText="1"/>
    </xf>
    <xf numFmtId="0" fontId="22" fillId="0" borderId="15" xfId="2" applyFont="1" applyFill="1" applyBorder="1" applyAlignment="1" applyProtection="1">
      <alignment horizontal="center" vertical="center" wrapText="1"/>
    </xf>
    <xf numFmtId="178" fontId="22" fillId="0" borderId="15" xfId="2" applyNumberFormat="1" applyFont="1" applyFill="1" applyBorder="1" applyAlignment="1" applyProtection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0" fontId="23" fillId="0" borderId="0" xfId="0" applyFont="1"/>
    <xf numFmtId="0" fontId="14" fillId="0" borderId="0" xfId="0" applyFont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 vertical="center"/>
    </xf>
    <xf numFmtId="0" fontId="14" fillId="2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1" fontId="14" fillId="0" borderId="5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2" borderId="15" xfId="0" applyFont="1" applyFill="1" applyBorder="1"/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2" fontId="0" fillId="2" borderId="13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0" fillId="2" borderId="12" xfId="0" applyNumberFormat="1" applyFill="1" applyBorder="1" applyAlignment="1">
      <alignment horizontal="center" vertical="center"/>
    </xf>
    <xf numFmtId="180" fontId="0" fillId="2" borderId="12" xfId="0" applyNumberFormat="1" applyFill="1" applyBorder="1" applyAlignment="1">
      <alignment horizontal="center" vertical="center"/>
    </xf>
    <xf numFmtId="180" fontId="0" fillId="2" borderId="13" xfId="0" applyNumberForma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8" xfId="0" applyBorder="1"/>
    <xf numFmtId="180" fontId="0" fillId="0" borderId="11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0" fontId="0" fillId="2" borderId="12" xfId="0" applyNumberFormat="1" applyFill="1" applyBorder="1" applyAlignment="1">
      <alignment horizontal="center" vertical="center"/>
    </xf>
    <xf numFmtId="10" fontId="0" fillId="2" borderId="13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82" fontId="0" fillId="0" borderId="1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2" borderId="6" xfId="0" applyNumberFormat="1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178" fontId="0" fillId="0" borderId="0" xfId="0" applyNumberFormat="1"/>
    <xf numFmtId="0" fontId="29" fillId="0" borderId="14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10" fontId="29" fillId="0" borderId="5" xfId="0" applyNumberFormat="1" applyFont="1" applyBorder="1" applyAlignment="1">
      <alignment horizontal="center" vertical="center"/>
    </xf>
    <xf numFmtId="176" fontId="29" fillId="0" borderId="6" xfId="0" applyNumberFormat="1" applyFont="1" applyBorder="1" applyAlignment="1">
      <alignment horizontal="center" vertical="center"/>
    </xf>
    <xf numFmtId="178" fontId="29" fillId="2" borderId="6" xfId="0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178" fontId="29" fillId="0" borderId="6" xfId="0" applyNumberFormat="1" applyFont="1" applyBorder="1" applyAlignment="1">
      <alignment horizontal="center" vertical="center"/>
    </xf>
    <xf numFmtId="10" fontId="29" fillId="2" borderId="6" xfId="0" applyNumberFormat="1" applyFont="1" applyFill="1" applyBorder="1" applyAlignment="1">
      <alignment horizontal="center" vertical="center"/>
    </xf>
    <xf numFmtId="10" fontId="29" fillId="2" borderId="7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26" xfId="0" applyBorder="1"/>
    <xf numFmtId="0" fontId="0" fillId="0" borderId="19" xfId="0" applyBorder="1"/>
    <xf numFmtId="0" fontId="37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79" fontId="0" fillId="2" borderId="28" xfId="0" applyNumberForma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79" fontId="0" fillId="2" borderId="31" xfId="0" applyNumberForma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179" fontId="0" fillId="2" borderId="28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39" fillId="0" borderId="1" xfId="0" applyFont="1" applyBorder="1" applyAlignment="1">
      <alignment horizontal="center" vertical="center" wrapText="1"/>
    </xf>
    <xf numFmtId="0" fontId="10" fillId="2" borderId="0" xfId="0" applyFont="1" applyFill="1"/>
    <xf numFmtId="0" fontId="10" fillId="0" borderId="0" xfId="0" applyFont="1"/>
    <xf numFmtId="0" fontId="10" fillId="5" borderId="0" xfId="0" applyFont="1" applyFill="1"/>
    <xf numFmtId="0" fontId="0" fillId="3" borderId="0" xfId="0" applyFill="1"/>
    <xf numFmtId="9" fontId="39" fillId="5" borderId="1" xfId="0" applyNumberFormat="1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176" fontId="0" fillId="0" borderId="40" xfId="0" applyNumberFormat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 wrapText="1"/>
    </xf>
    <xf numFmtId="176" fontId="0" fillId="2" borderId="15" xfId="0" applyNumberForma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 wrapText="1"/>
    </xf>
    <xf numFmtId="176" fontId="0" fillId="2" borderId="6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41" xfId="0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0" fontId="0" fillId="0" borderId="42" xfId="0" applyBorder="1" applyAlignment="1">
      <alignment horizontal="right"/>
    </xf>
    <xf numFmtId="0" fontId="0" fillId="2" borderId="4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8" fillId="0" borderId="14" xfId="0" applyFont="1" applyBorder="1" applyAlignment="1">
      <alignment horizontal="center" vertical="center" wrapText="1"/>
    </xf>
    <xf numFmtId="176" fontId="49" fillId="2" borderId="1" xfId="0" applyNumberFormat="1" applyFont="1" applyFill="1" applyBorder="1" applyAlignment="1">
      <alignment horizontal="center" vertical="center"/>
    </xf>
    <xf numFmtId="176" fontId="49" fillId="2" borderId="15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5" borderId="1" xfId="3" applyFont="1" applyFill="1" applyBorder="1" applyAlignment="1">
      <alignment horizontal="center" vertical="center" wrapText="1"/>
    </xf>
    <xf numFmtId="0" fontId="10" fillId="0" borderId="0" xfId="3" applyFont="1"/>
    <xf numFmtId="0" fontId="10" fillId="0" borderId="15" xfId="3" applyFont="1" applyBorder="1"/>
    <xf numFmtId="0" fontId="10" fillId="0" borderId="6" xfId="3" applyFont="1" applyBorder="1" applyAlignment="1">
      <alignment horizontal="center" vertical="center" wrapText="1"/>
    </xf>
    <xf numFmtId="0" fontId="10" fillId="0" borderId="7" xfId="3" applyFont="1" applyBorder="1"/>
    <xf numFmtId="0" fontId="10" fillId="0" borderId="0" xfId="3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76" fontId="57" fillId="2" borderId="1" xfId="0" applyNumberFormat="1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4" fillId="0" borderId="0" xfId="0" applyFont="1"/>
    <xf numFmtId="0" fontId="5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60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176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183" fontId="0" fillId="0" borderId="6" xfId="0" applyNumberFormat="1" applyBorder="1" applyAlignment="1">
      <alignment horizontal="center" vertical="center"/>
    </xf>
    <xf numFmtId="183" fontId="0" fillId="0" borderId="15" xfId="0" applyNumberFormat="1" applyBorder="1" applyAlignment="1">
      <alignment horizontal="center" vertical="center"/>
    </xf>
    <xf numFmtId="183" fontId="0" fillId="0" borderId="7" xfId="0" applyNumberForma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176" fontId="10" fillId="0" borderId="1" xfId="4" applyNumberFormat="1" applyBorder="1" applyAlignment="1">
      <alignment horizontal="center" vertical="center" wrapText="1"/>
    </xf>
    <xf numFmtId="0" fontId="10" fillId="0" borderId="1" xfId="4" applyBorder="1" applyAlignment="1">
      <alignment horizontal="center" vertical="center"/>
    </xf>
    <xf numFmtId="0" fontId="10" fillId="0" borderId="0" xfId="4"/>
    <xf numFmtId="176" fontId="10" fillId="6" borderId="1" xfId="4" applyNumberFormat="1" applyFill="1" applyBorder="1" applyAlignment="1">
      <alignment horizontal="center" vertical="center" wrapText="1"/>
    </xf>
    <xf numFmtId="176" fontId="10" fillId="2" borderId="1" xfId="4" applyNumberFormat="1" applyFill="1" applyBorder="1" applyAlignment="1">
      <alignment horizontal="center" vertical="center" wrapText="1"/>
    </xf>
    <xf numFmtId="176" fontId="10" fillId="6" borderId="1" xfId="4" applyNumberFormat="1" applyFill="1" applyBorder="1" applyAlignment="1">
      <alignment vertical="center" wrapText="1"/>
    </xf>
    <xf numFmtId="0" fontId="10" fillId="0" borderId="1" xfId="4" applyBorder="1"/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 wrapText="1"/>
      <protection locked="0"/>
    </xf>
    <xf numFmtId="176" fontId="0" fillId="0" borderId="0" xfId="0" applyNumberFormat="1"/>
    <xf numFmtId="184" fontId="0" fillId="5" borderId="6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50" xfId="0" applyNumberFormat="1" applyBorder="1" applyAlignment="1">
      <alignment horizontal="center" vertical="center" wrapText="1"/>
    </xf>
    <xf numFmtId="183" fontId="0" fillId="2" borderId="1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178" fontId="0" fillId="5" borderId="0" xfId="0" applyNumberFormat="1" applyFill="1" applyAlignment="1">
      <alignment horizontal="center" vertical="center"/>
    </xf>
    <xf numFmtId="178" fontId="0" fillId="2" borderId="26" xfId="0" applyNumberFormat="1" applyFill="1" applyBorder="1"/>
    <xf numFmtId="0" fontId="0" fillId="0" borderId="5" xfId="0" applyBorder="1"/>
    <xf numFmtId="178" fontId="0" fillId="2" borderId="13" xfId="0" applyNumberFormat="1" applyFill="1" applyBorder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0" borderId="52" xfId="0" applyNumberFormat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" borderId="26" xfId="0" applyFont="1" applyFill="1" applyBorder="1" applyAlignment="1">
      <alignment horizontal="center" vertical="center"/>
    </xf>
    <xf numFmtId="0" fontId="42" fillId="0" borderId="19" xfId="0" applyFont="1" applyBorder="1" applyAlignment="1">
      <alignment horizontal="left" vertical="center"/>
    </xf>
    <xf numFmtId="0" fontId="39" fillId="0" borderId="6" xfId="0" applyFont="1" applyBorder="1" applyAlignment="1">
      <alignment horizontal="center" vertical="center" wrapText="1"/>
    </xf>
    <xf numFmtId="0" fontId="39" fillId="5" borderId="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83" fontId="0" fillId="0" borderId="0" xfId="0" applyNumberFormat="1"/>
    <xf numFmtId="0" fontId="29" fillId="0" borderId="14" xfId="0" applyFont="1" applyBorder="1"/>
    <xf numFmtId="178" fontId="29" fillId="2" borderId="1" xfId="0" applyNumberFormat="1" applyFont="1" applyFill="1" applyBorder="1" applyAlignment="1">
      <alignment horizontal="center" vertical="center"/>
    </xf>
    <xf numFmtId="183" fontId="29" fillId="2" borderId="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8" fontId="29" fillId="5" borderId="0" xfId="0" applyNumberFormat="1" applyFont="1" applyFill="1" applyAlignment="1">
      <alignment horizontal="center" vertical="center"/>
    </xf>
    <xf numFmtId="178" fontId="29" fillId="2" borderId="26" xfId="0" applyNumberFormat="1" applyFont="1" applyFill="1" applyBorder="1"/>
    <xf numFmtId="0" fontId="0" fillId="0" borderId="0" xfId="0" applyAlignment="1" applyProtection="1">
      <alignment horizontal="center" vertical="center" wrapText="1"/>
      <protection locked="0"/>
    </xf>
    <xf numFmtId="0" fontId="69" fillId="0" borderId="0" xfId="0" applyFont="1"/>
    <xf numFmtId="0" fontId="69" fillId="2" borderId="0" xfId="0" applyFont="1" applyFill="1"/>
    <xf numFmtId="178" fontId="0" fillId="0" borderId="0" xfId="0" applyNumberFormat="1" applyAlignment="1">
      <alignment horizontal="center" vertical="center" wrapText="1"/>
    </xf>
    <xf numFmtId="178" fontId="0" fillId="2" borderId="0" xfId="0" applyNumberFormat="1" applyFill="1" applyAlignment="1">
      <alignment horizontal="center" vertical="center" wrapText="1"/>
    </xf>
    <xf numFmtId="176" fontId="0" fillId="5" borderId="0" xfId="0" applyNumberFormat="1" applyFill="1" applyAlignment="1" applyProtection="1">
      <alignment horizontal="center" vertical="center"/>
      <protection locked="0"/>
    </xf>
    <xf numFmtId="176" fontId="0" fillId="5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0" fontId="0" fillId="0" borderId="0" xfId="0" applyNumberFormat="1" applyAlignment="1" applyProtection="1">
      <alignment horizontal="center" vertical="center"/>
      <protection locked="0"/>
    </xf>
    <xf numFmtId="178" fontId="0" fillId="0" borderId="0" xfId="0" applyNumberFormat="1" applyAlignment="1">
      <alignment horizontal="center" vertical="center"/>
    </xf>
    <xf numFmtId="0" fontId="4" fillId="0" borderId="0" xfId="0" applyFont="1"/>
    <xf numFmtId="0" fontId="0" fillId="2" borderId="7" xfId="0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 applyProtection="1">
      <alignment vertical="center"/>
      <protection locked="0"/>
    </xf>
    <xf numFmtId="179" fontId="0" fillId="0" borderId="0" xfId="0" applyNumberFormat="1"/>
    <xf numFmtId="176" fontId="0" fillId="0" borderId="15" xfId="0" applyNumberForma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176" fontId="29" fillId="0" borderId="42" xfId="0" applyNumberFormat="1" applyFont="1" applyBorder="1" applyAlignment="1">
      <alignment horizontal="center" vertical="center"/>
    </xf>
    <xf numFmtId="176" fontId="0" fillId="2" borderId="43" xfId="0" applyNumberFormat="1" applyFill="1" applyBorder="1" applyAlignment="1">
      <alignment horizontal="center" vertical="center"/>
    </xf>
    <xf numFmtId="184" fontId="29" fillId="0" borderId="5" xfId="0" applyNumberFormat="1" applyFont="1" applyBorder="1" applyAlignment="1">
      <alignment horizontal="center" vertical="center"/>
    </xf>
    <xf numFmtId="176" fontId="29" fillId="2" borderId="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84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76" fontId="0" fillId="2" borderId="45" xfId="0" applyNumberForma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76" fontId="0" fillId="5" borderId="21" xfId="0" applyNumberFormat="1" applyFill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178" fontId="0" fillId="0" borderId="14" xfId="0" applyNumberFormat="1" applyBorder="1" applyAlignment="1">
      <alignment horizontal="center" vertical="center"/>
    </xf>
    <xf numFmtId="178" fontId="0" fillId="2" borderId="15" xfId="0" applyNumberForma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2" borderId="22" xfId="0" applyNumberFormat="1" applyFill="1" applyBorder="1" applyAlignment="1">
      <alignment horizontal="center" vertical="center"/>
    </xf>
    <xf numFmtId="176" fontId="0" fillId="2" borderId="55" xfId="0" applyNumberFormat="1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184" fontId="0" fillId="2" borderId="7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85" fontId="0" fillId="0" borderId="3" xfId="0" applyNumberFormat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83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82" fontId="4" fillId="0" borderId="3" xfId="0" applyNumberFormat="1" applyFont="1" applyBorder="1" applyAlignment="1">
      <alignment horizontal="center" vertical="center"/>
    </xf>
    <xf numFmtId="185" fontId="4" fillId="0" borderId="6" xfId="0" applyNumberFormat="1" applyFont="1" applyBorder="1" applyAlignment="1">
      <alignment horizontal="center" vertical="center"/>
    </xf>
    <xf numFmtId="182" fontId="4" fillId="0" borderId="6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0" fillId="0" borderId="14" xfId="0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6" xfId="0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79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77" fontId="0" fillId="0" borderId="1" xfId="0" applyNumberForma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6" fillId="0" borderId="2" xfId="2" applyFill="1" applyBorder="1" applyAlignment="1" applyProtection="1">
      <alignment horizontal="center" vertical="center" wrapText="1"/>
    </xf>
    <xf numFmtId="0" fontId="16" fillId="0" borderId="3" xfId="2" applyFill="1" applyBorder="1" applyAlignment="1" applyProtection="1">
      <alignment horizontal="center" vertical="center" wrapText="1"/>
    </xf>
    <xf numFmtId="0" fontId="16" fillId="0" borderId="4" xfId="2" applyFill="1" applyBorder="1" applyAlignment="1" applyProtection="1">
      <alignment horizontal="center" vertical="center" wrapText="1"/>
    </xf>
    <xf numFmtId="0" fontId="16" fillId="0" borderId="14" xfId="2" applyFill="1" applyBorder="1" applyAlignment="1" applyProtection="1">
      <alignment horizontal="center" vertical="center" wrapText="1"/>
    </xf>
    <xf numFmtId="0" fontId="16" fillId="0" borderId="1" xfId="2" applyFill="1" applyBorder="1" applyAlignment="1" applyProtection="1">
      <alignment horizontal="center" vertical="center" wrapText="1"/>
    </xf>
    <xf numFmtId="0" fontId="16" fillId="0" borderId="15" xfId="2" applyFill="1" applyBorder="1" applyAlignment="1" applyProtection="1">
      <alignment horizontal="center" vertical="center" wrapText="1"/>
    </xf>
    <xf numFmtId="0" fontId="19" fillId="0" borderId="14" xfId="2" applyFont="1" applyFill="1" applyBorder="1" applyAlignment="1" applyProtection="1">
      <alignment horizontal="center" vertical="center" wrapText="1"/>
    </xf>
    <xf numFmtId="0" fontId="19" fillId="0" borderId="1" xfId="2" applyFont="1" applyFill="1" applyBorder="1" applyAlignment="1" applyProtection="1">
      <alignment horizontal="center" vertical="center" wrapText="1"/>
    </xf>
    <xf numFmtId="0" fontId="19" fillId="0" borderId="15" xfId="2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2" borderId="0" xfId="0" applyFill="1" applyAlignment="1" applyProtection="1">
      <alignment horizontal="center" vertical="center"/>
      <protection locked="0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9" fillId="0" borderId="14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9" fontId="0" fillId="3" borderId="15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41" fillId="0" borderId="53" xfId="0" applyFont="1" applyBorder="1" applyAlignment="1">
      <alignment horizontal="right" wrapText="1"/>
    </xf>
    <xf numFmtId="0" fontId="39" fillId="0" borderId="39" xfId="0" applyFont="1" applyBorder="1" applyAlignment="1">
      <alignment horizontal="right" wrapText="1"/>
    </xf>
    <xf numFmtId="0" fontId="44" fillId="0" borderId="14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0" fillId="0" borderId="1" xfId="4" applyNumberFormat="1" applyBorder="1" applyAlignment="1">
      <alignment horizontal="center" vertical="center" wrapText="1"/>
    </xf>
    <xf numFmtId="0" fontId="10" fillId="0" borderId="1" xfId="4" applyBorder="1" applyAlignment="1">
      <alignment horizontal="center" vertical="center"/>
    </xf>
    <xf numFmtId="0" fontId="10" fillId="0" borderId="1" xfId="4" applyBorder="1" applyAlignment="1">
      <alignment horizontal="center" vertical="center" wrapText="1"/>
    </xf>
    <xf numFmtId="0" fontId="10" fillId="0" borderId="21" xfId="4" applyBorder="1" applyAlignment="1">
      <alignment horizontal="center" vertical="center" wrapText="1"/>
    </xf>
    <xf numFmtId="0" fontId="10" fillId="0" borderId="44" xfId="4" applyBorder="1" applyAlignment="1">
      <alignment horizontal="center" vertical="center" wrapText="1"/>
    </xf>
    <xf numFmtId="0" fontId="10" fillId="0" borderId="45" xfId="4" applyBorder="1" applyAlignment="1">
      <alignment horizontal="center" vertical="center" wrapText="1"/>
    </xf>
    <xf numFmtId="176" fontId="10" fillId="6" borderId="1" xfId="4" applyNumberFormat="1" applyFill="1" applyBorder="1" applyAlignment="1">
      <alignment horizontal="center" vertical="center" wrapText="1"/>
    </xf>
    <xf numFmtId="176" fontId="10" fillId="2" borderId="1" xfId="4" applyNumberFormat="1" applyFill="1" applyBorder="1" applyAlignment="1">
      <alignment horizontal="center" vertical="center" wrapText="1"/>
    </xf>
    <xf numFmtId="0" fontId="10" fillId="0" borderId="21" xfId="4" applyBorder="1" applyAlignment="1">
      <alignment horizontal="center" vertical="center"/>
    </xf>
    <xf numFmtId="0" fontId="10" fillId="0" borderId="44" xfId="4" applyBorder="1" applyAlignment="1">
      <alignment horizontal="center" vertical="center"/>
    </xf>
    <xf numFmtId="0" fontId="10" fillId="0" borderId="45" xfId="4" applyBorder="1" applyAlignment="1">
      <alignment horizontal="center" vertical="center"/>
    </xf>
    <xf numFmtId="0" fontId="14" fillId="2" borderId="0" xfId="0" applyFon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10" fillId="5" borderId="14" xfId="3" applyFont="1" applyFill="1" applyBorder="1" applyAlignment="1">
      <alignment horizontal="center" vertical="center" wrapText="1"/>
    </xf>
    <xf numFmtId="0" fontId="10" fillId="2" borderId="14" xfId="3" applyFont="1" applyFill="1" applyBorder="1" applyAlignment="1">
      <alignment horizontal="center" vertical="center" wrapText="1"/>
    </xf>
    <xf numFmtId="0" fontId="10" fillId="5" borderId="5" xfId="3" applyFont="1" applyFill="1" applyBorder="1" applyAlignment="1">
      <alignment horizontal="center" vertical="center" wrapText="1"/>
    </xf>
    <xf numFmtId="0" fontId="10" fillId="5" borderId="6" xfId="3" applyFont="1" applyFill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10" fillId="3" borderId="15" xfId="3" applyFont="1" applyFill="1" applyBorder="1" applyAlignment="1">
      <alignment horizontal="center" vertical="center"/>
    </xf>
    <xf numFmtId="0" fontId="10" fillId="2" borderId="42" xfId="3" applyFont="1" applyFill="1" applyBorder="1" applyAlignment="1">
      <alignment horizontal="center" vertical="center" wrapText="1"/>
    </xf>
    <xf numFmtId="0" fontId="10" fillId="2" borderId="50" xfId="3" applyFont="1" applyFill="1" applyBorder="1" applyAlignment="1">
      <alignment horizontal="center" vertical="center" wrapText="1"/>
    </xf>
    <xf numFmtId="0" fontId="10" fillId="2" borderId="51" xfId="3" applyFont="1" applyFill="1" applyBorder="1" applyAlignment="1">
      <alignment horizontal="center" vertical="center" wrapText="1"/>
    </xf>
    <xf numFmtId="0" fontId="10" fillId="5" borderId="42" xfId="3" applyFont="1" applyFill="1" applyBorder="1" applyAlignment="1">
      <alignment horizontal="center" vertical="center" wrapText="1"/>
    </xf>
    <xf numFmtId="0" fontId="10" fillId="5" borderId="50" xfId="3" applyFont="1" applyFill="1" applyBorder="1" applyAlignment="1">
      <alignment horizontal="center" vertical="center" wrapText="1"/>
    </xf>
    <xf numFmtId="0" fontId="10" fillId="5" borderId="51" xfId="3" applyFont="1" applyFill="1" applyBorder="1" applyAlignment="1">
      <alignment horizontal="center" vertical="center" wrapText="1"/>
    </xf>
    <xf numFmtId="0" fontId="10" fillId="2" borderId="21" xfId="3" applyFont="1" applyFill="1" applyBorder="1" applyAlignment="1">
      <alignment horizontal="center" vertical="center" wrapText="1"/>
    </xf>
    <xf numFmtId="0" fontId="10" fillId="2" borderId="45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 wrapText="1"/>
    </xf>
    <xf numFmtId="0" fontId="52" fillId="3" borderId="21" xfId="3" applyFont="1" applyFill="1" applyBorder="1" applyAlignment="1">
      <alignment horizontal="center" vertical="center" wrapText="1"/>
    </xf>
    <xf numFmtId="0" fontId="52" fillId="3" borderId="44" xfId="3" applyFont="1" applyFill="1" applyBorder="1" applyAlignment="1">
      <alignment horizontal="center" vertical="center" wrapText="1"/>
    </xf>
    <xf numFmtId="0" fontId="52" fillId="3" borderId="45" xfId="3" applyFont="1" applyFill="1" applyBorder="1" applyAlignment="1">
      <alignment horizontal="center" vertical="center" wrapText="1"/>
    </xf>
    <xf numFmtId="0" fontId="10" fillId="3" borderId="46" xfId="3" applyFont="1" applyFill="1" applyBorder="1" applyAlignment="1">
      <alignment horizontal="center" vertical="center" wrapText="1"/>
    </xf>
    <xf numFmtId="0" fontId="10" fillId="3" borderId="47" xfId="3" applyFont="1" applyFill="1" applyBorder="1" applyAlignment="1">
      <alignment horizontal="center" vertical="center" wrapText="1"/>
    </xf>
    <xf numFmtId="0" fontId="10" fillId="3" borderId="48" xfId="3" applyFont="1" applyFill="1" applyBorder="1" applyAlignment="1">
      <alignment horizontal="center" vertical="center" wrapText="1"/>
    </xf>
    <xf numFmtId="0" fontId="10" fillId="3" borderId="49" xfId="3" applyFont="1" applyFill="1" applyBorder="1" applyAlignment="1">
      <alignment horizontal="center" vertical="center" wrapText="1"/>
    </xf>
    <xf numFmtId="0" fontId="10" fillId="3" borderId="21" xfId="3" applyFont="1" applyFill="1" applyBorder="1" applyAlignment="1">
      <alignment horizontal="center" vertical="center" wrapText="1"/>
    </xf>
    <xf numFmtId="0" fontId="10" fillId="3" borderId="44" xfId="3" applyFont="1" applyFill="1" applyBorder="1" applyAlignment="1">
      <alignment horizontal="center" vertical="center" wrapText="1"/>
    </xf>
    <xf numFmtId="0" fontId="10" fillId="3" borderId="45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47" fillId="5" borderId="9" xfId="0" applyFont="1" applyFill="1" applyBorder="1" applyAlignment="1">
      <alignment horizontal="center" vertical="center"/>
    </xf>
    <xf numFmtId="0" fontId="47" fillId="5" borderId="12" xfId="0" applyFont="1" applyFill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</cellXfs>
  <cellStyles count="5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C0E54CCB-74F7-41D1-8A2E-0494415678E4}"/>
    <cellStyle name="常规 5" xfId="4" xr:uid="{FD9D4214-8126-4C59-9435-67CD36BD49FC}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12" Type="http://schemas.openxmlformats.org/officeDocument/2006/relationships/image" Target="../media/image12.tm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png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tm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tmp"/><Relationship Id="rId13" Type="http://schemas.openxmlformats.org/officeDocument/2006/relationships/image" Target="../media/image27.tmp"/><Relationship Id="rId3" Type="http://schemas.openxmlformats.org/officeDocument/2006/relationships/image" Target="../media/image17.tmp"/><Relationship Id="rId7" Type="http://schemas.openxmlformats.org/officeDocument/2006/relationships/image" Target="../media/image21.tmp"/><Relationship Id="rId12" Type="http://schemas.openxmlformats.org/officeDocument/2006/relationships/image" Target="../media/image26.tmp"/><Relationship Id="rId2" Type="http://schemas.openxmlformats.org/officeDocument/2006/relationships/image" Target="../media/image16.tmp"/><Relationship Id="rId1" Type="http://schemas.openxmlformats.org/officeDocument/2006/relationships/image" Target="../media/image15.tmp"/><Relationship Id="rId6" Type="http://schemas.openxmlformats.org/officeDocument/2006/relationships/image" Target="../media/image20.tmp"/><Relationship Id="rId11" Type="http://schemas.openxmlformats.org/officeDocument/2006/relationships/image" Target="../media/image25.tmp"/><Relationship Id="rId5" Type="http://schemas.openxmlformats.org/officeDocument/2006/relationships/image" Target="../media/image19.tmp"/><Relationship Id="rId10" Type="http://schemas.openxmlformats.org/officeDocument/2006/relationships/image" Target="../media/image24.tmp"/><Relationship Id="rId4" Type="http://schemas.openxmlformats.org/officeDocument/2006/relationships/image" Target="../media/image18.tmp"/><Relationship Id="rId9" Type="http://schemas.openxmlformats.org/officeDocument/2006/relationships/image" Target="../media/image23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947737</xdr:colOff>
      <xdr:row>44</xdr:row>
      <xdr:rowOff>171450</xdr:rowOff>
    </xdr:from>
    <xdr:ext cx="512128" cy="4019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947737" y="9467850"/>
              <a:ext cx="512128" cy="4019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C01B351-E9D5-479C-9987-FA20375E3D85}"/>
                </a:ext>
              </a:extLst>
            </xdr:cNvPr>
            <xdr:cNvSpPr txBox="1"/>
          </xdr:nvSpPr>
          <xdr:spPr>
            <a:xfrm>
              <a:off x="947737" y="9467850"/>
              <a:ext cx="512128" cy="4019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400" b="0" i="0">
                  <a:latin typeface="Cambria Math" panose="02040503050406030204" pitchFamily="18" charset="0"/>
                </a:rPr>
                <a:t>𝑅=𝑉/𝑇</a:t>
              </a:r>
              <a:endParaRPr lang="zh-CN" altLang="en-US" sz="1400"/>
            </a:p>
          </xdr:txBody>
        </xdr:sp>
      </mc:Fallback>
    </mc:AlternateContent>
    <xdr:clientData/>
  </xdr:oneCellAnchor>
  <xdr:oneCellAnchor>
    <xdr:from>
      <xdr:col>0</xdr:col>
      <xdr:colOff>833437</xdr:colOff>
      <xdr:row>51</xdr:row>
      <xdr:rowOff>85725</xdr:rowOff>
    </xdr:from>
    <xdr:ext cx="92365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833437" y="10763250"/>
              <a:ext cx="92365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𝐾𝑅</m:t>
                    </m:r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7811CFF8-08D7-43A3-AC30-C1D1D35F5E38}"/>
                </a:ext>
              </a:extLst>
            </xdr:cNvPr>
            <xdr:cNvSpPr txBox="1"/>
          </xdr:nvSpPr>
          <xdr:spPr>
            <a:xfrm>
              <a:off x="833437" y="10763250"/>
              <a:ext cx="92365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400" b="0" i="0">
                  <a:latin typeface="Cambria Math" panose="02040503050406030204" pitchFamily="18" charset="0"/>
                </a:rPr>
                <a:t>𝑅_𝑚𝑎𝑥=𝐾𝑅</a:t>
              </a:r>
              <a:endParaRPr lang="zh-CN" altLang="en-US" sz="1400"/>
            </a:p>
          </xdr:txBody>
        </xdr:sp>
      </mc:Fallback>
    </mc:AlternateContent>
    <xdr:clientData/>
  </xdr:oneCellAnchor>
  <xdr:oneCellAnchor>
    <xdr:from>
      <xdr:col>5</xdr:col>
      <xdr:colOff>890587</xdr:colOff>
      <xdr:row>45</xdr:row>
      <xdr:rowOff>19050</xdr:rowOff>
    </xdr:from>
    <xdr:ext cx="1055738" cy="4047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7777162" y="9496425"/>
              <a:ext cx="1055738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60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zh-CN" altLang="en-US" sz="1400" b="0" i="1">
                        <a:latin typeface="Cambria Math" panose="02040503050406030204" pitchFamily="18" charset="0"/>
                      </a:rPr>
                      <m:t>𝜔</m:t>
                    </m:r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260BEFB-6724-4052-B46B-59B8B92330B8}"/>
                </a:ext>
              </a:extLst>
            </xdr:cNvPr>
            <xdr:cNvSpPr txBox="1"/>
          </xdr:nvSpPr>
          <xdr:spPr>
            <a:xfrm>
              <a:off x="7777162" y="9496425"/>
              <a:ext cx="1055738" cy="4047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400" b="0" i="0">
                  <a:latin typeface="Cambria Math" panose="02040503050406030204" pitchFamily="18" charset="0"/>
                </a:rPr>
                <a:t>𝑊=𝐾_𝐵  60/𝑡</a:t>
              </a:r>
              <a:r>
                <a:rPr lang="zh-CN" altLang="en-US" sz="1400" b="0" i="0">
                  <a:latin typeface="Cambria Math" panose="02040503050406030204" pitchFamily="18" charset="0"/>
                </a:rPr>
                <a:t> 𝜔</a:t>
              </a:r>
              <a:endParaRPr lang="zh-CN" altLang="en-US" sz="1400"/>
            </a:p>
          </xdr:txBody>
        </xdr:sp>
      </mc:Fallback>
    </mc:AlternateContent>
    <xdr:clientData/>
  </xdr:oneCellAnchor>
  <xdr:oneCellAnchor>
    <xdr:from>
      <xdr:col>5</xdr:col>
      <xdr:colOff>1157287</xdr:colOff>
      <xdr:row>52</xdr:row>
      <xdr:rowOff>47625</xdr:rowOff>
    </xdr:from>
    <xdr:ext cx="778098" cy="4030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8043862" y="11039475"/>
              <a:ext cx="778098" cy="4030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5980FAF1-63BE-48EE-92FA-E6D3A0F535FB}"/>
                </a:ext>
              </a:extLst>
            </xdr:cNvPr>
            <xdr:cNvSpPr txBox="1"/>
          </xdr:nvSpPr>
          <xdr:spPr>
            <a:xfrm>
              <a:off x="8043862" y="11039475"/>
              <a:ext cx="778098" cy="4030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400" b="0" i="0">
                  <a:latin typeface="Cambria Math" panose="02040503050406030204" pitchFamily="18" charset="0"/>
                </a:rPr>
                <a:t>𝑛=𝑅/𝑊 𝐾_1</a:t>
              </a:r>
              <a:endParaRPr lang="zh-CN" altLang="en-US" sz="1400"/>
            </a:p>
          </xdr:txBody>
        </xdr:sp>
      </mc:Fallback>
    </mc:AlternateContent>
    <xdr:clientData/>
  </xdr:oneCellAnchor>
  <xdr:twoCellAnchor editAs="oneCell">
    <xdr:from>
      <xdr:col>8</xdr:col>
      <xdr:colOff>34178</xdr:colOff>
      <xdr:row>57</xdr:row>
      <xdr:rowOff>67234</xdr:rowOff>
    </xdr:from>
    <xdr:to>
      <xdr:col>9</xdr:col>
      <xdr:colOff>889966</xdr:colOff>
      <xdr:row>61</xdr:row>
      <xdr:rowOff>312086</xdr:rowOff>
    </xdr:to>
    <xdr:pic>
      <xdr:nvPicPr>
        <xdr:cNvPr id="7" name="图片 6" descr="屏幕剪辑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3603" y="12097309"/>
          <a:ext cx="2394697" cy="1054477"/>
        </a:xfrm>
        <a:prstGeom prst="rect">
          <a:avLst/>
        </a:prstGeom>
      </xdr:spPr>
    </xdr:pic>
    <xdr:clientData/>
  </xdr:twoCellAnchor>
  <xdr:twoCellAnchor editAs="oneCell">
    <xdr:from>
      <xdr:col>5</xdr:col>
      <xdr:colOff>1216478</xdr:colOff>
      <xdr:row>71</xdr:row>
      <xdr:rowOff>32658</xdr:rowOff>
    </xdr:from>
    <xdr:to>
      <xdr:col>9</xdr:col>
      <xdr:colOff>62480</xdr:colOff>
      <xdr:row>72</xdr:row>
      <xdr:rowOff>209551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71CA710-66BF-4FB5-8D8A-F9D933E5B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3053" y="15482208"/>
          <a:ext cx="4711231" cy="3959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574300</xdr:colOff>
      <xdr:row>71</xdr:row>
      <xdr:rowOff>85850</xdr:rowOff>
    </xdr:from>
    <xdr:to>
      <xdr:col>12</xdr:col>
      <xdr:colOff>276168</xdr:colOff>
      <xdr:row>85</xdr:row>
      <xdr:rowOff>135589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72BEFF7-68C2-425C-A66B-582FDC534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7124" y="16289556"/>
          <a:ext cx="3411015" cy="3714062"/>
        </a:xfrm>
        <a:prstGeom prst="rect">
          <a:avLst/>
        </a:prstGeom>
      </xdr:spPr>
    </xdr:pic>
    <xdr:clientData/>
  </xdr:twoCellAnchor>
  <xdr:twoCellAnchor>
    <xdr:from>
      <xdr:col>8</xdr:col>
      <xdr:colOff>11206</xdr:colOff>
      <xdr:row>78</xdr:row>
      <xdr:rowOff>228381</xdr:rowOff>
    </xdr:from>
    <xdr:to>
      <xdr:col>10</xdr:col>
      <xdr:colOff>574300</xdr:colOff>
      <xdr:row>82</xdr:row>
      <xdr:rowOff>134471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6EEA447A-3122-4136-9882-382A9569AD74}"/>
            </a:ext>
          </a:extLst>
        </xdr:cNvPr>
        <xdr:cNvCxnSpPr>
          <a:endCxn id="9" idx="1"/>
        </xdr:cNvCxnSpPr>
      </xdr:nvCxnSpPr>
      <xdr:spPr>
        <a:xfrm flipV="1">
          <a:off x="11284324" y="18146587"/>
          <a:ext cx="3812800" cy="1205972"/>
        </a:xfrm>
        <a:prstGeom prst="straightConnector1">
          <a:avLst/>
        </a:prstGeom>
        <a:ln w="22225" cap="sq" cmpd="sng">
          <a:solidFill>
            <a:sysClr val="windowText" lastClr="000000"/>
          </a:solidFill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593912</xdr:rowOff>
    </xdr:from>
    <xdr:to>
      <xdr:col>12</xdr:col>
      <xdr:colOff>537882</xdr:colOff>
      <xdr:row>86</xdr:row>
      <xdr:rowOff>784411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B861452-FD4B-48EE-A25F-EE0031E00C4F}"/>
            </a:ext>
          </a:extLst>
        </xdr:cNvPr>
        <xdr:cNvCxnSpPr>
          <a:endCxn id="24" idx="1"/>
        </xdr:cNvCxnSpPr>
      </xdr:nvCxnSpPr>
      <xdr:spPr>
        <a:xfrm>
          <a:off x="14567647" y="20495559"/>
          <a:ext cx="4247029" cy="190499"/>
        </a:xfrm>
        <a:prstGeom prst="straightConnector1">
          <a:avLst/>
        </a:prstGeom>
        <a:ln w="22225" cap="sq" cmpd="sng">
          <a:solidFill>
            <a:sysClr val="windowText" lastClr="000000"/>
          </a:solidFill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57150</xdr:colOff>
      <xdr:row>95</xdr:row>
      <xdr:rowOff>36419</xdr:rowOff>
    </xdr:from>
    <xdr:to>
      <xdr:col>8</xdr:col>
      <xdr:colOff>152353</xdr:colOff>
      <xdr:row>98</xdr:row>
      <xdr:rowOff>243014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172FCB2-57EF-419B-9650-296B7C77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356" y="22369743"/>
          <a:ext cx="2975116" cy="1405624"/>
        </a:xfrm>
        <a:prstGeom prst="rect">
          <a:avLst/>
        </a:prstGeom>
      </xdr:spPr>
    </xdr:pic>
    <xdr:clientData/>
  </xdr:twoCellAnchor>
  <xdr:twoCellAnchor editAs="oneCell">
    <xdr:from>
      <xdr:col>8</xdr:col>
      <xdr:colOff>318808</xdr:colOff>
      <xdr:row>95</xdr:row>
      <xdr:rowOff>11767</xdr:rowOff>
    </xdr:from>
    <xdr:to>
      <xdr:col>9</xdr:col>
      <xdr:colOff>1284973</xdr:colOff>
      <xdr:row>99</xdr:row>
      <xdr:rowOff>232202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68EFA11-AFA8-442F-BB2A-C2B9BE46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6" y="22345091"/>
          <a:ext cx="2512576" cy="1744435"/>
        </a:xfrm>
        <a:prstGeom prst="rect">
          <a:avLst/>
        </a:prstGeom>
      </xdr:spPr>
    </xdr:pic>
    <xdr:clientData/>
  </xdr:twoCellAnchor>
  <xdr:twoCellAnchor editAs="oneCell">
    <xdr:from>
      <xdr:col>8</xdr:col>
      <xdr:colOff>349305</xdr:colOff>
      <xdr:row>99</xdr:row>
      <xdr:rowOff>267980</xdr:rowOff>
    </xdr:from>
    <xdr:to>
      <xdr:col>9</xdr:col>
      <xdr:colOff>1616188</xdr:colOff>
      <xdr:row>103</xdr:row>
      <xdr:rowOff>265471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ECDF443-CA0D-451B-9D98-8B125614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2423" y="24125304"/>
          <a:ext cx="2813294" cy="1857667"/>
        </a:xfrm>
        <a:prstGeom prst="rect">
          <a:avLst/>
        </a:prstGeom>
      </xdr:spPr>
    </xdr:pic>
    <xdr:clientData/>
  </xdr:twoCellAnchor>
  <xdr:twoCellAnchor editAs="oneCell">
    <xdr:from>
      <xdr:col>20</xdr:col>
      <xdr:colOff>83915</xdr:colOff>
      <xdr:row>102</xdr:row>
      <xdr:rowOff>279419</xdr:rowOff>
    </xdr:from>
    <xdr:to>
      <xdr:col>26</xdr:col>
      <xdr:colOff>263599</xdr:colOff>
      <xdr:row>109</xdr:row>
      <xdr:rowOff>145748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7C08832-22DB-4BF2-9B66-5C3BF0FD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292319" y="27264477"/>
          <a:ext cx="4312068" cy="2928983"/>
        </a:xfrm>
        <a:prstGeom prst="rect">
          <a:avLst/>
        </a:prstGeom>
      </xdr:spPr>
    </xdr:pic>
    <xdr:clientData/>
  </xdr:twoCellAnchor>
  <xdr:twoCellAnchor editAs="oneCell">
    <xdr:from>
      <xdr:col>20</xdr:col>
      <xdr:colOff>4658</xdr:colOff>
      <xdr:row>110</xdr:row>
      <xdr:rowOff>76421</xdr:rowOff>
    </xdr:from>
    <xdr:to>
      <xdr:col>27</xdr:col>
      <xdr:colOff>107539</xdr:colOff>
      <xdr:row>114</xdr:row>
      <xdr:rowOff>94307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08C32AA-DD5E-4958-AC79-46B9C9E5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213062" y="30541767"/>
          <a:ext cx="4923995" cy="2032790"/>
        </a:xfrm>
        <a:prstGeom prst="rect">
          <a:avLst/>
        </a:prstGeom>
      </xdr:spPr>
    </xdr:pic>
    <xdr:clientData/>
  </xdr:twoCellAnchor>
  <xdr:twoCellAnchor editAs="oneCell">
    <xdr:from>
      <xdr:col>7</xdr:col>
      <xdr:colOff>114451</xdr:colOff>
      <xdr:row>115</xdr:row>
      <xdr:rowOff>71280</xdr:rowOff>
    </xdr:from>
    <xdr:to>
      <xdr:col>9</xdr:col>
      <xdr:colOff>125997</xdr:colOff>
      <xdr:row>120</xdr:row>
      <xdr:rowOff>15909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BBD49D1-DA90-4FD1-BCA4-E09295B7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51755" y="32837280"/>
          <a:ext cx="2802785" cy="1609433"/>
        </a:xfrm>
        <a:prstGeom prst="rect">
          <a:avLst/>
        </a:prstGeom>
      </xdr:spPr>
    </xdr:pic>
    <xdr:clientData/>
  </xdr:twoCellAnchor>
  <xdr:twoCellAnchor editAs="oneCell">
    <xdr:from>
      <xdr:col>9</xdr:col>
      <xdr:colOff>34817</xdr:colOff>
      <xdr:row>74</xdr:row>
      <xdr:rowOff>174974</xdr:rowOff>
    </xdr:from>
    <xdr:to>
      <xdr:col>10</xdr:col>
      <xdr:colOff>100855</xdr:colOff>
      <xdr:row>75</xdr:row>
      <xdr:rowOff>145677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25A5F43-8F5F-40AE-B99F-B15BA7898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7747" b="3913"/>
        <a:stretch/>
      </xdr:blipFill>
      <xdr:spPr>
        <a:xfrm>
          <a:off x="12854346" y="17017415"/>
          <a:ext cx="1769332" cy="385321"/>
        </a:xfrm>
        <a:prstGeom prst="rect">
          <a:avLst/>
        </a:prstGeom>
      </xdr:spPr>
    </xdr:pic>
    <xdr:clientData/>
  </xdr:twoCellAnchor>
  <xdr:twoCellAnchor editAs="oneCell">
    <xdr:from>
      <xdr:col>12</xdr:col>
      <xdr:colOff>537882</xdr:colOff>
      <xdr:row>81</xdr:row>
      <xdr:rowOff>246529</xdr:rowOff>
    </xdr:from>
    <xdr:to>
      <xdr:col>15</xdr:col>
      <xdr:colOff>1509044</xdr:colOff>
      <xdr:row>91</xdr:row>
      <xdr:rowOff>56028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2165EFDA-FA4C-4DBC-BF6F-E188748EC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4676" y="18893117"/>
          <a:ext cx="3335604" cy="3585882"/>
        </a:xfrm>
        <a:prstGeom prst="rect">
          <a:avLst/>
        </a:prstGeom>
      </xdr:spPr>
    </xdr:pic>
    <xdr:clientData/>
  </xdr:twoCellAnchor>
  <xdr:twoCellAnchor editAs="oneCell">
    <xdr:from>
      <xdr:col>16</xdr:col>
      <xdr:colOff>394606</xdr:colOff>
      <xdr:row>84</xdr:row>
      <xdr:rowOff>54429</xdr:rowOff>
    </xdr:from>
    <xdr:to>
      <xdr:col>19</xdr:col>
      <xdr:colOff>1215013</xdr:colOff>
      <xdr:row>93</xdr:row>
      <xdr:rowOff>15348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A8052694-688C-41FD-97F5-D89A82B3A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8035" y="19526250"/>
          <a:ext cx="3048000" cy="4091087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89</xdr:row>
      <xdr:rowOff>235794</xdr:rowOff>
    </xdr:from>
    <xdr:to>
      <xdr:col>16</xdr:col>
      <xdr:colOff>394606</xdr:colOff>
      <xdr:row>89</xdr:row>
      <xdr:rowOff>571500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290D881C-072A-45D0-862F-5A14F1FDE956}"/>
            </a:ext>
          </a:extLst>
        </xdr:cNvPr>
        <xdr:cNvCxnSpPr>
          <a:endCxn id="29" idx="1"/>
        </xdr:cNvCxnSpPr>
      </xdr:nvCxnSpPr>
      <xdr:spPr>
        <a:xfrm flipV="1">
          <a:off x="18288000" y="21571794"/>
          <a:ext cx="4640035" cy="335706"/>
        </a:xfrm>
        <a:prstGeom prst="straightConnector1">
          <a:avLst/>
        </a:prstGeom>
        <a:ln w="22225" cap="sq" cmpd="sng">
          <a:solidFill>
            <a:sysClr val="windowText" lastClr="000000"/>
          </a:solidFill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392208</xdr:colOff>
      <xdr:row>91</xdr:row>
      <xdr:rowOff>313766</xdr:rowOff>
    </xdr:from>
    <xdr:to>
      <xdr:col>16</xdr:col>
      <xdr:colOff>100854</xdr:colOff>
      <xdr:row>101</xdr:row>
      <xdr:rowOff>186646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5765BC6-C41E-4A16-BBA1-152B857A3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7" y="22714325"/>
          <a:ext cx="3272116" cy="41983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92</xdr:row>
      <xdr:rowOff>582706</xdr:rowOff>
    </xdr:from>
    <xdr:to>
      <xdr:col>13</xdr:col>
      <xdr:colOff>392208</xdr:colOff>
      <xdr:row>96</xdr:row>
      <xdr:rowOff>250206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8A0D9E1A-C83B-49B7-B071-8B575FB6F8C6}"/>
            </a:ext>
          </a:extLst>
        </xdr:cNvPr>
        <xdr:cNvCxnSpPr>
          <a:endCxn id="19" idx="1"/>
        </xdr:cNvCxnSpPr>
      </xdr:nvCxnSpPr>
      <xdr:spPr>
        <a:xfrm>
          <a:off x="18422471" y="23308235"/>
          <a:ext cx="1075766" cy="1505265"/>
        </a:xfrm>
        <a:prstGeom prst="straightConnector1">
          <a:avLst/>
        </a:prstGeom>
        <a:ln w="22225" cap="sq" cmpd="sng">
          <a:solidFill>
            <a:sysClr val="windowText" lastClr="000000"/>
          </a:solidFill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328939</xdr:colOff>
      <xdr:row>115</xdr:row>
      <xdr:rowOff>293442</xdr:rowOff>
    </xdr:from>
    <xdr:to>
      <xdr:col>11</xdr:col>
      <xdr:colOff>294024</xdr:colOff>
      <xdr:row>122</xdr:row>
      <xdr:rowOff>339587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3FDE5941-0C85-4395-92CE-99C805DCA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2026" y="33059442"/>
          <a:ext cx="3485194" cy="2630319"/>
        </a:xfrm>
        <a:prstGeom prst="rect">
          <a:avLst/>
        </a:prstGeom>
      </xdr:spPr>
    </xdr:pic>
    <xdr:clientData/>
  </xdr:twoCellAnchor>
  <xdr:twoCellAnchor editAs="oneCell">
    <xdr:from>
      <xdr:col>11</xdr:col>
      <xdr:colOff>405849</xdr:colOff>
      <xdr:row>118</xdr:row>
      <xdr:rowOff>132523</xdr:rowOff>
    </xdr:from>
    <xdr:to>
      <xdr:col>13</xdr:col>
      <xdr:colOff>189064</xdr:colOff>
      <xdr:row>122</xdr:row>
      <xdr:rowOff>298174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CFB3191-1A70-4402-BE3D-5585234BC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9045" y="33801327"/>
          <a:ext cx="2367389" cy="18470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523875</xdr:colOff>
      <xdr:row>12</xdr:row>
      <xdr:rowOff>76200</xdr:rowOff>
    </xdr:from>
    <xdr:ext cx="184731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439275" y="116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21</xdr:row>
      <xdr:rowOff>114301</xdr:rowOff>
    </xdr:from>
    <xdr:to>
      <xdr:col>16</xdr:col>
      <xdr:colOff>1473765</xdr:colOff>
      <xdr:row>34</xdr:row>
      <xdr:rowOff>63501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ABCF7F2-F9C5-4B8B-804A-29887FA3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6375" y="5191126"/>
          <a:ext cx="4350315" cy="4149725"/>
        </a:xfrm>
        <a:prstGeom prst="rect">
          <a:avLst/>
        </a:prstGeom>
      </xdr:spPr>
    </xdr:pic>
    <xdr:clientData/>
  </xdr:twoCellAnchor>
  <xdr:twoCellAnchor editAs="oneCell">
    <xdr:from>
      <xdr:col>13</xdr:col>
      <xdr:colOff>361951</xdr:colOff>
      <xdr:row>11</xdr:row>
      <xdr:rowOff>76201</xdr:rowOff>
    </xdr:from>
    <xdr:to>
      <xdr:col>17</xdr:col>
      <xdr:colOff>623047</xdr:colOff>
      <xdr:row>15</xdr:row>
      <xdr:rowOff>183416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F2B723F-E317-4090-8399-78AC1ECB2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976" y="828676"/>
          <a:ext cx="5067299" cy="961290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238126</xdr:colOff>
      <xdr:row>11</xdr:row>
      <xdr:rowOff>57150</xdr:rowOff>
    </xdr:from>
    <xdr:to>
      <xdr:col>24</xdr:col>
      <xdr:colOff>294211</xdr:colOff>
      <xdr:row>15</xdr:row>
      <xdr:rowOff>149225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DEAD784-4C67-48C7-BE13-F47836A61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3551" y="809625"/>
          <a:ext cx="4842304" cy="942975"/>
        </a:xfrm>
        <a:prstGeom prst="rect">
          <a:avLst/>
        </a:prstGeom>
      </xdr:spPr>
    </xdr:pic>
    <xdr:clientData/>
  </xdr:twoCellAnchor>
  <xdr:twoCellAnchor>
    <xdr:from>
      <xdr:col>10</xdr:col>
      <xdr:colOff>371475</xdr:colOff>
      <xdr:row>39</xdr:row>
      <xdr:rowOff>47625</xdr:rowOff>
    </xdr:from>
    <xdr:to>
      <xdr:col>18</xdr:col>
      <xdr:colOff>103544</xdr:colOff>
      <xdr:row>45</xdr:row>
      <xdr:rowOff>65941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35A7E90C-1957-4DF4-A4D2-A4AEF960BFAA}"/>
            </a:ext>
          </a:extLst>
        </xdr:cNvPr>
        <xdr:cNvGrpSpPr/>
      </xdr:nvGrpSpPr>
      <xdr:grpSpPr>
        <a:xfrm>
          <a:off x="12430125" y="10715625"/>
          <a:ext cx="8028344" cy="2523391"/>
          <a:chOff x="9363075" y="10629900"/>
          <a:chExt cx="5218469" cy="2285266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6C0DFDAC-71BA-450F-A877-A176FDDCFB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63075" y="10629900"/>
            <a:ext cx="5218469" cy="1778000"/>
          </a:xfrm>
          <a:prstGeom prst="rect">
            <a:avLst/>
          </a:prstGeom>
        </xdr:spPr>
      </xdr:pic>
      <xdr:pic>
        <xdr:nvPicPr>
          <xdr:cNvPr id="20" name="图片 19">
            <a:extLst>
              <a:ext uri="{FF2B5EF4-FFF2-40B4-BE49-F238E27FC236}">
                <a16:creationId xmlns:a16="http://schemas.microsoft.com/office/drawing/2014/main" id="{2CECC1EC-3DCB-4A8C-8F10-B1F3C2ACD5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50501" y="12426951"/>
            <a:ext cx="3013075" cy="488215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346074</xdr:colOff>
      <xdr:row>36</xdr:row>
      <xdr:rowOff>26361</xdr:rowOff>
    </xdr:from>
    <xdr:to>
      <xdr:col>13</xdr:col>
      <xdr:colOff>434975</xdr:colOff>
      <xdr:row>38</xdr:row>
      <xdr:rowOff>231030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5F87EF6-D5BF-4B49-8FAD-0EF2D624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2549" y="9513261"/>
          <a:ext cx="4041776" cy="842844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514351</xdr:colOff>
      <xdr:row>45</xdr:row>
      <xdr:rowOff>209550</xdr:rowOff>
    </xdr:from>
    <xdr:to>
      <xdr:col>16</xdr:col>
      <xdr:colOff>1</xdr:colOff>
      <xdr:row>63</xdr:row>
      <xdr:rowOff>43816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BCEB292-44ED-43CF-A066-689AB2A1E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226" y="13049250"/>
          <a:ext cx="5295900" cy="3177540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91</xdr:row>
      <xdr:rowOff>123825</xdr:rowOff>
    </xdr:from>
    <xdr:to>
      <xdr:col>11</xdr:col>
      <xdr:colOff>528868</xdr:colOff>
      <xdr:row>98</xdr:row>
      <xdr:rowOff>590550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BAC3432-A03F-4E98-81D4-45E4BAB6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1717000"/>
          <a:ext cx="4538893" cy="2705099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21</xdr:row>
      <xdr:rowOff>185127</xdr:rowOff>
    </xdr:from>
    <xdr:to>
      <xdr:col>9</xdr:col>
      <xdr:colOff>62094</xdr:colOff>
      <xdr:row>26</xdr:row>
      <xdr:rowOff>161925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411993F-8A32-4101-AEE9-0A8D879A1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5347677"/>
          <a:ext cx="3100569" cy="1624623"/>
        </a:xfrm>
        <a:prstGeom prst="rect">
          <a:avLst/>
        </a:prstGeom>
      </xdr:spPr>
    </xdr:pic>
    <xdr:clientData/>
  </xdr:twoCellAnchor>
  <xdr:twoCellAnchor editAs="oneCell">
    <xdr:from>
      <xdr:col>6</xdr:col>
      <xdr:colOff>222233</xdr:colOff>
      <xdr:row>27</xdr:row>
      <xdr:rowOff>0</xdr:rowOff>
    </xdr:from>
    <xdr:to>
      <xdr:col>8</xdr:col>
      <xdr:colOff>914400</xdr:colOff>
      <xdr:row>32</xdr:row>
      <xdr:rowOff>79239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DB73EAF-1826-49E9-9BA7-1F6EF98A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3133" y="6991350"/>
          <a:ext cx="3063892" cy="2012814"/>
        </a:xfrm>
        <a:prstGeom prst="rect">
          <a:avLst/>
        </a:prstGeom>
      </xdr:spPr>
    </xdr:pic>
    <xdr:clientData/>
  </xdr:twoCellAnchor>
  <xdr:twoCellAnchor editAs="oneCell">
    <xdr:from>
      <xdr:col>19</xdr:col>
      <xdr:colOff>265579</xdr:colOff>
      <xdr:row>98</xdr:row>
      <xdr:rowOff>599515</xdr:rowOff>
    </xdr:from>
    <xdr:to>
      <xdr:col>22</xdr:col>
      <xdr:colOff>1656229</xdr:colOff>
      <xdr:row>103</xdr:row>
      <xdr:rowOff>105669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6D4BC5E-D527-4FE0-AE58-60A9D6B3A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55050" y="24344780"/>
          <a:ext cx="4349003" cy="1175831"/>
        </a:xfrm>
        <a:prstGeom prst="rect">
          <a:avLst/>
        </a:prstGeom>
      </xdr:spPr>
    </xdr:pic>
    <xdr:clientData/>
  </xdr:twoCellAnchor>
  <xdr:twoCellAnchor editAs="oneCell">
    <xdr:from>
      <xdr:col>19</xdr:col>
      <xdr:colOff>420782</xdr:colOff>
      <xdr:row>103</xdr:row>
      <xdr:rowOff>108697</xdr:rowOff>
    </xdr:from>
    <xdr:to>
      <xdr:col>22</xdr:col>
      <xdr:colOff>1563782</xdr:colOff>
      <xdr:row>111</xdr:row>
      <xdr:rowOff>36127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CAC3370-124C-4280-A11E-7CD4A687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10253" y="25523638"/>
          <a:ext cx="4101353" cy="2235841"/>
        </a:xfrm>
        <a:prstGeom prst="rect">
          <a:avLst/>
        </a:prstGeom>
      </xdr:spPr>
    </xdr:pic>
    <xdr:clientData/>
  </xdr:twoCellAnchor>
  <xdr:twoCellAnchor editAs="oneCell">
    <xdr:from>
      <xdr:col>23</xdr:col>
      <xdr:colOff>85725</xdr:colOff>
      <xdr:row>99</xdr:row>
      <xdr:rowOff>110376</xdr:rowOff>
    </xdr:from>
    <xdr:to>
      <xdr:col>25</xdr:col>
      <xdr:colOff>526676</xdr:colOff>
      <xdr:row>110</xdr:row>
      <xdr:rowOff>62364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98F57941-5D1D-4E18-B7AD-C8E15B60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4431" y="24539200"/>
          <a:ext cx="3903569" cy="2999988"/>
        </a:xfrm>
        <a:prstGeom prst="rect">
          <a:avLst/>
        </a:prstGeom>
      </xdr:spPr>
    </xdr:pic>
    <xdr:clientData/>
  </xdr:twoCellAnchor>
  <xdr:twoCellAnchor editAs="oneCell">
    <xdr:from>
      <xdr:col>25</xdr:col>
      <xdr:colOff>247093</xdr:colOff>
      <xdr:row>113</xdr:row>
      <xdr:rowOff>295834</xdr:rowOff>
    </xdr:from>
    <xdr:to>
      <xdr:col>32</xdr:col>
      <xdr:colOff>296454</xdr:colOff>
      <xdr:row>117</xdr:row>
      <xdr:rowOff>97677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473008D-FE79-4876-A313-AF2C24312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3740" y="28512246"/>
          <a:ext cx="4834273" cy="9448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陈俊" id="{91415026-AC5B-413E-8ECB-8EF2DC66D652}" userId="陈俊" providerId="Non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4" dT="2025-11-25T07:06:34.73" personId="{91415026-AC5B-413E-8ECB-8EF2DC66D652}" id="{F9A04292-84A1-4E37-9DCD-7600E3807435}">
    <text>用均匀流公式难以直接计算出正常水深，所以采用迭代（先假定）计算的方式来计算正常水深。正常水深计算正确的标准为，流量和用宽顶堰公式计算出的流量相等。</text>
  </threadedComment>
  <threadedComment ref="G114" dT="2025-11-25T06:52:14.81" personId="{91415026-AC5B-413E-8ECB-8EF2DC66D652}" id="{7E758398-9101-4F25-AEDC-D09DBFBCA416}">
    <text>过水断面是否为矩形断面的分界线</text>
  </threadedComment>
  <threadedComment ref="T114" dT="2025-11-25T09:25:53.20" personId="{91415026-AC5B-413E-8ECB-8EF2DC66D652}" id="{3D98AFEF-CA39-412A-A4B6-DD7D3A6EE5E5}">
    <text>需迭代计算来判断</text>
  </threadedComment>
  <threadedComment ref="G120" dT="2025-11-25T08:08:33.19" personId="{91415026-AC5B-413E-8ECB-8EF2DC66D652}" id="{15710DD1-117A-4B83-B916-79775F3C598E}">
    <text>1.2倍洞高是无压流的上限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"/>
  <sheetViews>
    <sheetView topLeftCell="A43" zoomScaleNormal="100" zoomScalePageLayoutView="145" workbookViewId="0">
      <selection activeCell="K7" sqref="K7"/>
    </sheetView>
  </sheetViews>
  <sheetFormatPr defaultColWidth="9" defaultRowHeight="14.25" x14ac:dyDescent="0.15"/>
  <cols>
    <col min="1" max="1" width="25.875" style="1" customWidth="1"/>
    <col min="2" max="2" width="20.375" style="1" customWidth="1"/>
    <col min="3" max="3" width="17.125" style="1" customWidth="1"/>
    <col min="4" max="4" width="12.5" style="1" customWidth="1"/>
    <col min="5" max="5" width="21" style="1" customWidth="1"/>
    <col min="6" max="6" width="10.875" style="1" customWidth="1"/>
    <col min="7" max="7" width="13" style="1" customWidth="1"/>
    <col min="8" max="8" width="21" style="1" customWidth="1"/>
    <col min="9" max="9" width="14.25" style="1" customWidth="1"/>
    <col min="10" max="10" width="12.625" style="1" customWidth="1"/>
    <col min="11" max="12" width="10.625" style="1" customWidth="1"/>
    <col min="13" max="13" width="14" style="1" customWidth="1"/>
    <col min="14" max="14" width="21.75" style="1" customWidth="1"/>
    <col min="15" max="15" width="10.625" style="1" customWidth="1"/>
    <col min="16" max="16" width="10.125" style="1" customWidth="1"/>
    <col min="17" max="17" width="10.625" style="1" customWidth="1"/>
    <col min="18" max="18" width="9" style="1"/>
    <col min="19" max="19" width="13.875" style="1" customWidth="1"/>
    <col min="20" max="20" width="20.75" style="1" customWidth="1"/>
    <col min="21" max="21" width="11.375" style="1" customWidth="1"/>
    <col min="22" max="22" width="9.625" style="1" customWidth="1"/>
    <col min="23" max="23" width="12" style="1" customWidth="1"/>
    <col min="24" max="16384" width="9" style="1"/>
  </cols>
  <sheetData>
    <row r="1" spans="1:19" x14ac:dyDescent="0.15">
      <c r="A1" s="1" t="s">
        <v>72</v>
      </c>
      <c r="B1" s="24" t="s">
        <v>73</v>
      </c>
      <c r="C1" s="83" t="s">
        <v>165</v>
      </c>
    </row>
    <row r="2" spans="1:19" ht="15" thickBot="1" x14ac:dyDescent="0.2">
      <c r="A2"/>
      <c r="E2" s="2"/>
    </row>
    <row r="3" spans="1:19" ht="28.5" x14ac:dyDescent="0.15">
      <c r="A3" s="4" t="s">
        <v>492</v>
      </c>
      <c r="B3" s="366" t="s">
        <v>1</v>
      </c>
      <c r="C3" s="5" t="s">
        <v>3</v>
      </c>
      <c r="D3" s="6"/>
      <c r="E3" s="7" t="s">
        <v>4</v>
      </c>
      <c r="F3" s="8" t="s">
        <v>34</v>
      </c>
      <c r="G3" s="9" t="s">
        <v>33</v>
      </c>
    </row>
    <row r="4" spans="1:19" ht="25.5" customHeight="1" thickBot="1" x14ac:dyDescent="0.2">
      <c r="A4" s="10">
        <v>23.5</v>
      </c>
      <c r="B4" s="366"/>
      <c r="C4" s="18">
        <f>A4*1000/9.8</f>
        <v>2397.9591836734694</v>
      </c>
      <c r="D4" s="6"/>
      <c r="E4" s="11">
        <v>22.5</v>
      </c>
      <c r="F4" s="12">
        <v>100</v>
      </c>
      <c r="G4" s="45">
        <f>E4*F4/1000</f>
        <v>2.25</v>
      </c>
    </row>
    <row r="5" spans="1:19" ht="21" customHeight="1" x14ac:dyDescent="0.15">
      <c r="A5" s="250"/>
      <c r="B5" s="13"/>
      <c r="C5" s="13"/>
      <c r="D5" s="6"/>
      <c r="E5" s="13"/>
      <c r="F5" s="13"/>
      <c r="G5" s="13"/>
    </row>
    <row r="6" spans="1:19" ht="33.75" customHeight="1" x14ac:dyDescent="0.15">
      <c r="A6" s="252" t="s">
        <v>490</v>
      </c>
      <c r="B6" s="369" t="s">
        <v>491</v>
      </c>
      <c r="C6" s="13" t="s">
        <v>493</v>
      </c>
      <c r="D6" s="6"/>
      <c r="E6" s="252" t="s">
        <v>494</v>
      </c>
      <c r="F6" s="369" t="s">
        <v>491</v>
      </c>
      <c r="G6" s="13" t="s">
        <v>493</v>
      </c>
      <c r="I6" s="13" t="s">
        <v>495</v>
      </c>
      <c r="J6" s="369" t="s">
        <v>491</v>
      </c>
      <c r="K6" s="13" t="s">
        <v>496</v>
      </c>
    </row>
    <row r="7" spans="1:19" ht="25.5" customHeight="1" x14ac:dyDescent="0.15">
      <c r="A7" s="250">
        <v>2.5</v>
      </c>
      <c r="B7" s="369"/>
      <c r="C7" s="251">
        <f>A7*9.8</f>
        <v>24.5</v>
      </c>
      <c r="D7" s="6"/>
      <c r="E7" s="250">
        <v>2.5</v>
      </c>
      <c r="F7" s="369"/>
      <c r="G7" s="251">
        <f>E7*9.8/1000</f>
        <v>2.4500000000000001E-2</v>
      </c>
      <c r="I7" s="13">
        <v>1</v>
      </c>
      <c r="J7" s="369"/>
      <c r="K7" s="251">
        <f>I7*9.8</f>
        <v>9.8000000000000007</v>
      </c>
    </row>
    <row r="8" spans="1:19" ht="15" x14ac:dyDescent="0.15">
      <c r="A8" s="13"/>
      <c r="B8" s="14"/>
      <c r="C8" s="13"/>
      <c r="D8" s="6"/>
      <c r="K8" s="25"/>
    </row>
    <row r="9" spans="1:19" x14ac:dyDescent="0.15">
      <c r="A9" s="5" t="s">
        <v>2</v>
      </c>
      <c r="B9" s="366" t="s">
        <v>1</v>
      </c>
      <c r="C9" s="15" t="s">
        <v>0</v>
      </c>
      <c r="D9" s="6"/>
      <c r="E9"/>
      <c r="F9"/>
      <c r="G9"/>
      <c r="H9"/>
    </row>
    <row r="10" spans="1:19" x14ac:dyDescent="0.15">
      <c r="A10" s="5">
        <v>0.47499999999999998</v>
      </c>
      <c r="B10" s="366"/>
      <c r="C10" s="18">
        <f>DEGREES(ATAN(A10))</f>
        <v>25.407718108948472</v>
      </c>
      <c r="D10" s="6"/>
      <c r="E10"/>
      <c r="F10"/>
      <c r="G10"/>
      <c r="H10"/>
    </row>
    <row r="11" spans="1:19" x14ac:dyDescent="0.15">
      <c r="A11" s="6"/>
      <c r="B11" s="6"/>
      <c r="C11" s="6"/>
      <c r="D11" s="6"/>
      <c r="E11"/>
      <c r="F11"/>
      <c r="G11"/>
      <c r="H11"/>
    </row>
    <row r="12" spans="1:19" ht="28.5" x14ac:dyDescent="0.15">
      <c r="A12" s="5" t="s">
        <v>5</v>
      </c>
      <c r="B12" s="5" t="s">
        <v>6</v>
      </c>
      <c r="C12" s="4" t="s">
        <v>7</v>
      </c>
      <c r="D12" s="367" t="s">
        <v>8</v>
      </c>
      <c r="E12" s="4" t="s">
        <v>75</v>
      </c>
      <c r="F12" s="4" t="s">
        <v>74</v>
      </c>
      <c r="G12" s="5" t="s">
        <v>9</v>
      </c>
      <c r="H12"/>
      <c r="I12"/>
      <c r="N12"/>
      <c r="O12"/>
      <c r="P12"/>
      <c r="Q12"/>
      <c r="R12"/>
      <c r="S12"/>
    </row>
    <row r="13" spans="1:19" ht="23.25" customHeight="1" x14ac:dyDescent="0.15">
      <c r="A13" s="5">
        <v>7.4999999999999997E-2</v>
      </c>
      <c r="B13" s="17">
        <v>0.375</v>
      </c>
      <c r="C13" s="18">
        <f>DEGREES(ATAN(B13))</f>
        <v>20.556045219583467</v>
      </c>
      <c r="D13" s="367"/>
      <c r="E13" s="18">
        <f>2*A13*(COS(RADIANS(C13))/(1-SIN(RADIANS(C13))))</f>
        <v>0.21645007022470372</v>
      </c>
      <c r="F13" s="19">
        <f>DEGREES(ATAN((6*SIN(RADIANS(C13))/(3-SIN(RADIANS(C13))))))</f>
        <v>38.496410892487184</v>
      </c>
      <c r="G13" s="16" t="s">
        <v>10</v>
      </c>
      <c r="H13"/>
      <c r="I13"/>
      <c r="N13"/>
      <c r="O13"/>
      <c r="P13"/>
      <c r="Q13"/>
      <c r="R13"/>
      <c r="S13"/>
    </row>
    <row r="14" spans="1:19" x14ac:dyDescent="0.15">
      <c r="C14" s="5"/>
      <c r="N14"/>
      <c r="O14"/>
      <c r="P14"/>
      <c r="Q14"/>
      <c r="R14"/>
      <c r="S14"/>
    </row>
    <row r="15" spans="1:19" x14ac:dyDescent="0.15">
      <c r="A15" s="366" t="s">
        <v>11</v>
      </c>
      <c r="B15" s="366"/>
      <c r="C15" s="366"/>
      <c r="D15" s="366"/>
      <c r="E15" s="366"/>
      <c r="F15" s="366"/>
      <c r="G15" s="13"/>
      <c r="H15" s="13"/>
      <c r="I15" s="13"/>
    </row>
    <row r="16" spans="1:19" x14ac:dyDescent="0.15">
      <c r="A16" s="5" t="s">
        <v>64</v>
      </c>
      <c r="B16" s="5" t="s">
        <v>65</v>
      </c>
      <c r="C16" s="5" t="s">
        <v>66</v>
      </c>
      <c r="D16" s="5" t="s">
        <v>67</v>
      </c>
      <c r="E16" s="5" t="s">
        <v>68</v>
      </c>
      <c r="F16" s="5" t="s">
        <v>69</v>
      </c>
      <c r="G16" s="13"/>
      <c r="H16" s="13"/>
      <c r="I16" s="13"/>
    </row>
    <row r="17" spans="1:17" x14ac:dyDescent="0.15">
      <c r="A17" s="5">
        <v>-6.74</v>
      </c>
      <c r="B17" s="5">
        <v>-9.9600000000000009</v>
      </c>
      <c r="C17" s="5">
        <v>0.5</v>
      </c>
      <c r="D17" s="18">
        <f>(A17+B17)/2+SQRT(((A17-B17)/2)^2+(C17)^2)</f>
        <v>-6.6641471001300268</v>
      </c>
      <c r="E17" s="18">
        <f>(A17+B17)/2-SQRT(((A17-B17)/2)^2+(C17)^2)</f>
        <v>-10.035852899869976</v>
      </c>
      <c r="F17" s="18">
        <f>DEGREES(ATAN((D17-A17)/C17))</f>
        <v>8.6263260834105839</v>
      </c>
      <c r="G17" s="13"/>
      <c r="H17" s="13"/>
      <c r="I17" s="13"/>
    </row>
    <row r="19" spans="1:17" x14ac:dyDescent="0.15">
      <c r="A19" s="1" t="s">
        <v>29</v>
      </c>
    </row>
    <row r="20" spans="1:17" x14ac:dyDescent="0.15">
      <c r="A20" s="368" t="s">
        <v>18</v>
      </c>
      <c r="B20" s="368"/>
      <c r="C20" s="368"/>
      <c r="D20" s="368"/>
      <c r="E20" s="368"/>
      <c r="F20" s="368"/>
      <c r="G20" s="364" t="s">
        <v>27</v>
      </c>
      <c r="H20" s="364"/>
      <c r="I20" s="364"/>
      <c r="J20" s="364" t="s">
        <v>19</v>
      </c>
      <c r="K20" s="364"/>
      <c r="L20" s="364"/>
      <c r="M20" s="364" t="s">
        <v>23</v>
      </c>
      <c r="N20" s="364"/>
      <c r="O20" s="364"/>
      <c r="P20" s="365" t="s">
        <v>28</v>
      </c>
      <c r="Q20" s="365"/>
    </row>
    <row r="21" spans="1:17" ht="18.75" x14ac:dyDescent="0.15">
      <c r="A21" s="20" t="s">
        <v>12</v>
      </c>
      <c r="B21" s="20" t="s">
        <v>13</v>
      </c>
      <c r="C21" s="20" t="s">
        <v>14</v>
      </c>
      <c r="D21" s="20" t="s">
        <v>15</v>
      </c>
      <c r="E21" s="20" t="s">
        <v>16</v>
      </c>
      <c r="F21" s="20" t="s">
        <v>17</v>
      </c>
      <c r="G21" s="20" t="s">
        <v>30</v>
      </c>
      <c r="H21" s="20" t="s">
        <v>31</v>
      </c>
      <c r="I21" s="20" t="s">
        <v>32</v>
      </c>
      <c r="J21" s="3" t="s">
        <v>20</v>
      </c>
      <c r="K21" s="3" t="s">
        <v>21</v>
      </c>
      <c r="L21" s="3" t="s">
        <v>22</v>
      </c>
      <c r="M21" s="3" t="s">
        <v>24</v>
      </c>
      <c r="N21" s="3" t="s">
        <v>25</v>
      </c>
      <c r="O21" s="3" t="s">
        <v>26</v>
      </c>
      <c r="P21" s="21" t="s">
        <v>70</v>
      </c>
      <c r="Q21" s="22" t="s">
        <v>71</v>
      </c>
    </row>
    <row r="22" spans="1:17" ht="15.75" x14ac:dyDescent="0.15">
      <c r="A22" s="46">
        <v>-0.81323400000000001</v>
      </c>
      <c r="B22" s="47">
        <v>-0.38192199999999998</v>
      </c>
      <c r="C22" s="48">
        <v>-7.4287400000000003</v>
      </c>
      <c r="D22" s="49">
        <v>0</v>
      </c>
      <c r="E22" s="49">
        <v>0</v>
      </c>
      <c r="F22" s="49">
        <v>-2.8769200000000001</v>
      </c>
      <c r="G22" s="49">
        <v>76.45</v>
      </c>
      <c r="H22" s="49">
        <v>90</v>
      </c>
      <c r="I22" s="49">
        <v>13.55</v>
      </c>
      <c r="J22" s="23">
        <f t="shared" ref="J22:L22" si="0">COS(RADIANS(G22))</f>
        <v>0.23429382769171864</v>
      </c>
      <c r="K22" s="23">
        <f t="shared" si="0"/>
        <v>6.1257422745431001E-17</v>
      </c>
      <c r="L22" s="23">
        <f t="shared" si="0"/>
        <v>0.97216583066139661</v>
      </c>
      <c r="M22" s="23">
        <f>J22*A22+K22*D22+L22*F22</f>
        <v>-2.9873790282154324</v>
      </c>
      <c r="N22" s="23">
        <f>K22*B22+L22*E22+J22*D22</f>
        <v>-2.3395557409780496E-17</v>
      </c>
      <c r="O22" s="23">
        <f>L22*C22+J22*F22+K22*E22</f>
        <v>-7.8960117916304027</v>
      </c>
      <c r="P22" s="23">
        <f>J22*M22+K22*N22+L22*O22</f>
        <v>-8.3761573296091125</v>
      </c>
      <c r="Q22" s="23">
        <f>SQRT(M22^2+N22^2+O22^2-P22^2)</f>
        <v>1.0542409883054626</v>
      </c>
    </row>
    <row r="25" spans="1:17" ht="15" thickBot="1" x14ac:dyDescent="0.2"/>
    <row r="26" spans="1:17" ht="28.5" x14ac:dyDescent="0.15">
      <c r="A26" s="362" t="s">
        <v>116</v>
      </c>
      <c r="B26" s="363"/>
      <c r="C26" s="363"/>
      <c r="D26" s="92" t="s">
        <v>134</v>
      </c>
      <c r="E26" s="84" t="s">
        <v>133</v>
      </c>
    </row>
    <row r="27" spans="1:17" x14ac:dyDescent="0.15">
      <c r="A27" s="357" t="s">
        <v>129</v>
      </c>
      <c r="B27" s="3" t="s">
        <v>117</v>
      </c>
      <c r="C27" s="3">
        <v>10</v>
      </c>
      <c r="D27" s="364" t="s">
        <v>135</v>
      </c>
      <c r="E27" s="85"/>
    </row>
    <row r="28" spans="1:17" x14ac:dyDescent="0.15">
      <c r="A28" s="357"/>
      <c r="B28" s="3" t="s">
        <v>118</v>
      </c>
      <c r="C28" s="3">
        <v>8</v>
      </c>
      <c r="D28" s="364"/>
      <c r="E28" s="85"/>
    </row>
    <row r="29" spans="1:17" x14ac:dyDescent="0.15">
      <c r="A29" s="357" t="s">
        <v>122</v>
      </c>
      <c r="B29" s="3" t="s">
        <v>119</v>
      </c>
      <c r="C29" s="3">
        <v>0.6</v>
      </c>
      <c r="D29" s="358" t="s">
        <v>136</v>
      </c>
      <c r="E29" s="85"/>
    </row>
    <row r="30" spans="1:17" x14ac:dyDescent="0.15">
      <c r="A30" s="357"/>
      <c r="B30" s="3" t="s">
        <v>120</v>
      </c>
      <c r="C30" s="3">
        <v>0.6</v>
      </c>
      <c r="D30" s="358"/>
      <c r="E30" s="85"/>
    </row>
    <row r="31" spans="1:17" x14ac:dyDescent="0.15">
      <c r="A31" s="357"/>
      <c r="B31" s="3" t="s">
        <v>121</v>
      </c>
      <c r="C31" s="86">
        <f>_xlfn.CEILING.MATH((C27*C28)/(C29*C30))</f>
        <v>223</v>
      </c>
      <c r="D31" s="358"/>
      <c r="E31" s="85"/>
    </row>
    <row r="32" spans="1:17" x14ac:dyDescent="0.15">
      <c r="A32" s="357"/>
      <c r="B32" s="3" t="s">
        <v>131</v>
      </c>
      <c r="C32" s="3">
        <v>8</v>
      </c>
      <c r="D32" s="358"/>
      <c r="E32" s="85"/>
    </row>
    <row r="33" spans="1:23" x14ac:dyDescent="0.15">
      <c r="A33" s="357"/>
      <c r="B33" s="3" t="s">
        <v>130</v>
      </c>
      <c r="C33" s="86" t="str">
        <f>INT(C31/C32)&amp;"件零"&amp;MOD(C31,C32)&amp;"块"</f>
        <v>27件零7块</v>
      </c>
      <c r="D33" s="358"/>
      <c r="E33" s="85"/>
    </row>
    <row r="34" spans="1:23" x14ac:dyDescent="0.15">
      <c r="A34" s="357" t="s">
        <v>123</v>
      </c>
      <c r="B34" s="3" t="s">
        <v>119</v>
      </c>
      <c r="C34" s="3">
        <v>0.6</v>
      </c>
      <c r="D34" s="358" t="s">
        <v>136</v>
      </c>
      <c r="E34" s="85"/>
    </row>
    <row r="35" spans="1:23" x14ac:dyDescent="0.15">
      <c r="A35" s="357"/>
      <c r="B35" s="3" t="s">
        <v>120</v>
      </c>
      <c r="C35" s="3">
        <v>0.3</v>
      </c>
      <c r="D35" s="358"/>
      <c r="E35" s="85"/>
    </row>
    <row r="36" spans="1:23" x14ac:dyDescent="0.15">
      <c r="A36" s="357"/>
      <c r="B36" s="3" t="s">
        <v>124</v>
      </c>
      <c r="C36" s="87" t="s">
        <v>125</v>
      </c>
      <c r="D36" s="358"/>
      <c r="E36" s="85"/>
    </row>
    <row r="37" spans="1:23" ht="17.25" customHeight="1" x14ac:dyDescent="0.15">
      <c r="A37" s="357"/>
      <c r="B37" s="3" t="s">
        <v>126</v>
      </c>
      <c r="C37" s="3">
        <v>4</v>
      </c>
      <c r="D37" s="358"/>
      <c r="E37" s="85"/>
    </row>
    <row r="38" spans="1:23" ht="30" customHeight="1" x14ac:dyDescent="0.15">
      <c r="A38" s="357"/>
      <c r="B38" s="3" t="s">
        <v>128</v>
      </c>
      <c r="C38" s="86">
        <f>IF(C36="竖着贴",C37*C34,IF(C36="横着贴",C37*C35,"既不横着贴，又不竖着贴，你要怎么贴？"))</f>
        <v>2.4</v>
      </c>
      <c r="D38" s="358"/>
      <c r="E38" s="88" t="s">
        <v>127</v>
      </c>
    </row>
    <row r="39" spans="1:23" x14ac:dyDescent="0.15">
      <c r="A39" s="357"/>
      <c r="B39" s="3" t="s">
        <v>121</v>
      </c>
      <c r="C39" s="86">
        <f>_xlfn.CEILING.MATH((C27+C28)*2*C38/(C34*C35))</f>
        <v>480</v>
      </c>
      <c r="D39" s="358"/>
      <c r="E39" s="85"/>
    </row>
    <row r="40" spans="1:23" x14ac:dyDescent="0.15">
      <c r="A40" s="357"/>
      <c r="B40" s="3" t="s">
        <v>131</v>
      </c>
      <c r="C40" s="3">
        <v>8</v>
      </c>
      <c r="D40" s="358"/>
      <c r="E40" s="85"/>
    </row>
    <row r="41" spans="1:23" x14ac:dyDescent="0.15">
      <c r="A41" s="357"/>
      <c r="B41" s="3" t="s">
        <v>130</v>
      </c>
      <c r="C41" s="86" t="str">
        <f>INT(C39/C40)&amp;"件零"&amp;MOD(C39,C40)&amp;"块"</f>
        <v>60件零0块</v>
      </c>
      <c r="D41" s="358"/>
      <c r="E41" s="85"/>
    </row>
    <row r="42" spans="1:23" x14ac:dyDescent="0.15">
      <c r="A42" s="357" t="s">
        <v>132</v>
      </c>
      <c r="B42" s="3" t="s">
        <v>119</v>
      </c>
      <c r="C42" s="3">
        <v>0.2</v>
      </c>
      <c r="D42" s="360" t="s">
        <v>136</v>
      </c>
      <c r="E42" s="85"/>
    </row>
    <row r="43" spans="1:23" x14ac:dyDescent="0.15">
      <c r="A43" s="357"/>
      <c r="B43" s="3" t="s">
        <v>121</v>
      </c>
      <c r="C43" s="86">
        <f>_xlfn.CEILING.MATH((C27+C28)*2/C42)</f>
        <v>180</v>
      </c>
      <c r="D43" s="360"/>
      <c r="E43" s="85"/>
    </row>
    <row r="44" spans="1:23" x14ac:dyDescent="0.15">
      <c r="A44" s="357"/>
      <c r="B44" s="3" t="s">
        <v>131</v>
      </c>
      <c r="C44" s="3">
        <v>8</v>
      </c>
      <c r="D44" s="360"/>
      <c r="E44" s="85"/>
    </row>
    <row r="45" spans="1:23" ht="15" thickBot="1" x14ac:dyDescent="0.2">
      <c r="A45" s="359"/>
      <c r="B45" s="89" t="s">
        <v>130</v>
      </c>
      <c r="C45" s="90" t="str">
        <f>INT(C43/C44)&amp;"件零"&amp;MOD(C43,C44)&amp;"块"</f>
        <v>22件零4块</v>
      </c>
      <c r="D45" s="361"/>
      <c r="E45" s="91"/>
    </row>
    <row r="46" spans="1:23" ht="15" thickBot="1" x14ac:dyDescent="0.2"/>
    <row r="47" spans="1:23" ht="42.75" x14ac:dyDescent="0.15">
      <c r="A47" s="362" t="s">
        <v>137</v>
      </c>
      <c r="B47" s="363"/>
      <c r="C47" s="363"/>
      <c r="D47" s="92" t="s">
        <v>134</v>
      </c>
      <c r="E47" s="84" t="s">
        <v>133</v>
      </c>
      <c r="G47" s="362" t="s">
        <v>141</v>
      </c>
      <c r="H47" s="363"/>
      <c r="I47" s="363"/>
      <c r="J47" s="92" t="s">
        <v>134</v>
      </c>
      <c r="K47" s="84" t="s">
        <v>133</v>
      </c>
      <c r="M47" s="362" t="s">
        <v>145</v>
      </c>
      <c r="N47" s="363"/>
      <c r="O47" s="363"/>
      <c r="P47" s="92" t="s">
        <v>134</v>
      </c>
      <c r="Q47" s="84" t="s">
        <v>133</v>
      </c>
      <c r="S47" s="362" t="s">
        <v>149</v>
      </c>
      <c r="T47" s="363"/>
      <c r="U47" s="363"/>
      <c r="V47" s="92" t="s">
        <v>134</v>
      </c>
      <c r="W47" s="84" t="s">
        <v>133</v>
      </c>
    </row>
    <row r="48" spans="1:23" x14ac:dyDescent="0.15">
      <c r="A48" s="357" t="s">
        <v>138</v>
      </c>
      <c r="B48" s="3" t="s">
        <v>139</v>
      </c>
      <c r="C48" s="3">
        <v>10</v>
      </c>
      <c r="D48" s="364" t="s">
        <v>135</v>
      </c>
      <c r="E48" s="85"/>
      <c r="G48" s="357" t="s">
        <v>142</v>
      </c>
      <c r="H48" s="3" t="s">
        <v>143</v>
      </c>
      <c r="I48" s="3">
        <v>10</v>
      </c>
      <c r="J48" s="364" t="s">
        <v>135</v>
      </c>
      <c r="K48" s="85"/>
      <c r="M48" s="357" t="s">
        <v>146</v>
      </c>
      <c r="N48" s="3" t="s">
        <v>147</v>
      </c>
      <c r="O48" s="3">
        <v>10</v>
      </c>
      <c r="P48" s="364" t="s">
        <v>135</v>
      </c>
      <c r="Q48" s="85"/>
      <c r="S48" s="357" t="s">
        <v>150</v>
      </c>
      <c r="T48" s="3" t="s">
        <v>151</v>
      </c>
      <c r="U48" s="3">
        <v>10</v>
      </c>
      <c r="V48" s="364" t="s">
        <v>135</v>
      </c>
      <c r="W48" s="85"/>
    </row>
    <row r="49" spans="1:23" x14ac:dyDescent="0.15">
      <c r="A49" s="357"/>
      <c r="B49" s="3" t="s">
        <v>140</v>
      </c>
      <c r="C49" s="3">
        <v>8</v>
      </c>
      <c r="D49" s="364"/>
      <c r="E49" s="85"/>
      <c r="G49" s="357"/>
      <c r="H49" s="3" t="s">
        <v>144</v>
      </c>
      <c r="I49" s="3">
        <v>8</v>
      </c>
      <c r="J49" s="364"/>
      <c r="K49" s="85"/>
      <c r="M49" s="357"/>
      <c r="N49" s="3" t="s">
        <v>148</v>
      </c>
      <c r="O49" s="3">
        <v>8</v>
      </c>
      <c r="P49" s="364"/>
      <c r="Q49" s="85"/>
      <c r="S49" s="357"/>
      <c r="T49" s="3" t="s">
        <v>152</v>
      </c>
      <c r="U49" s="3">
        <v>8</v>
      </c>
      <c r="V49" s="364"/>
      <c r="W49" s="85"/>
    </row>
    <row r="50" spans="1:23" x14ac:dyDescent="0.15">
      <c r="A50" s="357" t="s">
        <v>122</v>
      </c>
      <c r="B50" s="3" t="s">
        <v>119</v>
      </c>
      <c r="C50" s="3">
        <v>0.6</v>
      </c>
      <c r="D50" s="358" t="s">
        <v>136</v>
      </c>
      <c r="E50" s="85"/>
      <c r="G50" s="357" t="s">
        <v>122</v>
      </c>
      <c r="H50" s="3" t="s">
        <v>119</v>
      </c>
      <c r="I50" s="3">
        <v>0.6</v>
      </c>
      <c r="J50" s="358" t="s">
        <v>136</v>
      </c>
      <c r="K50" s="85"/>
      <c r="M50" s="357" t="s">
        <v>122</v>
      </c>
      <c r="N50" s="3" t="s">
        <v>119</v>
      </c>
      <c r="O50" s="3">
        <v>0.6</v>
      </c>
      <c r="P50" s="358" t="s">
        <v>136</v>
      </c>
      <c r="Q50" s="85"/>
      <c r="S50" s="357" t="s">
        <v>122</v>
      </c>
      <c r="T50" s="3" t="s">
        <v>119</v>
      </c>
      <c r="U50" s="3">
        <v>0.6</v>
      </c>
      <c r="V50" s="358" t="s">
        <v>136</v>
      </c>
      <c r="W50" s="85"/>
    </row>
    <row r="51" spans="1:23" x14ac:dyDescent="0.15">
      <c r="A51" s="357"/>
      <c r="B51" s="3" t="s">
        <v>120</v>
      </c>
      <c r="C51" s="3">
        <v>0.6</v>
      </c>
      <c r="D51" s="358"/>
      <c r="E51" s="85"/>
      <c r="G51" s="357"/>
      <c r="H51" s="3" t="s">
        <v>120</v>
      </c>
      <c r="I51" s="3">
        <v>0.6</v>
      </c>
      <c r="J51" s="358"/>
      <c r="K51" s="85"/>
      <c r="M51" s="357"/>
      <c r="N51" s="3" t="s">
        <v>120</v>
      </c>
      <c r="O51" s="3">
        <v>0.6</v>
      </c>
      <c r="P51" s="358"/>
      <c r="Q51" s="85"/>
      <c r="S51" s="357"/>
      <c r="T51" s="3" t="s">
        <v>120</v>
      </c>
      <c r="U51" s="3">
        <v>0.6</v>
      </c>
      <c r="V51" s="358"/>
      <c r="W51" s="85"/>
    </row>
    <row r="52" spans="1:23" x14ac:dyDescent="0.15">
      <c r="A52" s="357"/>
      <c r="B52" s="3" t="s">
        <v>121</v>
      </c>
      <c r="C52" s="86">
        <f>_xlfn.CEILING.MATH((C48*C49)/(C50*C51))</f>
        <v>223</v>
      </c>
      <c r="D52" s="358"/>
      <c r="E52" s="85"/>
      <c r="G52" s="357"/>
      <c r="H52" s="3" t="s">
        <v>121</v>
      </c>
      <c r="I52" s="86">
        <f>_xlfn.CEILING.MATH((I48*I49)/(I50*I51))</f>
        <v>223</v>
      </c>
      <c r="J52" s="358"/>
      <c r="K52" s="85"/>
      <c r="M52" s="357"/>
      <c r="N52" s="3" t="s">
        <v>121</v>
      </c>
      <c r="O52" s="86">
        <f>_xlfn.CEILING.MATH((O48*O49)/(O50*O51))</f>
        <v>223</v>
      </c>
      <c r="P52" s="358"/>
      <c r="Q52" s="85"/>
      <c r="S52" s="357"/>
      <c r="T52" s="3" t="s">
        <v>121</v>
      </c>
      <c r="U52" s="86">
        <f>_xlfn.CEILING.MATH((U48*U49)/(U50*U51))</f>
        <v>223</v>
      </c>
      <c r="V52" s="358"/>
      <c r="W52" s="85"/>
    </row>
    <row r="53" spans="1:23" x14ac:dyDescent="0.15">
      <c r="A53" s="357"/>
      <c r="B53" s="3" t="s">
        <v>131</v>
      </c>
      <c r="C53" s="3">
        <v>8</v>
      </c>
      <c r="D53" s="358"/>
      <c r="E53" s="85"/>
      <c r="G53" s="357"/>
      <c r="H53" s="3" t="s">
        <v>131</v>
      </c>
      <c r="I53" s="3">
        <v>8</v>
      </c>
      <c r="J53" s="358"/>
      <c r="K53" s="85"/>
      <c r="M53" s="357"/>
      <c r="N53" s="3" t="s">
        <v>131</v>
      </c>
      <c r="O53" s="3">
        <v>8</v>
      </c>
      <c r="P53" s="358"/>
      <c r="Q53" s="85"/>
      <c r="S53" s="357"/>
      <c r="T53" s="3" t="s">
        <v>131</v>
      </c>
      <c r="U53" s="3">
        <v>8</v>
      </c>
      <c r="V53" s="358"/>
      <c r="W53" s="85"/>
    </row>
    <row r="54" spans="1:23" x14ac:dyDescent="0.15">
      <c r="A54" s="357"/>
      <c r="B54" s="3" t="s">
        <v>130</v>
      </c>
      <c r="C54" s="86" t="str">
        <f>INT(C52/C53)&amp;"件零"&amp;MOD(C52,C53)&amp;"块"</f>
        <v>27件零7块</v>
      </c>
      <c r="D54" s="358"/>
      <c r="E54" s="85"/>
      <c r="G54" s="357"/>
      <c r="H54" s="3" t="s">
        <v>130</v>
      </c>
      <c r="I54" s="86" t="str">
        <f>INT(I52/I53)&amp;"件零"&amp;MOD(I52,I53)&amp;"块"</f>
        <v>27件零7块</v>
      </c>
      <c r="J54" s="358"/>
      <c r="K54" s="85"/>
      <c r="M54" s="357"/>
      <c r="N54" s="3" t="s">
        <v>130</v>
      </c>
      <c r="O54" s="86" t="str">
        <f>INT(O52/O53)&amp;"件零"&amp;MOD(O52,O53)&amp;"块"</f>
        <v>27件零7块</v>
      </c>
      <c r="P54" s="358"/>
      <c r="Q54" s="85"/>
      <c r="S54" s="357"/>
      <c r="T54" s="3" t="s">
        <v>130</v>
      </c>
      <c r="U54" s="86" t="str">
        <f>INT(U52/U53)&amp;"件零"&amp;MOD(U52,U53)&amp;"块"</f>
        <v>27件零7块</v>
      </c>
      <c r="V54" s="358"/>
      <c r="W54" s="85"/>
    </row>
    <row r="55" spans="1:23" x14ac:dyDescent="0.15">
      <c r="A55" s="357" t="s">
        <v>123</v>
      </c>
      <c r="B55" s="3" t="s">
        <v>119</v>
      </c>
      <c r="C55" s="3">
        <v>0.6</v>
      </c>
      <c r="D55" s="358" t="s">
        <v>136</v>
      </c>
      <c r="E55" s="85"/>
      <c r="G55" s="357" t="s">
        <v>123</v>
      </c>
      <c r="H55" s="3" t="s">
        <v>119</v>
      </c>
      <c r="I55" s="3">
        <v>0.6</v>
      </c>
      <c r="J55" s="358" t="s">
        <v>136</v>
      </c>
      <c r="K55" s="85"/>
      <c r="M55" s="357" t="s">
        <v>123</v>
      </c>
      <c r="N55" s="3" t="s">
        <v>119</v>
      </c>
      <c r="O55" s="3">
        <v>0.6</v>
      </c>
      <c r="P55" s="358" t="s">
        <v>136</v>
      </c>
      <c r="Q55" s="85"/>
      <c r="S55" s="357" t="s">
        <v>123</v>
      </c>
      <c r="T55" s="3" t="s">
        <v>119</v>
      </c>
      <c r="U55" s="3">
        <v>0.6</v>
      </c>
      <c r="V55" s="358" t="s">
        <v>136</v>
      </c>
      <c r="W55" s="85"/>
    </row>
    <row r="56" spans="1:23" x14ac:dyDescent="0.15">
      <c r="A56" s="357"/>
      <c r="B56" s="3" t="s">
        <v>120</v>
      </c>
      <c r="C56" s="3">
        <v>0.3</v>
      </c>
      <c r="D56" s="358"/>
      <c r="E56" s="85"/>
      <c r="G56" s="357"/>
      <c r="H56" s="3" t="s">
        <v>120</v>
      </c>
      <c r="I56" s="3">
        <v>0.3</v>
      </c>
      <c r="J56" s="358"/>
      <c r="K56" s="85"/>
      <c r="M56" s="357"/>
      <c r="N56" s="3" t="s">
        <v>120</v>
      </c>
      <c r="O56" s="3">
        <v>0.3</v>
      </c>
      <c r="P56" s="358"/>
      <c r="Q56" s="85"/>
      <c r="S56" s="357"/>
      <c r="T56" s="3" t="s">
        <v>120</v>
      </c>
      <c r="U56" s="3">
        <v>0.3</v>
      </c>
      <c r="V56" s="358"/>
      <c r="W56" s="85"/>
    </row>
    <row r="57" spans="1:23" x14ac:dyDescent="0.15">
      <c r="A57" s="357"/>
      <c r="B57" s="3" t="s">
        <v>124</v>
      </c>
      <c r="C57" s="87" t="s">
        <v>125</v>
      </c>
      <c r="D57" s="358"/>
      <c r="E57" s="85"/>
      <c r="G57" s="357"/>
      <c r="H57" s="3" t="s">
        <v>124</v>
      </c>
      <c r="I57" s="87" t="s">
        <v>125</v>
      </c>
      <c r="J57" s="358"/>
      <c r="K57" s="85"/>
      <c r="M57" s="357"/>
      <c r="N57" s="3" t="s">
        <v>124</v>
      </c>
      <c r="O57" s="87" t="s">
        <v>125</v>
      </c>
      <c r="P57" s="358"/>
      <c r="Q57" s="85"/>
      <c r="S57" s="357"/>
      <c r="T57" s="3" t="s">
        <v>124</v>
      </c>
      <c r="U57" s="87" t="s">
        <v>125</v>
      </c>
      <c r="V57" s="358"/>
      <c r="W57" s="85"/>
    </row>
    <row r="58" spans="1:23" x14ac:dyDescent="0.15">
      <c r="A58" s="357"/>
      <c r="B58" s="3" t="s">
        <v>126</v>
      </c>
      <c r="C58" s="3">
        <v>4</v>
      </c>
      <c r="D58" s="358"/>
      <c r="E58" s="85"/>
      <c r="G58" s="357"/>
      <c r="H58" s="3" t="s">
        <v>126</v>
      </c>
      <c r="I58" s="3">
        <v>4</v>
      </c>
      <c r="J58" s="358"/>
      <c r="K58" s="85"/>
      <c r="M58" s="357"/>
      <c r="N58" s="3" t="s">
        <v>126</v>
      </c>
      <c r="O58" s="3">
        <v>4</v>
      </c>
      <c r="P58" s="358"/>
      <c r="Q58" s="85"/>
      <c r="S58" s="357"/>
      <c r="T58" s="3" t="s">
        <v>126</v>
      </c>
      <c r="U58" s="3">
        <v>4</v>
      </c>
      <c r="V58" s="358"/>
      <c r="W58" s="85"/>
    </row>
    <row r="59" spans="1:23" ht="57" x14ac:dyDescent="0.15">
      <c r="A59" s="357"/>
      <c r="B59" s="3" t="s">
        <v>128</v>
      </c>
      <c r="C59" s="86">
        <f>IF(C57="竖着贴",C58*C55,IF(C57="横着贴",C58*C56,"既不横着贴，又不竖着贴，你要怎么贴？"))</f>
        <v>2.4</v>
      </c>
      <c r="D59" s="358"/>
      <c r="E59" s="88" t="s">
        <v>127</v>
      </c>
      <c r="G59" s="357"/>
      <c r="H59" s="3" t="s">
        <v>128</v>
      </c>
      <c r="I59" s="86">
        <f>IF(I57="竖着贴",I58*I55,IF(I57="横着贴",I58*I56,"既不横着贴，又不竖着贴，你要怎么贴？"))</f>
        <v>2.4</v>
      </c>
      <c r="J59" s="358"/>
      <c r="K59" s="88" t="s">
        <v>127</v>
      </c>
      <c r="M59" s="357"/>
      <c r="N59" s="3" t="s">
        <v>128</v>
      </c>
      <c r="O59" s="86">
        <f>IF(O57="竖着贴",O58*O55,IF(O57="横着贴",O58*O56,"既不横着贴，又不竖着贴，你要怎么贴？"))</f>
        <v>2.4</v>
      </c>
      <c r="P59" s="358"/>
      <c r="Q59" s="88" t="s">
        <v>127</v>
      </c>
      <c r="S59" s="357"/>
      <c r="T59" s="3" t="s">
        <v>128</v>
      </c>
      <c r="U59" s="86">
        <f>IF(U57="竖着贴",U58*U55,IF(U57="横着贴",U58*U56,"既不横着贴，又不竖着贴，你要怎么贴？"))</f>
        <v>2.4</v>
      </c>
      <c r="V59" s="358"/>
      <c r="W59" s="88" t="s">
        <v>127</v>
      </c>
    </row>
    <row r="60" spans="1:23" x14ac:dyDescent="0.15">
      <c r="A60" s="357"/>
      <c r="B60" s="3" t="s">
        <v>121</v>
      </c>
      <c r="C60" s="86">
        <f>_xlfn.CEILING.MATH((C48+C49)*2*C59/(C55*C56))</f>
        <v>480</v>
      </c>
      <c r="D60" s="358"/>
      <c r="E60" s="85"/>
      <c r="G60" s="357"/>
      <c r="H60" s="3" t="s">
        <v>121</v>
      </c>
      <c r="I60" s="86">
        <f>_xlfn.CEILING.MATH((I48+I49)*2*I59/(I55*I56))</f>
        <v>480</v>
      </c>
      <c r="J60" s="358"/>
      <c r="K60" s="85"/>
      <c r="M60" s="357"/>
      <c r="N60" s="3" t="s">
        <v>121</v>
      </c>
      <c r="O60" s="86">
        <f>_xlfn.CEILING.MATH((O48+O49)*2*O59/(O55*O56))</f>
        <v>480</v>
      </c>
      <c r="P60" s="358"/>
      <c r="Q60" s="85"/>
      <c r="S60" s="357"/>
      <c r="T60" s="3" t="s">
        <v>121</v>
      </c>
      <c r="U60" s="86">
        <f>_xlfn.CEILING.MATH((U48+U49)*2*U59/(U55*U56))</f>
        <v>480</v>
      </c>
      <c r="V60" s="358"/>
      <c r="W60" s="85"/>
    </row>
    <row r="61" spans="1:23" x14ac:dyDescent="0.15">
      <c r="A61" s="357"/>
      <c r="B61" s="3" t="s">
        <v>131</v>
      </c>
      <c r="C61" s="3">
        <v>8</v>
      </c>
      <c r="D61" s="358"/>
      <c r="E61" s="85"/>
      <c r="G61" s="357"/>
      <c r="H61" s="3" t="s">
        <v>131</v>
      </c>
      <c r="I61" s="3">
        <v>8</v>
      </c>
      <c r="J61" s="358"/>
      <c r="K61" s="85"/>
      <c r="M61" s="357"/>
      <c r="N61" s="3" t="s">
        <v>131</v>
      </c>
      <c r="O61" s="3">
        <v>8</v>
      </c>
      <c r="P61" s="358"/>
      <c r="Q61" s="85"/>
      <c r="S61" s="357"/>
      <c r="T61" s="3" t="s">
        <v>131</v>
      </c>
      <c r="U61" s="3">
        <v>8</v>
      </c>
      <c r="V61" s="358"/>
      <c r="W61" s="85"/>
    </row>
    <row r="62" spans="1:23" x14ac:dyDescent="0.15">
      <c r="A62" s="357"/>
      <c r="B62" s="3" t="s">
        <v>130</v>
      </c>
      <c r="C62" s="86" t="str">
        <f>INT(C60/C61)&amp;"件零"&amp;MOD(C60,C61)&amp;"块"</f>
        <v>60件零0块</v>
      </c>
      <c r="D62" s="358"/>
      <c r="E62" s="85"/>
      <c r="G62" s="357"/>
      <c r="H62" s="3" t="s">
        <v>130</v>
      </c>
      <c r="I62" s="86" t="str">
        <f>INT(I60/I61)&amp;"件零"&amp;MOD(I60,I61)&amp;"块"</f>
        <v>60件零0块</v>
      </c>
      <c r="J62" s="358"/>
      <c r="K62" s="85"/>
      <c r="M62" s="357"/>
      <c r="N62" s="3" t="s">
        <v>130</v>
      </c>
      <c r="O62" s="86" t="str">
        <f>INT(O60/O61)&amp;"件零"&amp;MOD(O60,O61)&amp;"块"</f>
        <v>60件零0块</v>
      </c>
      <c r="P62" s="358"/>
      <c r="Q62" s="85"/>
      <c r="S62" s="357"/>
      <c r="T62" s="3" t="s">
        <v>130</v>
      </c>
      <c r="U62" s="86" t="str">
        <f>INT(U60/U61)&amp;"件零"&amp;MOD(U60,U61)&amp;"块"</f>
        <v>60件零0块</v>
      </c>
      <c r="V62" s="358"/>
      <c r="W62" s="85"/>
    </row>
    <row r="63" spans="1:23" x14ac:dyDescent="0.15">
      <c r="A63" s="357" t="s">
        <v>132</v>
      </c>
      <c r="B63" s="3" t="s">
        <v>119</v>
      </c>
      <c r="C63" s="3">
        <v>0.2</v>
      </c>
      <c r="D63" s="360" t="s">
        <v>136</v>
      </c>
      <c r="E63" s="85"/>
      <c r="G63" s="357" t="s">
        <v>132</v>
      </c>
      <c r="H63" s="3" t="s">
        <v>119</v>
      </c>
      <c r="I63" s="3">
        <v>0.2</v>
      </c>
      <c r="J63" s="360" t="s">
        <v>136</v>
      </c>
      <c r="K63" s="85"/>
      <c r="M63" s="357" t="s">
        <v>132</v>
      </c>
      <c r="N63" s="3" t="s">
        <v>119</v>
      </c>
      <c r="O63" s="3">
        <v>0.2</v>
      </c>
      <c r="P63" s="360" t="s">
        <v>136</v>
      </c>
      <c r="Q63" s="85"/>
      <c r="S63" s="357" t="s">
        <v>132</v>
      </c>
      <c r="T63" s="3" t="s">
        <v>119</v>
      </c>
      <c r="U63" s="3">
        <v>0.2</v>
      </c>
      <c r="V63" s="360" t="s">
        <v>136</v>
      </c>
      <c r="W63" s="85"/>
    </row>
    <row r="64" spans="1:23" x14ac:dyDescent="0.15">
      <c r="A64" s="357"/>
      <c r="B64" s="3" t="s">
        <v>121</v>
      </c>
      <c r="C64" s="86">
        <f>_xlfn.CEILING.MATH((C48+C49)*2/C63)</f>
        <v>180</v>
      </c>
      <c r="D64" s="360"/>
      <c r="E64" s="85"/>
      <c r="G64" s="357"/>
      <c r="H64" s="3" t="s">
        <v>121</v>
      </c>
      <c r="I64" s="86">
        <f>_xlfn.CEILING.MATH((I48+I49)*2/I63)</f>
        <v>180</v>
      </c>
      <c r="J64" s="360"/>
      <c r="K64" s="85"/>
      <c r="M64" s="357"/>
      <c r="N64" s="3" t="s">
        <v>121</v>
      </c>
      <c r="O64" s="86">
        <f>_xlfn.CEILING.MATH((O48+O49)*2/O63)</f>
        <v>180</v>
      </c>
      <c r="P64" s="360"/>
      <c r="Q64" s="85"/>
      <c r="S64" s="357"/>
      <c r="T64" s="3" t="s">
        <v>121</v>
      </c>
      <c r="U64" s="86">
        <f>_xlfn.CEILING.MATH((U48+U49)*2/U63)</f>
        <v>180</v>
      </c>
      <c r="V64" s="360"/>
      <c r="W64" s="85"/>
    </row>
    <row r="65" spans="1:23" x14ac:dyDescent="0.15">
      <c r="A65" s="357"/>
      <c r="B65" s="3" t="s">
        <v>131</v>
      </c>
      <c r="C65" s="3">
        <v>8</v>
      </c>
      <c r="D65" s="360"/>
      <c r="E65" s="85"/>
      <c r="G65" s="357"/>
      <c r="H65" s="3" t="s">
        <v>131</v>
      </c>
      <c r="I65" s="3">
        <v>8</v>
      </c>
      <c r="J65" s="360"/>
      <c r="K65" s="85"/>
      <c r="M65" s="357"/>
      <c r="N65" s="3" t="s">
        <v>131</v>
      </c>
      <c r="O65" s="3">
        <v>8</v>
      </c>
      <c r="P65" s="360"/>
      <c r="Q65" s="85"/>
      <c r="S65" s="357"/>
      <c r="T65" s="3" t="s">
        <v>131</v>
      </c>
      <c r="U65" s="3">
        <v>8</v>
      </c>
      <c r="V65" s="360"/>
      <c r="W65" s="85"/>
    </row>
    <row r="66" spans="1:23" ht="15" thickBot="1" x14ac:dyDescent="0.2">
      <c r="A66" s="359"/>
      <c r="B66" s="89" t="s">
        <v>130</v>
      </c>
      <c r="C66" s="90" t="str">
        <f>INT(C64/C65)&amp;"件零"&amp;MOD(C64,C65)&amp;"块"</f>
        <v>22件零4块</v>
      </c>
      <c r="D66" s="361"/>
      <c r="E66" s="91"/>
      <c r="G66" s="359"/>
      <c r="H66" s="89" t="s">
        <v>130</v>
      </c>
      <c r="I66" s="90" t="str">
        <f>INT(I64/I65)&amp;"件零"&amp;MOD(I64,I65)&amp;"块"</f>
        <v>22件零4块</v>
      </c>
      <c r="J66" s="361"/>
      <c r="K66" s="91"/>
      <c r="M66" s="359"/>
      <c r="N66" s="89" t="s">
        <v>130</v>
      </c>
      <c r="O66" s="90" t="str">
        <f>INT(O64/O65)&amp;"件零"&amp;MOD(O64,O65)&amp;"块"</f>
        <v>22件零4块</v>
      </c>
      <c r="P66" s="361"/>
      <c r="Q66" s="91"/>
      <c r="S66" s="359"/>
      <c r="T66" s="89" t="s">
        <v>130</v>
      </c>
      <c r="U66" s="90" t="str">
        <f>INT(U64/U65)&amp;"件零"&amp;MOD(U64,U65)&amp;"块"</f>
        <v>22件零4块</v>
      </c>
      <c r="V66" s="361"/>
      <c r="W66" s="91"/>
    </row>
    <row r="67" spans="1:23" ht="15" thickBot="1" x14ac:dyDescent="0.2"/>
    <row r="68" spans="1:23" ht="28.5" x14ac:dyDescent="0.15">
      <c r="A68" s="362" t="s">
        <v>153</v>
      </c>
      <c r="B68" s="363"/>
      <c r="C68" s="363"/>
      <c r="D68" s="92" t="s">
        <v>134</v>
      </c>
      <c r="E68" s="84" t="s">
        <v>133</v>
      </c>
    </row>
    <row r="69" spans="1:23" x14ac:dyDescent="0.15">
      <c r="A69" s="357" t="s">
        <v>154</v>
      </c>
      <c r="B69" s="3" t="s">
        <v>155</v>
      </c>
      <c r="C69" s="3">
        <v>10</v>
      </c>
      <c r="D69" s="364" t="s">
        <v>135</v>
      </c>
      <c r="E69" s="85"/>
    </row>
    <row r="70" spans="1:23" x14ac:dyDescent="0.15">
      <c r="A70" s="357"/>
      <c r="B70" s="3" t="s">
        <v>156</v>
      </c>
      <c r="C70" s="3">
        <v>8</v>
      </c>
      <c r="D70" s="364"/>
      <c r="E70" s="85"/>
    </row>
    <row r="71" spans="1:23" x14ac:dyDescent="0.15">
      <c r="A71" s="357" t="s">
        <v>122</v>
      </c>
      <c r="B71" s="3" t="s">
        <v>119</v>
      </c>
      <c r="C71" s="3">
        <v>0.6</v>
      </c>
      <c r="D71" s="358" t="s">
        <v>489</v>
      </c>
      <c r="E71" s="85"/>
    </row>
    <row r="72" spans="1:23" x14ac:dyDescent="0.15">
      <c r="A72" s="357"/>
      <c r="B72" s="3" t="s">
        <v>120</v>
      </c>
      <c r="C72" s="3">
        <v>0.6</v>
      </c>
      <c r="D72" s="358"/>
      <c r="E72" s="85"/>
    </row>
    <row r="73" spans="1:23" x14ac:dyDescent="0.15">
      <c r="A73" s="357"/>
      <c r="B73" s="3" t="s">
        <v>121</v>
      </c>
      <c r="C73" s="86">
        <f>_xlfn.CEILING.MATH((C69*C70)/(C71*C72))</f>
        <v>223</v>
      </c>
      <c r="D73" s="358"/>
      <c r="E73" s="85"/>
    </row>
    <row r="74" spans="1:23" x14ac:dyDescent="0.15">
      <c r="A74" s="357"/>
      <c r="B74" s="3" t="s">
        <v>131</v>
      </c>
      <c r="C74" s="3">
        <v>8</v>
      </c>
      <c r="D74" s="358"/>
      <c r="E74" s="85"/>
    </row>
    <row r="75" spans="1:23" x14ac:dyDescent="0.15">
      <c r="A75" s="357"/>
      <c r="B75" s="3" t="s">
        <v>130</v>
      </c>
      <c r="C75" s="86" t="str">
        <f>INT(C73/C74)&amp;"件零"&amp;MOD(C73,C74)&amp;"块"</f>
        <v>27件零7块</v>
      </c>
      <c r="D75" s="358"/>
      <c r="E75" s="85"/>
    </row>
    <row r="76" spans="1:23" x14ac:dyDescent="0.15">
      <c r="A76" s="357" t="s">
        <v>123</v>
      </c>
      <c r="B76" s="3" t="s">
        <v>119</v>
      </c>
      <c r="C76" s="3">
        <v>0.6</v>
      </c>
      <c r="D76" s="358" t="s">
        <v>136</v>
      </c>
      <c r="E76" s="85"/>
    </row>
    <row r="77" spans="1:23" x14ac:dyDescent="0.15">
      <c r="A77" s="357"/>
      <c r="B77" s="3" t="s">
        <v>120</v>
      </c>
      <c r="C77" s="3">
        <v>0.3</v>
      </c>
      <c r="D77" s="358"/>
      <c r="E77" s="85"/>
    </row>
    <row r="78" spans="1:23" x14ac:dyDescent="0.15">
      <c r="A78" s="357"/>
      <c r="B78" s="3" t="s">
        <v>124</v>
      </c>
      <c r="C78" s="87" t="s">
        <v>125</v>
      </c>
      <c r="D78" s="358"/>
      <c r="E78" s="85"/>
    </row>
    <row r="79" spans="1:23" x14ac:dyDescent="0.15">
      <c r="A79" s="357"/>
      <c r="B79" s="3" t="s">
        <v>126</v>
      </c>
      <c r="C79" s="3">
        <v>4</v>
      </c>
      <c r="D79" s="358"/>
      <c r="E79" s="85"/>
    </row>
    <row r="80" spans="1:23" ht="28.5" x14ac:dyDescent="0.15">
      <c r="A80" s="357"/>
      <c r="B80" s="3" t="s">
        <v>128</v>
      </c>
      <c r="C80" s="86">
        <f>IF(C78="竖着贴",C79*C76,IF(C78="横着贴",C79*C77,"既不横着贴，又不竖着贴，你要怎么贴？"))</f>
        <v>2.4</v>
      </c>
      <c r="D80" s="358"/>
      <c r="E80" s="88" t="s">
        <v>127</v>
      </c>
    </row>
    <row r="81" spans="1:5" x14ac:dyDescent="0.15">
      <c r="A81" s="357"/>
      <c r="B81" s="3" t="s">
        <v>121</v>
      </c>
      <c r="C81" s="86">
        <f>_xlfn.CEILING.MATH((C69+C70)*2*C80/(C76*C77))</f>
        <v>480</v>
      </c>
      <c r="D81" s="358"/>
      <c r="E81" s="85"/>
    </row>
    <row r="82" spans="1:5" x14ac:dyDescent="0.15">
      <c r="A82" s="357"/>
      <c r="B82" s="3" t="s">
        <v>131</v>
      </c>
      <c r="C82" s="3">
        <v>8</v>
      </c>
      <c r="D82" s="358"/>
      <c r="E82" s="85"/>
    </row>
    <row r="83" spans="1:5" x14ac:dyDescent="0.15">
      <c r="A83" s="357"/>
      <c r="B83" s="3" t="s">
        <v>130</v>
      </c>
      <c r="C83" s="86" t="str">
        <f>INT(C81/C82)&amp;"件零"&amp;MOD(C81,C82)&amp;"块"</f>
        <v>60件零0块</v>
      </c>
      <c r="D83" s="358"/>
      <c r="E83" s="85"/>
    </row>
    <row r="84" spans="1:5" x14ac:dyDescent="0.15">
      <c r="A84" s="357" t="s">
        <v>132</v>
      </c>
      <c r="B84" s="3" t="s">
        <v>119</v>
      </c>
      <c r="C84" s="3">
        <v>0.2</v>
      </c>
      <c r="D84" s="360" t="s">
        <v>136</v>
      </c>
      <c r="E84" s="85"/>
    </row>
    <row r="85" spans="1:5" x14ac:dyDescent="0.15">
      <c r="A85" s="357"/>
      <c r="B85" s="3" t="s">
        <v>121</v>
      </c>
      <c r="C85" s="86">
        <f>_xlfn.CEILING.MATH((C69+C70)*2/C84)</f>
        <v>180</v>
      </c>
      <c r="D85" s="360"/>
      <c r="E85" s="85"/>
    </row>
    <row r="86" spans="1:5" x14ac:dyDescent="0.15">
      <c r="A86" s="357"/>
      <c r="B86" s="3" t="s">
        <v>131</v>
      </c>
      <c r="C86" s="3">
        <v>8</v>
      </c>
      <c r="D86" s="360"/>
      <c r="E86" s="85"/>
    </row>
    <row r="87" spans="1:5" ht="15" thickBot="1" x14ac:dyDescent="0.2">
      <c r="A87" s="359"/>
      <c r="B87" s="89" t="s">
        <v>130</v>
      </c>
      <c r="C87" s="90" t="str">
        <f>INT(C85/C86)&amp;"件零"&amp;MOD(C85,C86)&amp;"块"</f>
        <v>22件零4块</v>
      </c>
      <c r="D87" s="361"/>
      <c r="E87" s="91"/>
    </row>
    <row r="88" spans="1:5" ht="15" thickBot="1" x14ac:dyDescent="0.2"/>
    <row r="89" spans="1:5" ht="28.5" x14ac:dyDescent="0.15">
      <c r="A89" s="362" t="s">
        <v>157</v>
      </c>
      <c r="B89" s="363"/>
      <c r="C89" s="363"/>
      <c r="D89" s="92" t="s">
        <v>134</v>
      </c>
      <c r="E89" s="84" t="s">
        <v>133</v>
      </c>
    </row>
    <row r="90" spans="1:5" x14ac:dyDescent="0.15">
      <c r="A90" s="357" t="s">
        <v>158</v>
      </c>
      <c r="B90" s="3" t="s">
        <v>159</v>
      </c>
      <c r="C90" s="3">
        <v>10</v>
      </c>
      <c r="D90" s="364" t="s">
        <v>135</v>
      </c>
      <c r="E90" s="85"/>
    </row>
    <row r="91" spans="1:5" x14ac:dyDescent="0.15">
      <c r="A91" s="357"/>
      <c r="B91" s="3" t="s">
        <v>160</v>
      </c>
      <c r="C91" s="3">
        <v>8</v>
      </c>
      <c r="D91" s="364"/>
      <c r="E91" s="85"/>
    </row>
    <row r="92" spans="1:5" x14ac:dyDescent="0.15">
      <c r="A92" s="357" t="s">
        <v>122</v>
      </c>
      <c r="B92" s="3" t="s">
        <v>119</v>
      </c>
      <c r="C92" s="3">
        <v>0.6</v>
      </c>
      <c r="D92" s="358" t="s">
        <v>136</v>
      </c>
      <c r="E92" s="85"/>
    </row>
    <row r="93" spans="1:5" x14ac:dyDescent="0.15">
      <c r="A93" s="357"/>
      <c r="B93" s="3" t="s">
        <v>120</v>
      </c>
      <c r="C93" s="3">
        <v>0.6</v>
      </c>
      <c r="D93" s="358"/>
      <c r="E93" s="85"/>
    </row>
    <row r="94" spans="1:5" x14ac:dyDescent="0.15">
      <c r="A94" s="357"/>
      <c r="B94" s="3" t="s">
        <v>121</v>
      </c>
      <c r="C94" s="86">
        <f>_xlfn.CEILING.MATH((C90*C91)/(C92*C93))</f>
        <v>223</v>
      </c>
      <c r="D94" s="358"/>
      <c r="E94" s="85"/>
    </row>
    <row r="95" spans="1:5" x14ac:dyDescent="0.15">
      <c r="A95" s="357"/>
      <c r="B95" s="3" t="s">
        <v>131</v>
      </c>
      <c r="C95" s="3">
        <v>8</v>
      </c>
      <c r="D95" s="358"/>
      <c r="E95" s="85"/>
    </row>
    <row r="96" spans="1:5" x14ac:dyDescent="0.15">
      <c r="A96" s="357"/>
      <c r="B96" s="3" t="s">
        <v>130</v>
      </c>
      <c r="C96" s="86" t="str">
        <f>INT(C94/C95)&amp;"件零"&amp;MOD(C94,C95)&amp;"块"</f>
        <v>27件零7块</v>
      </c>
      <c r="D96" s="358"/>
      <c r="E96" s="85"/>
    </row>
    <row r="97" spans="1:5" x14ac:dyDescent="0.15">
      <c r="A97" s="357" t="s">
        <v>123</v>
      </c>
      <c r="B97" s="3" t="s">
        <v>119</v>
      </c>
      <c r="C97" s="3">
        <v>0.6</v>
      </c>
      <c r="D97" s="358" t="s">
        <v>136</v>
      </c>
      <c r="E97" s="85"/>
    </row>
    <row r="98" spans="1:5" x14ac:dyDescent="0.15">
      <c r="A98" s="357"/>
      <c r="B98" s="3" t="s">
        <v>120</v>
      </c>
      <c r="C98" s="3">
        <v>0.3</v>
      </c>
      <c r="D98" s="358"/>
      <c r="E98" s="85"/>
    </row>
    <row r="99" spans="1:5" x14ac:dyDescent="0.15">
      <c r="A99" s="357"/>
      <c r="B99" s="3" t="s">
        <v>124</v>
      </c>
      <c r="C99" s="87" t="s">
        <v>125</v>
      </c>
      <c r="D99" s="358"/>
      <c r="E99" s="85"/>
    </row>
    <row r="100" spans="1:5" x14ac:dyDescent="0.15">
      <c r="A100" s="357"/>
      <c r="B100" s="3" t="s">
        <v>126</v>
      </c>
      <c r="C100" s="3">
        <v>4</v>
      </c>
      <c r="D100" s="358"/>
      <c r="E100" s="85"/>
    </row>
    <row r="101" spans="1:5" ht="28.5" x14ac:dyDescent="0.15">
      <c r="A101" s="357"/>
      <c r="B101" s="3" t="s">
        <v>128</v>
      </c>
      <c r="C101" s="86">
        <f>IF(C99="竖着贴",C100*C97,IF(C99="横着贴",C100*C98,"既不横着贴，又不竖着贴，你要怎么贴？"))</f>
        <v>2.4</v>
      </c>
      <c r="D101" s="358"/>
      <c r="E101" s="88" t="s">
        <v>127</v>
      </c>
    </row>
    <row r="102" spans="1:5" x14ac:dyDescent="0.15">
      <c r="A102" s="357"/>
      <c r="B102" s="3" t="s">
        <v>121</v>
      </c>
      <c r="C102" s="86">
        <f>_xlfn.CEILING.MATH((C90+C91)*2*C101/(C97*C98))</f>
        <v>480</v>
      </c>
      <c r="D102" s="358"/>
      <c r="E102" s="85"/>
    </row>
    <row r="103" spans="1:5" x14ac:dyDescent="0.15">
      <c r="A103" s="357"/>
      <c r="B103" s="3" t="s">
        <v>131</v>
      </c>
      <c r="C103" s="3">
        <v>8</v>
      </c>
      <c r="D103" s="358"/>
      <c r="E103" s="85"/>
    </row>
    <row r="104" spans="1:5" x14ac:dyDescent="0.15">
      <c r="A104" s="357"/>
      <c r="B104" s="3" t="s">
        <v>130</v>
      </c>
      <c r="C104" s="86" t="str">
        <f>INT(C102/C103)&amp;"件零"&amp;MOD(C102,C103)&amp;"块"</f>
        <v>60件零0块</v>
      </c>
      <c r="D104" s="358"/>
      <c r="E104" s="85"/>
    </row>
    <row r="105" spans="1:5" x14ac:dyDescent="0.15">
      <c r="A105" s="357" t="s">
        <v>132</v>
      </c>
      <c r="B105" s="3" t="s">
        <v>119</v>
      </c>
      <c r="C105" s="3">
        <v>0.2</v>
      </c>
      <c r="D105" s="360" t="s">
        <v>136</v>
      </c>
      <c r="E105" s="85"/>
    </row>
    <row r="106" spans="1:5" x14ac:dyDescent="0.15">
      <c r="A106" s="357"/>
      <c r="B106" s="3" t="s">
        <v>121</v>
      </c>
      <c r="C106" s="86">
        <f>_xlfn.CEILING.MATH((C90+C91)*2/C105)</f>
        <v>180</v>
      </c>
      <c r="D106" s="360"/>
      <c r="E106" s="85"/>
    </row>
    <row r="107" spans="1:5" x14ac:dyDescent="0.15">
      <c r="A107" s="357"/>
      <c r="B107" s="3" t="s">
        <v>131</v>
      </c>
      <c r="C107" s="3">
        <v>8</v>
      </c>
      <c r="D107" s="360"/>
      <c r="E107" s="85"/>
    </row>
    <row r="108" spans="1:5" ht="15" thickBot="1" x14ac:dyDescent="0.2">
      <c r="A108" s="359"/>
      <c r="B108" s="89" t="s">
        <v>130</v>
      </c>
      <c r="C108" s="90" t="str">
        <f>INT(C106/C107)&amp;"件零"&amp;MOD(C106,C107)&amp;"块"</f>
        <v>22件零4块</v>
      </c>
      <c r="D108" s="361"/>
      <c r="E108" s="91"/>
    </row>
    <row r="109" spans="1:5" ht="15" thickBot="1" x14ac:dyDescent="0.2"/>
    <row r="110" spans="1:5" ht="28.5" x14ac:dyDescent="0.15">
      <c r="A110" s="362" t="s">
        <v>161</v>
      </c>
      <c r="B110" s="363"/>
      <c r="C110" s="363"/>
      <c r="D110" s="92" t="s">
        <v>134</v>
      </c>
      <c r="E110" s="84" t="s">
        <v>133</v>
      </c>
    </row>
    <row r="111" spans="1:5" x14ac:dyDescent="0.15">
      <c r="A111" s="357" t="s">
        <v>162</v>
      </c>
      <c r="B111" s="3" t="s">
        <v>163</v>
      </c>
      <c r="C111" s="3">
        <v>10</v>
      </c>
      <c r="D111" s="364" t="s">
        <v>135</v>
      </c>
      <c r="E111" s="85"/>
    </row>
    <row r="112" spans="1:5" x14ac:dyDescent="0.15">
      <c r="A112" s="357"/>
      <c r="B112" s="3" t="s">
        <v>164</v>
      </c>
      <c r="C112" s="3">
        <v>8</v>
      </c>
      <c r="D112" s="364"/>
      <c r="E112" s="85"/>
    </row>
    <row r="113" spans="1:5" x14ac:dyDescent="0.15">
      <c r="A113" s="357" t="s">
        <v>122</v>
      </c>
      <c r="B113" s="3" t="s">
        <v>119</v>
      </c>
      <c r="C113" s="3">
        <v>0.6</v>
      </c>
      <c r="D113" s="358" t="s">
        <v>136</v>
      </c>
      <c r="E113" s="85"/>
    </row>
    <row r="114" spans="1:5" x14ac:dyDescent="0.15">
      <c r="A114" s="357"/>
      <c r="B114" s="3" t="s">
        <v>120</v>
      </c>
      <c r="C114" s="3">
        <v>0.6</v>
      </c>
      <c r="D114" s="358"/>
      <c r="E114" s="85"/>
    </row>
    <row r="115" spans="1:5" x14ac:dyDescent="0.15">
      <c r="A115" s="357"/>
      <c r="B115" s="3" t="s">
        <v>121</v>
      </c>
      <c r="C115" s="86">
        <f>_xlfn.CEILING.MATH((C111*C112)/(C113*C114))</f>
        <v>223</v>
      </c>
      <c r="D115" s="358"/>
      <c r="E115" s="85"/>
    </row>
    <row r="116" spans="1:5" x14ac:dyDescent="0.15">
      <c r="A116" s="357"/>
      <c r="B116" s="3" t="s">
        <v>131</v>
      </c>
      <c r="C116" s="3">
        <v>8</v>
      </c>
      <c r="D116" s="358"/>
      <c r="E116" s="85"/>
    </row>
    <row r="117" spans="1:5" x14ac:dyDescent="0.15">
      <c r="A117" s="357"/>
      <c r="B117" s="3" t="s">
        <v>130</v>
      </c>
      <c r="C117" s="86" t="str">
        <f>INT(C115/C116)&amp;"件零"&amp;MOD(C115,C116)&amp;"块"</f>
        <v>27件零7块</v>
      </c>
      <c r="D117" s="358"/>
      <c r="E117" s="85"/>
    </row>
    <row r="118" spans="1:5" x14ac:dyDescent="0.15">
      <c r="A118" s="357" t="s">
        <v>123</v>
      </c>
      <c r="B118" s="3" t="s">
        <v>119</v>
      </c>
      <c r="C118" s="3">
        <v>0.6</v>
      </c>
      <c r="D118" s="358" t="s">
        <v>136</v>
      </c>
      <c r="E118" s="85"/>
    </row>
    <row r="119" spans="1:5" x14ac:dyDescent="0.15">
      <c r="A119" s="357"/>
      <c r="B119" s="3" t="s">
        <v>120</v>
      </c>
      <c r="C119" s="3">
        <v>0.3</v>
      </c>
      <c r="D119" s="358"/>
      <c r="E119" s="85"/>
    </row>
    <row r="120" spans="1:5" x14ac:dyDescent="0.15">
      <c r="A120" s="357"/>
      <c r="B120" s="3" t="s">
        <v>124</v>
      </c>
      <c r="C120" s="87" t="s">
        <v>125</v>
      </c>
      <c r="D120" s="358"/>
      <c r="E120" s="85"/>
    </row>
    <row r="121" spans="1:5" x14ac:dyDescent="0.15">
      <c r="A121" s="357"/>
      <c r="B121" s="3" t="s">
        <v>126</v>
      </c>
      <c r="C121" s="3">
        <v>4</v>
      </c>
      <c r="D121" s="358"/>
      <c r="E121" s="85"/>
    </row>
    <row r="122" spans="1:5" ht="28.5" x14ac:dyDescent="0.15">
      <c r="A122" s="357"/>
      <c r="B122" s="3" t="s">
        <v>128</v>
      </c>
      <c r="C122" s="86">
        <f>IF(C120="竖着贴",C121*C118,IF(C120="横着贴",C121*C119,"既不横着贴，又不竖着贴，你要怎么贴？"))</f>
        <v>2.4</v>
      </c>
      <c r="D122" s="358"/>
      <c r="E122" s="88" t="s">
        <v>127</v>
      </c>
    </row>
    <row r="123" spans="1:5" x14ac:dyDescent="0.15">
      <c r="A123" s="357"/>
      <c r="B123" s="3" t="s">
        <v>121</v>
      </c>
      <c r="C123" s="86">
        <f>_xlfn.CEILING.MATH((C111+C112)*2*C122/(C118*C119))</f>
        <v>480</v>
      </c>
      <c r="D123" s="358"/>
      <c r="E123" s="85"/>
    </row>
    <row r="124" spans="1:5" x14ac:dyDescent="0.15">
      <c r="A124" s="357"/>
      <c r="B124" s="3" t="s">
        <v>131</v>
      </c>
      <c r="C124" s="3">
        <v>8</v>
      </c>
      <c r="D124" s="358"/>
      <c r="E124" s="85"/>
    </row>
    <row r="125" spans="1:5" x14ac:dyDescent="0.15">
      <c r="A125" s="357"/>
      <c r="B125" s="3" t="s">
        <v>130</v>
      </c>
      <c r="C125" s="86" t="str">
        <f>INT(C123/C124)&amp;"件零"&amp;MOD(C123,C124)&amp;"块"</f>
        <v>60件零0块</v>
      </c>
      <c r="D125" s="358"/>
      <c r="E125" s="85"/>
    </row>
    <row r="126" spans="1:5" x14ac:dyDescent="0.15">
      <c r="A126" s="357" t="s">
        <v>132</v>
      </c>
      <c r="B126" s="3" t="s">
        <v>119</v>
      </c>
      <c r="C126" s="3">
        <v>0.2</v>
      </c>
      <c r="D126" s="360" t="s">
        <v>136</v>
      </c>
      <c r="E126" s="85"/>
    </row>
    <row r="127" spans="1:5" x14ac:dyDescent="0.15">
      <c r="A127" s="357"/>
      <c r="B127" s="3" t="s">
        <v>121</v>
      </c>
      <c r="C127" s="86">
        <f>_xlfn.CEILING.MATH((C111+C112)*2/C126)</f>
        <v>180</v>
      </c>
      <c r="D127" s="360"/>
      <c r="E127" s="85"/>
    </row>
    <row r="128" spans="1:5" x14ac:dyDescent="0.15">
      <c r="A128" s="357"/>
      <c r="B128" s="3" t="s">
        <v>131</v>
      </c>
      <c r="C128" s="3">
        <v>8</v>
      </c>
      <c r="D128" s="360"/>
      <c r="E128" s="85"/>
    </row>
    <row r="129" spans="1:5" ht="15" thickBot="1" x14ac:dyDescent="0.2">
      <c r="A129" s="359"/>
      <c r="B129" s="89" t="s">
        <v>130</v>
      </c>
      <c r="C129" s="90" t="str">
        <f>INT(C127/C128)&amp;"件零"&amp;MOD(C127,C128)&amp;"块"</f>
        <v>22件零4块</v>
      </c>
      <c r="D129" s="361"/>
      <c r="E129" s="91"/>
    </row>
  </sheetData>
  <sheetProtection formatCells="0" formatColumns="0" formatRows="0" insertColumns="0" insertRows="0" insertHyperlinks="0" deleteColumns="0" deleteRows="0" sort="0" autoFilter="0" pivotTables="0"/>
  <mergeCells count="84">
    <mergeCell ref="P20:Q20"/>
    <mergeCell ref="A15:F15"/>
    <mergeCell ref="D12:D13"/>
    <mergeCell ref="B3:B4"/>
    <mergeCell ref="B9:B10"/>
    <mergeCell ref="A20:F20"/>
    <mergeCell ref="J20:L20"/>
    <mergeCell ref="M20:O20"/>
    <mergeCell ref="G20:I20"/>
    <mergeCell ref="B6:B7"/>
    <mergeCell ref="F6:F7"/>
    <mergeCell ref="J6:J7"/>
    <mergeCell ref="A26:C26"/>
    <mergeCell ref="A47:C47"/>
    <mergeCell ref="A48:A49"/>
    <mergeCell ref="D48:D49"/>
    <mergeCell ref="A42:A45"/>
    <mergeCell ref="D29:D33"/>
    <mergeCell ref="D27:D28"/>
    <mergeCell ref="D34:D41"/>
    <mergeCell ref="D42:D45"/>
    <mergeCell ref="A27:A28"/>
    <mergeCell ref="A29:A33"/>
    <mergeCell ref="A34:A41"/>
    <mergeCell ref="A50:A54"/>
    <mergeCell ref="D50:D54"/>
    <mergeCell ref="A55:A62"/>
    <mergeCell ref="D55:D62"/>
    <mergeCell ref="A63:A66"/>
    <mergeCell ref="D63:D66"/>
    <mergeCell ref="M47:O47"/>
    <mergeCell ref="M48:M49"/>
    <mergeCell ref="M63:M66"/>
    <mergeCell ref="G47:I47"/>
    <mergeCell ref="G48:G49"/>
    <mergeCell ref="J48:J49"/>
    <mergeCell ref="G50:G54"/>
    <mergeCell ref="J50:J54"/>
    <mergeCell ref="M50:M54"/>
    <mergeCell ref="M55:M62"/>
    <mergeCell ref="G55:G62"/>
    <mergeCell ref="J55:J62"/>
    <mergeCell ref="G63:G66"/>
    <mergeCell ref="J63:J66"/>
    <mergeCell ref="P63:P66"/>
    <mergeCell ref="S47:U47"/>
    <mergeCell ref="S48:S49"/>
    <mergeCell ref="V48:V49"/>
    <mergeCell ref="S50:S54"/>
    <mergeCell ref="V50:V54"/>
    <mergeCell ref="S55:S62"/>
    <mergeCell ref="V55:V62"/>
    <mergeCell ref="S63:S66"/>
    <mergeCell ref="V63:V66"/>
    <mergeCell ref="P48:P49"/>
    <mergeCell ref="P50:P54"/>
    <mergeCell ref="P55:P62"/>
    <mergeCell ref="A68:C68"/>
    <mergeCell ref="A69:A70"/>
    <mergeCell ref="D69:D70"/>
    <mergeCell ref="A71:A75"/>
    <mergeCell ref="D71:D75"/>
    <mergeCell ref="A76:A83"/>
    <mergeCell ref="D76:D83"/>
    <mergeCell ref="A84:A87"/>
    <mergeCell ref="D84:D87"/>
    <mergeCell ref="A89:C89"/>
    <mergeCell ref="A90:A91"/>
    <mergeCell ref="D90:D91"/>
    <mergeCell ref="A92:A96"/>
    <mergeCell ref="D92:D96"/>
    <mergeCell ref="A97:A104"/>
    <mergeCell ref="D97:D104"/>
    <mergeCell ref="A105:A108"/>
    <mergeCell ref="D105:D108"/>
    <mergeCell ref="A110:C110"/>
    <mergeCell ref="A111:A112"/>
    <mergeCell ref="D111:D112"/>
    <mergeCell ref="A113:A117"/>
    <mergeCell ref="D113:D117"/>
    <mergeCell ref="A118:A125"/>
    <mergeCell ref="D118:D125"/>
    <mergeCell ref="A126:A129"/>
    <mergeCell ref="D126:D129"/>
  </mergeCells>
  <phoneticPr fontId="3" type="noConversion"/>
  <dataValidations count="2">
    <dataValidation type="list" allowBlank="1" showInputMessage="1" showErrorMessage="1" sqref="C36 C57 I57 O57 U57 C78 C99 C120" xr:uid="{00000000-0002-0000-0000-000000000000}">
      <formula1>"横着贴,竖着贴"</formula1>
    </dataValidation>
    <dataValidation type="list" allowBlank="1" showInputMessage="1" showErrorMessage="1" sqref="D29:D45 D50:D66 J50:J66 P50:P66 V50:V66 D71:D87 D92:D108 D113:D129" xr:uid="{00000000-0002-0000-0000-000001000000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zoomScale="85" zoomScaleNormal="85" workbookViewId="0">
      <selection activeCell="H32" sqref="H32"/>
    </sheetView>
  </sheetViews>
  <sheetFormatPr defaultRowHeight="14.25" x14ac:dyDescent="0.15"/>
  <cols>
    <col min="1" max="1" width="10.5" customWidth="1"/>
    <col min="3" max="3" width="11.375" customWidth="1"/>
    <col min="11" max="11" width="12" customWidth="1"/>
    <col min="13" max="13" width="12.375" customWidth="1"/>
  </cols>
  <sheetData>
    <row r="1" spans="1:13" x14ac:dyDescent="0.15">
      <c r="A1" s="383" t="s">
        <v>49</v>
      </c>
      <c r="B1" s="384"/>
      <c r="C1" s="384"/>
      <c r="D1" s="384"/>
      <c r="E1" s="384"/>
      <c r="F1" s="384"/>
      <c r="G1" s="384"/>
      <c r="H1" s="384"/>
      <c r="I1" s="384"/>
      <c r="J1" s="384"/>
      <c r="K1" s="385"/>
      <c r="L1" s="377" t="s">
        <v>56</v>
      </c>
      <c r="M1" s="378"/>
    </row>
    <row r="2" spans="1:13" x14ac:dyDescent="0.15">
      <c r="A2" s="386"/>
      <c r="B2" s="387"/>
      <c r="C2" s="387"/>
      <c r="D2" s="387"/>
      <c r="E2" s="387"/>
      <c r="F2" s="387"/>
      <c r="G2" s="387"/>
      <c r="H2" s="387"/>
      <c r="I2" s="387"/>
      <c r="J2" s="387"/>
      <c r="K2" s="388"/>
      <c r="L2" s="379" t="s">
        <v>57</v>
      </c>
      <c r="M2" s="380"/>
    </row>
    <row r="3" spans="1:13" ht="24.75" customHeight="1" thickBot="1" x14ac:dyDescent="0.2">
      <c r="A3" s="389" t="s">
        <v>53</v>
      </c>
      <c r="B3" s="390" t="s">
        <v>59</v>
      </c>
      <c r="C3" s="387"/>
      <c r="D3" s="387"/>
      <c r="E3" s="387"/>
      <c r="F3" s="387"/>
      <c r="G3" s="387"/>
      <c r="H3" s="387"/>
      <c r="I3" s="387"/>
      <c r="J3" s="387"/>
      <c r="K3" s="391" t="s">
        <v>60</v>
      </c>
      <c r="L3" s="381" t="s">
        <v>58</v>
      </c>
      <c r="M3" s="382"/>
    </row>
    <row r="4" spans="1:13" ht="19.5" customHeight="1" x14ac:dyDescent="0.15">
      <c r="A4" s="386"/>
      <c r="B4" s="39">
        <v>1</v>
      </c>
      <c r="C4" s="39">
        <v>2</v>
      </c>
      <c r="D4" s="39">
        <v>3</v>
      </c>
      <c r="E4" s="39">
        <v>4</v>
      </c>
      <c r="F4" s="39">
        <v>5</v>
      </c>
      <c r="G4" s="39">
        <v>6</v>
      </c>
      <c r="H4" s="39">
        <v>7</v>
      </c>
      <c r="I4" s="39">
        <v>8</v>
      </c>
      <c r="J4" s="39">
        <v>9</v>
      </c>
      <c r="K4" s="388"/>
      <c r="M4" s="32">
        <f>B24</f>
        <v>7</v>
      </c>
    </row>
    <row r="5" spans="1:13" ht="18.95" customHeight="1" x14ac:dyDescent="0.15">
      <c r="A5" s="40">
        <v>6</v>
      </c>
      <c r="B5" s="39">
        <v>28.3</v>
      </c>
      <c r="C5" s="39">
        <v>57</v>
      </c>
      <c r="D5" s="39">
        <v>85</v>
      </c>
      <c r="E5" s="39">
        <v>113</v>
      </c>
      <c r="F5" s="39">
        <v>142</v>
      </c>
      <c r="G5" s="39">
        <v>170</v>
      </c>
      <c r="H5" s="39">
        <v>198</v>
      </c>
      <c r="I5" s="39">
        <v>226</v>
      </c>
      <c r="J5" s="39">
        <v>255</v>
      </c>
      <c r="K5" s="42">
        <v>0.222</v>
      </c>
      <c r="M5" s="33">
        <f>HLOOKUP($M$4,$B$4:$J$20,ROW(A2),FALSE)</f>
        <v>198</v>
      </c>
    </row>
    <row r="6" spans="1:13" ht="18.95" customHeight="1" x14ac:dyDescent="0.15">
      <c r="A6" s="40">
        <v>6.5</v>
      </c>
      <c r="B6" s="39">
        <v>33.200000000000003</v>
      </c>
      <c r="C6" s="39">
        <v>66</v>
      </c>
      <c r="D6" s="39">
        <v>100</v>
      </c>
      <c r="E6" s="39">
        <v>133</v>
      </c>
      <c r="F6" s="39">
        <v>166</v>
      </c>
      <c r="G6" s="39">
        <v>199</v>
      </c>
      <c r="H6" s="39">
        <v>232</v>
      </c>
      <c r="I6" s="39">
        <v>265</v>
      </c>
      <c r="J6" s="39">
        <v>299</v>
      </c>
      <c r="K6" s="43">
        <v>0.26</v>
      </c>
      <c r="M6" s="33">
        <f t="shared" ref="M6:M20" si="0">HLOOKUP($M$4,$B$4:$J$20,ROW(A3),FALSE)</f>
        <v>232</v>
      </c>
    </row>
    <row r="7" spans="1:13" ht="18.95" customHeight="1" x14ac:dyDescent="0.15">
      <c r="A7" s="40">
        <v>8</v>
      </c>
      <c r="B7" s="39">
        <v>50.3</v>
      </c>
      <c r="C7" s="28">
        <v>101</v>
      </c>
      <c r="D7" s="28">
        <v>151</v>
      </c>
      <c r="E7" s="28">
        <v>201</v>
      </c>
      <c r="F7" s="28">
        <v>252</v>
      </c>
      <c r="G7" s="28">
        <v>302</v>
      </c>
      <c r="H7" s="28">
        <v>352</v>
      </c>
      <c r="I7" s="28">
        <v>402</v>
      </c>
      <c r="J7" s="28">
        <v>453</v>
      </c>
      <c r="K7" s="29">
        <v>0.39500000000000002</v>
      </c>
      <c r="M7" s="33">
        <f t="shared" si="0"/>
        <v>352</v>
      </c>
    </row>
    <row r="8" spans="1:13" ht="18.95" customHeight="1" x14ac:dyDescent="0.15">
      <c r="A8" s="40">
        <v>10</v>
      </c>
      <c r="B8" s="39">
        <v>78.5</v>
      </c>
      <c r="C8" s="28">
        <v>157</v>
      </c>
      <c r="D8" s="28">
        <v>236</v>
      </c>
      <c r="E8" s="28">
        <v>314</v>
      </c>
      <c r="F8" s="28">
        <v>393</v>
      </c>
      <c r="G8" s="28">
        <v>471</v>
      </c>
      <c r="H8" s="28">
        <v>550</v>
      </c>
      <c r="I8" s="28">
        <v>628</v>
      </c>
      <c r="J8" s="28">
        <v>707</v>
      </c>
      <c r="K8" s="29">
        <v>0.61699999999999999</v>
      </c>
      <c r="M8" s="33">
        <f t="shared" si="0"/>
        <v>550</v>
      </c>
    </row>
    <row r="9" spans="1:13" ht="18.95" customHeight="1" x14ac:dyDescent="0.15">
      <c r="A9" s="40">
        <v>12</v>
      </c>
      <c r="B9" s="39">
        <v>113.1</v>
      </c>
      <c r="C9" s="28">
        <v>226</v>
      </c>
      <c r="D9" s="28">
        <v>339</v>
      </c>
      <c r="E9" s="28">
        <v>452</v>
      </c>
      <c r="F9" s="28">
        <v>565</v>
      </c>
      <c r="G9" s="28">
        <v>678</v>
      </c>
      <c r="H9" s="28">
        <v>791</v>
      </c>
      <c r="I9" s="28">
        <v>904</v>
      </c>
      <c r="J9" s="28">
        <v>1017</v>
      </c>
      <c r="K9" s="29">
        <v>0.88800000000000001</v>
      </c>
      <c r="M9" s="33">
        <f t="shared" si="0"/>
        <v>791</v>
      </c>
    </row>
    <row r="10" spans="1:13" ht="18.95" customHeight="1" x14ac:dyDescent="0.15">
      <c r="A10" s="40">
        <v>14</v>
      </c>
      <c r="B10" s="39">
        <v>153.9</v>
      </c>
      <c r="C10" s="28">
        <v>308</v>
      </c>
      <c r="D10" s="28">
        <v>461</v>
      </c>
      <c r="E10" s="28">
        <v>615</v>
      </c>
      <c r="F10" s="28">
        <v>769</v>
      </c>
      <c r="G10" s="28">
        <v>923</v>
      </c>
      <c r="H10" s="28">
        <v>1077</v>
      </c>
      <c r="I10" s="28">
        <v>1231</v>
      </c>
      <c r="J10" s="28">
        <v>1385</v>
      </c>
      <c r="K10" s="29">
        <v>1.21</v>
      </c>
      <c r="M10" s="33">
        <f t="shared" si="0"/>
        <v>1077</v>
      </c>
    </row>
    <row r="11" spans="1:13" ht="18.95" customHeight="1" x14ac:dyDescent="0.15">
      <c r="A11" s="40">
        <v>16</v>
      </c>
      <c r="B11" s="39">
        <v>201.1</v>
      </c>
      <c r="C11" s="28">
        <v>402</v>
      </c>
      <c r="D11" s="28">
        <v>603</v>
      </c>
      <c r="E11" s="28">
        <v>804</v>
      </c>
      <c r="F11" s="28">
        <v>1005</v>
      </c>
      <c r="G11" s="28">
        <v>1206</v>
      </c>
      <c r="H11" s="28">
        <v>1407</v>
      </c>
      <c r="I11" s="28">
        <v>1608</v>
      </c>
      <c r="J11" s="28">
        <v>1809</v>
      </c>
      <c r="K11" s="29">
        <v>1.58</v>
      </c>
      <c r="M11" s="33">
        <f t="shared" si="0"/>
        <v>1407</v>
      </c>
    </row>
    <row r="12" spans="1:13" ht="18.95" customHeight="1" x14ac:dyDescent="0.15">
      <c r="A12" s="40">
        <v>18</v>
      </c>
      <c r="B12" s="39">
        <v>254.5</v>
      </c>
      <c r="C12" s="28">
        <v>509</v>
      </c>
      <c r="D12" s="28">
        <v>763</v>
      </c>
      <c r="E12" s="28">
        <v>1017</v>
      </c>
      <c r="F12" s="28">
        <v>1272</v>
      </c>
      <c r="G12" s="28">
        <v>1527</v>
      </c>
      <c r="H12" s="28">
        <v>1781</v>
      </c>
      <c r="I12" s="28">
        <v>2036</v>
      </c>
      <c r="J12" s="28">
        <v>2290</v>
      </c>
      <c r="K12" s="29">
        <v>2</v>
      </c>
      <c r="M12" s="33">
        <f t="shared" si="0"/>
        <v>1781</v>
      </c>
    </row>
    <row r="13" spans="1:13" ht="18.95" customHeight="1" x14ac:dyDescent="0.15">
      <c r="A13" s="40">
        <v>20</v>
      </c>
      <c r="B13" s="39">
        <v>314.2</v>
      </c>
      <c r="C13" s="28">
        <v>628</v>
      </c>
      <c r="D13" s="28">
        <v>942</v>
      </c>
      <c r="E13" s="28">
        <v>1256</v>
      </c>
      <c r="F13" s="28">
        <v>1570</v>
      </c>
      <c r="G13" s="28">
        <v>1884</v>
      </c>
      <c r="H13" s="28">
        <v>2199</v>
      </c>
      <c r="I13" s="28">
        <v>2513</v>
      </c>
      <c r="J13" s="28">
        <v>2827</v>
      </c>
      <c r="K13" s="29">
        <v>2.4700000000000002</v>
      </c>
      <c r="M13" s="33">
        <f t="shared" si="0"/>
        <v>2199</v>
      </c>
    </row>
    <row r="14" spans="1:13" ht="18.95" customHeight="1" x14ac:dyDescent="0.15">
      <c r="A14" s="40">
        <v>22</v>
      </c>
      <c r="B14" s="39">
        <v>380.1</v>
      </c>
      <c r="C14" s="28">
        <v>760</v>
      </c>
      <c r="D14" s="28">
        <v>1140</v>
      </c>
      <c r="E14" s="28">
        <v>1520</v>
      </c>
      <c r="F14" s="28">
        <v>1900</v>
      </c>
      <c r="G14" s="28">
        <v>2281</v>
      </c>
      <c r="H14" s="28">
        <v>2661</v>
      </c>
      <c r="I14" s="28">
        <v>3041</v>
      </c>
      <c r="J14" s="28">
        <v>3421</v>
      </c>
      <c r="K14" s="29">
        <v>2.98</v>
      </c>
      <c r="M14" s="33">
        <f t="shared" si="0"/>
        <v>2661</v>
      </c>
    </row>
    <row r="15" spans="1:13" ht="18.95" customHeight="1" x14ac:dyDescent="0.15">
      <c r="A15" s="40">
        <v>25</v>
      </c>
      <c r="B15" s="39">
        <v>490.9</v>
      </c>
      <c r="C15" s="28">
        <v>982</v>
      </c>
      <c r="D15" s="28">
        <v>1473</v>
      </c>
      <c r="E15" s="38">
        <v>1964</v>
      </c>
      <c r="F15" s="28">
        <v>2454</v>
      </c>
      <c r="G15" s="28">
        <v>2945</v>
      </c>
      <c r="H15" s="28">
        <v>3436</v>
      </c>
      <c r="I15" s="28">
        <v>3927</v>
      </c>
      <c r="J15" s="28">
        <v>4418</v>
      </c>
      <c r="K15" s="29">
        <v>3.85</v>
      </c>
      <c r="M15" s="33">
        <f t="shared" si="0"/>
        <v>3436</v>
      </c>
    </row>
    <row r="16" spans="1:13" ht="18.95" customHeight="1" x14ac:dyDescent="0.15">
      <c r="A16" s="40">
        <v>28</v>
      </c>
      <c r="B16" s="39">
        <v>615.79999999999995</v>
      </c>
      <c r="C16" s="28">
        <v>1232</v>
      </c>
      <c r="D16" s="28">
        <v>1847</v>
      </c>
      <c r="E16" s="28">
        <v>2463</v>
      </c>
      <c r="F16" s="28">
        <v>3079</v>
      </c>
      <c r="G16" s="28" t="s">
        <v>50</v>
      </c>
      <c r="H16" s="28">
        <v>4310</v>
      </c>
      <c r="I16" s="28">
        <v>4926</v>
      </c>
      <c r="J16" s="28">
        <v>5542</v>
      </c>
      <c r="K16" s="29">
        <v>4.83</v>
      </c>
      <c r="M16" s="33">
        <f t="shared" si="0"/>
        <v>4310</v>
      </c>
    </row>
    <row r="17" spans="1:13" ht="18.95" customHeight="1" x14ac:dyDescent="0.15">
      <c r="A17" s="40">
        <v>32</v>
      </c>
      <c r="B17" s="28">
        <v>804.2</v>
      </c>
      <c r="C17" s="28">
        <v>1609</v>
      </c>
      <c r="D17" s="28">
        <v>2413</v>
      </c>
      <c r="E17" s="28">
        <v>3217</v>
      </c>
      <c r="F17" s="28">
        <v>4021</v>
      </c>
      <c r="G17" s="28">
        <v>4826</v>
      </c>
      <c r="H17" s="28">
        <v>5630</v>
      </c>
      <c r="I17" s="28">
        <v>6434</v>
      </c>
      <c r="J17" s="28">
        <v>7238</v>
      </c>
      <c r="K17" s="29">
        <v>6.31</v>
      </c>
      <c r="M17" s="33">
        <f t="shared" si="0"/>
        <v>5630</v>
      </c>
    </row>
    <row r="18" spans="1:13" ht="18.95" customHeight="1" x14ac:dyDescent="0.15">
      <c r="A18" s="40">
        <v>36</v>
      </c>
      <c r="B18" s="28">
        <v>1017.9</v>
      </c>
      <c r="C18" s="28">
        <v>2036</v>
      </c>
      <c r="D18" s="28">
        <v>3054</v>
      </c>
      <c r="E18" s="28">
        <v>4072</v>
      </c>
      <c r="F18" s="28">
        <v>5089</v>
      </c>
      <c r="G18" s="28">
        <v>6107</v>
      </c>
      <c r="H18" s="28">
        <v>7125</v>
      </c>
      <c r="I18" s="28">
        <v>8143</v>
      </c>
      <c r="J18" s="28">
        <v>9161</v>
      </c>
      <c r="K18" s="29">
        <v>7.99</v>
      </c>
      <c r="M18" s="33">
        <f t="shared" si="0"/>
        <v>7125</v>
      </c>
    </row>
    <row r="19" spans="1:13" ht="18.95" customHeight="1" x14ac:dyDescent="0.15">
      <c r="A19" s="40">
        <v>40</v>
      </c>
      <c r="B19" s="28">
        <v>1256.5999999999999</v>
      </c>
      <c r="C19" s="28">
        <v>2513</v>
      </c>
      <c r="D19" s="28">
        <v>3770</v>
      </c>
      <c r="E19" s="28">
        <v>5027</v>
      </c>
      <c r="F19" s="28">
        <v>6283</v>
      </c>
      <c r="G19" s="28">
        <v>7540</v>
      </c>
      <c r="H19" s="38" t="s">
        <v>51</v>
      </c>
      <c r="I19" s="28">
        <v>10053</v>
      </c>
      <c r="J19" s="28">
        <v>11310</v>
      </c>
      <c r="K19" s="29">
        <v>9.8699999999999992</v>
      </c>
      <c r="M19" s="33" t="str">
        <f t="shared" si="0"/>
        <v xml:space="preserve">8796 </v>
      </c>
    </row>
    <row r="20" spans="1:13" ht="18.95" customHeight="1" thickBot="1" x14ac:dyDescent="0.2">
      <c r="A20" s="41">
        <v>50</v>
      </c>
      <c r="B20" s="30">
        <v>1964</v>
      </c>
      <c r="C20" s="30">
        <v>3928</v>
      </c>
      <c r="D20" s="30">
        <v>5892</v>
      </c>
      <c r="E20" s="30">
        <v>7856</v>
      </c>
      <c r="F20" s="30">
        <v>9820</v>
      </c>
      <c r="G20" s="30">
        <v>11784</v>
      </c>
      <c r="H20" s="30">
        <v>13748</v>
      </c>
      <c r="I20" s="30">
        <v>15712</v>
      </c>
      <c r="J20" s="30">
        <v>17676</v>
      </c>
      <c r="K20" s="31">
        <v>15.42</v>
      </c>
      <c r="M20" s="34">
        <f t="shared" si="0"/>
        <v>13748</v>
      </c>
    </row>
    <row r="21" spans="1:13" ht="15" thickBot="1" x14ac:dyDescent="0.2"/>
    <row r="22" spans="1:13" ht="32.25" customHeight="1" x14ac:dyDescent="0.15">
      <c r="B22" s="374" t="s">
        <v>55</v>
      </c>
      <c r="C22" s="375"/>
      <c r="D22" s="375"/>
      <c r="E22" s="375"/>
      <c r="F22" s="375"/>
      <c r="G22" s="376"/>
      <c r="I22" s="392" t="s">
        <v>63</v>
      </c>
      <c r="J22" s="393"/>
      <c r="K22" s="394"/>
    </row>
    <row r="23" spans="1:13" ht="30.75" customHeight="1" x14ac:dyDescent="0.15">
      <c r="A23" s="26"/>
      <c r="B23" s="37" t="s">
        <v>52</v>
      </c>
      <c r="C23" s="27" t="s">
        <v>53</v>
      </c>
      <c r="D23" s="370" t="s">
        <v>54</v>
      </c>
      <c r="E23" s="370"/>
      <c r="F23" s="370"/>
      <c r="G23" s="371"/>
      <c r="H23" s="26"/>
      <c r="I23" s="44" t="s">
        <v>62</v>
      </c>
      <c r="J23" s="370" t="s">
        <v>61</v>
      </c>
      <c r="K23" s="371"/>
    </row>
    <row r="24" spans="1:13" ht="29.25" customHeight="1" thickBot="1" x14ac:dyDescent="0.2">
      <c r="A24" s="26"/>
      <c r="B24" s="35">
        <v>7</v>
      </c>
      <c r="C24" s="36">
        <v>16</v>
      </c>
      <c r="D24" s="372">
        <f>VLOOKUP(C24,A5:M20,13,FALSE)</f>
        <v>1407</v>
      </c>
      <c r="E24" s="372"/>
      <c r="F24" s="372"/>
      <c r="G24" s="373"/>
      <c r="H24" s="26"/>
      <c r="I24" s="35">
        <v>25</v>
      </c>
      <c r="J24" s="372">
        <f>VLOOKUP(I24,A5:K20,11,FALSE)</f>
        <v>3.85</v>
      </c>
      <c r="K24" s="373"/>
    </row>
    <row r="25" spans="1:13" x14ac:dyDescent="0.1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3" x14ac:dyDescent="0.1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3" x14ac:dyDescent="0.1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3" x14ac:dyDescent="0.1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3" x14ac:dyDescent="0.1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3" x14ac:dyDescent="0.1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3" x14ac:dyDescent="0.1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</sheetData>
  <mergeCells count="13">
    <mergeCell ref="D23:G23"/>
    <mergeCell ref="D24:G24"/>
    <mergeCell ref="B22:G22"/>
    <mergeCell ref="L1:M1"/>
    <mergeCell ref="L2:M2"/>
    <mergeCell ref="L3:M3"/>
    <mergeCell ref="A1:K2"/>
    <mergeCell ref="A3:A4"/>
    <mergeCell ref="B3:J3"/>
    <mergeCell ref="K3:K4"/>
    <mergeCell ref="I22:K22"/>
    <mergeCell ref="J23:K23"/>
    <mergeCell ref="J24:K24"/>
  </mergeCells>
  <phoneticPr fontId="3" type="noConversion"/>
  <dataValidations count="2">
    <dataValidation type="list" allowBlank="1" showInputMessage="1" showErrorMessage="1" sqref="B24" xr:uid="{00000000-0002-0000-0100-000000000000}">
      <formula1>$B$4:$J$4</formula1>
    </dataValidation>
    <dataValidation type="list" allowBlank="1" showInputMessage="1" showErrorMessage="1" sqref="C24 I24" xr:uid="{00000000-0002-0000-0100-000001000000}">
      <formula1>$A$5:$A$20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3"/>
  <sheetViews>
    <sheetView tabSelected="1" topLeftCell="A112" zoomScale="115" zoomScaleNormal="115" workbookViewId="0">
      <selection activeCell="H125" sqref="H125"/>
    </sheetView>
  </sheetViews>
  <sheetFormatPr defaultRowHeight="14.25" x14ac:dyDescent="0.15"/>
  <cols>
    <col min="1" max="1" width="18" customWidth="1"/>
    <col min="2" max="2" width="19.125" customWidth="1"/>
    <col min="3" max="3" width="17.375" customWidth="1"/>
    <col min="4" max="4" width="21" customWidth="1"/>
    <col min="5" max="5" width="19.25" customWidth="1"/>
    <col min="6" max="6" width="19" customWidth="1"/>
    <col min="7" max="7" width="21.5" customWidth="1"/>
    <col min="8" max="8" width="16.375" customWidth="1"/>
    <col min="9" max="9" width="20.25" customWidth="1"/>
    <col min="10" max="10" width="22.375" customWidth="1"/>
    <col min="11" max="11" width="23.75" customWidth="1"/>
    <col min="12" max="12" width="24.875" customWidth="1"/>
    <col min="14" max="14" width="11.125" customWidth="1"/>
    <col min="15" max="15" width="10.875" customWidth="1"/>
    <col min="16" max="16" width="24.75" customWidth="1"/>
    <col min="17" max="18" width="10.25" customWidth="1"/>
    <col min="20" max="20" width="26.875" customWidth="1"/>
  </cols>
  <sheetData>
    <row r="1" spans="1:9" x14ac:dyDescent="0.15">
      <c r="A1" s="1" t="s">
        <v>72</v>
      </c>
      <c r="B1" s="417" t="s">
        <v>73</v>
      </c>
      <c r="C1" s="417"/>
    </row>
    <row r="2" spans="1:9" ht="15" thickBot="1" x14ac:dyDescent="0.2">
      <c r="A2" s="26"/>
      <c r="B2" s="26"/>
      <c r="C2" s="26"/>
      <c r="D2" s="26"/>
      <c r="E2" s="26"/>
      <c r="F2" s="26"/>
      <c r="G2" s="26"/>
    </row>
    <row r="3" spans="1:9" x14ac:dyDescent="0.15">
      <c r="A3" s="93" t="s">
        <v>45</v>
      </c>
      <c r="B3" s="93" t="s">
        <v>46</v>
      </c>
      <c r="C3" s="93" t="s">
        <v>47</v>
      </c>
      <c r="D3" s="432" t="s">
        <v>48</v>
      </c>
      <c r="E3" s="94" t="s">
        <v>45</v>
      </c>
      <c r="F3" s="95"/>
      <c r="G3" s="26"/>
    </row>
    <row r="4" spans="1:9" ht="15" thickBot="1" x14ac:dyDescent="0.2">
      <c r="A4" s="96">
        <v>13</v>
      </c>
      <c r="B4" s="96">
        <v>14</v>
      </c>
      <c r="C4" s="96">
        <v>52</v>
      </c>
      <c r="D4" s="433"/>
      <c r="E4" s="97">
        <f>A4+B4/60+C4/3600</f>
        <v>13.247777777777777</v>
      </c>
      <c r="F4" s="95"/>
      <c r="G4" s="26"/>
    </row>
    <row r="5" spans="1:9" ht="15" thickBot="1" x14ac:dyDescent="0.2">
      <c r="A5" s="26"/>
      <c r="B5" s="26"/>
      <c r="C5" s="26"/>
      <c r="D5" s="26"/>
      <c r="E5" s="26"/>
      <c r="F5" s="26"/>
      <c r="G5" s="26"/>
    </row>
    <row r="6" spans="1:9" x14ac:dyDescent="0.15">
      <c r="A6" s="93" t="s">
        <v>36</v>
      </c>
      <c r="B6" s="93" t="s">
        <v>38</v>
      </c>
      <c r="C6" s="94" t="s">
        <v>37</v>
      </c>
      <c r="D6" s="26"/>
      <c r="E6" s="26"/>
      <c r="F6" s="26"/>
      <c r="G6" s="26"/>
    </row>
    <row r="7" spans="1:9" ht="15" thickBot="1" x14ac:dyDescent="0.2">
      <c r="A7" s="98">
        <v>89.09</v>
      </c>
      <c r="B7" s="96">
        <v>2.3839999999999999</v>
      </c>
      <c r="C7" s="99">
        <f>3.1415926*B7*A7/180</f>
        <v>3.7069145089214222</v>
      </c>
      <c r="D7" s="26"/>
      <c r="E7" s="26"/>
      <c r="F7" s="26"/>
      <c r="G7" s="26"/>
    </row>
    <row r="8" spans="1:9" ht="15" thickBot="1" x14ac:dyDescent="0.2">
      <c r="A8" s="26"/>
      <c r="B8" s="26"/>
      <c r="C8" s="26"/>
      <c r="D8" s="26"/>
      <c r="E8" s="26"/>
      <c r="F8" s="26"/>
      <c r="G8" s="26"/>
    </row>
    <row r="9" spans="1:9" x14ac:dyDescent="0.15">
      <c r="A9" s="100" t="s">
        <v>39</v>
      </c>
      <c r="B9" s="93" t="s">
        <v>40</v>
      </c>
      <c r="C9" s="93" t="s">
        <v>41</v>
      </c>
      <c r="D9" s="93" t="s">
        <v>172</v>
      </c>
      <c r="E9" s="94" t="s">
        <v>173</v>
      </c>
      <c r="G9" s="26"/>
    </row>
    <row r="10" spans="1:9" ht="15" thickBot="1" x14ac:dyDescent="0.2">
      <c r="A10" s="101">
        <v>100</v>
      </c>
      <c r="B10" s="96">
        <v>1250</v>
      </c>
      <c r="C10" s="102">
        <f>SQRT(A10^2+B10^2)</f>
        <v>1253.9936203984453</v>
      </c>
      <c r="D10" s="103">
        <f>A10/B10</f>
        <v>0.08</v>
      </c>
      <c r="E10" s="104">
        <f>A10/C10</f>
        <v>7.9745222282889994E-2</v>
      </c>
      <c r="G10" s="105"/>
    </row>
    <row r="11" spans="1:9" ht="15" thickBot="1" x14ac:dyDescent="0.2">
      <c r="A11" s="26"/>
      <c r="B11" s="26"/>
      <c r="F11" s="26"/>
      <c r="G11" s="26"/>
    </row>
    <row r="12" spans="1:9" x14ac:dyDescent="0.15">
      <c r="A12" s="100" t="s">
        <v>172</v>
      </c>
      <c r="B12" s="93" t="s">
        <v>174</v>
      </c>
      <c r="C12" s="94" t="s">
        <v>175</v>
      </c>
      <c r="E12" s="106" t="s">
        <v>176</v>
      </c>
      <c r="F12" s="93" t="s">
        <v>175</v>
      </c>
      <c r="G12" s="94" t="s">
        <v>174</v>
      </c>
    </row>
    <row r="13" spans="1:9" ht="15" thickBot="1" x14ac:dyDescent="0.2">
      <c r="A13" s="107">
        <v>6.6000000000000003E-2</v>
      </c>
      <c r="B13" s="96">
        <v>1295</v>
      </c>
      <c r="C13" s="108">
        <f>B13*A13</f>
        <v>85.47</v>
      </c>
      <c r="E13" s="107">
        <v>6.6000000000000003E-2</v>
      </c>
      <c r="F13" s="96">
        <v>85.47</v>
      </c>
      <c r="G13" s="108">
        <f>F13/E13</f>
        <v>1295</v>
      </c>
    </row>
    <row r="14" spans="1:9" ht="15" thickBot="1" x14ac:dyDescent="0.2">
      <c r="A14" s="26"/>
      <c r="B14" s="26"/>
      <c r="F14" s="26"/>
      <c r="G14" s="26"/>
    </row>
    <row r="15" spans="1:9" x14ac:dyDescent="0.15">
      <c r="A15" s="93" t="s">
        <v>171</v>
      </c>
      <c r="B15" s="93" t="s">
        <v>40</v>
      </c>
      <c r="C15" s="93" t="s">
        <v>39</v>
      </c>
      <c r="D15" s="94" t="s">
        <v>41</v>
      </c>
      <c r="F15" s="109" t="s">
        <v>171</v>
      </c>
      <c r="G15" s="110" t="s">
        <v>170</v>
      </c>
      <c r="H15" s="110" t="s">
        <v>40</v>
      </c>
      <c r="I15" s="111" t="s">
        <v>41</v>
      </c>
    </row>
    <row r="16" spans="1:9" ht="15" thickBot="1" x14ac:dyDescent="0.2">
      <c r="A16" s="112">
        <v>6.6000000000000003E-2</v>
      </c>
      <c r="B16" s="96">
        <v>1295.2924</v>
      </c>
      <c r="C16" s="102">
        <f>B16*A16/SQRT(1-A16^2)</f>
        <v>85.676104609823938</v>
      </c>
      <c r="D16" s="97">
        <f>SQRT(B16^2+C16^2)</f>
        <v>1298.1227971185444</v>
      </c>
      <c r="E16" s="26"/>
      <c r="F16" s="113">
        <v>0.41768</v>
      </c>
      <c r="G16" s="114">
        <v>25.007999999999999</v>
      </c>
      <c r="H16" s="115">
        <f>G16*SQRT(1-F16^2)/F16</f>
        <v>54.40079418886608</v>
      </c>
      <c r="I16" s="116">
        <f>SQRT(G16^2+H16^2)</f>
        <v>59.873587435357216</v>
      </c>
    </row>
    <row r="17" spans="1:10" ht="15" thickBot="1" x14ac:dyDescent="0.2">
      <c r="A17" s="26"/>
      <c r="B17" s="26"/>
      <c r="C17" s="26"/>
      <c r="D17" s="26"/>
      <c r="E17" s="26"/>
      <c r="F17" s="26"/>
      <c r="G17" s="26"/>
    </row>
    <row r="18" spans="1:10" x14ac:dyDescent="0.15">
      <c r="A18" s="93" t="s">
        <v>42</v>
      </c>
      <c r="B18" s="93" t="s">
        <v>43</v>
      </c>
      <c r="C18" s="93" t="s">
        <v>44</v>
      </c>
      <c r="D18" s="94" t="s">
        <v>35</v>
      </c>
      <c r="E18" s="26"/>
      <c r="F18" s="26"/>
      <c r="G18" s="26"/>
    </row>
    <row r="19" spans="1:10" ht="15" thickBot="1" x14ac:dyDescent="0.2">
      <c r="A19" s="96">
        <v>5.74</v>
      </c>
      <c r="B19" s="117">
        <f>TAN(RADIANS(A19))</f>
        <v>0.10051840569155993</v>
      </c>
      <c r="C19" s="117">
        <f>COS(RADIANS(A19))</f>
        <v>0.99498598921204906</v>
      </c>
      <c r="D19" s="118">
        <f>SIN(RADIANS(A19))</f>
        <v>0.10001440532103481</v>
      </c>
      <c r="E19" s="26"/>
      <c r="F19" s="26"/>
      <c r="G19" s="26"/>
    </row>
    <row r="20" spans="1:10" ht="15" thickBot="1" x14ac:dyDescent="0.2">
      <c r="A20" s="26"/>
      <c r="B20" s="26"/>
      <c r="C20" s="26"/>
      <c r="D20" s="26"/>
      <c r="E20" s="26"/>
      <c r="F20" s="26"/>
      <c r="G20" s="26"/>
    </row>
    <row r="21" spans="1:10" x14ac:dyDescent="0.15">
      <c r="A21" s="93" t="s">
        <v>35</v>
      </c>
      <c r="B21" s="94" t="s">
        <v>42</v>
      </c>
      <c r="C21" s="100" t="s">
        <v>43</v>
      </c>
      <c r="D21" s="94" t="s">
        <v>42</v>
      </c>
      <c r="E21" s="100" t="s">
        <v>44</v>
      </c>
      <c r="F21" s="94" t="s">
        <v>42</v>
      </c>
      <c r="G21" s="26"/>
    </row>
    <row r="22" spans="1:10" ht="15" thickBot="1" x14ac:dyDescent="0.2">
      <c r="A22" s="98">
        <v>0.1</v>
      </c>
      <c r="B22" s="119">
        <f>DEGREES(ASIN(A22))</f>
        <v>5.7391704772667866</v>
      </c>
      <c r="C22" s="120">
        <v>0.10050000000000001</v>
      </c>
      <c r="D22" s="119">
        <f>DEGREES(ATAN(C22))</f>
        <v>5.7389559783654311</v>
      </c>
      <c r="E22" s="120">
        <v>0.995</v>
      </c>
      <c r="F22" s="119">
        <f>DEGREES(ACOS(E22))</f>
        <v>5.7319679651977298</v>
      </c>
      <c r="G22" s="121"/>
    </row>
    <row r="23" spans="1:10" ht="15" thickBot="1" x14ac:dyDescent="0.2">
      <c r="A23" s="26"/>
      <c r="B23" s="26"/>
      <c r="C23" s="121"/>
      <c r="D23" s="26"/>
      <c r="E23" s="26"/>
      <c r="F23" s="26"/>
      <c r="G23" s="26"/>
    </row>
    <row r="24" spans="1:10" x14ac:dyDescent="0.15">
      <c r="A24" s="109" t="s">
        <v>400</v>
      </c>
      <c r="B24" s="110" t="s">
        <v>401</v>
      </c>
      <c r="C24" s="184" t="s">
        <v>402</v>
      </c>
      <c r="D24" s="402" t="s">
        <v>405</v>
      </c>
      <c r="E24" s="404"/>
      <c r="F24" s="26"/>
      <c r="G24" s="26"/>
    </row>
    <row r="25" spans="1:10" x14ac:dyDescent="0.15">
      <c r="A25" s="37" t="s">
        <v>403</v>
      </c>
      <c r="B25" s="236">
        <v>840</v>
      </c>
      <c r="C25" s="239">
        <v>569.32500000000005</v>
      </c>
      <c r="D25" s="37" t="s">
        <v>401</v>
      </c>
      <c r="E25" s="237">
        <v>845</v>
      </c>
      <c r="F25" s="26"/>
      <c r="G25" s="26"/>
    </row>
    <row r="26" spans="1:10" ht="15" thickBot="1" x14ac:dyDescent="0.2">
      <c r="A26" s="201" t="s">
        <v>404</v>
      </c>
      <c r="B26" s="238">
        <v>860</v>
      </c>
      <c r="C26" s="240">
        <v>570.02</v>
      </c>
      <c r="D26" s="201" t="s">
        <v>402</v>
      </c>
      <c r="E26" s="116">
        <f>TREND(C25:C26,B25:B26,E25)</f>
        <v>569.49874999999997</v>
      </c>
      <c r="F26" s="26"/>
      <c r="G26" s="26"/>
    </row>
    <row r="27" spans="1:10" ht="15" thickBot="1" x14ac:dyDescent="0.2">
      <c r="A27" s="26"/>
      <c r="B27" s="26"/>
      <c r="C27" s="121"/>
      <c r="D27" s="26"/>
      <c r="E27" s="26"/>
      <c r="F27" s="26"/>
      <c r="G27" s="26"/>
    </row>
    <row r="28" spans="1:10" ht="20.25" customHeight="1" x14ac:dyDescent="0.15">
      <c r="A28" s="418" t="s">
        <v>169</v>
      </c>
      <c r="B28" s="419"/>
      <c r="C28" s="419"/>
      <c r="D28" s="419"/>
      <c r="E28" s="419"/>
      <c r="F28" s="419"/>
      <c r="G28" s="419"/>
      <c r="H28" s="419"/>
      <c r="I28" s="419"/>
      <c r="J28" s="420"/>
    </row>
    <row r="29" spans="1:10" ht="52.5" customHeight="1" x14ac:dyDescent="0.15">
      <c r="A29" s="126" t="s">
        <v>185</v>
      </c>
      <c r="B29" s="127" t="s">
        <v>166</v>
      </c>
      <c r="C29" s="127" t="s">
        <v>167</v>
      </c>
      <c r="D29" s="127" t="s">
        <v>186</v>
      </c>
      <c r="E29" s="127" t="s">
        <v>187</v>
      </c>
      <c r="F29" s="127" t="s">
        <v>188</v>
      </c>
      <c r="G29" s="127" t="s">
        <v>168</v>
      </c>
      <c r="H29" s="127" t="s">
        <v>189</v>
      </c>
      <c r="I29" s="127" t="s">
        <v>190</v>
      </c>
      <c r="J29" s="128" t="s">
        <v>191</v>
      </c>
    </row>
    <row r="30" spans="1:10" s="26" customFormat="1" ht="15" thickBot="1" x14ac:dyDescent="0.2">
      <c r="A30" s="129">
        <v>6.6000000000000003E-2</v>
      </c>
      <c r="B30" s="130">
        <v>769.53</v>
      </c>
      <c r="C30" s="131">
        <f>B30*A30/SQRT(1-A30^2)</f>
        <v>50.89996110561431</v>
      </c>
      <c r="D30" s="132">
        <v>150</v>
      </c>
      <c r="E30" s="131">
        <f>D30-C30</f>
        <v>99.10003889438569</v>
      </c>
      <c r="F30" s="132">
        <v>42</v>
      </c>
      <c r="G30" s="131">
        <f>E30-F30</f>
        <v>57.10003889438569</v>
      </c>
      <c r="H30" s="133">
        <v>528.48</v>
      </c>
      <c r="I30" s="134">
        <f>G30/SQRT(G30^2+H30^2)</f>
        <v>0.10742060063525012</v>
      </c>
      <c r="J30" s="135">
        <f>G30/H30</f>
        <v>0.10804578961244643</v>
      </c>
    </row>
    <row r="31" spans="1:10" s="26" customFormat="1" ht="15" thickBot="1" x14ac:dyDescent="0.2"/>
    <row r="32" spans="1:10" s="26" customFormat="1" x14ac:dyDescent="0.15">
      <c r="A32" s="402" t="s">
        <v>177</v>
      </c>
      <c r="B32" s="403"/>
      <c r="C32" s="403"/>
      <c r="D32" s="403"/>
      <c r="E32" s="403"/>
      <c r="F32" s="403"/>
      <c r="G32" s="403"/>
      <c r="H32" s="403"/>
      <c r="I32" s="403"/>
      <c r="J32" s="404"/>
    </row>
    <row r="33" spans="1:16" s="26" customFormat="1" ht="47.25" x14ac:dyDescent="0.15">
      <c r="A33" s="44" t="s">
        <v>183</v>
      </c>
      <c r="B33" s="122" t="s">
        <v>166</v>
      </c>
      <c r="C33" s="122" t="s">
        <v>631</v>
      </c>
      <c r="D33" s="122" t="s">
        <v>179</v>
      </c>
      <c r="E33" s="122" t="s">
        <v>180</v>
      </c>
      <c r="F33" s="122" t="s">
        <v>181</v>
      </c>
      <c r="G33" s="122" t="s">
        <v>168</v>
      </c>
      <c r="H33" s="122" t="s">
        <v>182</v>
      </c>
      <c r="I33" s="122" t="s">
        <v>184</v>
      </c>
      <c r="J33" s="136" t="s">
        <v>178</v>
      </c>
    </row>
    <row r="34" spans="1:16" ht="15" thickBot="1" x14ac:dyDescent="0.2">
      <c r="A34" s="137">
        <v>6.6000000000000003E-2</v>
      </c>
      <c r="B34" s="114">
        <v>769.53</v>
      </c>
      <c r="C34" s="138">
        <f>B34*A34</f>
        <v>50.788980000000002</v>
      </c>
      <c r="D34" s="114">
        <v>150</v>
      </c>
      <c r="E34" s="138">
        <f>D34-C34</f>
        <v>99.211019999999991</v>
      </c>
      <c r="F34" s="114">
        <v>42</v>
      </c>
      <c r="G34" s="138">
        <f>E34-F34</f>
        <v>57.211019999999991</v>
      </c>
      <c r="H34" s="114">
        <v>528.48</v>
      </c>
      <c r="I34" s="123">
        <f>G34/H34</f>
        <v>0.10825579019073567</v>
      </c>
      <c r="J34" s="124">
        <f>G34/SQRT(G34^2+H34^2)</f>
        <v>0.10762696991907862</v>
      </c>
    </row>
    <row r="35" spans="1:16" ht="15" thickBot="1" x14ac:dyDescent="0.2">
      <c r="C35" s="125"/>
    </row>
    <row r="36" spans="1:16" ht="17.25" thickBot="1" x14ac:dyDescent="0.2">
      <c r="A36" s="106" t="s">
        <v>218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1"/>
    </row>
    <row r="37" spans="1:16" s="139" customFormat="1" ht="18" customHeight="1" thickTop="1" x14ac:dyDescent="0.15">
      <c r="A37" s="421" t="s">
        <v>219</v>
      </c>
      <c r="B37" s="422"/>
      <c r="C37" s="422"/>
      <c r="D37" s="422"/>
      <c r="E37" s="423"/>
      <c r="F37" s="424" t="s">
        <v>221</v>
      </c>
      <c r="G37" s="422"/>
      <c r="H37" s="422"/>
      <c r="I37" s="422"/>
      <c r="J37" s="422"/>
      <c r="K37" s="422"/>
      <c r="L37" s="425"/>
      <c r="M37"/>
      <c r="N37"/>
      <c r="O37"/>
      <c r="P37"/>
    </row>
    <row r="38" spans="1:16" s="139" customFormat="1" ht="30.75" x14ac:dyDescent="0.15">
      <c r="A38" s="44" t="s">
        <v>192</v>
      </c>
      <c r="B38" s="122" t="s">
        <v>193</v>
      </c>
      <c r="C38" s="122" t="s">
        <v>194</v>
      </c>
      <c r="D38" s="122" t="s">
        <v>195</v>
      </c>
      <c r="E38" s="156" t="s">
        <v>197</v>
      </c>
      <c r="F38" s="159" t="s">
        <v>196</v>
      </c>
      <c r="G38" s="122" t="s">
        <v>198</v>
      </c>
      <c r="H38" s="122" t="s">
        <v>200</v>
      </c>
      <c r="I38" s="122" t="s">
        <v>201</v>
      </c>
      <c r="J38" s="122" t="s">
        <v>202</v>
      </c>
      <c r="K38" s="122" t="s">
        <v>203</v>
      </c>
      <c r="L38" s="150" t="s">
        <v>204</v>
      </c>
      <c r="M38"/>
      <c r="N38"/>
      <c r="O38"/>
      <c r="P38"/>
    </row>
    <row r="39" spans="1:16" s="139" customFormat="1" ht="15" thickBot="1" x14ac:dyDescent="0.2">
      <c r="A39" s="151">
        <v>16209</v>
      </c>
      <c r="B39" s="152">
        <v>36</v>
      </c>
      <c r="C39" s="153">
        <f>A39/B39</f>
        <v>450.25</v>
      </c>
      <c r="D39" s="152">
        <v>1.2</v>
      </c>
      <c r="E39" s="157">
        <f>D39*C39</f>
        <v>540.29999999999995</v>
      </c>
      <c r="F39" s="158" t="s">
        <v>199</v>
      </c>
      <c r="G39" s="154">
        <f>IF(F39="45t",20,IF(F39="32t",15,IF(F39="20t",12,"无此车辆类型")))</f>
        <v>15</v>
      </c>
      <c r="H39" s="152">
        <v>20</v>
      </c>
      <c r="I39" s="152">
        <v>0.8</v>
      </c>
      <c r="J39" s="154">
        <f>I39*60*G39/H39</f>
        <v>36</v>
      </c>
      <c r="K39" s="152">
        <v>1.3</v>
      </c>
      <c r="L39" s="155">
        <f>_xlfn.CEILING.MATH((C39/J39)*K39)</f>
        <v>17</v>
      </c>
      <c r="M39"/>
      <c r="N39"/>
      <c r="O39"/>
      <c r="P39"/>
    </row>
    <row r="40" spans="1:16" ht="27.75" customHeight="1" thickTop="1" x14ac:dyDescent="0.15">
      <c r="A40" s="426" t="s">
        <v>205</v>
      </c>
      <c r="B40" s="427"/>
      <c r="C40" s="427"/>
      <c r="D40" s="428"/>
      <c r="E40" s="429" t="s">
        <v>210</v>
      </c>
      <c r="F40" s="163" t="s">
        <v>211</v>
      </c>
      <c r="G40" s="164" t="s">
        <v>214</v>
      </c>
      <c r="H40" s="163" t="s">
        <v>215</v>
      </c>
      <c r="I40" s="164" t="s">
        <v>216</v>
      </c>
      <c r="J40" s="163" t="s">
        <v>217</v>
      </c>
      <c r="K40" s="164" t="s">
        <v>238</v>
      </c>
      <c r="L40" s="166" t="s">
        <v>237</v>
      </c>
    </row>
    <row r="41" spans="1:16" ht="28.5" x14ac:dyDescent="0.15">
      <c r="A41" s="44" t="s">
        <v>206</v>
      </c>
      <c r="B41" s="122" t="s">
        <v>207</v>
      </c>
      <c r="C41" s="122" t="s">
        <v>208</v>
      </c>
      <c r="D41" s="156" t="s">
        <v>209</v>
      </c>
      <c r="E41" s="430"/>
      <c r="F41" s="122" t="s">
        <v>212</v>
      </c>
      <c r="G41" s="148">
        <v>28.8</v>
      </c>
      <c r="H41" s="148">
        <v>7</v>
      </c>
      <c r="I41" s="149">
        <f>G41*H41</f>
        <v>201.6</v>
      </c>
      <c r="J41" s="149">
        <f>_xlfn.CEILING.MATH(H41*K39)</f>
        <v>10</v>
      </c>
      <c r="K41" s="413" t="s">
        <v>239</v>
      </c>
      <c r="L41" s="415" t="s">
        <v>240</v>
      </c>
    </row>
    <row r="42" spans="1:16" ht="15" thickBot="1" x14ac:dyDescent="0.2">
      <c r="A42" s="167">
        <v>3</v>
      </c>
      <c r="B42" s="160">
        <v>21</v>
      </c>
      <c r="C42" s="161">
        <f>B42/A42</f>
        <v>7</v>
      </c>
      <c r="D42" s="162">
        <f>C42/H39</f>
        <v>0.35</v>
      </c>
      <c r="E42" s="431"/>
      <c r="F42" s="160" t="s">
        <v>213</v>
      </c>
      <c r="G42" s="160">
        <v>36</v>
      </c>
      <c r="H42" s="161">
        <f>_xlfn.CEILING.MATH(I42/G42)</f>
        <v>7</v>
      </c>
      <c r="I42" s="165">
        <f>C39-I41</f>
        <v>248.65</v>
      </c>
      <c r="J42" s="161">
        <f>_xlfn.CEILING.MATH(H42*K39)</f>
        <v>10</v>
      </c>
      <c r="K42" s="414"/>
      <c r="L42" s="416"/>
    </row>
    <row r="43" spans="1:16" ht="15" thickTop="1" x14ac:dyDescent="0.15">
      <c r="A43" s="143" t="s">
        <v>235</v>
      </c>
      <c r="L43" s="142"/>
    </row>
    <row r="44" spans="1:16" x14ac:dyDescent="0.15">
      <c r="A44" s="143" t="s">
        <v>219</v>
      </c>
      <c r="F44" t="s">
        <v>220</v>
      </c>
      <c r="L44" s="142"/>
    </row>
    <row r="45" spans="1:16" x14ac:dyDescent="0.15">
      <c r="A45" s="143" t="s">
        <v>222</v>
      </c>
      <c r="F45" t="s">
        <v>228</v>
      </c>
      <c r="L45" s="142"/>
    </row>
    <row r="46" spans="1:16" ht="16.5" customHeight="1" x14ac:dyDescent="0.15">
      <c r="A46" s="143"/>
      <c r="L46" s="142"/>
    </row>
    <row r="47" spans="1:16" ht="16.5" customHeight="1" x14ac:dyDescent="0.15">
      <c r="A47" s="143"/>
      <c r="L47" s="142"/>
    </row>
    <row r="48" spans="1:16" ht="18.75" x14ac:dyDescent="0.25">
      <c r="A48" s="143" t="s">
        <v>224</v>
      </c>
      <c r="F48" t="s">
        <v>229</v>
      </c>
      <c r="L48" s="142"/>
    </row>
    <row r="49" spans="1:13" ht="19.5" x14ac:dyDescent="0.35">
      <c r="A49" s="143" t="s">
        <v>225</v>
      </c>
      <c r="F49" s="144" t="s">
        <v>230</v>
      </c>
      <c r="L49" s="142"/>
    </row>
    <row r="50" spans="1:13" ht="18" x14ac:dyDescent="0.25">
      <c r="A50" s="143" t="s">
        <v>226</v>
      </c>
      <c r="F50" t="s">
        <v>231</v>
      </c>
      <c r="L50" s="142"/>
    </row>
    <row r="51" spans="1:13" ht="15.75" x14ac:dyDescent="0.25">
      <c r="A51" s="143" t="s">
        <v>223</v>
      </c>
      <c r="F51" t="s">
        <v>232</v>
      </c>
      <c r="L51" s="142"/>
    </row>
    <row r="52" spans="1:13" x14ac:dyDescent="0.15">
      <c r="A52" s="143"/>
      <c r="F52" t="s">
        <v>233</v>
      </c>
      <c r="L52" s="142"/>
    </row>
    <row r="53" spans="1:13" x14ac:dyDescent="0.15">
      <c r="A53" s="143"/>
      <c r="L53" s="142"/>
    </row>
    <row r="54" spans="1:13" x14ac:dyDescent="0.15">
      <c r="A54" s="143" t="s">
        <v>227</v>
      </c>
      <c r="L54" s="142"/>
    </row>
    <row r="55" spans="1:13" x14ac:dyDescent="0.15">
      <c r="A55" s="143"/>
      <c r="L55" s="142"/>
    </row>
    <row r="56" spans="1:13" ht="15.75" x14ac:dyDescent="0.25">
      <c r="A56" s="143"/>
      <c r="F56" t="s">
        <v>234</v>
      </c>
      <c r="L56" s="142"/>
    </row>
    <row r="57" spans="1:13" ht="19.5" thickBot="1" x14ac:dyDescent="0.4">
      <c r="A57" s="145"/>
      <c r="B57" s="146"/>
      <c r="C57" s="146"/>
      <c r="D57" s="146"/>
      <c r="E57" s="146"/>
      <c r="F57" s="146" t="s">
        <v>236</v>
      </c>
      <c r="G57" s="146"/>
      <c r="H57" s="146"/>
      <c r="I57" s="146"/>
      <c r="J57" s="146"/>
      <c r="K57" s="146"/>
      <c r="L57" s="147"/>
    </row>
    <row r="58" spans="1:13" ht="15" thickBot="1" x14ac:dyDescent="0.2"/>
    <row r="59" spans="1:13" x14ac:dyDescent="0.15">
      <c r="A59" s="437" t="s">
        <v>302</v>
      </c>
      <c r="B59" s="438"/>
      <c r="C59" s="438"/>
      <c r="D59" s="438"/>
      <c r="E59" s="438"/>
      <c r="F59" s="438"/>
      <c r="G59" s="438"/>
      <c r="H59" s="439"/>
    </row>
    <row r="60" spans="1:13" x14ac:dyDescent="0.15">
      <c r="A60" s="172" t="s">
        <v>241</v>
      </c>
      <c r="B60" s="168"/>
      <c r="C60" s="168"/>
      <c r="D60" s="168"/>
      <c r="E60" s="168"/>
      <c r="F60" s="168"/>
      <c r="G60" s="168"/>
      <c r="H60" s="173"/>
    </row>
    <row r="61" spans="1:13" ht="20.25" customHeight="1" x14ac:dyDescent="0.15">
      <c r="A61" s="37" t="s">
        <v>243</v>
      </c>
      <c r="B61" s="169">
        <v>0</v>
      </c>
      <c r="C61" s="169">
        <v>50</v>
      </c>
      <c r="D61" s="169">
        <v>100</v>
      </c>
      <c r="E61" s="169">
        <v>200</v>
      </c>
      <c r="F61" s="170" t="s">
        <v>244</v>
      </c>
      <c r="G61" s="171" t="s">
        <v>245</v>
      </c>
      <c r="H61" s="136">
        <v>185</v>
      </c>
    </row>
    <row r="62" spans="1:13" ht="29.25" thickBot="1" x14ac:dyDescent="0.2">
      <c r="A62" s="196" t="s">
        <v>242</v>
      </c>
      <c r="B62" s="197">
        <v>20</v>
      </c>
      <c r="C62" s="197">
        <v>30</v>
      </c>
      <c r="D62" s="197">
        <v>50</v>
      </c>
      <c r="E62" s="197">
        <v>100</v>
      </c>
      <c r="F62" s="197">
        <v>150</v>
      </c>
      <c r="G62" s="198" t="s">
        <v>246</v>
      </c>
      <c r="H62" s="199">
        <f ca="1">TREND(OFFSET($A$62,0,MATCH(H61,$B$61:$F$61,1)):OFFSET($A$62,0,MATCH(H61,$B$61:$F$61,1)+1),OFFSET($A$61,0,MATCH(H61,$B$61:$F$61,1)):OFFSET($A$61,0,MATCH(H61,$B$61:$F$61,1)+1),H61)</f>
        <v>92.5</v>
      </c>
    </row>
    <row r="63" spans="1:13" ht="15" thickTop="1" x14ac:dyDescent="0.15">
      <c r="A63" s="434" t="s">
        <v>303</v>
      </c>
      <c r="B63" s="435"/>
      <c r="C63" s="435"/>
      <c r="D63" s="435"/>
      <c r="E63" s="435"/>
      <c r="F63" s="435"/>
      <c r="G63" s="435"/>
      <c r="H63" s="435"/>
      <c r="I63" s="435"/>
      <c r="J63" s="436"/>
    </row>
    <row r="64" spans="1:13" ht="28.5" customHeight="1" x14ac:dyDescent="0.15">
      <c r="A64" s="37" t="s">
        <v>304</v>
      </c>
      <c r="B64" s="122" t="s">
        <v>306</v>
      </c>
      <c r="C64" s="370" t="s">
        <v>310</v>
      </c>
      <c r="D64" s="370"/>
      <c r="E64" s="148" t="s">
        <v>314</v>
      </c>
      <c r="F64" s="148" t="s">
        <v>316</v>
      </c>
      <c r="G64" s="408" t="s">
        <v>317</v>
      </c>
      <c r="H64" s="408"/>
      <c r="I64" s="122" t="s">
        <v>318</v>
      </c>
      <c r="J64" s="136" t="s">
        <v>321</v>
      </c>
      <c r="K64" s="26"/>
      <c r="L64" s="26"/>
      <c r="M64" s="26"/>
    </row>
    <row r="65" spans="1:13" s="195" customFormat="1" ht="28.5" x14ac:dyDescent="0.15">
      <c r="A65" s="44" t="s">
        <v>308</v>
      </c>
      <c r="B65" s="122" t="s">
        <v>307</v>
      </c>
      <c r="C65" s="200" t="s">
        <v>312</v>
      </c>
      <c r="D65" s="122" t="s">
        <v>311</v>
      </c>
      <c r="E65" s="200"/>
      <c r="F65" s="200" t="s">
        <v>307</v>
      </c>
      <c r="G65" s="408" t="s">
        <v>307</v>
      </c>
      <c r="H65" s="408"/>
      <c r="I65" s="122" t="s">
        <v>319</v>
      </c>
      <c r="J65" s="193" t="s">
        <v>322</v>
      </c>
      <c r="K65" s="194"/>
      <c r="L65" s="194"/>
      <c r="M65" s="194"/>
    </row>
    <row r="66" spans="1:13" ht="15" thickBot="1" x14ac:dyDescent="0.2">
      <c r="A66" s="201" t="s">
        <v>305</v>
      </c>
      <c r="B66" s="114" t="s">
        <v>309</v>
      </c>
      <c r="C66" s="409" t="s">
        <v>313</v>
      </c>
      <c r="D66" s="409"/>
      <c r="E66" s="114" t="s">
        <v>315</v>
      </c>
      <c r="F66" s="114" t="s">
        <v>315</v>
      </c>
      <c r="G66" s="409" t="s">
        <v>315</v>
      </c>
      <c r="H66" s="409"/>
      <c r="I66" s="114" t="s">
        <v>320</v>
      </c>
      <c r="J66" s="202" t="s">
        <v>323</v>
      </c>
      <c r="K66" s="26"/>
      <c r="L66" s="26"/>
      <c r="M66" s="26"/>
    </row>
    <row r="67" spans="1:13" x14ac:dyDescent="0.15">
      <c r="A67" t="s">
        <v>324</v>
      </c>
    </row>
    <row r="68" spans="1:13" x14ac:dyDescent="0.15">
      <c r="A68" t="s">
        <v>325</v>
      </c>
    </row>
    <row r="69" spans="1:13" ht="15" thickBot="1" x14ac:dyDescent="0.2"/>
    <row r="70" spans="1:13" ht="31.5" x14ac:dyDescent="0.15">
      <c r="A70" s="392" t="s">
        <v>488</v>
      </c>
      <c r="B70" s="218" t="s">
        <v>668</v>
      </c>
      <c r="C70" s="110" t="s">
        <v>374</v>
      </c>
      <c r="D70" s="224" t="s">
        <v>375</v>
      </c>
      <c r="E70" s="218" t="s">
        <v>376</v>
      </c>
      <c r="F70" s="218" t="s">
        <v>377</v>
      </c>
      <c r="G70" s="218" t="s">
        <v>378</v>
      </c>
      <c r="H70" s="225" t="s">
        <v>379</v>
      </c>
      <c r="I70" s="93"/>
      <c r="J70" s="141"/>
    </row>
    <row r="71" spans="1:13" x14ac:dyDescent="0.15">
      <c r="A71" s="399"/>
      <c r="B71" s="148">
        <v>116</v>
      </c>
      <c r="C71" s="221">
        <v>0.34</v>
      </c>
      <c r="D71" s="221">
        <v>1</v>
      </c>
      <c r="E71" s="222">
        <v>5</v>
      </c>
      <c r="F71" s="221">
        <v>9.81</v>
      </c>
      <c r="G71" s="182">
        <f>(B71/(C71*D71*E71*SQRT(2*F71)))^(2/3)</f>
        <v>6.1911744903043271</v>
      </c>
      <c r="H71" s="223">
        <f>G71/1.2</f>
        <v>5.1593120752536059</v>
      </c>
      <c r="I71" s="26"/>
      <c r="J71" s="142"/>
    </row>
    <row r="72" spans="1:13" ht="17.25" x14ac:dyDescent="0.15">
      <c r="A72" s="219" t="s">
        <v>380</v>
      </c>
      <c r="B72" s="26"/>
      <c r="C72" s="26"/>
      <c r="D72" s="26"/>
      <c r="E72" s="26"/>
      <c r="F72" s="26"/>
      <c r="G72" s="26"/>
      <c r="H72" s="26"/>
      <c r="I72" s="26"/>
      <c r="J72" s="142"/>
    </row>
    <row r="73" spans="1:13" ht="18" thickBot="1" x14ac:dyDescent="0.2">
      <c r="A73" s="220" t="s">
        <v>381</v>
      </c>
      <c r="B73" s="96"/>
      <c r="C73" s="96"/>
      <c r="D73" s="96"/>
      <c r="E73" s="96"/>
      <c r="F73" s="96"/>
      <c r="G73" s="96"/>
      <c r="H73" s="96"/>
      <c r="I73" s="96"/>
      <c r="J73" s="147"/>
    </row>
    <row r="74" spans="1:13" ht="15" thickBot="1" x14ac:dyDescent="0.2">
      <c r="A74" s="192"/>
      <c r="B74" s="26"/>
      <c r="C74" s="26"/>
      <c r="D74" s="26"/>
      <c r="E74" s="26"/>
      <c r="F74" s="26"/>
      <c r="G74" s="26"/>
      <c r="H74" s="26"/>
      <c r="I74" s="26"/>
    </row>
    <row r="75" spans="1:13" ht="33" x14ac:dyDescent="0.15">
      <c r="A75" s="392" t="s">
        <v>665</v>
      </c>
      <c r="B75" s="110" t="s">
        <v>374</v>
      </c>
      <c r="C75" s="224" t="s">
        <v>375</v>
      </c>
      <c r="D75" s="218" t="s">
        <v>376</v>
      </c>
      <c r="E75" s="218" t="s">
        <v>377</v>
      </c>
      <c r="F75" s="218" t="s">
        <v>666</v>
      </c>
      <c r="G75" s="218" t="s">
        <v>667</v>
      </c>
      <c r="H75" s="218" t="s">
        <v>378</v>
      </c>
      <c r="I75" s="249" t="s">
        <v>668</v>
      </c>
    </row>
    <row r="76" spans="1:13" ht="22.5" customHeight="1" thickBot="1" x14ac:dyDescent="0.2">
      <c r="A76" s="397"/>
      <c r="B76" s="302">
        <v>0.34</v>
      </c>
      <c r="C76" s="316">
        <v>1</v>
      </c>
      <c r="D76" s="114">
        <v>4</v>
      </c>
      <c r="E76" s="302">
        <v>9.81</v>
      </c>
      <c r="F76" s="234">
        <v>635</v>
      </c>
      <c r="G76" s="234">
        <v>629</v>
      </c>
      <c r="H76" s="188">
        <f>F76-G76</f>
        <v>6</v>
      </c>
      <c r="I76" s="328">
        <f>B76*C76*D76*SQRT(2*E76)*(H76^1.5)</f>
        <v>88.535059902843045</v>
      </c>
    </row>
    <row r="77" spans="1:13" x14ac:dyDescent="0.15">
      <c r="A77" s="192"/>
      <c r="B77" s="26"/>
      <c r="C77" s="26"/>
      <c r="D77" s="26"/>
      <c r="E77" s="26"/>
      <c r="F77" s="26"/>
      <c r="G77" s="26"/>
      <c r="H77" s="26"/>
      <c r="I77" s="26"/>
    </row>
    <row r="78" spans="1:13" ht="15" thickBot="1" x14ac:dyDescent="0.2">
      <c r="A78" s="26"/>
      <c r="B78" s="26"/>
      <c r="C78" s="26"/>
      <c r="D78" s="26"/>
      <c r="E78" s="26"/>
      <c r="F78" s="26"/>
      <c r="G78" s="26"/>
      <c r="H78" s="26"/>
      <c r="I78" s="26"/>
    </row>
    <row r="79" spans="1:13" ht="29.25" customHeight="1" x14ac:dyDescent="0.15">
      <c r="A79" s="392" t="s">
        <v>397</v>
      </c>
      <c r="B79" s="218" t="s">
        <v>392</v>
      </c>
      <c r="C79" s="218" t="s">
        <v>393</v>
      </c>
      <c r="D79" s="218" t="s">
        <v>394</v>
      </c>
      <c r="E79" s="110" t="s">
        <v>395</v>
      </c>
      <c r="F79" s="110" t="s">
        <v>396</v>
      </c>
      <c r="G79" s="110" t="s">
        <v>398</v>
      </c>
      <c r="H79" s="218" t="s">
        <v>399</v>
      </c>
      <c r="I79" s="241" t="s">
        <v>406</v>
      </c>
    </row>
    <row r="80" spans="1:13" ht="25.5" customHeight="1" thickBot="1" x14ac:dyDescent="0.2">
      <c r="A80" s="397"/>
      <c r="B80" s="234">
        <v>1.3049999999999999</v>
      </c>
      <c r="C80" s="234">
        <v>3.01</v>
      </c>
      <c r="D80" s="188">
        <f>B80/C80</f>
        <v>0.43355481727574752</v>
      </c>
      <c r="E80" s="114">
        <v>1.4999999999999999E-2</v>
      </c>
      <c r="F80" s="188">
        <f>((D80)^(1/6))/E80</f>
        <v>57.998408559978074</v>
      </c>
      <c r="G80" s="235">
        <v>5.0000000000000001E-3</v>
      </c>
      <c r="H80" s="188">
        <f>B80*F80*((D80*G80)^0.5)</f>
        <v>3.5239813298359546</v>
      </c>
      <c r="I80" s="189">
        <f>H80/B80</f>
        <v>2.7003688351233368</v>
      </c>
    </row>
    <row r="81" spans="1:12" ht="15" thickBot="1" x14ac:dyDescent="0.2">
      <c r="A81" s="26"/>
      <c r="B81" s="26"/>
      <c r="C81" s="26"/>
      <c r="D81" s="26"/>
      <c r="E81" s="26"/>
      <c r="F81" s="26"/>
      <c r="G81" s="26"/>
      <c r="H81" s="26"/>
      <c r="I81" s="26"/>
    </row>
    <row r="82" spans="1:12" ht="32.25" x14ac:dyDescent="0.15">
      <c r="A82" s="392" t="s">
        <v>389</v>
      </c>
      <c r="B82" s="110" t="s">
        <v>382</v>
      </c>
      <c r="C82" s="218" t="s">
        <v>383</v>
      </c>
      <c r="D82" s="218" t="s">
        <v>384</v>
      </c>
      <c r="E82" s="73" t="s">
        <v>385</v>
      </c>
      <c r="F82" s="226" t="s">
        <v>387</v>
      </c>
      <c r="G82" s="110" t="s">
        <v>386</v>
      </c>
      <c r="H82" s="111" t="s">
        <v>388</v>
      </c>
      <c r="I82" s="26"/>
    </row>
    <row r="83" spans="1:12" ht="20.25" customHeight="1" x14ac:dyDescent="0.15">
      <c r="A83" s="399"/>
      <c r="B83" s="148">
        <v>5</v>
      </c>
      <c r="C83" s="228">
        <v>1000</v>
      </c>
      <c r="D83" s="228">
        <v>2600</v>
      </c>
      <c r="E83" s="221">
        <v>0.93</v>
      </c>
      <c r="F83" s="229">
        <v>9.81</v>
      </c>
      <c r="G83" s="230">
        <f>(B83/(E83*SQRT(2*F83*(D83-C83)/C83)))^2</f>
        <v>0.92077840632321617</v>
      </c>
      <c r="H83" s="186">
        <f>PI()*(G83^3)*D83/6</f>
        <v>1062.7652557335339</v>
      </c>
      <c r="I83" s="26"/>
    </row>
    <row r="84" spans="1:12" x14ac:dyDescent="0.15">
      <c r="A84" s="143" t="s">
        <v>390</v>
      </c>
      <c r="H84" s="142"/>
    </row>
    <row r="85" spans="1:12" s="227" customFormat="1" ht="16.5" thickBot="1" x14ac:dyDescent="0.3">
      <c r="A85" s="231" t="s">
        <v>391</v>
      </c>
      <c r="B85" s="232"/>
      <c r="C85" s="232"/>
      <c r="D85" s="232"/>
      <c r="E85" s="232"/>
      <c r="F85" s="232"/>
      <c r="G85" s="232"/>
      <c r="H85" s="233"/>
    </row>
    <row r="86" spans="1:12" ht="15" thickBot="1" x14ac:dyDescent="0.2"/>
    <row r="87" spans="1:12" ht="63.75" customHeight="1" x14ac:dyDescent="0.15">
      <c r="A87" s="392" t="s">
        <v>504</v>
      </c>
      <c r="B87" s="110" t="s">
        <v>497</v>
      </c>
      <c r="C87" s="218" t="s">
        <v>498</v>
      </c>
      <c r="D87" s="218" t="s">
        <v>499</v>
      </c>
      <c r="E87" s="218" t="s">
        <v>500</v>
      </c>
      <c r="F87" s="218" t="s">
        <v>501</v>
      </c>
      <c r="G87" s="218" t="s">
        <v>502</v>
      </c>
      <c r="H87" s="218" t="s">
        <v>503</v>
      </c>
      <c r="I87" s="218" t="s">
        <v>505</v>
      </c>
      <c r="J87" s="249" t="s">
        <v>506</v>
      </c>
    </row>
    <row r="88" spans="1:12" ht="25.5" customHeight="1" thickBot="1" x14ac:dyDescent="0.2">
      <c r="A88" s="397"/>
      <c r="B88" s="114">
        <v>1.5</v>
      </c>
      <c r="C88" s="114">
        <f>1000*1.1</f>
        <v>1100</v>
      </c>
      <c r="D88" s="114">
        <v>130</v>
      </c>
      <c r="E88" s="234">
        <v>0.55000000000000004</v>
      </c>
      <c r="F88" s="254">
        <v>2</v>
      </c>
      <c r="G88" s="114">
        <v>15.2</v>
      </c>
      <c r="H88" s="114">
        <v>7</v>
      </c>
      <c r="I88" s="188">
        <f>B88*C88/(3.1415926*D88*E88)</f>
        <v>7.3456128833901237</v>
      </c>
      <c r="J88" s="189">
        <f>B88*C88/(3.1415926*G88*F88*H88)</f>
        <v>2.4680983137330541</v>
      </c>
    </row>
    <row r="89" spans="1:12" ht="25.5" customHeight="1" thickBot="1" x14ac:dyDescent="0.2">
      <c r="A89" s="139"/>
      <c r="B89" s="26"/>
      <c r="C89" s="26"/>
      <c r="D89" s="26"/>
      <c r="E89" s="121"/>
    </row>
    <row r="90" spans="1:12" ht="58.5" customHeight="1" x14ac:dyDescent="0.15">
      <c r="A90" s="392" t="s">
        <v>669</v>
      </c>
      <c r="B90" s="218" t="s">
        <v>670</v>
      </c>
      <c r="C90" s="218" t="s">
        <v>671</v>
      </c>
      <c r="D90" s="218" t="s">
        <v>672</v>
      </c>
      <c r="E90" s="329" t="s">
        <v>673</v>
      </c>
      <c r="F90" s="218" t="s">
        <v>674</v>
      </c>
      <c r="G90" s="218" t="s">
        <v>680</v>
      </c>
      <c r="H90" s="218" t="s">
        <v>675</v>
      </c>
      <c r="I90" s="218" t="s">
        <v>676</v>
      </c>
      <c r="J90" s="218" t="s">
        <v>677</v>
      </c>
      <c r="K90" s="218" t="s">
        <v>678</v>
      </c>
      <c r="L90" s="249" t="s">
        <v>679</v>
      </c>
    </row>
    <row r="91" spans="1:12" ht="25.5" customHeight="1" thickBot="1" x14ac:dyDescent="0.2">
      <c r="A91" s="397"/>
      <c r="B91" s="114">
        <v>0.55000000000000004</v>
      </c>
      <c r="C91" s="234">
        <v>2</v>
      </c>
      <c r="D91" s="114">
        <v>130</v>
      </c>
      <c r="E91" s="234">
        <v>7.35</v>
      </c>
      <c r="F91" s="114">
        <v>0.9</v>
      </c>
      <c r="G91" s="234">
        <v>0.9</v>
      </c>
      <c r="H91" s="114">
        <v>7</v>
      </c>
      <c r="I91" s="234">
        <v>15.2</v>
      </c>
      <c r="J91" s="114">
        <v>0.78</v>
      </c>
      <c r="K91" s="115">
        <f>(B91*1000000*PI()*(D91/1000)*E91*F91/C91)/1000</f>
        <v>742.94346567499929</v>
      </c>
      <c r="L91" s="116">
        <f>(G91*1000000*H91*PI()*(I91/1000)*E91*J91)/1000</f>
        <v>1724.7094854069801</v>
      </c>
    </row>
    <row r="92" spans="1:12" ht="25.5" customHeight="1" thickBot="1" x14ac:dyDescent="0.2"/>
    <row r="93" spans="1:12" ht="68.25" customHeight="1" x14ac:dyDescent="0.15">
      <c r="A93" s="392" t="s">
        <v>681</v>
      </c>
      <c r="B93" s="110" t="s">
        <v>683</v>
      </c>
      <c r="C93" s="218" t="s">
        <v>684</v>
      </c>
      <c r="D93" s="218" t="s">
        <v>685</v>
      </c>
      <c r="E93" s="218" t="s">
        <v>686</v>
      </c>
      <c r="F93" s="110" t="s">
        <v>687</v>
      </c>
      <c r="G93" s="218" t="s">
        <v>688</v>
      </c>
      <c r="H93" s="218" t="s">
        <v>689</v>
      </c>
      <c r="I93" s="218" t="s">
        <v>690</v>
      </c>
      <c r="J93" s="110" t="s">
        <v>691</v>
      </c>
      <c r="K93" s="218" t="s">
        <v>692</v>
      </c>
      <c r="L93" s="249" t="s">
        <v>693</v>
      </c>
    </row>
    <row r="94" spans="1:12" ht="25.5" customHeight="1" thickBot="1" x14ac:dyDescent="0.2">
      <c r="A94" s="397"/>
      <c r="B94" s="254">
        <v>1</v>
      </c>
      <c r="C94" s="114">
        <f>5.54*10000</f>
        <v>55400</v>
      </c>
      <c r="D94" s="302">
        <v>2.2000000000000002</v>
      </c>
      <c r="E94" s="188">
        <f>B94*C94*D94</f>
        <v>121880.00000000001</v>
      </c>
      <c r="F94" s="114">
        <v>0.33</v>
      </c>
      <c r="G94" s="114">
        <v>0.92</v>
      </c>
      <c r="H94" s="114">
        <v>0.91</v>
      </c>
      <c r="I94" s="188">
        <f>E94*((1-F94)/G94+F94/H94)</f>
        <v>132958.67654085046</v>
      </c>
      <c r="J94" s="302">
        <v>25</v>
      </c>
      <c r="K94" s="302">
        <v>14</v>
      </c>
      <c r="L94" s="189">
        <f>I94/(J94*K94)</f>
        <v>379.88193297385845</v>
      </c>
    </row>
    <row r="95" spans="1:12" ht="25.5" customHeight="1" thickBot="1" x14ac:dyDescent="0.2"/>
    <row r="96" spans="1:12" ht="25.5" customHeight="1" x14ac:dyDescent="0.15">
      <c r="A96" s="400" t="s">
        <v>682</v>
      </c>
      <c r="B96" s="402" t="s">
        <v>615</v>
      </c>
      <c r="C96" s="403"/>
      <c r="D96" s="403"/>
      <c r="E96" s="403"/>
      <c r="F96" s="404"/>
      <c r="G96" s="26"/>
      <c r="H96" s="26"/>
      <c r="I96" s="26"/>
      <c r="J96" s="26"/>
    </row>
    <row r="97" spans="1:20" ht="43.5" customHeight="1" x14ac:dyDescent="0.15">
      <c r="A97" s="401"/>
      <c r="B97" s="44" t="s">
        <v>605</v>
      </c>
      <c r="C97" s="122" t="s">
        <v>604</v>
      </c>
      <c r="D97" s="122" t="s">
        <v>607</v>
      </c>
      <c r="E97" s="122" t="s">
        <v>606</v>
      </c>
      <c r="F97" s="300" t="s">
        <v>612</v>
      </c>
      <c r="G97" s="26"/>
      <c r="H97" s="26"/>
      <c r="I97" s="26"/>
      <c r="J97" s="26"/>
    </row>
    <row r="98" spans="1:20" ht="25.5" customHeight="1" thickBot="1" x14ac:dyDescent="0.2">
      <c r="A98" s="401"/>
      <c r="B98" s="301">
        <v>1.5</v>
      </c>
      <c r="C98" s="114">
        <f>5.54*10000</f>
        <v>55400</v>
      </c>
      <c r="D98" s="302">
        <v>25</v>
      </c>
      <c r="E98" s="302">
        <v>20</v>
      </c>
      <c r="F98" s="296">
        <f>B98*C98/(D98*E98)</f>
        <v>166.2</v>
      </c>
      <c r="G98" s="26"/>
      <c r="H98" s="26"/>
      <c r="I98" s="26"/>
      <c r="J98" s="26"/>
    </row>
    <row r="99" spans="1:20" ht="25.5" customHeight="1" x14ac:dyDescent="0.15">
      <c r="A99" s="401"/>
      <c r="B99" s="410" t="s">
        <v>616</v>
      </c>
      <c r="C99" s="411"/>
      <c r="D99" s="411"/>
      <c r="E99" s="411"/>
      <c r="F99" s="412"/>
    </row>
    <row r="100" spans="1:20" ht="48" customHeight="1" x14ac:dyDescent="0.15">
      <c r="A100" s="401"/>
      <c r="B100" s="44" t="s">
        <v>608</v>
      </c>
      <c r="C100" s="122" t="s">
        <v>609</v>
      </c>
      <c r="D100" s="122" t="s">
        <v>610</v>
      </c>
      <c r="E100" s="122" t="s">
        <v>611</v>
      </c>
      <c r="F100" s="300" t="s">
        <v>612</v>
      </c>
    </row>
    <row r="101" spans="1:20" ht="28.5" customHeight="1" thickBot="1" x14ac:dyDescent="0.2">
      <c r="A101" s="401"/>
      <c r="B101" s="303">
        <v>500</v>
      </c>
      <c r="C101" s="304">
        <v>0.4</v>
      </c>
      <c r="D101" s="304">
        <v>2</v>
      </c>
      <c r="E101" s="305">
        <f>40/60</f>
        <v>0.66666666666666663</v>
      </c>
      <c r="F101" s="306">
        <f>1.1*B101*C101/(D101-E101)</f>
        <v>164.99999999999997</v>
      </c>
    </row>
    <row r="102" spans="1:20" ht="25.5" customHeight="1" x14ac:dyDescent="0.15">
      <c r="A102" s="401"/>
      <c r="B102" s="402" t="s">
        <v>617</v>
      </c>
      <c r="C102" s="403"/>
      <c r="D102" s="403"/>
      <c r="E102" s="403"/>
      <c r="F102" s="403"/>
      <c r="G102" s="403"/>
      <c r="H102" s="404"/>
    </row>
    <row r="103" spans="1:20" ht="45" customHeight="1" x14ac:dyDescent="0.15">
      <c r="A103" s="401"/>
      <c r="B103" s="44" t="s">
        <v>618</v>
      </c>
      <c r="C103" s="148" t="s">
        <v>619</v>
      </c>
      <c r="D103" s="122" t="s">
        <v>613</v>
      </c>
      <c r="E103" s="122" t="s">
        <v>614</v>
      </c>
      <c r="F103" s="122" t="s">
        <v>610</v>
      </c>
      <c r="G103" s="122" t="s">
        <v>611</v>
      </c>
      <c r="H103" s="300" t="s">
        <v>612</v>
      </c>
    </row>
    <row r="104" spans="1:20" ht="22.5" customHeight="1" thickBot="1" x14ac:dyDescent="0.2">
      <c r="A104" s="401"/>
      <c r="B104" s="307">
        <v>2</v>
      </c>
      <c r="C104" s="132">
        <v>69</v>
      </c>
      <c r="D104" s="132">
        <v>22</v>
      </c>
      <c r="E104" s="132">
        <v>4</v>
      </c>
      <c r="F104" s="132">
        <v>2</v>
      </c>
      <c r="G104" s="130">
        <f>40/60</f>
        <v>0.66666666666666663</v>
      </c>
      <c r="H104" s="308">
        <f>(B104*C104*D104*SQRT((E104/B104)))/(F104-G104)</f>
        <v>3220.1642815235373</v>
      </c>
      <c r="T104" s="395" t="s">
        <v>739</v>
      </c>
    </row>
    <row r="105" spans="1:20" ht="15" thickBot="1" x14ac:dyDescent="0.2">
      <c r="J105" s="405" t="s">
        <v>623</v>
      </c>
      <c r="K105" s="406"/>
      <c r="L105" s="406"/>
      <c r="M105" s="406"/>
      <c r="N105" s="406"/>
      <c r="O105" s="406"/>
      <c r="P105" s="407"/>
      <c r="T105" s="396"/>
    </row>
    <row r="106" spans="1:20" ht="53.25" customHeight="1" x14ac:dyDescent="0.15">
      <c r="A106" s="398" t="s">
        <v>643</v>
      </c>
      <c r="B106" s="392" t="s">
        <v>656</v>
      </c>
      <c r="C106" s="110" t="s">
        <v>620</v>
      </c>
      <c r="D106" s="218" t="s">
        <v>639</v>
      </c>
      <c r="E106" s="218" t="s">
        <v>640</v>
      </c>
      <c r="F106" s="218" t="s">
        <v>621</v>
      </c>
      <c r="G106" s="218" t="s">
        <v>622</v>
      </c>
      <c r="H106" s="218" t="s">
        <v>641</v>
      </c>
      <c r="I106" s="318" t="s">
        <v>642</v>
      </c>
      <c r="J106" s="309" t="s">
        <v>624</v>
      </c>
      <c r="K106" s="218" t="s">
        <v>625</v>
      </c>
      <c r="L106" s="218" t="s">
        <v>627</v>
      </c>
      <c r="M106" s="218" t="s">
        <v>626</v>
      </c>
      <c r="N106" s="218" t="s">
        <v>628</v>
      </c>
      <c r="O106" s="218" t="s">
        <v>629</v>
      </c>
      <c r="P106" s="249" t="s">
        <v>654</v>
      </c>
      <c r="Q106" s="321" t="s">
        <v>630</v>
      </c>
      <c r="T106" s="396"/>
    </row>
    <row r="107" spans="1:20" ht="24" customHeight="1" thickBot="1" x14ac:dyDescent="0.2">
      <c r="A107" s="398"/>
      <c r="B107" s="399"/>
      <c r="C107" s="310">
        <v>3</v>
      </c>
      <c r="D107" s="148">
        <v>102.004</v>
      </c>
      <c r="E107" s="148">
        <v>45.405999999999999</v>
      </c>
      <c r="F107" s="230">
        <f>1000*9.81*D107*E107/1000</f>
        <v>45435.933451439996</v>
      </c>
      <c r="G107" s="221">
        <v>14</v>
      </c>
      <c r="H107" s="221">
        <v>0.55000000000000004</v>
      </c>
      <c r="I107" s="319">
        <v>0.3</v>
      </c>
      <c r="J107" s="322">
        <v>6.5</v>
      </c>
      <c r="K107" s="312">
        <v>1</v>
      </c>
      <c r="L107" s="312">
        <v>5.7670000000000003</v>
      </c>
      <c r="M107" s="312">
        <v>0.65</v>
      </c>
      <c r="N107" s="312">
        <v>7.67</v>
      </c>
      <c r="O107" s="312">
        <v>0</v>
      </c>
      <c r="P107" s="323">
        <f>J107*K107+2*L107*M107+N107*O107</f>
        <v>13.9971</v>
      </c>
      <c r="Q107" s="326">
        <f>C107*F107*1000/(E107*G107*1000*H107+P107*I107*1000000)</f>
        <v>29.965949890723969</v>
      </c>
      <c r="T107" s="396"/>
    </row>
    <row r="108" spans="1:20" ht="57" customHeight="1" x14ac:dyDescent="0.15">
      <c r="A108" s="398"/>
      <c r="B108" s="399" t="s">
        <v>634</v>
      </c>
      <c r="C108" s="122" t="s">
        <v>632</v>
      </c>
      <c r="D108" s="122" t="s">
        <v>639</v>
      </c>
      <c r="E108" s="122" t="s">
        <v>640</v>
      </c>
      <c r="F108" s="122" t="s">
        <v>621</v>
      </c>
      <c r="G108" s="122" t="s">
        <v>622</v>
      </c>
      <c r="H108" s="122" t="s">
        <v>641</v>
      </c>
      <c r="I108" s="314" t="s">
        <v>642</v>
      </c>
      <c r="J108" s="44" t="s">
        <v>624</v>
      </c>
      <c r="K108" s="122" t="s">
        <v>625</v>
      </c>
      <c r="L108" s="122" t="s">
        <v>627</v>
      </c>
      <c r="M108" s="122" t="s">
        <v>626</v>
      </c>
      <c r="N108" s="122" t="s">
        <v>628</v>
      </c>
      <c r="O108" s="122" t="s">
        <v>629</v>
      </c>
      <c r="P108" s="314" t="s">
        <v>654</v>
      </c>
      <c r="Q108" s="309" t="s">
        <v>633</v>
      </c>
      <c r="R108" s="249" t="s">
        <v>630</v>
      </c>
      <c r="T108" s="396"/>
    </row>
    <row r="109" spans="1:20" ht="24" customHeight="1" thickBot="1" x14ac:dyDescent="0.2">
      <c r="A109" s="398"/>
      <c r="B109" s="397"/>
      <c r="C109" s="302">
        <v>1.1000000000000001</v>
      </c>
      <c r="D109" s="114">
        <v>102.004</v>
      </c>
      <c r="E109" s="114">
        <v>45.405999999999999</v>
      </c>
      <c r="F109" s="115">
        <f>1000*9.81*D109*E109/1000</f>
        <v>45435.933451439996</v>
      </c>
      <c r="G109" s="302">
        <v>14</v>
      </c>
      <c r="H109" s="302">
        <v>0.55000000000000004</v>
      </c>
      <c r="I109" s="320">
        <v>0.3</v>
      </c>
      <c r="J109" s="324">
        <v>6.5</v>
      </c>
      <c r="K109" s="235">
        <v>1</v>
      </c>
      <c r="L109" s="235">
        <v>5.7670000000000003</v>
      </c>
      <c r="M109" s="235">
        <v>0.65</v>
      </c>
      <c r="N109" s="235">
        <v>7.67</v>
      </c>
      <c r="O109" s="235">
        <v>0</v>
      </c>
      <c r="P109" s="325">
        <f>J109*K109+2*L109*M109+N109*O109</f>
        <v>13.9971</v>
      </c>
      <c r="Q109" s="327">
        <v>5</v>
      </c>
      <c r="R109" s="189">
        <f>F109*1000/(H109*E109*G109*1000/C109+P109*I109*1000000/Q109)</f>
        <v>39.247809779176762</v>
      </c>
      <c r="T109" s="396"/>
    </row>
    <row r="110" spans="1:20" ht="33" customHeight="1" thickBot="1" x14ac:dyDescent="0.2">
      <c r="A110" s="398"/>
      <c r="B110" s="392" t="s">
        <v>657</v>
      </c>
      <c r="C110" s="218" t="s">
        <v>635</v>
      </c>
      <c r="D110" s="218" t="s">
        <v>636</v>
      </c>
      <c r="E110" s="110" t="s">
        <v>637</v>
      </c>
      <c r="F110" s="111" t="s">
        <v>638</v>
      </c>
      <c r="T110" s="396"/>
    </row>
    <row r="111" spans="1:20" ht="24" customHeight="1" thickBot="1" x14ac:dyDescent="0.2">
      <c r="A111" s="398"/>
      <c r="B111" s="397"/>
      <c r="C111" s="114">
        <v>45.405999999999999</v>
      </c>
      <c r="D111" s="115">
        <f>2*SQRT(C111/PI())</f>
        <v>7.6034672859324379</v>
      </c>
      <c r="E111" s="115">
        <f>D111*2</f>
        <v>15.206934571864876</v>
      </c>
      <c r="F111" s="116">
        <f>D111*3</f>
        <v>22.810401857797313</v>
      </c>
      <c r="J111" s="405" t="s">
        <v>623</v>
      </c>
      <c r="K111" s="406"/>
      <c r="L111" s="406"/>
      <c r="M111" s="406"/>
      <c r="N111" s="406"/>
      <c r="O111" s="406"/>
      <c r="P111" s="407"/>
      <c r="T111" s="396"/>
    </row>
    <row r="112" spans="1:20" ht="54.75" customHeight="1" x14ac:dyDescent="0.15">
      <c r="A112" s="398" t="s">
        <v>655</v>
      </c>
      <c r="B112" s="392" t="s">
        <v>656</v>
      </c>
      <c r="C112" s="110" t="s">
        <v>620</v>
      </c>
      <c r="D112" s="218" t="s">
        <v>650</v>
      </c>
      <c r="E112" s="218" t="s">
        <v>644</v>
      </c>
      <c r="F112" s="218" t="s">
        <v>621</v>
      </c>
      <c r="G112" s="218" t="s">
        <v>652</v>
      </c>
      <c r="H112" s="218" t="s">
        <v>645</v>
      </c>
      <c r="I112" s="218" t="s">
        <v>646</v>
      </c>
      <c r="J112" s="218" t="s">
        <v>647</v>
      </c>
      <c r="K112" s="218" t="s">
        <v>625</v>
      </c>
      <c r="L112" s="218" t="s">
        <v>648</v>
      </c>
      <c r="M112" s="218" t="s">
        <v>626</v>
      </c>
      <c r="N112" s="218" t="s">
        <v>649</v>
      </c>
      <c r="O112" s="218" t="s">
        <v>629</v>
      </c>
      <c r="P112" s="218" t="s">
        <v>654</v>
      </c>
      <c r="Q112" s="249" t="s">
        <v>630</v>
      </c>
      <c r="T112" s="396"/>
    </row>
    <row r="113" spans="1:20" ht="27.75" customHeight="1" x14ac:dyDescent="0.15">
      <c r="A113" s="398"/>
      <c r="B113" s="399"/>
      <c r="C113" s="310">
        <v>3</v>
      </c>
      <c r="D113" s="148">
        <f>471.9-369.893</f>
        <v>102.00700000000001</v>
      </c>
      <c r="E113" s="148">
        <v>61.35</v>
      </c>
      <c r="F113" s="230">
        <f>1000*9.81*D113*E113/1000</f>
        <v>61392.249904500008</v>
      </c>
      <c r="G113" s="221">
        <v>14</v>
      </c>
      <c r="H113" s="221">
        <v>0.55000000000000004</v>
      </c>
      <c r="I113" s="311">
        <v>0.5</v>
      </c>
      <c r="J113" s="312">
        <v>7.7</v>
      </c>
      <c r="K113" s="312">
        <v>1</v>
      </c>
      <c r="L113" s="312">
        <v>6.4420000000000002</v>
      </c>
      <c r="M113" s="312">
        <v>0.65</v>
      </c>
      <c r="N113" s="312">
        <v>9.2230000000000008</v>
      </c>
      <c r="O113" s="312">
        <v>0</v>
      </c>
      <c r="P113" s="230">
        <f>J113*K113+2*L113*M113+N113*O113</f>
        <v>16.0746</v>
      </c>
      <c r="Q113" s="186">
        <f>C113*F113*1000/(E113*G113*1000*H113+P113*I113*1000000)</f>
        <v>21.643166965854832</v>
      </c>
      <c r="T113" s="396"/>
    </row>
    <row r="114" spans="1:20" ht="51.75" customHeight="1" x14ac:dyDescent="0.15">
      <c r="A114" s="398"/>
      <c r="B114" s="399" t="s">
        <v>634</v>
      </c>
      <c r="C114" s="122" t="s">
        <v>632</v>
      </c>
      <c r="D114" s="122" t="s">
        <v>650</v>
      </c>
      <c r="E114" s="122" t="s">
        <v>651</v>
      </c>
      <c r="F114" s="122" t="s">
        <v>621</v>
      </c>
      <c r="G114" s="122" t="s">
        <v>653</v>
      </c>
      <c r="H114" s="122" t="s">
        <v>645</v>
      </c>
      <c r="I114" s="122" t="s">
        <v>646</v>
      </c>
      <c r="J114" s="122" t="s">
        <v>647</v>
      </c>
      <c r="K114" s="122" t="s">
        <v>625</v>
      </c>
      <c r="L114" s="122" t="s">
        <v>648</v>
      </c>
      <c r="M114" s="122" t="s">
        <v>626</v>
      </c>
      <c r="N114" s="122" t="s">
        <v>649</v>
      </c>
      <c r="O114" s="122" t="s">
        <v>629</v>
      </c>
      <c r="P114" s="122" t="s">
        <v>654</v>
      </c>
      <c r="Q114" s="150" t="s">
        <v>633</v>
      </c>
      <c r="R114" s="313" t="s">
        <v>630</v>
      </c>
      <c r="T114" s="396"/>
    </row>
    <row r="115" spans="1:20" ht="21.6" customHeight="1" thickBot="1" x14ac:dyDescent="0.2">
      <c r="A115" s="398"/>
      <c r="B115" s="397"/>
      <c r="C115" s="302">
        <v>1.1000000000000001</v>
      </c>
      <c r="D115" s="114">
        <v>102.00700000000001</v>
      </c>
      <c r="E115" s="114">
        <v>61.35</v>
      </c>
      <c r="F115" s="115">
        <f>1000*9.81*D115*E115/1000</f>
        <v>61392.249904500008</v>
      </c>
      <c r="G115" s="302">
        <v>14</v>
      </c>
      <c r="H115" s="302">
        <v>0.55000000000000004</v>
      </c>
      <c r="I115" s="316">
        <v>0.5</v>
      </c>
      <c r="J115" s="235">
        <v>7.7</v>
      </c>
      <c r="K115" s="235">
        <v>1</v>
      </c>
      <c r="L115" s="235">
        <v>6.4420000000000002</v>
      </c>
      <c r="M115" s="235">
        <v>0.65</v>
      </c>
      <c r="N115" s="235">
        <v>9.2230000000000008</v>
      </c>
      <c r="O115" s="235">
        <v>0</v>
      </c>
      <c r="P115" s="115">
        <f>J115*K115+2*L115*M115+N115*O115</f>
        <v>16.0746</v>
      </c>
      <c r="Q115" s="317">
        <v>5</v>
      </c>
      <c r="R115" s="315">
        <f>F115*1000/(H115*E115*G115*1000/C115+P115*I115*1000000/Q115)</f>
        <v>30.13989322282281</v>
      </c>
      <c r="T115" s="396"/>
    </row>
    <row r="116" spans="1:20" ht="35.25" customHeight="1" x14ac:dyDescent="0.15">
      <c r="A116" s="398"/>
      <c r="B116" s="392" t="s">
        <v>657</v>
      </c>
      <c r="C116" s="218" t="s">
        <v>635</v>
      </c>
      <c r="D116" s="218" t="s">
        <v>636</v>
      </c>
      <c r="E116" s="110" t="s">
        <v>637</v>
      </c>
      <c r="F116" s="111" t="s">
        <v>638</v>
      </c>
    </row>
    <row r="117" spans="1:20" ht="21.6" customHeight="1" thickBot="1" x14ac:dyDescent="0.2">
      <c r="A117" s="398"/>
      <c r="B117" s="397"/>
      <c r="C117" s="235">
        <v>61.35</v>
      </c>
      <c r="D117" s="115">
        <f>2*SQRT(C117/PI())</f>
        <v>8.8381698371044131</v>
      </c>
      <c r="E117" s="115">
        <f>2*D117</f>
        <v>17.676339674208826</v>
      </c>
      <c r="F117" s="116">
        <f>3*D117</f>
        <v>26.514509511313239</v>
      </c>
    </row>
    <row r="118" spans="1:20" ht="15" thickBot="1" x14ac:dyDescent="0.2"/>
    <row r="119" spans="1:20" ht="38.25" customHeight="1" x14ac:dyDescent="0.15">
      <c r="A119" s="392" t="s">
        <v>658</v>
      </c>
      <c r="B119" s="218" t="s">
        <v>660</v>
      </c>
      <c r="C119" s="110" t="s">
        <v>659</v>
      </c>
      <c r="D119" s="218" t="s">
        <v>661</v>
      </c>
      <c r="E119" s="218" t="s">
        <v>662</v>
      </c>
      <c r="F119" s="218" t="s">
        <v>663</v>
      </c>
      <c r="G119" s="249" t="s">
        <v>664</v>
      </c>
      <c r="H119" s="26"/>
      <c r="I119" s="26"/>
    </row>
    <row r="120" spans="1:20" ht="21.75" customHeight="1" thickBot="1" x14ac:dyDescent="0.2">
      <c r="A120" s="397"/>
      <c r="B120" s="114">
        <f>3*(10^(-7))</f>
        <v>2.9999999999999999E-7</v>
      </c>
      <c r="C120" s="114">
        <v>0.5</v>
      </c>
      <c r="D120" s="114">
        <v>6232</v>
      </c>
      <c r="E120" s="138">
        <f>B120*C120*D120</f>
        <v>9.3479999999999995E-4</v>
      </c>
      <c r="F120" s="188">
        <f>E120*120*60</f>
        <v>6.7305599999999997</v>
      </c>
      <c r="G120" s="189">
        <f>E120*24*60*60</f>
        <v>80.766719999999992</v>
      </c>
      <c r="H120" s="26"/>
      <c r="I120" s="26"/>
    </row>
    <row r="122" spans="1:20" ht="57.75" x14ac:dyDescent="0.15">
      <c r="A122" s="408" t="s">
        <v>745</v>
      </c>
      <c r="B122" s="122" t="s">
        <v>740</v>
      </c>
      <c r="C122" s="122" t="s">
        <v>746</v>
      </c>
      <c r="D122" s="122" t="s">
        <v>741</v>
      </c>
      <c r="E122" s="122" t="s">
        <v>742</v>
      </c>
      <c r="F122" s="122" t="s">
        <v>743</v>
      </c>
      <c r="G122" s="122" t="s">
        <v>744</v>
      </c>
      <c r="H122" s="26"/>
      <c r="I122" s="26"/>
    </row>
    <row r="123" spans="1:20" ht="31.5" customHeight="1" x14ac:dyDescent="0.15">
      <c r="A123" s="408"/>
      <c r="B123" s="148">
        <v>10</v>
      </c>
      <c r="C123" s="221">
        <f>9.8*(10^(-6))</f>
        <v>9.800000000000001E-6</v>
      </c>
      <c r="D123" s="311">
        <v>1.5</v>
      </c>
      <c r="E123" s="221">
        <f>26*(10^(-6))</f>
        <v>2.5999999999999998E-5</v>
      </c>
      <c r="F123" s="148">
        <v>45</v>
      </c>
      <c r="G123" s="230">
        <f>B123*C123*D123/(E123*COS(RADIANS(F123)))</f>
        <v>7.9957459103401929</v>
      </c>
      <c r="H123" s="26"/>
      <c r="I123" s="26"/>
    </row>
    <row r="124" spans="1:20" x14ac:dyDescent="0.15">
      <c r="A124" s="26"/>
      <c r="B124" s="26"/>
      <c r="C124" s="26"/>
      <c r="D124" s="26"/>
      <c r="E124" s="26"/>
      <c r="F124" s="26"/>
      <c r="G124" s="26"/>
      <c r="H124" s="26"/>
      <c r="I124" s="26"/>
    </row>
    <row r="125" spans="1:20" x14ac:dyDescent="0.15">
      <c r="A125" s="26"/>
      <c r="B125" s="26"/>
      <c r="C125" s="26"/>
      <c r="D125" s="26"/>
      <c r="E125" s="26"/>
      <c r="F125" s="26"/>
      <c r="G125" s="26"/>
      <c r="H125" s="26"/>
      <c r="I125" s="26"/>
    </row>
    <row r="126" spans="1:20" x14ac:dyDescent="0.15">
      <c r="A126" s="26"/>
      <c r="B126" s="26"/>
      <c r="C126" s="26"/>
      <c r="D126" s="26"/>
      <c r="E126" s="26"/>
      <c r="F126" s="26"/>
      <c r="G126" s="26"/>
      <c r="H126" s="26"/>
      <c r="I126" s="26"/>
    </row>
    <row r="127" spans="1:20" x14ac:dyDescent="0.15">
      <c r="A127" s="26"/>
      <c r="B127" s="26"/>
      <c r="C127" s="26"/>
      <c r="D127" s="26"/>
      <c r="E127" s="26"/>
      <c r="F127" s="26"/>
      <c r="G127" s="26"/>
      <c r="H127" s="26"/>
      <c r="I127" s="26"/>
    </row>
    <row r="128" spans="1:20" x14ac:dyDescent="0.15">
      <c r="A128" s="26"/>
      <c r="B128" s="26"/>
      <c r="C128" s="26"/>
      <c r="D128" s="26"/>
      <c r="E128" s="26"/>
      <c r="F128" s="26"/>
      <c r="G128" s="26"/>
      <c r="H128" s="26"/>
      <c r="I128" s="26"/>
    </row>
    <row r="129" spans="1:9" x14ac:dyDescent="0.15">
      <c r="A129" s="26"/>
      <c r="B129" s="26"/>
      <c r="C129" s="26"/>
      <c r="D129" s="26"/>
      <c r="E129" s="26"/>
      <c r="F129" s="26"/>
      <c r="G129" s="26"/>
      <c r="H129" s="26"/>
      <c r="I129" s="26"/>
    </row>
    <row r="130" spans="1:9" x14ac:dyDescent="0.15">
      <c r="A130" s="26"/>
      <c r="B130" s="26"/>
      <c r="C130" s="26"/>
      <c r="D130" s="26"/>
      <c r="E130" s="26"/>
      <c r="F130" s="26"/>
      <c r="G130" s="26"/>
      <c r="H130" s="26"/>
      <c r="I130" s="26"/>
    </row>
    <row r="131" spans="1:9" x14ac:dyDescent="0.15">
      <c r="A131" s="26"/>
      <c r="B131" s="26"/>
      <c r="C131" s="26"/>
      <c r="D131" s="26"/>
      <c r="E131" s="26"/>
      <c r="F131" s="26"/>
      <c r="G131" s="26"/>
      <c r="H131" s="26"/>
      <c r="I131" s="26"/>
    </row>
    <row r="132" spans="1:9" x14ac:dyDescent="0.15">
      <c r="A132" s="26"/>
      <c r="B132" s="26"/>
      <c r="C132" s="26"/>
      <c r="D132" s="26"/>
      <c r="E132" s="26"/>
      <c r="F132" s="26"/>
      <c r="G132" s="26"/>
      <c r="H132" s="26"/>
      <c r="I132" s="26"/>
    </row>
    <row r="133" spans="1:9" x14ac:dyDescent="0.15">
      <c r="A133" s="26"/>
      <c r="B133" s="26"/>
      <c r="C133" s="26"/>
      <c r="D133" s="26"/>
      <c r="E133" s="26"/>
      <c r="F133" s="26"/>
      <c r="G133" s="26"/>
      <c r="H133" s="26"/>
      <c r="I133" s="26"/>
    </row>
  </sheetData>
  <mergeCells count="42">
    <mergeCell ref="A63:J63"/>
    <mergeCell ref="A59:H59"/>
    <mergeCell ref="C64:D64"/>
    <mergeCell ref="C66:D66"/>
    <mergeCell ref="A122:A123"/>
    <mergeCell ref="K41:K42"/>
    <mergeCell ref="L41:L42"/>
    <mergeCell ref="B1:C1"/>
    <mergeCell ref="A28:J28"/>
    <mergeCell ref="A32:J32"/>
    <mergeCell ref="A37:E37"/>
    <mergeCell ref="F37:L37"/>
    <mergeCell ref="A40:D40"/>
    <mergeCell ref="E40:E42"/>
    <mergeCell ref="D3:D4"/>
    <mergeCell ref="D24:E24"/>
    <mergeCell ref="B110:B111"/>
    <mergeCell ref="A106:A111"/>
    <mergeCell ref="B112:B113"/>
    <mergeCell ref="J111:P111"/>
    <mergeCell ref="G64:H64"/>
    <mergeCell ref="G65:H65"/>
    <mergeCell ref="G66:H66"/>
    <mergeCell ref="B96:F96"/>
    <mergeCell ref="B99:F99"/>
    <mergeCell ref="A70:A71"/>
    <mergeCell ref="T104:T115"/>
    <mergeCell ref="A75:A76"/>
    <mergeCell ref="A119:A120"/>
    <mergeCell ref="A112:A117"/>
    <mergeCell ref="B106:B107"/>
    <mergeCell ref="B108:B109"/>
    <mergeCell ref="B114:B115"/>
    <mergeCell ref="B116:B117"/>
    <mergeCell ref="A96:A104"/>
    <mergeCell ref="B102:H102"/>
    <mergeCell ref="A79:A80"/>
    <mergeCell ref="A87:A88"/>
    <mergeCell ref="A82:A83"/>
    <mergeCell ref="A90:A91"/>
    <mergeCell ref="A93:A94"/>
    <mergeCell ref="J105:P105"/>
  </mergeCells>
  <phoneticPr fontId="3" type="noConversion"/>
  <dataValidations count="1">
    <dataValidation type="list" allowBlank="1" showInputMessage="1" showErrorMessage="1" sqref="F39" xr:uid="{00000000-0002-0000-0200-000000000000}">
      <formula1>"20t,32t,45t"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D25C-B12E-4DCE-B1E8-22FE7CFCAB0C}">
  <dimension ref="A1:AD98"/>
  <sheetViews>
    <sheetView topLeftCell="A28" zoomScaleNormal="100" workbookViewId="0">
      <selection activeCell="J55" sqref="J55"/>
    </sheetView>
  </sheetViews>
  <sheetFormatPr defaultRowHeight="14.25" x14ac:dyDescent="0.15"/>
  <cols>
    <col min="1" max="1" width="10.875" customWidth="1"/>
    <col min="2" max="2" width="12.5" customWidth="1"/>
    <col min="3" max="3" width="13.25" customWidth="1"/>
    <col min="4" max="4" width="12" customWidth="1"/>
    <col min="5" max="5" width="9" customWidth="1"/>
    <col min="14" max="14" width="11.625" customWidth="1"/>
    <col min="15" max="15" width="14.375" customWidth="1"/>
    <col min="16" max="16" width="16.625" customWidth="1"/>
    <col min="17" max="17" width="13.875" customWidth="1"/>
  </cols>
  <sheetData>
    <row r="1" spans="1:16" ht="15.75" thickBot="1" x14ac:dyDescent="0.25">
      <c r="A1" s="175" t="s">
        <v>271</v>
      </c>
      <c r="B1" s="175"/>
      <c r="C1" s="176" t="s">
        <v>272</v>
      </c>
      <c r="D1" s="177" t="s">
        <v>273</v>
      </c>
      <c r="E1" s="178" t="s">
        <v>274</v>
      </c>
      <c r="F1" s="178"/>
      <c r="H1" s="190" t="s">
        <v>525</v>
      </c>
    </row>
    <row r="2" spans="1:16" ht="28.5" customHeight="1" x14ac:dyDescent="0.15">
      <c r="B2" s="405" t="s">
        <v>508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140"/>
      <c r="O2" s="442" t="s">
        <v>276</v>
      </c>
      <c r="P2" s="443"/>
    </row>
    <row r="3" spans="1:16" x14ac:dyDescent="0.15">
      <c r="B3" s="451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139" t="s">
        <v>275</v>
      </c>
      <c r="O3" s="148" t="s">
        <v>285</v>
      </c>
      <c r="P3" s="136" t="s">
        <v>286</v>
      </c>
    </row>
    <row r="4" spans="1:16" ht="33" customHeight="1" x14ac:dyDescent="0.15">
      <c r="B4" s="259" t="s">
        <v>290</v>
      </c>
      <c r="C4" s="26">
        <v>1.03</v>
      </c>
      <c r="D4" s="26">
        <v>7.48</v>
      </c>
      <c r="E4" s="26">
        <v>12.96</v>
      </c>
      <c r="F4" s="26">
        <v>18.55</v>
      </c>
      <c r="G4" s="26">
        <v>15.43</v>
      </c>
      <c r="H4" s="26">
        <v>2.16</v>
      </c>
      <c r="I4" s="26">
        <v>0</v>
      </c>
      <c r="J4" s="26"/>
      <c r="K4" s="26"/>
      <c r="L4" s="26"/>
      <c r="M4" s="26"/>
      <c r="N4" s="264">
        <f>SUM(C4:M4)</f>
        <v>57.61</v>
      </c>
      <c r="O4" s="445">
        <f>N4/N5</f>
        <v>0.10698235840297121</v>
      </c>
      <c r="P4" s="444">
        <v>0.15</v>
      </c>
    </row>
    <row r="5" spans="1:16" ht="34.5" customHeight="1" thickBot="1" x14ac:dyDescent="0.2">
      <c r="B5" s="259" t="s">
        <v>291</v>
      </c>
      <c r="C5" s="26">
        <v>0</v>
      </c>
      <c r="D5" s="26">
        <v>13.17</v>
      </c>
      <c r="E5" s="26">
        <v>373.2</v>
      </c>
      <c r="F5" s="26">
        <v>127.59</v>
      </c>
      <c r="G5" s="26">
        <v>24.54</v>
      </c>
      <c r="H5" s="26">
        <v>0</v>
      </c>
      <c r="I5" s="26">
        <v>0</v>
      </c>
      <c r="J5" s="26"/>
      <c r="K5" s="26"/>
      <c r="L5" s="26"/>
      <c r="M5" s="26"/>
      <c r="N5" s="265">
        <f>SUM(C5:M5)</f>
        <v>538.5</v>
      </c>
      <c r="O5" s="445"/>
      <c r="P5" s="444"/>
    </row>
    <row r="6" spans="1:16" ht="28.5" x14ac:dyDescent="0.15">
      <c r="B6" s="109" t="s">
        <v>247</v>
      </c>
      <c r="C6" s="110" t="s">
        <v>248</v>
      </c>
      <c r="D6" s="183" t="s">
        <v>249</v>
      </c>
      <c r="E6" s="183" t="s">
        <v>250</v>
      </c>
      <c r="F6" s="183" t="s">
        <v>251</v>
      </c>
      <c r="G6" s="183" t="s">
        <v>252</v>
      </c>
      <c r="H6" s="183" t="s">
        <v>253</v>
      </c>
      <c r="I6" s="183" t="s">
        <v>254</v>
      </c>
      <c r="J6" s="183" t="s">
        <v>255</v>
      </c>
      <c r="K6" s="183" t="s">
        <v>257</v>
      </c>
      <c r="L6" s="183" t="s">
        <v>258</v>
      </c>
      <c r="M6" s="183" t="s">
        <v>259</v>
      </c>
      <c r="N6" s="184" t="s">
        <v>256</v>
      </c>
      <c r="O6" s="181" t="s">
        <v>289</v>
      </c>
      <c r="P6" s="266" t="s">
        <v>288</v>
      </c>
    </row>
    <row r="7" spans="1:16" x14ac:dyDescent="0.15">
      <c r="B7" s="185" t="s">
        <v>260</v>
      </c>
      <c r="C7" s="182">
        <f>$N7*IF($P$4&gt;0.045,C$4/$N$4,C$5/$N$5)</f>
        <v>0.30591000000000002</v>
      </c>
      <c r="D7" s="182">
        <f t="shared" ref="D7:M7" si="0">$N7*IF($P$4&gt;0.045,D$4/$N$4,D$5/$N$5)</f>
        <v>2.2215599999999998</v>
      </c>
      <c r="E7" s="182">
        <f t="shared" si="0"/>
        <v>3.8491200000000001</v>
      </c>
      <c r="F7" s="182">
        <f t="shared" si="0"/>
        <v>5.5093500000000004</v>
      </c>
      <c r="G7" s="182">
        <f t="shared" si="0"/>
        <v>4.5827099999999996</v>
      </c>
      <c r="H7" s="182">
        <f t="shared" si="0"/>
        <v>0.64152000000000009</v>
      </c>
      <c r="I7" s="182">
        <f t="shared" si="0"/>
        <v>0</v>
      </c>
      <c r="J7" s="182">
        <f t="shared" si="0"/>
        <v>0</v>
      </c>
      <c r="K7" s="182">
        <f t="shared" si="0"/>
        <v>0</v>
      </c>
      <c r="L7" s="182">
        <f t="shared" si="0"/>
        <v>0</v>
      </c>
      <c r="M7" s="182">
        <f t="shared" si="0"/>
        <v>0</v>
      </c>
      <c r="N7" s="186">
        <f>O7*P7</f>
        <v>17.11017</v>
      </c>
      <c r="O7" s="265">
        <f>IF($P$4&gt;0.045,$N$4,$N$5)</f>
        <v>57.61</v>
      </c>
      <c r="P7" s="267">
        <f t="shared" ref="P7:P12" si="1">HLOOKUP($P$4,$D$22:$M$35,ROW(A4),FALSE)</f>
        <v>0.29699999999999999</v>
      </c>
    </row>
    <row r="8" spans="1:16" x14ac:dyDescent="0.15">
      <c r="B8" s="185" t="s">
        <v>261</v>
      </c>
      <c r="C8" s="182">
        <f t="shared" ref="C8:M17" si="2">$N8*IF($P$4&gt;0.045,C$4/$N$4,C$5/$N$5)</f>
        <v>6.7979999999999999E-2</v>
      </c>
      <c r="D8" s="182">
        <f t="shared" si="2"/>
        <v>0.49367999999999995</v>
      </c>
      <c r="E8" s="182">
        <f t="shared" si="2"/>
        <v>0.85536000000000001</v>
      </c>
      <c r="F8" s="182">
        <f t="shared" si="2"/>
        <v>1.2243000000000002</v>
      </c>
      <c r="G8" s="182">
        <f t="shared" si="2"/>
        <v>1.0183799999999998</v>
      </c>
      <c r="H8" s="182">
        <f t="shared" si="2"/>
        <v>0.14256000000000002</v>
      </c>
      <c r="I8" s="182">
        <f t="shared" si="2"/>
        <v>0</v>
      </c>
      <c r="J8" s="182">
        <f t="shared" si="2"/>
        <v>0</v>
      </c>
      <c r="K8" s="182">
        <f t="shared" si="2"/>
        <v>0</v>
      </c>
      <c r="L8" s="182">
        <f t="shared" si="2"/>
        <v>0</v>
      </c>
      <c r="M8" s="182">
        <f t="shared" si="2"/>
        <v>0</v>
      </c>
      <c r="N8" s="186">
        <f t="shared" ref="N8:N17" si="3">O8*P8</f>
        <v>3.80226</v>
      </c>
      <c r="O8" s="265">
        <f t="shared" ref="O8:O17" si="4">IF($P$4&gt;0.045,$N$4,$N$5)</f>
        <v>57.61</v>
      </c>
      <c r="P8" s="267">
        <f t="shared" si="1"/>
        <v>6.6000000000000003E-2</v>
      </c>
    </row>
    <row r="9" spans="1:16" x14ac:dyDescent="0.15">
      <c r="B9" s="185" t="s">
        <v>262</v>
      </c>
      <c r="C9" s="182">
        <f t="shared" si="2"/>
        <v>5.253E-2</v>
      </c>
      <c r="D9" s="182">
        <f t="shared" si="2"/>
        <v>0.38147999999999999</v>
      </c>
      <c r="E9" s="182">
        <f t="shared" si="2"/>
        <v>0.66095999999999999</v>
      </c>
      <c r="F9" s="182">
        <f t="shared" si="2"/>
        <v>0.94605000000000006</v>
      </c>
      <c r="G9" s="182">
        <f t="shared" si="2"/>
        <v>0.78692999999999991</v>
      </c>
      <c r="H9" s="182">
        <f t="shared" si="2"/>
        <v>0.11016000000000002</v>
      </c>
      <c r="I9" s="182">
        <f t="shared" si="2"/>
        <v>0</v>
      </c>
      <c r="J9" s="182">
        <f t="shared" si="2"/>
        <v>0</v>
      </c>
      <c r="K9" s="182">
        <f t="shared" si="2"/>
        <v>0</v>
      </c>
      <c r="L9" s="182">
        <f t="shared" si="2"/>
        <v>0</v>
      </c>
      <c r="M9" s="182">
        <f t="shared" si="2"/>
        <v>0</v>
      </c>
      <c r="N9" s="186">
        <f t="shared" si="3"/>
        <v>2.93811</v>
      </c>
      <c r="O9" s="265">
        <f t="shared" si="4"/>
        <v>57.61</v>
      </c>
      <c r="P9" s="267">
        <f t="shared" si="1"/>
        <v>5.0999999999999997E-2</v>
      </c>
    </row>
    <row r="10" spans="1:16" x14ac:dyDescent="0.15">
      <c r="B10" s="185" t="s">
        <v>263</v>
      </c>
      <c r="C10" s="182">
        <f t="shared" si="2"/>
        <v>2.8840000000000001E-2</v>
      </c>
      <c r="D10" s="182">
        <f t="shared" si="2"/>
        <v>0.20943999999999999</v>
      </c>
      <c r="E10" s="182">
        <f t="shared" si="2"/>
        <v>0.36288000000000004</v>
      </c>
      <c r="F10" s="182">
        <f t="shared" si="2"/>
        <v>0.51940000000000008</v>
      </c>
      <c r="G10" s="182">
        <f t="shared" si="2"/>
        <v>0.43203999999999998</v>
      </c>
      <c r="H10" s="182">
        <f t="shared" si="2"/>
        <v>6.0480000000000013E-2</v>
      </c>
      <c r="I10" s="182">
        <f t="shared" si="2"/>
        <v>0</v>
      </c>
      <c r="J10" s="182">
        <f t="shared" si="2"/>
        <v>0</v>
      </c>
      <c r="K10" s="182">
        <f t="shared" si="2"/>
        <v>0</v>
      </c>
      <c r="L10" s="182">
        <f t="shared" si="2"/>
        <v>0</v>
      </c>
      <c r="M10" s="182">
        <f t="shared" si="2"/>
        <v>0</v>
      </c>
      <c r="N10" s="186">
        <f t="shared" si="3"/>
        <v>1.6130800000000001</v>
      </c>
      <c r="O10" s="265">
        <f t="shared" si="4"/>
        <v>57.61</v>
      </c>
      <c r="P10" s="267">
        <f t="shared" si="1"/>
        <v>2.8000000000000001E-2</v>
      </c>
    </row>
    <row r="11" spans="1:16" x14ac:dyDescent="0.15">
      <c r="B11" s="185" t="s">
        <v>264</v>
      </c>
      <c r="C11" s="182">
        <f t="shared" si="2"/>
        <v>2.06E-2</v>
      </c>
      <c r="D11" s="182">
        <f t="shared" si="2"/>
        <v>0.14960000000000001</v>
      </c>
      <c r="E11" s="182">
        <f t="shared" si="2"/>
        <v>0.25920000000000004</v>
      </c>
      <c r="F11" s="182">
        <f t="shared" si="2"/>
        <v>0.37100000000000005</v>
      </c>
      <c r="G11" s="182">
        <f t="shared" si="2"/>
        <v>0.30859999999999999</v>
      </c>
      <c r="H11" s="182">
        <f t="shared" si="2"/>
        <v>4.3200000000000009E-2</v>
      </c>
      <c r="I11" s="182">
        <f t="shared" si="2"/>
        <v>0</v>
      </c>
      <c r="J11" s="182">
        <f t="shared" si="2"/>
        <v>0</v>
      </c>
      <c r="K11" s="182">
        <f t="shared" si="2"/>
        <v>0</v>
      </c>
      <c r="L11" s="182">
        <f t="shared" si="2"/>
        <v>0</v>
      </c>
      <c r="M11" s="182">
        <f t="shared" si="2"/>
        <v>0</v>
      </c>
      <c r="N11" s="186">
        <f t="shared" si="3"/>
        <v>1.1522000000000001</v>
      </c>
      <c r="O11" s="265">
        <f t="shared" si="4"/>
        <v>57.61</v>
      </c>
      <c r="P11" s="267">
        <f t="shared" si="1"/>
        <v>0.02</v>
      </c>
    </row>
    <row r="12" spans="1:16" x14ac:dyDescent="0.15">
      <c r="B12" s="185" t="s">
        <v>265</v>
      </c>
      <c r="C12" s="182">
        <f t="shared" si="2"/>
        <v>1.133E-2</v>
      </c>
      <c r="D12" s="182">
        <f t="shared" si="2"/>
        <v>8.2279999999999992E-2</v>
      </c>
      <c r="E12" s="182">
        <f t="shared" si="2"/>
        <v>0.14255999999999999</v>
      </c>
      <c r="F12" s="182">
        <f t="shared" si="2"/>
        <v>0.20405000000000001</v>
      </c>
      <c r="G12" s="182">
        <f t="shared" si="2"/>
        <v>0.16972999999999999</v>
      </c>
      <c r="H12" s="182">
        <f t="shared" si="2"/>
        <v>2.3760000000000003E-2</v>
      </c>
      <c r="I12" s="182">
        <f t="shared" si="2"/>
        <v>0</v>
      </c>
      <c r="J12" s="182">
        <f t="shared" si="2"/>
        <v>0</v>
      </c>
      <c r="K12" s="182">
        <f t="shared" si="2"/>
        <v>0</v>
      </c>
      <c r="L12" s="182">
        <f t="shared" si="2"/>
        <v>0</v>
      </c>
      <c r="M12" s="182">
        <f t="shared" si="2"/>
        <v>0</v>
      </c>
      <c r="N12" s="186">
        <f t="shared" si="3"/>
        <v>0.63371</v>
      </c>
      <c r="O12" s="265">
        <f t="shared" si="4"/>
        <v>57.61</v>
      </c>
      <c r="P12" s="267">
        <f t="shared" si="1"/>
        <v>1.0999999999999999E-2</v>
      </c>
    </row>
    <row r="13" spans="1:16" ht="15.75" x14ac:dyDescent="0.15">
      <c r="B13" s="203" t="s">
        <v>266</v>
      </c>
      <c r="C13" s="204">
        <f t="shared" si="2"/>
        <v>8.342999999999999E-2</v>
      </c>
      <c r="D13" s="204">
        <f t="shared" si="2"/>
        <v>0.60587999999999997</v>
      </c>
      <c r="E13" s="204">
        <f t="shared" si="2"/>
        <v>1.04976</v>
      </c>
      <c r="F13" s="204">
        <f t="shared" si="2"/>
        <v>1.5025500000000001</v>
      </c>
      <c r="G13" s="204">
        <f t="shared" si="2"/>
        <v>1.2498299999999998</v>
      </c>
      <c r="H13" s="204">
        <f t="shared" si="2"/>
        <v>0.17496000000000003</v>
      </c>
      <c r="I13" s="204">
        <f t="shared" si="2"/>
        <v>0</v>
      </c>
      <c r="J13" s="204">
        <f t="shared" si="2"/>
        <v>0</v>
      </c>
      <c r="K13" s="204">
        <f t="shared" si="2"/>
        <v>0</v>
      </c>
      <c r="L13" s="204">
        <f t="shared" si="2"/>
        <v>0</v>
      </c>
      <c r="M13" s="204">
        <f t="shared" si="2"/>
        <v>0</v>
      </c>
      <c r="N13" s="205">
        <f t="shared" si="3"/>
        <v>4.6664099999999999</v>
      </c>
      <c r="O13" s="268">
        <f t="shared" si="4"/>
        <v>57.61</v>
      </c>
      <c r="P13" s="269">
        <f t="shared" ref="P13" si="5">HLOOKUP($P$4,$D$22:$M$35,ROW(A10),FALSE)</f>
        <v>8.1000000000000003E-2</v>
      </c>
    </row>
    <row r="14" spans="1:16" x14ac:dyDescent="0.15">
      <c r="B14" s="185" t="s">
        <v>267</v>
      </c>
      <c r="C14" s="182">
        <f t="shared" si="2"/>
        <v>5.9739999999999994E-2</v>
      </c>
      <c r="D14" s="182">
        <f t="shared" si="2"/>
        <v>0.43384</v>
      </c>
      <c r="E14" s="182">
        <f t="shared" si="2"/>
        <v>0.75168000000000001</v>
      </c>
      <c r="F14" s="182">
        <f t="shared" si="2"/>
        <v>1.0759000000000001</v>
      </c>
      <c r="G14" s="182">
        <f t="shared" si="2"/>
        <v>0.89493999999999996</v>
      </c>
      <c r="H14" s="182">
        <f t="shared" si="2"/>
        <v>0.12528000000000003</v>
      </c>
      <c r="I14" s="182">
        <f t="shared" si="2"/>
        <v>0</v>
      </c>
      <c r="J14" s="182">
        <f t="shared" si="2"/>
        <v>0</v>
      </c>
      <c r="K14" s="182">
        <f t="shared" si="2"/>
        <v>0</v>
      </c>
      <c r="L14" s="182">
        <f t="shared" si="2"/>
        <v>0</v>
      </c>
      <c r="M14" s="182">
        <f t="shared" si="2"/>
        <v>0</v>
      </c>
      <c r="N14" s="186">
        <f t="shared" si="3"/>
        <v>3.34138</v>
      </c>
      <c r="O14" s="265">
        <f t="shared" si="4"/>
        <v>57.61</v>
      </c>
      <c r="P14" s="267">
        <f>HLOOKUP($P$4,$D$22:$M$35,ROW(A11),FALSE)</f>
        <v>5.8000000000000003E-2</v>
      </c>
    </row>
    <row r="15" spans="1:16" x14ac:dyDescent="0.15">
      <c r="B15" s="185" t="s">
        <v>268</v>
      </c>
      <c r="C15" s="182">
        <f t="shared" si="2"/>
        <v>0.14832000000000001</v>
      </c>
      <c r="D15" s="182">
        <f t="shared" si="2"/>
        <v>1.0771200000000001</v>
      </c>
      <c r="E15" s="182">
        <f t="shared" si="2"/>
        <v>1.8662400000000001</v>
      </c>
      <c r="F15" s="182">
        <f t="shared" si="2"/>
        <v>2.6712000000000002</v>
      </c>
      <c r="G15" s="182">
        <f t="shared" si="2"/>
        <v>2.2219199999999999</v>
      </c>
      <c r="H15" s="182">
        <f t="shared" si="2"/>
        <v>0.31104000000000004</v>
      </c>
      <c r="I15" s="182">
        <f t="shared" si="2"/>
        <v>0</v>
      </c>
      <c r="J15" s="182">
        <f t="shared" si="2"/>
        <v>0</v>
      </c>
      <c r="K15" s="182">
        <f t="shared" si="2"/>
        <v>0</v>
      </c>
      <c r="L15" s="182">
        <f t="shared" si="2"/>
        <v>0</v>
      </c>
      <c r="M15" s="182">
        <f t="shared" si="2"/>
        <v>0</v>
      </c>
      <c r="N15" s="186">
        <f t="shared" si="3"/>
        <v>8.2958400000000001</v>
      </c>
      <c r="O15" s="265">
        <f t="shared" si="4"/>
        <v>57.61</v>
      </c>
      <c r="P15" s="267">
        <f>HLOOKUP($P$4,$D$22:$M$35,ROW(A12),FALSE)</f>
        <v>0.14399999999999999</v>
      </c>
    </row>
    <row r="16" spans="1:16" x14ac:dyDescent="0.15">
      <c r="B16" s="185" t="s">
        <v>269</v>
      </c>
      <c r="C16" s="182">
        <f t="shared" si="2"/>
        <v>0.11947999999999999</v>
      </c>
      <c r="D16" s="182">
        <f t="shared" si="2"/>
        <v>0.86768000000000001</v>
      </c>
      <c r="E16" s="182">
        <f t="shared" si="2"/>
        <v>1.50336</v>
      </c>
      <c r="F16" s="182">
        <f t="shared" si="2"/>
        <v>2.1518000000000002</v>
      </c>
      <c r="G16" s="182">
        <f t="shared" si="2"/>
        <v>1.7898799999999999</v>
      </c>
      <c r="H16" s="182">
        <f t="shared" si="2"/>
        <v>0.25056000000000006</v>
      </c>
      <c r="I16" s="182">
        <f t="shared" si="2"/>
        <v>0</v>
      </c>
      <c r="J16" s="182">
        <f t="shared" si="2"/>
        <v>0</v>
      </c>
      <c r="K16" s="182">
        <f t="shared" si="2"/>
        <v>0</v>
      </c>
      <c r="L16" s="182">
        <f t="shared" si="2"/>
        <v>0</v>
      </c>
      <c r="M16" s="182">
        <f t="shared" si="2"/>
        <v>0</v>
      </c>
      <c r="N16" s="186">
        <f t="shared" si="3"/>
        <v>6.68276</v>
      </c>
      <c r="O16" s="265">
        <f t="shared" si="4"/>
        <v>57.61</v>
      </c>
      <c r="P16" s="267">
        <f>HLOOKUP($P$4,$D$22:$M$35,ROW(A13),FALSE)</f>
        <v>0.11600000000000001</v>
      </c>
    </row>
    <row r="17" spans="2:16" x14ac:dyDescent="0.15">
      <c r="B17" s="185" t="s">
        <v>270</v>
      </c>
      <c r="C17" s="182">
        <f t="shared" si="2"/>
        <v>4.9439999999999998E-2</v>
      </c>
      <c r="D17" s="182">
        <f t="shared" si="2"/>
        <v>0.35904000000000003</v>
      </c>
      <c r="E17" s="182">
        <f t="shared" si="2"/>
        <v>0.62208000000000008</v>
      </c>
      <c r="F17" s="182">
        <f t="shared" si="2"/>
        <v>0.89040000000000019</v>
      </c>
      <c r="G17" s="182">
        <f t="shared" si="2"/>
        <v>0.74063999999999997</v>
      </c>
      <c r="H17" s="182">
        <f t="shared" si="2"/>
        <v>0.10368000000000002</v>
      </c>
      <c r="I17" s="182">
        <f t="shared" si="2"/>
        <v>0</v>
      </c>
      <c r="J17" s="182">
        <f t="shared" si="2"/>
        <v>0</v>
      </c>
      <c r="K17" s="182">
        <f t="shared" si="2"/>
        <v>0</v>
      </c>
      <c r="L17" s="182">
        <f t="shared" si="2"/>
        <v>0</v>
      </c>
      <c r="M17" s="182">
        <f t="shared" si="2"/>
        <v>0</v>
      </c>
      <c r="N17" s="186">
        <f t="shared" si="3"/>
        <v>2.7652800000000002</v>
      </c>
      <c r="O17" s="265">
        <f t="shared" si="4"/>
        <v>57.61</v>
      </c>
      <c r="P17" s="267">
        <f>HLOOKUP($P$4,$D$22:$M$35,ROW(A14),FALSE)</f>
        <v>4.8000000000000001E-2</v>
      </c>
    </row>
    <row r="18" spans="2:16" ht="15" thickBot="1" x14ac:dyDescent="0.2">
      <c r="B18" s="187" t="s">
        <v>287</v>
      </c>
      <c r="C18" s="188">
        <f t="shared" ref="C18:N18" si="6">SUM(C7:C12,C14:C17)</f>
        <v>0.8641700000000001</v>
      </c>
      <c r="D18" s="188">
        <f t="shared" si="6"/>
        <v>6.2757199999999997</v>
      </c>
      <c r="E18" s="188">
        <f t="shared" si="6"/>
        <v>10.87344</v>
      </c>
      <c r="F18" s="188">
        <f t="shared" si="6"/>
        <v>15.563450000000003</v>
      </c>
      <c r="G18" s="188">
        <f t="shared" si="6"/>
        <v>12.94577</v>
      </c>
      <c r="H18" s="188">
        <f t="shared" si="6"/>
        <v>1.8122400000000003</v>
      </c>
      <c r="I18" s="188">
        <f t="shared" si="6"/>
        <v>0</v>
      </c>
      <c r="J18" s="188">
        <f t="shared" si="6"/>
        <v>0</v>
      </c>
      <c r="K18" s="188">
        <f t="shared" si="6"/>
        <v>0</v>
      </c>
      <c r="L18" s="188">
        <f t="shared" si="6"/>
        <v>0</v>
      </c>
      <c r="M18" s="188">
        <f t="shared" si="6"/>
        <v>0</v>
      </c>
      <c r="N18" s="189">
        <f t="shared" si="6"/>
        <v>48.334790000000005</v>
      </c>
      <c r="P18" s="267">
        <f>SUM(P7:P17)</f>
        <v>0.92000000000000015</v>
      </c>
    </row>
    <row r="19" spans="2:16" x14ac:dyDescent="0.15">
      <c r="B19" s="270" t="s">
        <v>527</v>
      </c>
      <c r="P19" s="142"/>
    </row>
    <row r="20" spans="2:16" ht="15" x14ac:dyDescent="0.2">
      <c r="B20" s="446" t="s">
        <v>284</v>
      </c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P20" s="142"/>
    </row>
    <row r="21" spans="2:16" x14ac:dyDescent="0.15">
      <c r="B21" s="448" t="s">
        <v>277</v>
      </c>
      <c r="C21" s="449"/>
      <c r="D21" s="450" t="s">
        <v>278</v>
      </c>
      <c r="E21" s="450"/>
      <c r="F21" s="450"/>
      <c r="G21" s="450"/>
      <c r="H21" s="450"/>
      <c r="I21" s="450"/>
      <c r="J21" s="450"/>
      <c r="K21" s="450"/>
      <c r="L21" s="450"/>
      <c r="M21" s="450"/>
      <c r="P21" s="142"/>
    </row>
    <row r="22" spans="2:16" x14ac:dyDescent="0.15">
      <c r="B22" s="448"/>
      <c r="C22" s="449"/>
      <c r="D22" s="179">
        <v>0.01</v>
      </c>
      <c r="E22" s="179">
        <v>0.02</v>
      </c>
      <c r="F22" s="179">
        <v>0.03</v>
      </c>
      <c r="G22" s="179">
        <v>0.04</v>
      </c>
      <c r="H22" s="179">
        <v>0.05</v>
      </c>
      <c r="I22" s="179">
        <v>0.1</v>
      </c>
      <c r="J22" s="179">
        <v>0.15</v>
      </c>
      <c r="K22" s="179">
        <v>0.2</v>
      </c>
      <c r="L22" s="179">
        <v>0.25</v>
      </c>
      <c r="M22" s="179">
        <v>0.3</v>
      </c>
      <c r="P22" s="142"/>
    </row>
    <row r="23" spans="2:16" ht="27.75" customHeight="1" x14ac:dyDescent="0.15">
      <c r="B23" s="440" t="s">
        <v>279</v>
      </c>
      <c r="C23" s="450"/>
      <c r="D23" s="180" t="s">
        <v>280</v>
      </c>
      <c r="E23" s="180" t="s">
        <v>280</v>
      </c>
      <c r="F23" s="180" t="s">
        <v>280</v>
      </c>
      <c r="G23" s="180" t="s">
        <v>281</v>
      </c>
      <c r="H23" s="180">
        <v>1.44</v>
      </c>
      <c r="I23" s="180">
        <v>1.05</v>
      </c>
      <c r="J23" s="180">
        <v>0.92</v>
      </c>
      <c r="K23" s="180">
        <v>0.85499999999999998</v>
      </c>
      <c r="L23" s="180">
        <v>0.81599999999999995</v>
      </c>
      <c r="M23" s="180">
        <v>0.79</v>
      </c>
      <c r="P23" s="142"/>
    </row>
    <row r="24" spans="2:16" ht="25.5" customHeight="1" x14ac:dyDescent="0.15">
      <c r="B24" s="440" t="s">
        <v>282</v>
      </c>
      <c r="C24" s="450"/>
      <c r="D24" s="180">
        <v>0.04</v>
      </c>
      <c r="E24" s="180">
        <v>0.05</v>
      </c>
      <c r="F24" s="180">
        <v>5.8000000000000003E-2</v>
      </c>
      <c r="G24" s="180">
        <v>6.5000000000000002E-2</v>
      </c>
      <c r="H24" s="180" t="s">
        <v>280</v>
      </c>
      <c r="I24" s="180" t="s">
        <v>280</v>
      </c>
      <c r="J24" s="180" t="s">
        <v>280</v>
      </c>
      <c r="K24" s="180" t="s">
        <v>280</v>
      </c>
      <c r="L24" s="180" t="s">
        <v>280</v>
      </c>
      <c r="M24" s="180" t="s">
        <v>280</v>
      </c>
      <c r="P24" s="142"/>
    </row>
    <row r="25" spans="2:16" x14ac:dyDescent="0.15">
      <c r="B25" s="440" t="s">
        <v>283</v>
      </c>
      <c r="C25" s="174" t="s">
        <v>260</v>
      </c>
      <c r="D25" s="180">
        <v>7.4999999999999997E-3</v>
      </c>
      <c r="E25" s="180">
        <v>1.15E-2</v>
      </c>
      <c r="F25" s="180">
        <v>1.43E-2</v>
      </c>
      <c r="G25" s="180">
        <v>1.6899999999999998E-2</v>
      </c>
      <c r="H25" s="180">
        <v>0.39</v>
      </c>
      <c r="I25" s="180">
        <v>0.32</v>
      </c>
      <c r="J25" s="180">
        <v>0.29699999999999999</v>
      </c>
      <c r="K25" s="180">
        <v>0.28499999999999998</v>
      </c>
      <c r="L25" s="180">
        <v>0.27800000000000002</v>
      </c>
      <c r="M25" s="180">
        <v>0.27300000000000002</v>
      </c>
      <c r="P25" s="142"/>
    </row>
    <row r="26" spans="2:16" x14ac:dyDescent="0.15">
      <c r="B26" s="440"/>
      <c r="C26" s="174" t="s">
        <v>261</v>
      </c>
      <c r="D26" s="180">
        <v>2.5000000000000001E-3</v>
      </c>
      <c r="E26" s="180">
        <v>3.3E-3</v>
      </c>
      <c r="F26" s="180">
        <v>3.8999999999999998E-3</v>
      </c>
      <c r="G26" s="180">
        <v>4.4000000000000003E-3</v>
      </c>
      <c r="H26" s="180">
        <v>9.8000000000000004E-2</v>
      </c>
      <c r="I26" s="180">
        <v>7.3999999999999996E-2</v>
      </c>
      <c r="J26" s="180">
        <v>6.6000000000000003E-2</v>
      </c>
      <c r="K26" s="180">
        <v>6.2E-2</v>
      </c>
      <c r="L26" s="180">
        <v>0.06</v>
      </c>
      <c r="M26" s="180">
        <v>5.8000000000000003E-2</v>
      </c>
      <c r="P26" s="142"/>
    </row>
    <row r="27" spans="2:16" x14ac:dyDescent="0.15">
      <c r="B27" s="440"/>
      <c r="C27" s="174" t="s">
        <v>262</v>
      </c>
      <c r="D27" s="180">
        <v>2E-3</v>
      </c>
      <c r="E27" s="180">
        <v>2.5999999999999999E-3</v>
      </c>
      <c r="F27" s="180">
        <v>3.0000000000000001E-3</v>
      </c>
      <c r="G27" s="180">
        <v>3.3999999999999998E-3</v>
      </c>
      <c r="H27" s="180">
        <v>7.5999999999999998E-2</v>
      </c>
      <c r="I27" s="180">
        <v>5.7000000000000002E-2</v>
      </c>
      <c r="J27" s="180">
        <v>5.0999999999999997E-2</v>
      </c>
      <c r="K27" s="180">
        <v>4.8000000000000001E-2</v>
      </c>
      <c r="L27" s="180">
        <v>4.5999999999999999E-2</v>
      </c>
      <c r="M27" s="180">
        <v>4.4999999999999998E-2</v>
      </c>
      <c r="P27" s="142"/>
    </row>
    <row r="28" spans="2:16" x14ac:dyDescent="0.15">
      <c r="B28" s="440"/>
      <c r="C28" s="174" t="s">
        <v>263</v>
      </c>
      <c r="D28" s="180">
        <v>1.6000000000000001E-3</v>
      </c>
      <c r="E28" s="180">
        <v>2E-3</v>
      </c>
      <c r="F28" s="180">
        <v>2.2000000000000001E-3</v>
      </c>
      <c r="G28" s="180">
        <v>2.3999999999999998E-3</v>
      </c>
      <c r="H28" s="180">
        <v>5.1999999999999998E-2</v>
      </c>
      <c r="I28" s="180">
        <v>3.4000000000000002E-2</v>
      </c>
      <c r="J28" s="180">
        <v>2.8000000000000001E-2</v>
      </c>
      <c r="K28" s="180">
        <v>2.5000000000000001E-2</v>
      </c>
      <c r="L28" s="180">
        <v>2.3E-2</v>
      </c>
      <c r="M28" s="180">
        <v>2.1999999999999999E-2</v>
      </c>
      <c r="P28" s="142"/>
    </row>
    <row r="29" spans="2:16" x14ac:dyDescent="0.15">
      <c r="B29" s="440"/>
      <c r="C29" s="174" t="s">
        <v>264</v>
      </c>
      <c r="D29" s="180">
        <v>1.6000000000000001E-3</v>
      </c>
      <c r="E29" s="180">
        <v>1.6999999999999999E-3</v>
      </c>
      <c r="F29" s="180">
        <v>1.8E-3</v>
      </c>
      <c r="G29" s="180">
        <v>1.9E-3</v>
      </c>
      <c r="H29" s="180">
        <v>0.04</v>
      </c>
      <c r="I29" s="180">
        <v>2.5000000000000001E-2</v>
      </c>
      <c r="J29" s="180">
        <v>0.02</v>
      </c>
      <c r="K29" s="180">
        <v>1.7000000000000001E-2</v>
      </c>
      <c r="L29" s="180">
        <v>1.6E-2</v>
      </c>
      <c r="M29" s="180">
        <v>1.4999999999999999E-2</v>
      </c>
      <c r="P29" s="142"/>
    </row>
    <row r="30" spans="2:16" x14ac:dyDescent="0.15">
      <c r="B30" s="440"/>
      <c r="C30" s="174" t="s">
        <v>265</v>
      </c>
      <c r="D30" s="180">
        <v>2.9999999999999997E-4</v>
      </c>
      <c r="E30" s="180">
        <v>4.0000000000000002E-4</v>
      </c>
      <c r="F30" s="180">
        <v>5.0000000000000001E-4</v>
      </c>
      <c r="G30" s="180">
        <v>5.9999999999999995E-4</v>
      </c>
      <c r="H30" s="180">
        <v>1.4E-2</v>
      </c>
      <c r="I30" s="180">
        <v>1.2E-2</v>
      </c>
      <c r="J30" s="180">
        <v>1.0999999999999999E-2</v>
      </c>
      <c r="K30" s="180">
        <v>1.0999999999999999E-2</v>
      </c>
      <c r="L30" s="180">
        <v>1.0999999999999999E-2</v>
      </c>
      <c r="M30" s="180">
        <v>1.0999999999999999E-2</v>
      </c>
      <c r="P30" s="142"/>
    </row>
    <row r="31" spans="2:16" x14ac:dyDescent="0.15">
      <c r="B31" s="440"/>
      <c r="C31" s="206" t="s">
        <v>266</v>
      </c>
      <c r="D31" s="207">
        <v>5.0000000000000001E-3</v>
      </c>
      <c r="E31" s="207">
        <v>5.7999999999999996E-3</v>
      </c>
      <c r="F31" s="207">
        <v>6.4999999999999997E-3</v>
      </c>
      <c r="G31" s="207">
        <v>7.0000000000000001E-3</v>
      </c>
      <c r="H31" s="207">
        <v>0.15</v>
      </c>
      <c r="I31" s="207">
        <v>9.8000000000000004E-2</v>
      </c>
      <c r="J31" s="207">
        <v>8.1000000000000003E-2</v>
      </c>
      <c r="K31" s="207">
        <v>7.1999999999999995E-2</v>
      </c>
      <c r="L31" s="207">
        <v>6.7000000000000004E-2</v>
      </c>
      <c r="M31" s="207">
        <v>6.3E-2</v>
      </c>
      <c r="P31" s="142"/>
    </row>
    <row r="32" spans="2:16" x14ac:dyDescent="0.15">
      <c r="B32" s="440"/>
      <c r="C32" s="174" t="s">
        <v>267</v>
      </c>
      <c r="D32" s="180">
        <v>3.5000000000000001E-3</v>
      </c>
      <c r="E32" s="180">
        <v>4.1000000000000003E-3</v>
      </c>
      <c r="F32" s="180">
        <v>4.5999999999999999E-3</v>
      </c>
      <c r="G32" s="180">
        <v>5.0000000000000001E-3</v>
      </c>
      <c r="H32" s="180">
        <v>0.108</v>
      </c>
      <c r="I32" s="180">
        <v>7.0999999999999994E-2</v>
      </c>
      <c r="J32" s="180">
        <v>5.8000000000000003E-2</v>
      </c>
      <c r="K32" s="180">
        <v>5.2999999999999999E-2</v>
      </c>
      <c r="L32" s="180">
        <v>4.9000000000000002E-2</v>
      </c>
      <c r="M32" s="180">
        <v>4.5999999999999999E-2</v>
      </c>
      <c r="P32" s="142"/>
    </row>
    <row r="33" spans="1:30" x14ac:dyDescent="0.15">
      <c r="B33" s="440"/>
      <c r="C33" s="174" t="s">
        <v>268</v>
      </c>
      <c r="D33" s="180">
        <v>7.0000000000000001E-3</v>
      </c>
      <c r="E33" s="180">
        <v>8.3999999999999995E-3</v>
      </c>
      <c r="F33" s="180">
        <v>9.7999999999999997E-3</v>
      </c>
      <c r="G33" s="180">
        <v>1.0800000000000001E-2</v>
      </c>
      <c r="H33" s="180">
        <v>0.23599999999999999</v>
      </c>
      <c r="I33" s="180">
        <v>0.16700000000000001</v>
      </c>
      <c r="J33" s="180">
        <v>0.14399999999999999</v>
      </c>
      <c r="K33" s="180">
        <v>0.13200000000000001</v>
      </c>
      <c r="L33" s="180">
        <v>0.125</v>
      </c>
      <c r="M33" s="180">
        <v>0.121</v>
      </c>
      <c r="P33" s="142"/>
    </row>
    <row r="34" spans="1:30" x14ac:dyDescent="0.15">
      <c r="B34" s="440"/>
      <c r="C34" s="174" t="s">
        <v>269</v>
      </c>
      <c r="D34" s="180">
        <v>7.0000000000000001E-3</v>
      </c>
      <c r="E34" s="180">
        <v>7.7999999999999996E-3</v>
      </c>
      <c r="F34" s="180">
        <v>8.6E-3</v>
      </c>
      <c r="G34" s="180">
        <v>9.4000000000000004E-3</v>
      </c>
      <c r="H34" s="180">
        <v>0.20399999999999999</v>
      </c>
      <c r="I34" s="180">
        <v>0.13800000000000001</v>
      </c>
      <c r="J34" s="180">
        <v>0.11600000000000001</v>
      </c>
      <c r="K34" s="180">
        <v>0.105</v>
      </c>
      <c r="L34" s="180">
        <v>9.8000000000000004E-2</v>
      </c>
      <c r="M34" s="180">
        <v>9.4E-2</v>
      </c>
      <c r="P34" s="142"/>
    </row>
    <row r="35" spans="1:30" ht="15" thickBot="1" x14ac:dyDescent="0.2">
      <c r="B35" s="441"/>
      <c r="C35" s="271" t="s">
        <v>270</v>
      </c>
      <c r="D35" s="272">
        <v>2E-3</v>
      </c>
      <c r="E35" s="272">
        <v>2.3999999999999998E-3</v>
      </c>
      <c r="F35" s="272">
        <v>2.8E-3</v>
      </c>
      <c r="G35" s="272">
        <v>3.2000000000000002E-3</v>
      </c>
      <c r="H35" s="272">
        <v>7.1999999999999995E-2</v>
      </c>
      <c r="I35" s="272">
        <v>5.3999999999999999E-2</v>
      </c>
      <c r="J35" s="272">
        <v>4.8000000000000001E-2</v>
      </c>
      <c r="K35" s="272">
        <v>4.4999999999999998E-2</v>
      </c>
      <c r="L35" s="272">
        <v>4.2999999999999997E-2</v>
      </c>
      <c r="M35" s="272">
        <v>4.2000000000000003E-2</v>
      </c>
      <c r="N35" s="146"/>
      <c r="O35" s="146"/>
      <c r="P35" s="147"/>
    </row>
    <row r="37" spans="1:30" x14ac:dyDescent="0.15">
      <c r="A37" t="s">
        <v>507</v>
      </c>
      <c r="B37" t="s">
        <v>507</v>
      </c>
      <c r="C37" t="s">
        <v>507</v>
      </c>
      <c r="D37" t="s">
        <v>507</v>
      </c>
      <c r="E37" t="s">
        <v>507</v>
      </c>
      <c r="F37" t="s">
        <v>507</v>
      </c>
      <c r="G37" t="s">
        <v>507</v>
      </c>
      <c r="H37" t="s">
        <v>507</v>
      </c>
      <c r="I37" t="s">
        <v>507</v>
      </c>
      <c r="J37" t="s">
        <v>507</v>
      </c>
      <c r="K37" t="s">
        <v>507</v>
      </c>
      <c r="L37" t="s">
        <v>507</v>
      </c>
      <c r="M37" t="s">
        <v>507</v>
      </c>
      <c r="N37" t="s">
        <v>507</v>
      </c>
      <c r="O37" t="s">
        <v>507</v>
      </c>
      <c r="P37" t="s">
        <v>507</v>
      </c>
      <c r="Q37" t="s">
        <v>507</v>
      </c>
      <c r="R37" t="s">
        <v>507</v>
      </c>
      <c r="S37" t="s">
        <v>507</v>
      </c>
      <c r="T37" t="s">
        <v>507</v>
      </c>
      <c r="U37" t="s">
        <v>507</v>
      </c>
      <c r="V37" t="s">
        <v>507</v>
      </c>
      <c r="W37" t="s">
        <v>507</v>
      </c>
      <c r="X37" t="s">
        <v>507</v>
      </c>
      <c r="Y37" t="s">
        <v>507</v>
      </c>
      <c r="Z37" t="s">
        <v>507</v>
      </c>
      <c r="AA37" t="s">
        <v>507</v>
      </c>
      <c r="AB37" t="s">
        <v>507</v>
      </c>
      <c r="AC37" t="s">
        <v>507</v>
      </c>
      <c r="AD37" t="s">
        <v>507</v>
      </c>
    </row>
    <row r="38" spans="1:30" ht="18" customHeight="1" thickBot="1" x14ac:dyDescent="0.2"/>
    <row r="39" spans="1:30" ht="24" customHeight="1" x14ac:dyDescent="0.15">
      <c r="B39" s="405" t="s">
        <v>526</v>
      </c>
      <c r="C39" s="406"/>
      <c r="D39" s="406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7"/>
    </row>
    <row r="40" spans="1:30" ht="33.75" customHeight="1" x14ac:dyDescent="0.15">
      <c r="B40" s="259" t="s">
        <v>290</v>
      </c>
      <c r="C40">
        <v>1.7969999999999999</v>
      </c>
      <c r="D40" s="125">
        <v>1.7967276839352611</v>
      </c>
      <c r="E40" s="125">
        <v>20.109958300940001</v>
      </c>
      <c r="F40" s="125">
        <v>87.191000000000003</v>
      </c>
      <c r="G40" s="125">
        <v>47.005074563573409</v>
      </c>
      <c r="N40" s="26"/>
      <c r="Q40" s="142"/>
    </row>
    <row r="41" spans="1:30" ht="30.75" customHeight="1" x14ac:dyDescent="0.15">
      <c r="B41" s="172" t="s">
        <v>509</v>
      </c>
      <c r="C41" s="148" t="s">
        <v>248</v>
      </c>
      <c r="D41" s="256" t="s">
        <v>249</v>
      </c>
      <c r="E41" s="256" t="s">
        <v>250</v>
      </c>
      <c r="F41" s="256" t="s">
        <v>251</v>
      </c>
      <c r="G41" s="256" t="s">
        <v>252</v>
      </c>
      <c r="H41" s="256" t="s">
        <v>253</v>
      </c>
      <c r="I41" s="256" t="s">
        <v>254</v>
      </c>
      <c r="J41" s="256" t="s">
        <v>255</v>
      </c>
      <c r="K41" s="256" t="s">
        <v>257</v>
      </c>
      <c r="L41" s="256" t="s">
        <v>258</v>
      </c>
      <c r="M41" s="256" t="s">
        <v>259</v>
      </c>
      <c r="N41" s="256" t="s">
        <v>256</v>
      </c>
      <c r="O41" s="257" t="s">
        <v>523</v>
      </c>
      <c r="P41" s="255" t="s">
        <v>522</v>
      </c>
      <c r="Q41" s="273" t="s">
        <v>524</v>
      </c>
    </row>
    <row r="42" spans="1:30" ht="18" customHeight="1" x14ac:dyDescent="0.15">
      <c r="B42" s="172" t="s">
        <v>510</v>
      </c>
      <c r="C42" s="230">
        <f t="shared" ref="C42:C47" si="7">N42*$C$40/O42</f>
        <v>0.43128</v>
      </c>
      <c r="D42" s="230">
        <f t="shared" ref="D42:D47" si="8">N42*$D$40/O42</f>
        <v>0.43121464414446264</v>
      </c>
      <c r="E42" s="230">
        <f t="shared" ref="E42:E47" si="9">N42*$E$40/O42</f>
        <v>4.8263899922256002</v>
      </c>
      <c r="F42" s="230">
        <f t="shared" ref="F42:F47" si="10">N42*$F$40/O42</f>
        <v>20.925840000000001</v>
      </c>
      <c r="G42" s="230">
        <f t="shared" ref="G42:G47" si="11">N42*$G$40/O42</f>
        <v>11.281217895257619</v>
      </c>
      <c r="H42" s="230">
        <f t="shared" ref="H42:H47" si="12">N42*$H$40/O42</f>
        <v>0</v>
      </c>
      <c r="I42" s="230">
        <f t="shared" ref="I42:I47" si="13">N42*$I$40/O42</f>
        <v>0</v>
      </c>
      <c r="J42" s="230">
        <f t="shared" ref="J42:J47" si="14">N42*$J$40/O42</f>
        <v>0</v>
      </c>
      <c r="K42" s="230">
        <f t="shared" ref="K42:K47" si="15">N42*$K$40/O42</f>
        <v>0</v>
      </c>
      <c r="L42" s="230">
        <f t="shared" ref="L42:L47" si="16">N42*$L$40/O42</f>
        <v>0</v>
      </c>
      <c r="M42" s="230">
        <f t="shared" ref="M42:M47" si="17">N42*$M$40/O42</f>
        <v>0</v>
      </c>
      <c r="N42" s="258">
        <f>O42*P42</f>
        <v>37.896000000000001</v>
      </c>
      <c r="O42" s="26">
        <v>157.9</v>
      </c>
      <c r="P42" s="260">
        <v>0.24</v>
      </c>
      <c r="Q42" s="261">
        <f>SUM(C42:M42)</f>
        <v>37.895942531627682</v>
      </c>
    </row>
    <row r="43" spans="1:30" ht="18" customHeight="1" x14ac:dyDescent="0.15">
      <c r="B43" s="172" t="s">
        <v>511</v>
      </c>
      <c r="C43" s="230">
        <f t="shared" si="7"/>
        <v>8.6255999999999999E-2</v>
      </c>
      <c r="D43" s="230">
        <f t="shared" si="8"/>
        <v>8.6242928828892534E-2</v>
      </c>
      <c r="E43" s="230">
        <f t="shared" si="9"/>
        <v>0.96527799844511997</v>
      </c>
      <c r="F43" s="230">
        <f t="shared" si="10"/>
        <v>4.185168</v>
      </c>
      <c r="G43" s="230">
        <f t="shared" si="11"/>
        <v>2.2562435790515236</v>
      </c>
      <c r="H43" s="230">
        <f t="shared" si="12"/>
        <v>0</v>
      </c>
      <c r="I43" s="230">
        <f t="shared" si="13"/>
        <v>0</v>
      </c>
      <c r="J43" s="230">
        <f t="shared" si="14"/>
        <v>0</v>
      </c>
      <c r="K43" s="230">
        <f t="shared" si="15"/>
        <v>0</v>
      </c>
      <c r="L43" s="230">
        <f t="shared" si="16"/>
        <v>0</v>
      </c>
      <c r="M43" s="230">
        <f t="shared" si="17"/>
        <v>0</v>
      </c>
      <c r="N43" s="258">
        <f t="shared" ref="N43:N52" si="18">O43*P43</f>
        <v>7.5792000000000002</v>
      </c>
      <c r="O43" s="26">
        <v>157.9</v>
      </c>
      <c r="P43" s="260">
        <v>4.8000000000000001E-2</v>
      </c>
      <c r="Q43" s="261">
        <f t="shared" ref="Q43:Q53" si="19">SUM(C43:M43)</f>
        <v>7.5791885063255364</v>
      </c>
    </row>
    <row r="44" spans="1:30" ht="18" customHeight="1" x14ac:dyDescent="0.15">
      <c r="B44" s="172" t="s">
        <v>512</v>
      </c>
      <c r="C44" s="230">
        <f t="shared" si="7"/>
        <v>6.1098000000000006E-2</v>
      </c>
      <c r="D44" s="230">
        <f t="shared" si="8"/>
        <v>6.108874125379888E-2</v>
      </c>
      <c r="E44" s="230">
        <f t="shared" si="9"/>
        <v>0.68373858223196005</v>
      </c>
      <c r="F44" s="230">
        <f t="shared" si="10"/>
        <v>2.9644940000000002</v>
      </c>
      <c r="G44" s="230">
        <f t="shared" si="11"/>
        <v>1.5981725351614959</v>
      </c>
      <c r="H44" s="230">
        <f t="shared" si="12"/>
        <v>0</v>
      </c>
      <c r="I44" s="230">
        <f t="shared" si="13"/>
        <v>0</v>
      </c>
      <c r="J44" s="230">
        <f t="shared" si="14"/>
        <v>0</v>
      </c>
      <c r="K44" s="230">
        <f t="shared" si="15"/>
        <v>0</v>
      </c>
      <c r="L44" s="230">
        <f t="shared" si="16"/>
        <v>0</v>
      </c>
      <c r="M44" s="230">
        <f t="shared" si="17"/>
        <v>0</v>
      </c>
      <c r="N44" s="258">
        <f t="shared" si="18"/>
        <v>5.3686000000000007</v>
      </c>
      <c r="O44" s="26">
        <v>157.9</v>
      </c>
      <c r="P44" s="260">
        <v>3.4000000000000002E-2</v>
      </c>
      <c r="Q44" s="261">
        <f t="shared" si="19"/>
        <v>5.368591858647255</v>
      </c>
    </row>
    <row r="45" spans="1:30" ht="18" customHeight="1" x14ac:dyDescent="0.15">
      <c r="B45" s="172" t="s">
        <v>513</v>
      </c>
      <c r="C45" s="230">
        <f t="shared" si="7"/>
        <v>2.1564E-2</v>
      </c>
      <c r="D45" s="230">
        <f t="shared" si="8"/>
        <v>2.1560732207223134E-2</v>
      </c>
      <c r="E45" s="230">
        <f t="shared" si="9"/>
        <v>0.24131949961127999</v>
      </c>
      <c r="F45" s="230">
        <f t="shared" si="10"/>
        <v>1.046292</v>
      </c>
      <c r="G45" s="230">
        <f t="shared" si="11"/>
        <v>0.5640608947628809</v>
      </c>
      <c r="H45" s="230">
        <f t="shared" si="12"/>
        <v>0</v>
      </c>
      <c r="I45" s="230">
        <f t="shared" si="13"/>
        <v>0</v>
      </c>
      <c r="J45" s="230">
        <f t="shared" si="14"/>
        <v>0</v>
      </c>
      <c r="K45" s="230">
        <f t="shared" si="15"/>
        <v>0</v>
      </c>
      <c r="L45" s="230">
        <f t="shared" si="16"/>
        <v>0</v>
      </c>
      <c r="M45" s="230">
        <f t="shared" si="17"/>
        <v>0</v>
      </c>
      <c r="N45" s="258">
        <f t="shared" si="18"/>
        <v>1.8948</v>
      </c>
      <c r="O45" s="26">
        <v>157.9</v>
      </c>
      <c r="P45" s="260">
        <v>1.2E-2</v>
      </c>
      <c r="Q45" s="261">
        <f t="shared" si="19"/>
        <v>1.8947971265813841</v>
      </c>
    </row>
    <row r="46" spans="1:30" ht="18" customHeight="1" x14ac:dyDescent="0.15">
      <c r="B46" s="172" t="s">
        <v>514</v>
      </c>
      <c r="C46" s="230">
        <f t="shared" si="7"/>
        <v>5.391E-3</v>
      </c>
      <c r="D46" s="230">
        <f t="shared" si="8"/>
        <v>5.3901830518057834E-3</v>
      </c>
      <c r="E46" s="230">
        <f t="shared" si="9"/>
        <v>6.0329874902819998E-2</v>
      </c>
      <c r="F46" s="230">
        <f t="shared" si="10"/>
        <v>0.261573</v>
      </c>
      <c r="G46" s="230">
        <f t="shared" si="11"/>
        <v>0.14101522369072023</v>
      </c>
      <c r="H46" s="230">
        <f t="shared" si="12"/>
        <v>0</v>
      </c>
      <c r="I46" s="230">
        <f t="shared" si="13"/>
        <v>0</v>
      </c>
      <c r="J46" s="230">
        <f t="shared" si="14"/>
        <v>0</v>
      </c>
      <c r="K46" s="230">
        <f t="shared" si="15"/>
        <v>0</v>
      </c>
      <c r="L46" s="230">
        <f t="shared" si="16"/>
        <v>0</v>
      </c>
      <c r="M46" s="230">
        <f t="shared" si="17"/>
        <v>0</v>
      </c>
      <c r="N46" s="258">
        <f t="shared" si="18"/>
        <v>0.47370000000000001</v>
      </c>
      <c r="O46" s="26">
        <v>157.9</v>
      </c>
      <c r="P46" s="260">
        <v>3.0000000000000001E-3</v>
      </c>
      <c r="Q46" s="261">
        <f t="shared" si="19"/>
        <v>0.47369928164534603</v>
      </c>
    </row>
    <row r="47" spans="1:30" ht="18" customHeight="1" x14ac:dyDescent="0.15">
      <c r="B47" s="172" t="s">
        <v>515</v>
      </c>
      <c r="C47" s="230">
        <f t="shared" si="7"/>
        <v>1.797E-3</v>
      </c>
      <c r="D47" s="230">
        <f t="shared" si="8"/>
        <v>1.796727683935261E-3</v>
      </c>
      <c r="E47" s="230">
        <f t="shared" si="9"/>
        <v>2.0109958300939999E-2</v>
      </c>
      <c r="F47" s="230">
        <f t="shared" si="10"/>
        <v>8.7191000000000005E-2</v>
      </c>
      <c r="G47" s="230">
        <f t="shared" si="11"/>
        <v>4.7005074563573411E-2</v>
      </c>
      <c r="H47" s="230">
        <f t="shared" si="12"/>
        <v>0</v>
      </c>
      <c r="I47" s="230">
        <f t="shared" si="13"/>
        <v>0</v>
      </c>
      <c r="J47" s="230">
        <f t="shared" si="14"/>
        <v>0</v>
      </c>
      <c r="K47" s="230">
        <f t="shared" si="15"/>
        <v>0</v>
      </c>
      <c r="L47" s="230">
        <f t="shared" si="16"/>
        <v>0</v>
      </c>
      <c r="M47" s="230">
        <f t="shared" si="17"/>
        <v>0</v>
      </c>
      <c r="N47" s="258">
        <f t="shared" si="18"/>
        <v>0.15790000000000001</v>
      </c>
      <c r="O47" s="26">
        <v>157.9</v>
      </c>
      <c r="P47" s="260">
        <v>1E-3</v>
      </c>
      <c r="Q47" s="261">
        <f t="shared" si="19"/>
        <v>0.15789976054844868</v>
      </c>
    </row>
    <row r="48" spans="1:30" ht="18" customHeight="1" x14ac:dyDescent="0.15">
      <c r="B48" s="275" t="s">
        <v>516</v>
      </c>
      <c r="C48" s="276">
        <f t="shared" ref="C48" si="20">N48*$C$40/O48</f>
        <v>7.5474000000000013E-2</v>
      </c>
      <c r="D48" s="276">
        <f t="shared" ref="D48" si="21">N48*$D$40/O48</f>
        <v>7.5462562725280971E-2</v>
      </c>
      <c r="E48" s="276">
        <f t="shared" ref="E48" si="22">N48*$E$40/O48</f>
        <v>0.84461824863948021</v>
      </c>
      <c r="F48" s="276">
        <f t="shared" ref="F48" si="23">N48*$F$40/O48</f>
        <v>3.6620220000000008</v>
      </c>
      <c r="G48" s="276">
        <f t="shared" ref="G48" si="24">N48*$G$40/O48</f>
        <v>1.9742131316700835</v>
      </c>
      <c r="H48" s="276">
        <f t="shared" ref="H48" si="25">N48*$H$40/O48</f>
        <v>0</v>
      </c>
      <c r="I48" s="276">
        <f t="shared" ref="I48" si="26">N48*$I$40/O48</f>
        <v>0</v>
      </c>
      <c r="J48" s="276">
        <f t="shared" ref="J48" si="27">N48*$J$40/O48</f>
        <v>0</v>
      </c>
      <c r="K48" s="276">
        <f t="shared" ref="K48" si="28">N48*$K$40/O48</f>
        <v>0</v>
      </c>
      <c r="L48" s="276">
        <f t="shared" ref="L48" si="29">N48*$L$40/O48</f>
        <v>0</v>
      </c>
      <c r="M48" s="276">
        <f t="shared" ref="M48" si="30">N48*$M$40/O48</f>
        <v>0</v>
      </c>
      <c r="N48" s="277">
        <f t="shared" si="18"/>
        <v>6.631800000000001</v>
      </c>
      <c r="O48" s="278">
        <v>157.9</v>
      </c>
      <c r="P48" s="279">
        <v>4.2000000000000003E-2</v>
      </c>
      <c r="Q48" s="280">
        <f t="shared" si="19"/>
        <v>6.6317899430348453</v>
      </c>
    </row>
    <row r="49" spans="2:17" ht="18" customHeight="1" x14ac:dyDescent="0.15">
      <c r="B49" s="172" t="s">
        <v>517</v>
      </c>
      <c r="C49" s="230">
        <f>N49*$C$40/O49</f>
        <v>5.391E-2</v>
      </c>
      <c r="D49" s="230">
        <f>N49*$D$40/O49</f>
        <v>5.3901830518057831E-2</v>
      </c>
      <c r="E49" s="230">
        <f>N49*$E$40/O49</f>
        <v>0.60329874902820002</v>
      </c>
      <c r="F49" s="230">
        <f>N49*$F$40/O49</f>
        <v>2.6157300000000001</v>
      </c>
      <c r="G49" s="230">
        <f>N49*$G$40/O49</f>
        <v>1.4101522369072024</v>
      </c>
      <c r="H49" s="230">
        <f>N49*$H$40/O49</f>
        <v>0</v>
      </c>
      <c r="I49" s="230">
        <f>N49*$I$40/O49</f>
        <v>0</v>
      </c>
      <c r="J49" s="230">
        <f>N49*$J$40/O49</f>
        <v>0</v>
      </c>
      <c r="K49" s="230">
        <f>N49*$K$40/O49</f>
        <v>0</v>
      </c>
      <c r="L49" s="230">
        <f>N49*$L$40/O49</f>
        <v>0</v>
      </c>
      <c r="M49" s="230">
        <f>N49*$M$40/O49</f>
        <v>0</v>
      </c>
      <c r="N49" s="258">
        <f t="shared" si="18"/>
        <v>4.7370000000000001</v>
      </c>
      <c r="O49" s="26">
        <v>157.9</v>
      </c>
      <c r="P49" s="260">
        <v>0.03</v>
      </c>
      <c r="Q49" s="261">
        <f t="shared" si="19"/>
        <v>4.7369928164534603</v>
      </c>
    </row>
    <row r="50" spans="2:17" ht="18" customHeight="1" x14ac:dyDescent="0.15">
      <c r="B50" s="172" t="s">
        <v>518</v>
      </c>
      <c r="C50" s="230">
        <f>N50*$C$40/O50</f>
        <v>0.17610600000000001</v>
      </c>
      <c r="D50" s="230">
        <f>N50*$D$40/O50</f>
        <v>0.1760793130256556</v>
      </c>
      <c r="E50" s="230">
        <f>N50*$E$40/O50</f>
        <v>1.9707759134921201</v>
      </c>
      <c r="F50" s="230">
        <f>N50*$F$40/O50</f>
        <v>8.5447180000000014</v>
      </c>
      <c r="G50" s="230">
        <f>N50*$G$40/O50</f>
        <v>4.6064973072301942</v>
      </c>
      <c r="H50" s="230">
        <f>N50*$H$40/O50</f>
        <v>0</v>
      </c>
      <c r="I50" s="230">
        <f>N50*$I$40/O50</f>
        <v>0</v>
      </c>
      <c r="J50" s="230">
        <f>N50*$J$40/O50</f>
        <v>0</v>
      </c>
      <c r="K50" s="230">
        <f>N50*$K$40/O50</f>
        <v>0</v>
      </c>
      <c r="L50" s="230">
        <f>N50*$L$40/O50</f>
        <v>0</v>
      </c>
      <c r="M50" s="230">
        <f>N50*$M$40/O50</f>
        <v>0</v>
      </c>
      <c r="N50" s="258">
        <f t="shared" si="18"/>
        <v>15.474200000000002</v>
      </c>
      <c r="O50" s="26">
        <v>157.9</v>
      </c>
      <c r="P50" s="260">
        <v>9.8000000000000004E-2</v>
      </c>
      <c r="Q50" s="261">
        <f t="shared" si="19"/>
        <v>15.47417653374797</v>
      </c>
    </row>
    <row r="51" spans="2:17" ht="18" customHeight="1" x14ac:dyDescent="0.15">
      <c r="B51" s="172" t="s">
        <v>519</v>
      </c>
      <c r="C51" s="230">
        <f>N51*$C$40/O51</f>
        <v>0.11141399999999999</v>
      </c>
      <c r="D51" s="230">
        <f>N51*$D$40/O51</f>
        <v>0.11139711640398617</v>
      </c>
      <c r="E51" s="230">
        <f>N51*$E$40/O51</f>
        <v>1.24681741465828</v>
      </c>
      <c r="F51" s="230">
        <f>N51*$F$40/O51</f>
        <v>5.4058419999999998</v>
      </c>
      <c r="G51" s="230">
        <f>N51*$G$40/O51</f>
        <v>2.9143146229415513</v>
      </c>
      <c r="H51" s="230">
        <f>N51*$H$40/O51</f>
        <v>0</v>
      </c>
      <c r="I51" s="230">
        <f>N51*$I$40/O51</f>
        <v>0</v>
      </c>
      <c r="J51" s="230">
        <f>N51*$J$40/O51</f>
        <v>0</v>
      </c>
      <c r="K51" s="230">
        <f>N51*$K$40/O51</f>
        <v>0</v>
      </c>
      <c r="L51" s="230">
        <f>N51*$L$40/O51</f>
        <v>0</v>
      </c>
      <c r="M51" s="230">
        <f>N51*$M$40/O51</f>
        <v>0</v>
      </c>
      <c r="N51" s="258">
        <f t="shared" si="18"/>
        <v>9.7897999999999996</v>
      </c>
      <c r="O51" s="26">
        <v>157.9</v>
      </c>
      <c r="P51" s="260">
        <v>6.2E-2</v>
      </c>
      <c r="Q51" s="261">
        <f t="shared" si="19"/>
        <v>9.7897851540038179</v>
      </c>
    </row>
    <row r="52" spans="2:17" ht="18" customHeight="1" x14ac:dyDescent="0.15">
      <c r="B52" s="172" t="s">
        <v>520</v>
      </c>
      <c r="C52" s="230">
        <f>N52*$C$40/O52</f>
        <v>5.391E-2</v>
      </c>
      <c r="D52" s="230">
        <f>N52*$D$40/O52</f>
        <v>5.3901830518057831E-2</v>
      </c>
      <c r="E52" s="230">
        <f>N52*$E$40/O52</f>
        <v>0.60329874902820002</v>
      </c>
      <c r="F52" s="230">
        <f>N52*$F$40/O52</f>
        <v>2.6157300000000001</v>
      </c>
      <c r="G52" s="230">
        <f>N52*$G$40/O52</f>
        <v>1.4101522369072024</v>
      </c>
      <c r="H52" s="230">
        <f>N52*$H$40/O52</f>
        <v>0</v>
      </c>
      <c r="I52" s="230">
        <f>N52*$I$40/O52</f>
        <v>0</v>
      </c>
      <c r="J52" s="230">
        <f>N52*$J$40/O52</f>
        <v>0</v>
      </c>
      <c r="K52" s="230">
        <f>N52*$K$40/O52</f>
        <v>0</v>
      </c>
      <c r="L52" s="230">
        <f>N52*$L$40/O52</f>
        <v>0</v>
      </c>
      <c r="M52" s="230">
        <f>N52*$M$40/O52</f>
        <v>0</v>
      </c>
      <c r="N52" s="258">
        <f t="shared" si="18"/>
        <v>4.7370000000000001</v>
      </c>
      <c r="O52" s="26">
        <v>157.9</v>
      </c>
      <c r="P52" s="260">
        <v>0.03</v>
      </c>
      <c r="Q52" s="261">
        <f t="shared" si="19"/>
        <v>4.7369928164534603</v>
      </c>
    </row>
    <row r="53" spans="2:17" ht="18" customHeight="1" thickBot="1" x14ac:dyDescent="0.2">
      <c r="B53" s="262" t="s">
        <v>521</v>
      </c>
      <c r="C53" s="115">
        <f>SUM(C42:C47,C49:C52)</f>
        <v>1.002726</v>
      </c>
      <c r="D53" s="115">
        <f t="shared" ref="D53:N53" si="31">SUM(D42:D47,D49:D52)</f>
        <v>1.0025740476358758</v>
      </c>
      <c r="E53" s="115">
        <f t="shared" si="31"/>
        <v>11.221356731924519</v>
      </c>
      <c r="F53" s="115">
        <f t="shared" si="31"/>
        <v>48.652578000000005</v>
      </c>
      <c r="G53" s="115">
        <f t="shared" si="31"/>
        <v>26.228831606473964</v>
      </c>
      <c r="H53" s="115">
        <f t="shared" si="31"/>
        <v>0</v>
      </c>
      <c r="I53" s="115">
        <f t="shared" si="31"/>
        <v>0</v>
      </c>
      <c r="J53" s="115">
        <f t="shared" si="31"/>
        <v>0</v>
      </c>
      <c r="K53" s="115">
        <f t="shared" si="31"/>
        <v>0</v>
      </c>
      <c r="L53" s="115">
        <f t="shared" si="31"/>
        <v>0</v>
      </c>
      <c r="M53" s="115">
        <f t="shared" si="31"/>
        <v>0</v>
      </c>
      <c r="N53" s="115">
        <f t="shared" si="31"/>
        <v>88.108199999999997</v>
      </c>
      <c r="O53" s="235"/>
      <c r="P53" s="115">
        <f t="shared" ref="P53" si="32">SUM(P42:P47,P49:P52)</f>
        <v>0.55800000000000005</v>
      </c>
      <c r="Q53" s="263">
        <f t="shared" si="19"/>
        <v>88.108066386034366</v>
      </c>
    </row>
    <row r="54" spans="2:17" ht="18" customHeight="1" x14ac:dyDescent="0.15">
      <c r="B54" t="s">
        <v>528</v>
      </c>
    </row>
    <row r="55" spans="2:17" ht="18" customHeight="1" x14ac:dyDescent="0.15">
      <c r="N55" s="274"/>
    </row>
    <row r="56" spans="2:17" ht="18" customHeight="1" x14ac:dyDescent="0.15"/>
    <row r="57" spans="2:17" ht="18" customHeight="1" x14ac:dyDescent="0.15"/>
    <row r="58" spans="2:17" ht="18" customHeight="1" x14ac:dyDescent="0.15"/>
    <row r="59" spans="2:17" ht="18" customHeight="1" x14ac:dyDescent="0.15"/>
    <row r="60" spans="2:17" ht="18" customHeight="1" x14ac:dyDescent="0.15"/>
    <row r="61" spans="2:17" ht="18" customHeight="1" x14ac:dyDescent="0.15"/>
    <row r="62" spans="2:17" ht="18" customHeight="1" x14ac:dyDescent="0.15"/>
    <row r="63" spans="2:17" ht="18" customHeight="1" x14ac:dyDescent="0.15"/>
    <row r="64" spans="2:17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</sheetData>
  <mergeCells count="11">
    <mergeCell ref="B39:Q39"/>
    <mergeCell ref="B25:B35"/>
    <mergeCell ref="O2:P2"/>
    <mergeCell ref="P4:P5"/>
    <mergeCell ref="O4:O5"/>
    <mergeCell ref="B20:M20"/>
    <mergeCell ref="B21:C22"/>
    <mergeCell ref="D21:M21"/>
    <mergeCell ref="B23:C23"/>
    <mergeCell ref="B24:C24"/>
    <mergeCell ref="B2:M3"/>
  </mergeCells>
  <phoneticPr fontId="3" type="noConversion"/>
  <dataValidations count="1">
    <dataValidation type="list" allowBlank="1" showInputMessage="1" showErrorMessage="1" sqref="P4:P5" xr:uid="{3239BF80-765E-485E-AFE7-4B8C72488F09}">
      <formula1>$D$22:$M$22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BA87-D3ED-4AC5-BD12-C2F919BCBB31}">
  <dimension ref="A1:BA40"/>
  <sheetViews>
    <sheetView zoomScaleNormal="100" workbookViewId="0">
      <selection activeCell="W24" sqref="W24"/>
    </sheetView>
  </sheetViews>
  <sheetFormatPr defaultColWidth="9" defaultRowHeight="14.25" x14ac:dyDescent="0.2"/>
  <cols>
    <col min="1" max="1" width="4.125" style="244" customWidth="1"/>
    <col min="2" max="2" width="5.75" style="244" customWidth="1"/>
    <col min="3" max="3" width="4.875" style="244" customWidth="1"/>
    <col min="4" max="10" width="9" style="244"/>
    <col min="11" max="14" width="12.25" style="244" customWidth="1"/>
    <col min="15" max="15" width="7.375" style="244" customWidth="1"/>
    <col min="16" max="16" width="9" style="244"/>
    <col min="17" max="17" width="7.75" style="244" customWidth="1"/>
    <col min="18" max="18" width="9" style="244" customWidth="1"/>
    <col min="19" max="19" width="9" style="244"/>
    <col min="20" max="20" width="8.625" style="244" customWidth="1"/>
    <col min="21" max="21" width="6.375" style="244" customWidth="1"/>
    <col min="22" max="22" width="9" style="244"/>
    <col min="23" max="23" width="8.375" style="244" customWidth="1"/>
    <col min="24" max="24" width="10.125" style="244" customWidth="1"/>
    <col min="25" max="25" width="9" style="244"/>
    <col min="26" max="26" width="8.375" style="244" customWidth="1"/>
    <col min="27" max="27" width="9.5" style="244" customWidth="1"/>
    <col min="28" max="28" width="10.25" style="244" customWidth="1"/>
    <col min="29" max="29" width="11" style="244" customWidth="1"/>
    <col min="30" max="30" width="10.25" style="244" customWidth="1"/>
    <col min="31" max="31" width="11.125" style="244" customWidth="1"/>
    <col min="32" max="32" width="10.125" style="244" customWidth="1"/>
    <col min="33" max="33" width="7" style="244" customWidth="1"/>
    <col min="34" max="35" width="9" style="244"/>
    <col min="36" max="36" width="6.75" style="244" customWidth="1"/>
    <col min="37" max="38" width="9" style="244"/>
    <col min="39" max="39" width="7.25" style="244" customWidth="1"/>
    <col min="40" max="41" width="9" style="244"/>
    <col min="42" max="42" width="7.125" style="244" customWidth="1"/>
    <col min="43" max="44" width="9" style="244"/>
    <col min="45" max="45" width="6.75" style="244" customWidth="1"/>
    <col min="46" max="47" width="9" style="244"/>
    <col min="48" max="48" width="6.5" style="244" customWidth="1"/>
    <col min="49" max="50" width="9" style="244"/>
    <col min="51" max="51" width="7.75" style="244" customWidth="1"/>
    <col min="52" max="16384" width="9" style="244"/>
  </cols>
  <sheetData>
    <row r="1" spans="1:53" ht="20.100000000000001" customHeight="1" x14ac:dyDescent="0.2">
      <c r="A1" s="453" t="s">
        <v>407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4" t="s">
        <v>408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  <c r="AC1" s="454"/>
      <c r="AD1" s="454"/>
      <c r="AE1" s="454"/>
      <c r="AF1" s="454"/>
      <c r="AG1" s="454"/>
      <c r="AH1" s="454"/>
      <c r="AI1" s="454"/>
      <c r="AJ1" s="454"/>
      <c r="AK1" s="454"/>
      <c r="AL1" s="454"/>
      <c r="AM1" s="454"/>
      <c r="AN1" s="454"/>
      <c r="AO1" s="454"/>
      <c r="AP1" s="454"/>
      <c r="AQ1" s="454"/>
      <c r="AR1" s="454"/>
      <c r="AS1" s="454"/>
      <c r="AT1" s="454"/>
      <c r="AU1" s="454"/>
      <c r="AV1" s="454"/>
      <c r="AW1" s="454"/>
      <c r="AX1" s="454"/>
      <c r="AY1" s="454"/>
      <c r="AZ1" s="454"/>
      <c r="BA1" s="454"/>
    </row>
    <row r="2" spans="1:53" ht="20.100000000000001" customHeight="1" x14ac:dyDescent="0.2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61" t="s">
        <v>409</v>
      </c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3"/>
      <c r="AG2" s="454" t="s">
        <v>410</v>
      </c>
      <c r="AH2" s="454"/>
      <c r="AI2" s="454"/>
      <c r="AJ2" s="454"/>
      <c r="AK2" s="454"/>
      <c r="AL2" s="454"/>
      <c r="AM2" s="454"/>
      <c r="AN2" s="454"/>
      <c r="AO2" s="454"/>
      <c r="AP2" s="454" t="s">
        <v>411</v>
      </c>
      <c r="AQ2" s="454"/>
      <c r="AR2" s="454"/>
      <c r="AS2" s="454"/>
      <c r="AT2" s="454"/>
      <c r="AU2" s="454"/>
      <c r="AV2" s="454"/>
      <c r="AW2" s="454"/>
      <c r="AX2" s="454"/>
      <c r="AY2" s="454" t="s">
        <v>412</v>
      </c>
      <c r="AZ2" s="454"/>
      <c r="BA2" s="454"/>
    </row>
    <row r="3" spans="1:53" ht="20.100000000000001" customHeight="1" x14ac:dyDescent="0.2">
      <c r="A3" s="453" t="s">
        <v>413</v>
      </c>
      <c r="B3" s="453"/>
      <c r="C3" s="453"/>
      <c r="D3" s="453"/>
      <c r="E3" s="453"/>
      <c r="F3" s="453"/>
      <c r="G3" s="453"/>
      <c r="H3" s="453"/>
      <c r="I3" s="453"/>
      <c r="J3" s="453"/>
      <c r="K3" s="453"/>
      <c r="L3" s="453" t="s">
        <v>414</v>
      </c>
      <c r="M3" s="453"/>
      <c r="N3" s="453"/>
      <c r="O3" s="454" t="s">
        <v>485</v>
      </c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61" t="s">
        <v>486</v>
      </c>
      <c r="AB3" s="462"/>
      <c r="AC3" s="462"/>
      <c r="AD3" s="462"/>
      <c r="AE3" s="462"/>
      <c r="AF3" s="463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</row>
    <row r="4" spans="1:53" ht="20.100000000000001" customHeight="1" x14ac:dyDescent="0.2">
      <c r="A4" s="453" t="s">
        <v>415</v>
      </c>
      <c r="B4" s="453"/>
      <c r="C4" s="453"/>
      <c r="D4" s="453"/>
      <c r="E4" s="459" t="s">
        <v>416</v>
      </c>
      <c r="F4" s="459"/>
      <c r="G4" s="459"/>
      <c r="H4" s="459" t="s">
        <v>417</v>
      </c>
      <c r="I4" s="459"/>
      <c r="J4" s="460" t="s">
        <v>418</v>
      </c>
      <c r="K4" s="460" t="s">
        <v>419</v>
      </c>
      <c r="L4" s="459" t="s">
        <v>420</v>
      </c>
      <c r="M4" s="459" t="s">
        <v>421</v>
      </c>
      <c r="N4" s="460" t="s">
        <v>422</v>
      </c>
      <c r="O4" s="454" t="s">
        <v>423</v>
      </c>
      <c r="P4" s="454"/>
      <c r="Q4" s="454"/>
      <c r="R4" s="454" t="s">
        <v>424</v>
      </c>
      <c r="S4" s="454"/>
      <c r="T4" s="454"/>
      <c r="U4" s="454" t="s">
        <v>425</v>
      </c>
      <c r="V4" s="454"/>
      <c r="W4" s="454"/>
      <c r="X4" s="454" t="s">
        <v>426</v>
      </c>
      <c r="Y4" s="454"/>
      <c r="Z4" s="454"/>
      <c r="AA4" s="455" t="s">
        <v>427</v>
      </c>
      <c r="AB4" s="455"/>
      <c r="AC4" s="455"/>
      <c r="AD4" s="456" t="s">
        <v>487</v>
      </c>
      <c r="AE4" s="457"/>
      <c r="AF4" s="458"/>
      <c r="AG4" s="454" t="s">
        <v>428</v>
      </c>
      <c r="AH4" s="454"/>
      <c r="AI4" s="454"/>
      <c r="AJ4" s="454" t="s">
        <v>424</v>
      </c>
      <c r="AK4" s="454"/>
      <c r="AL4" s="454"/>
      <c r="AM4" s="454" t="s">
        <v>429</v>
      </c>
      <c r="AN4" s="454"/>
      <c r="AO4" s="454"/>
      <c r="AP4" s="454" t="s">
        <v>428</v>
      </c>
      <c r="AQ4" s="454"/>
      <c r="AR4" s="454"/>
      <c r="AS4" s="454" t="s">
        <v>430</v>
      </c>
      <c r="AT4" s="454"/>
      <c r="AU4" s="454"/>
      <c r="AV4" s="454" t="s">
        <v>431</v>
      </c>
      <c r="AW4" s="454"/>
      <c r="AX4" s="454"/>
      <c r="AY4" s="454" t="s">
        <v>432</v>
      </c>
      <c r="AZ4" s="454"/>
      <c r="BA4" s="454"/>
    </row>
    <row r="5" spans="1:53" ht="32.25" customHeight="1" x14ac:dyDescent="0.2">
      <c r="A5" s="453"/>
      <c r="B5" s="453"/>
      <c r="C5" s="453"/>
      <c r="D5" s="453"/>
      <c r="E5" s="245" t="s">
        <v>433</v>
      </c>
      <c r="F5" s="245" t="s">
        <v>434</v>
      </c>
      <c r="G5" s="247" t="s">
        <v>435</v>
      </c>
      <c r="H5" s="247" t="s">
        <v>436</v>
      </c>
      <c r="I5" s="247" t="s">
        <v>437</v>
      </c>
      <c r="J5" s="460"/>
      <c r="K5" s="460"/>
      <c r="L5" s="459"/>
      <c r="M5" s="459"/>
      <c r="N5" s="460"/>
      <c r="O5" s="243" t="s">
        <v>438</v>
      </c>
      <c r="P5" s="243" t="s">
        <v>439</v>
      </c>
      <c r="Q5" s="243" t="s">
        <v>440</v>
      </c>
      <c r="R5" s="243" t="s">
        <v>438</v>
      </c>
      <c r="S5" s="243" t="s">
        <v>439</v>
      </c>
      <c r="T5" s="243" t="s">
        <v>440</v>
      </c>
      <c r="U5" s="243" t="s">
        <v>438</v>
      </c>
      <c r="V5" s="243" t="s">
        <v>439</v>
      </c>
      <c r="W5" s="243" t="s">
        <v>440</v>
      </c>
      <c r="X5" s="243" t="s">
        <v>438</v>
      </c>
      <c r="Y5" s="243" t="s">
        <v>439</v>
      </c>
      <c r="Z5" s="243" t="s">
        <v>440</v>
      </c>
      <c r="AA5" s="243" t="s">
        <v>438</v>
      </c>
      <c r="AB5" s="243" t="s">
        <v>439</v>
      </c>
      <c r="AC5" s="243" t="s">
        <v>440</v>
      </c>
      <c r="AD5" s="243" t="s">
        <v>438</v>
      </c>
      <c r="AE5" s="243" t="s">
        <v>439</v>
      </c>
      <c r="AF5" s="243" t="s">
        <v>440</v>
      </c>
      <c r="AG5" s="243" t="s">
        <v>438</v>
      </c>
      <c r="AH5" s="243" t="s">
        <v>439</v>
      </c>
      <c r="AI5" s="243" t="s">
        <v>440</v>
      </c>
      <c r="AJ5" s="243" t="s">
        <v>438</v>
      </c>
      <c r="AK5" s="243" t="s">
        <v>439</v>
      </c>
      <c r="AL5" s="243" t="s">
        <v>440</v>
      </c>
      <c r="AM5" s="243" t="s">
        <v>438</v>
      </c>
      <c r="AN5" s="243" t="s">
        <v>439</v>
      </c>
      <c r="AO5" s="243" t="s">
        <v>440</v>
      </c>
      <c r="AP5" s="243" t="s">
        <v>438</v>
      </c>
      <c r="AQ5" s="243" t="s">
        <v>439</v>
      </c>
      <c r="AR5" s="243" t="s">
        <v>440</v>
      </c>
      <c r="AS5" s="243" t="s">
        <v>438</v>
      </c>
      <c r="AT5" s="243" t="s">
        <v>439</v>
      </c>
      <c r="AU5" s="243" t="s">
        <v>440</v>
      </c>
      <c r="AV5" s="243" t="s">
        <v>438</v>
      </c>
      <c r="AW5" s="243" t="s">
        <v>439</v>
      </c>
      <c r="AX5" s="243" t="s">
        <v>440</v>
      </c>
      <c r="AY5" s="243" t="s">
        <v>438</v>
      </c>
      <c r="AZ5" s="243" t="s">
        <v>439</v>
      </c>
      <c r="BA5" s="243" t="s">
        <v>440</v>
      </c>
    </row>
    <row r="6" spans="1:53" x14ac:dyDescent="0.2">
      <c r="A6" s="453" t="s">
        <v>441</v>
      </c>
      <c r="B6" s="453" t="s">
        <v>442</v>
      </c>
      <c r="C6" s="453" t="s">
        <v>443</v>
      </c>
      <c r="D6" s="453"/>
      <c r="E6" s="242"/>
      <c r="F6" s="242"/>
      <c r="G6" s="242"/>
      <c r="H6" s="242"/>
      <c r="I6" s="242"/>
      <c r="J6" s="246">
        <f>E6+F6+H6</f>
        <v>0</v>
      </c>
      <c r="K6" s="246">
        <f>G6+I6</f>
        <v>0</v>
      </c>
      <c r="L6" s="242"/>
      <c r="M6" s="242"/>
      <c r="N6" s="246">
        <f>L6+M6</f>
        <v>0</v>
      </c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</row>
    <row r="7" spans="1:53" x14ac:dyDescent="0.2">
      <c r="A7" s="453"/>
      <c r="B7" s="453"/>
      <c r="C7" s="453" t="s">
        <v>444</v>
      </c>
      <c r="D7" s="453"/>
      <c r="E7" s="242"/>
      <c r="F7" s="242"/>
      <c r="G7" s="242"/>
      <c r="H7" s="242"/>
      <c r="I7" s="242"/>
      <c r="J7" s="246">
        <f t="shared" ref="J7:J40" si="0">E7+F7+H7</f>
        <v>0</v>
      </c>
      <c r="K7" s="246">
        <f t="shared" ref="K7:K40" si="1">G7+I7</f>
        <v>0</v>
      </c>
      <c r="L7" s="242"/>
      <c r="M7" s="242"/>
      <c r="N7" s="246">
        <f t="shared" ref="N7:N40" si="2">L7+M7</f>
        <v>0</v>
      </c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</row>
    <row r="8" spans="1:53" x14ac:dyDescent="0.2">
      <c r="A8" s="453"/>
      <c r="B8" s="453"/>
      <c r="C8" s="453" t="s">
        <v>445</v>
      </c>
      <c r="D8" s="453"/>
      <c r="E8" s="242"/>
      <c r="F8" s="242"/>
      <c r="G8" s="242"/>
      <c r="H8" s="242"/>
      <c r="I8" s="242"/>
      <c r="J8" s="246">
        <f t="shared" si="0"/>
        <v>0</v>
      </c>
      <c r="K8" s="246">
        <f t="shared" si="1"/>
        <v>0</v>
      </c>
      <c r="L8" s="242"/>
      <c r="M8" s="242"/>
      <c r="N8" s="246">
        <f t="shared" si="2"/>
        <v>0</v>
      </c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</row>
    <row r="9" spans="1:53" x14ac:dyDescent="0.2">
      <c r="A9" s="453"/>
      <c r="B9" s="453" t="s">
        <v>446</v>
      </c>
      <c r="C9" s="453" t="s">
        <v>447</v>
      </c>
      <c r="D9" s="453"/>
      <c r="E9" s="242"/>
      <c r="F9" s="242"/>
      <c r="G9" s="242"/>
      <c r="H9" s="242"/>
      <c r="I9" s="242"/>
      <c r="J9" s="246">
        <f t="shared" si="0"/>
        <v>0</v>
      </c>
      <c r="K9" s="246">
        <f t="shared" si="1"/>
        <v>0</v>
      </c>
      <c r="L9" s="242"/>
      <c r="M9" s="242"/>
      <c r="N9" s="246">
        <f t="shared" si="2"/>
        <v>0</v>
      </c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</row>
    <row r="10" spans="1:53" x14ac:dyDescent="0.2">
      <c r="A10" s="453"/>
      <c r="B10" s="453"/>
      <c r="C10" s="453" t="s">
        <v>448</v>
      </c>
      <c r="D10" s="242" t="s">
        <v>449</v>
      </c>
      <c r="E10" s="242"/>
      <c r="F10" s="242"/>
      <c r="G10" s="242"/>
      <c r="H10" s="242"/>
      <c r="I10" s="242"/>
      <c r="J10" s="246">
        <f t="shared" si="0"/>
        <v>0</v>
      </c>
      <c r="K10" s="246">
        <f t="shared" si="1"/>
        <v>0</v>
      </c>
      <c r="L10" s="242"/>
      <c r="M10" s="242"/>
      <c r="N10" s="246">
        <f t="shared" si="2"/>
        <v>0</v>
      </c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</row>
    <row r="11" spans="1:53" ht="28.5" x14ac:dyDescent="0.2">
      <c r="A11" s="453"/>
      <c r="B11" s="453"/>
      <c r="C11" s="453"/>
      <c r="D11" s="242" t="s">
        <v>450</v>
      </c>
      <c r="E11" s="242"/>
      <c r="F11" s="242"/>
      <c r="G11" s="242"/>
      <c r="H11" s="242"/>
      <c r="I11" s="242"/>
      <c r="J11" s="246">
        <f t="shared" si="0"/>
        <v>0</v>
      </c>
      <c r="K11" s="246">
        <f t="shared" si="1"/>
        <v>0</v>
      </c>
      <c r="L11" s="242"/>
      <c r="M11" s="242"/>
      <c r="N11" s="246">
        <f t="shared" si="2"/>
        <v>0</v>
      </c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</row>
    <row r="12" spans="1:53" x14ac:dyDescent="0.2">
      <c r="A12" s="453"/>
      <c r="B12" s="453" t="s">
        <v>451</v>
      </c>
      <c r="C12" s="453"/>
      <c r="D12" s="453"/>
      <c r="E12" s="242"/>
      <c r="F12" s="242"/>
      <c r="G12" s="242"/>
      <c r="H12" s="242"/>
      <c r="I12" s="242"/>
      <c r="J12" s="246">
        <f t="shared" si="0"/>
        <v>0</v>
      </c>
      <c r="K12" s="246">
        <f t="shared" si="1"/>
        <v>0</v>
      </c>
      <c r="L12" s="242"/>
      <c r="M12" s="242"/>
      <c r="N12" s="246">
        <f t="shared" si="2"/>
        <v>0</v>
      </c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</row>
    <row r="13" spans="1:53" x14ac:dyDescent="0.2">
      <c r="A13" s="453" t="s">
        <v>452</v>
      </c>
      <c r="B13" s="242" t="s">
        <v>453</v>
      </c>
      <c r="C13" s="453" t="s">
        <v>454</v>
      </c>
      <c r="D13" s="453"/>
      <c r="E13" s="242"/>
      <c r="F13" s="242"/>
      <c r="G13" s="242"/>
      <c r="H13" s="242"/>
      <c r="I13" s="242"/>
      <c r="J13" s="246">
        <f t="shared" si="0"/>
        <v>0</v>
      </c>
      <c r="K13" s="246">
        <f t="shared" si="1"/>
        <v>0</v>
      </c>
      <c r="L13" s="242"/>
      <c r="M13" s="242"/>
      <c r="N13" s="246">
        <f t="shared" si="2"/>
        <v>0</v>
      </c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</row>
    <row r="14" spans="1:53" x14ac:dyDescent="0.2">
      <c r="A14" s="453"/>
      <c r="B14" s="453" t="s">
        <v>455</v>
      </c>
      <c r="C14" s="453" t="s">
        <v>456</v>
      </c>
      <c r="D14" s="453"/>
      <c r="E14" s="242"/>
      <c r="F14" s="242"/>
      <c r="G14" s="242"/>
      <c r="H14" s="242"/>
      <c r="I14" s="242"/>
      <c r="J14" s="246">
        <f t="shared" si="0"/>
        <v>0</v>
      </c>
      <c r="K14" s="246">
        <f t="shared" si="1"/>
        <v>0</v>
      </c>
      <c r="L14" s="242"/>
      <c r="M14" s="242"/>
      <c r="N14" s="246">
        <f t="shared" si="2"/>
        <v>0</v>
      </c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</row>
    <row r="15" spans="1:53" x14ac:dyDescent="0.2">
      <c r="A15" s="453"/>
      <c r="B15" s="453"/>
      <c r="C15" s="453" t="s">
        <v>457</v>
      </c>
      <c r="D15" s="453"/>
      <c r="E15" s="242"/>
      <c r="F15" s="242"/>
      <c r="G15" s="242"/>
      <c r="H15" s="242"/>
      <c r="I15" s="242"/>
      <c r="J15" s="246">
        <f t="shared" si="0"/>
        <v>0</v>
      </c>
      <c r="K15" s="246">
        <f t="shared" si="1"/>
        <v>0</v>
      </c>
      <c r="L15" s="242"/>
      <c r="M15" s="242"/>
      <c r="N15" s="246">
        <f t="shared" si="2"/>
        <v>0</v>
      </c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</row>
    <row r="16" spans="1:53" x14ac:dyDescent="0.2">
      <c r="A16" s="453"/>
      <c r="B16" s="453"/>
      <c r="C16" s="453" t="s">
        <v>458</v>
      </c>
      <c r="D16" s="453"/>
      <c r="E16" s="242"/>
      <c r="F16" s="242"/>
      <c r="G16" s="242"/>
      <c r="H16" s="242"/>
      <c r="I16" s="242"/>
      <c r="J16" s="246">
        <f t="shared" si="0"/>
        <v>0</v>
      </c>
      <c r="K16" s="246">
        <f t="shared" si="1"/>
        <v>0</v>
      </c>
      <c r="L16" s="242"/>
      <c r="M16" s="242"/>
      <c r="N16" s="246">
        <f t="shared" si="2"/>
        <v>0</v>
      </c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</row>
    <row r="17" spans="1:53" ht="28.5" x14ac:dyDescent="0.2">
      <c r="A17" s="453"/>
      <c r="B17" s="453" t="s">
        <v>446</v>
      </c>
      <c r="C17" s="453" t="s">
        <v>459</v>
      </c>
      <c r="D17" s="242" t="s">
        <v>460</v>
      </c>
      <c r="E17" s="242"/>
      <c r="F17" s="242"/>
      <c r="G17" s="242"/>
      <c r="H17" s="242"/>
      <c r="I17" s="242"/>
      <c r="J17" s="246">
        <f t="shared" si="0"/>
        <v>0</v>
      </c>
      <c r="K17" s="246">
        <f t="shared" si="1"/>
        <v>0</v>
      </c>
      <c r="L17" s="242"/>
      <c r="M17" s="242"/>
      <c r="N17" s="246">
        <f t="shared" si="2"/>
        <v>0</v>
      </c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</row>
    <row r="18" spans="1:53" ht="28.5" x14ac:dyDescent="0.2">
      <c r="A18" s="453"/>
      <c r="B18" s="453"/>
      <c r="C18" s="453"/>
      <c r="D18" s="242" t="s">
        <v>461</v>
      </c>
      <c r="E18" s="242"/>
      <c r="F18" s="242"/>
      <c r="G18" s="242"/>
      <c r="H18" s="242"/>
      <c r="I18" s="242"/>
      <c r="J18" s="246">
        <f t="shared" si="0"/>
        <v>0</v>
      </c>
      <c r="K18" s="246">
        <f t="shared" si="1"/>
        <v>0</v>
      </c>
      <c r="L18" s="242"/>
      <c r="M18" s="242"/>
      <c r="N18" s="246">
        <f t="shared" si="2"/>
        <v>0</v>
      </c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</row>
    <row r="19" spans="1:53" x14ac:dyDescent="0.2">
      <c r="A19" s="453"/>
      <c r="B19" s="453"/>
      <c r="C19" s="453"/>
      <c r="D19" s="242" t="s">
        <v>462</v>
      </c>
      <c r="E19" s="242"/>
      <c r="F19" s="242"/>
      <c r="G19" s="242"/>
      <c r="H19" s="242"/>
      <c r="I19" s="242"/>
      <c r="J19" s="246">
        <f t="shared" si="0"/>
        <v>0</v>
      </c>
      <c r="K19" s="246">
        <f t="shared" si="1"/>
        <v>0</v>
      </c>
      <c r="L19" s="242"/>
      <c r="M19" s="242"/>
      <c r="N19" s="246">
        <f t="shared" si="2"/>
        <v>0</v>
      </c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</row>
    <row r="20" spans="1:53" ht="28.5" x14ac:dyDescent="0.2">
      <c r="A20" s="453"/>
      <c r="B20" s="453"/>
      <c r="C20" s="453"/>
      <c r="D20" s="242" t="s">
        <v>463</v>
      </c>
      <c r="E20" s="242"/>
      <c r="F20" s="242"/>
      <c r="G20" s="242"/>
      <c r="H20" s="242"/>
      <c r="I20" s="242"/>
      <c r="J20" s="246">
        <f t="shared" si="0"/>
        <v>0</v>
      </c>
      <c r="K20" s="246">
        <f t="shared" si="1"/>
        <v>0</v>
      </c>
      <c r="L20" s="242"/>
      <c r="M20" s="242"/>
      <c r="N20" s="246">
        <f t="shared" si="2"/>
        <v>0</v>
      </c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</row>
    <row r="21" spans="1:53" x14ac:dyDescent="0.2">
      <c r="A21" s="453"/>
      <c r="B21" s="453"/>
      <c r="C21" s="453" t="s">
        <v>464</v>
      </c>
      <c r="D21" s="453"/>
      <c r="E21" s="242"/>
      <c r="F21" s="242"/>
      <c r="G21" s="242"/>
      <c r="H21" s="242"/>
      <c r="I21" s="242"/>
      <c r="J21" s="246">
        <f t="shared" si="0"/>
        <v>0</v>
      </c>
      <c r="K21" s="246">
        <f t="shared" si="1"/>
        <v>0</v>
      </c>
      <c r="L21" s="242"/>
      <c r="M21" s="242"/>
      <c r="N21" s="246">
        <f t="shared" si="2"/>
        <v>0</v>
      </c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</row>
    <row r="22" spans="1:53" x14ac:dyDescent="0.2">
      <c r="A22" s="453"/>
      <c r="B22" s="453"/>
      <c r="C22" s="453" t="s">
        <v>465</v>
      </c>
      <c r="D22" s="453"/>
      <c r="E22" s="242"/>
      <c r="F22" s="242"/>
      <c r="G22" s="242"/>
      <c r="H22" s="242"/>
      <c r="I22" s="242"/>
      <c r="J22" s="246">
        <f t="shared" si="0"/>
        <v>0</v>
      </c>
      <c r="K22" s="246">
        <f t="shared" si="1"/>
        <v>0</v>
      </c>
      <c r="L22" s="242"/>
      <c r="M22" s="242"/>
      <c r="N22" s="246">
        <f t="shared" si="2"/>
        <v>0</v>
      </c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</row>
    <row r="23" spans="1:53" x14ac:dyDescent="0.2">
      <c r="A23" s="453"/>
      <c r="B23" s="453"/>
      <c r="C23" s="453" t="s">
        <v>466</v>
      </c>
      <c r="D23" s="453"/>
      <c r="E23" s="242"/>
      <c r="F23" s="242"/>
      <c r="G23" s="242"/>
      <c r="H23" s="242"/>
      <c r="I23" s="242"/>
      <c r="J23" s="246">
        <f t="shared" si="0"/>
        <v>0</v>
      </c>
      <c r="K23" s="246">
        <f t="shared" si="1"/>
        <v>0</v>
      </c>
      <c r="L23" s="242"/>
      <c r="M23" s="242"/>
      <c r="N23" s="246">
        <f t="shared" si="2"/>
        <v>0</v>
      </c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</row>
    <row r="24" spans="1:53" x14ac:dyDescent="0.2">
      <c r="A24" s="453"/>
      <c r="B24" s="453"/>
      <c r="C24" s="453" t="s">
        <v>467</v>
      </c>
      <c r="D24" s="453"/>
      <c r="E24" s="242"/>
      <c r="F24" s="242"/>
      <c r="G24" s="242"/>
      <c r="H24" s="242"/>
      <c r="I24" s="242"/>
      <c r="J24" s="246">
        <f t="shared" si="0"/>
        <v>0</v>
      </c>
      <c r="K24" s="246">
        <f t="shared" si="1"/>
        <v>0</v>
      </c>
      <c r="L24" s="242"/>
      <c r="M24" s="242"/>
      <c r="N24" s="246">
        <f t="shared" si="2"/>
        <v>0</v>
      </c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</row>
    <row r="25" spans="1:53" x14ac:dyDescent="0.2">
      <c r="A25" s="453"/>
      <c r="B25" s="453"/>
      <c r="C25" s="453" t="s">
        <v>468</v>
      </c>
      <c r="D25" s="453"/>
      <c r="E25" s="242"/>
      <c r="F25" s="242"/>
      <c r="G25" s="242"/>
      <c r="H25" s="242"/>
      <c r="I25" s="242"/>
      <c r="J25" s="246">
        <f t="shared" si="0"/>
        <v>0</v>
      </c>
      <c r="K25" s="246">
        <f t="shared" si="1"/>
        <v>0</v>
      </c>
      <c r="L25" s="242"/>
      <c r="M25" s="242"/>
      <c r="N25" s="246">
        <f t="shared" si="2"/>
        <v>0</v>
      </c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</row>
    <row r="26" spans="1:53" x14ac:dyDescent="0.2">
      <c r="A26" s="453"/>
      <c r="B26" s="453"/>
      <c r="C26" s="453" t="s">
        <v>469</v>
      </c>
      <c r="D26" s="453"/>
      <c r="E26" s="242"/>
      <c r="F26" s="242"/>
      <c r="G26" s="242"/>
      <c r="H26" s="242"/>
      <c r="I26" s="242"/>
      <c r="J26" s="246">
        <f t="shared" si="0"/>
        <v>0</v>
      </c>
      <c r="K26" s="246">
        <f t="shared" si="1"/>
        <v>0</v>
      </c>
      <c r="L26" s="242"/>
      <c r="M26" s="242"/>
      <c r="N26" s="246">
        <f t="shared" si="2"/>
        <v>0</v>
      </c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</row>
    <row r="27" spans="1:53" x14ac:dyDescent="0.2">
      <c r="A27" s="453"/>
      <c r="B27" s="453" t="s">
        <v>470</v>
      </c>
      <c r="C27" s="453" t="s">
        <v>471</v>
      </c>
      <c r="D27" s="453"/>
      <c r="E27" s="242"/>
      <c r="F27" s="242"/>
      <c r="G27" s="242"/>
      <c r="H27" s="242"/>
      <c r="I27" s="242"/>
      <c r="J27" s="246">
        <f t="shared" si="0"/>
        <v>0</v>
      </c>
      <c r="K27" s="246">
        <f t="shared" si="1"/>
        <v>0</v>
      </c>
      <c r="L27" s="242"/>
      <c r="M27" s="242"/>
      <c r="N27" s="246">
        <f t="shared" si="2"/>
        <v>0</v>
      </c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</row>
    <row r="28" spans="1:53" x14ac:dyDescent="0.2">
      <c r="A28" s="453"/>
      <c r="B28" s="453"/>
      <c r="C28" s="453" t="s">
        <v>472</v>
      </c>
      <c r="D28" s="453"/>
      <c r="E28" s="242"/>
      <c r="F28" s="242"/>
      <c r="G28" s="242"/>
      <c r="H28" s="242"/>
      <c r="I28" s="242"/>
      <c r="J28" s="246">
        <f t="shared" si="0"/>
        <v>0</v>
      </c>
      <c r="K28" s="246">
        <f t="shared" si="1"/>
        <v>0</v>
      </c>
      <c r="L28" s="242"/>
      <c r="M28" s="242"/>
      <c r="N28" s="246">
        <f t="shared" si="2"/>
        <v>0</v>
      </c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</row>
    <row r="29" spans="1:53" x14ac:dyDescent="0.2">
      <c r="A29" s="453"/>
      <c r="B29" s="453"/>
      <c r="C29" s="453" t="s">
        <v>473</v>
      </c>
      <c r="D29" s="453"/>
      <c r="E29" s="242"/>
      <c r="F29" s="242"/>
      <c r="G29" s="242"/>
      <c r="H29" s="242"/>
      <c r="I29" s="242"/>
      <c r="J29" s="246">
        <f t="shared" si="0"/>
        <v>0</v>
      </c>
      <c r="K29" s="246">
        <f t="shared" si="1"/>
        <v>0</v>
      </c>
      <c r="L29" s="242"/>
      <c r="M29" s="242"/>
      <c r="N29" s="246">
        <f t="shared" si="2"/>
        <v>0</v>
      </c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</row>
    <row r="30" spans="1:53" x14ac:dyDescent="0.2">
      <c r="A30" s="453"/>
      <c r="B30" s="453"/>
      <c r="C30" s="453" t="s">
        <v>474</v>
      </c>
      <c r="D30" s="453"/>
      <c r="E30" s="242"/>
      <c r="F30" s="242"/>
      <c r="G30" s="242"/>
      <c r="H30" s="242"/>
      <c r="I30" s="242"/>
      <c r="J30" s="246">
        <f t="shared" si="0"/>
        <v>0</v>
      </c>
      <c r="K30" s="246">
        <f t="shared" si="1"/>
        <v>0</v>
      </c>
      <c r="L30" s="242"/>
      <c r="M30" s="242"/>
      <c r="N30" s="246">
        <f t="shared" si="2"/>
        <v>0</v>
      </c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</row>
    <row r="31" spans="1:53" x14ac:dyDescent="0.2">
      <c r="A31" s="453"/>
      <c r="B31" s="453"/>
      <c r="C31" s="453" t="s">
        <v>475</v>
      </c>
      <c r="D31" s="453"/>
      <c r="E31" s="242"/>
      <c r="F31" s="242"/>
      <c r="G31" s="242"/>
      <c r="H31" s="242"/>
      <c r="I31" s="242"/>
      <c r="J31" s="246">
        <f t="shared" si="0"/>
        <v>0</v>
      </c>
      <c r="K31" s="246">
        <f t="shared" si="1"/>
        <v>0</v>
      </c>
      <c r="L31" s="242"/>
      <c r="M31" s="242"/>
      <c r="N31" s="246">
        <f t="shared" si="2"/>
        <v>0</v>
      </c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</row>
    <row r="32" spans="1:53" x14ac:dyDescent="0.2">
      <c r="A32" s="453"/>
      <c r="B32" s="453"/>
      <c r="C32" s="453" t="s">
        <v>476</v>
      </c>
      <c r="D32" s="453"/>
      <c r="E32" s="242"/>
      <c r="F32" s="242"/>
      <c r="G32" s="242"/>
      <c r="H32" s="242"/>
      <c r="I32" s="242"/>
      <c r="J32" s="246">
        <f t="shared" si="0"/>
        <v>0</v>
      </c>
      <c r="K32" s="246">
        <f t="shared" si="1"/>
        <v>0</v>
      </c>
      <c r="L32" s="242"/>
      <c r="M32" s="242"/>
      <c r="N32" s="246">
        <f t="shared" si="2"/>
        <v>0</v>
      </c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</row>
    <row r="33" spans="1:53" x14ac:dyDescent="0.2">
      <c r="A33" s="453"/>
      <c r="B33" s="453"/>
      <c r="C33" s="453" t="s">
        <v>477</v>
      </c>
      <c r="D33" s="453"/>
      <c r="E33" s="242"/>
      <c r="F33" s="242"/>
      <c r="G33" s="242"/>
      <c r="H33" s="242"/>
      <c r="I33" s="242"/>
      <c r="J33" s="246">
        <f t="shared" si="0"/>
        <v>0</v>
      </c>
      <c r="K33" s="246">
        <f t="shared" si="1"/>
        <v>0</v>
      </c>
      <c r="L33" s="242"/>
      <c r="M33" s="242"/>
      <c r="N33" s="246">
        <f t="shared" si="2"/>
        <v>0</v>
      </c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</row>
    <row r="34" spans="1:53" x14ac:dyDescent="0.2">
      <c r="A34" s="453"/>
      <c r="B34" s="453"/>
      <c r="C34" s="453" t="s">
        <v>478</v>
      </c>
      <c r="D34" s="453"/>
      <c r="E34" s="242"/>
      <c r="F34" s="242"/>
      <c r="G34" s="242"/>
      <c r="H34" s="242"/>
      <c r="I34" s="242"/>
      <c r="J34" s="246">
        <f t="shared" si="0"/>
        <v>0</v>
      </c>
      <c r="K34" s="246">
        <f t="shared" si="1"/>
        <v>0</v>
      </c>
      <c r="L34" s="242"/>
      <c r="M34" s="242"/>
      <c r="N34" s="246">
        <f t="shared" si="2"/>
        <v>0</v>
      </c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</row>
    <row r="35" spans="1:53" x14ac:dyDescent="0.2">
      <c r="A35" s="453"/>
      <c r="B35" s="453"/>
      <c r="C35" s="453" t="s">
        <v>479</v>
      </c>
      <c r="D35" s="453"/>
      <c r="E35" s="242"/>
      <c r="F35" s="242"/>
      <c r="G35" s="242"/>
      <c r="H35" s="242"/>
      <c r="I35" s="242"/>
      <c r="J35" s="246">
        <f t="shared" si="0"/>
        <v>0</v>
      </c>
      <c r="K35" s="246">
        <f t="shared" si="1"/>
        <v>0</v>
      </c>
      <c r="L35" s="242"/>
      <c r="M35" s="242"/>
      <c r="N35" s="246">
        <f t="shared" si="2"/>
        <v>0</v>
      </c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</row>
    <row r="36" spans="1:53" x14ac:dyDescent="0.2">
      <c r="A36" s="453"/>
      <c r="B36" s="453"/>
      <c r="C36" s="453" t="s">
        <v>480</v>
      </c>
      <c r="D36" s="453"/>
      <c r="E36" s="242"/>
      <c r="F36" s="242"/>
      <c r="G36" s="242"/>
      <c r="H36" s="242"/>
      <c r="I36" s="242"/>
      <c r="J36" s="246">
        <f t="shared" si="0"/>
        <v>0</v>
      </c>
      <c r="K36" s="246">
        <f t="shared" si="1"/>
        <v>0</v>
      </c>
      <c r="L36" s="242"/>
      <c r="M36" s="242"/>
      <c r="N36" s="246">
        <f t="shared" si="2"/>
        <v>0</v>
      </c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</row>
    <row r="37" spans="1:53" x14ac:dyDescent="0.2">
      <c r="A37" s="453"/>
      <c r="B37" s="453"/>
      <c r="C37" s="453" t="s">
        <v>481</v>
      </c>
      <c r="D37" s="453"/>
      <c r="E37" s="242"/>
      <c r="F37" s="242"/>
      <c r="G37" s="242"/>
      <c r="H37" s="242"/>
      <c r="I37" s="242"/>
      <c r="J37" s="246">
        <f t="shared" si="0"/>
        <v>0</v>
      </c>
      <c r="K37" s="246">
        <f t="shared" si="1"/>
        <v>0</v>
      </c>
      <c r="L37" s="242"/>
      <c r="M37" s="242"/>
      <c r="N37" s="246">
        <f t="shared" si="2"/>
        <v>0</v>
      </c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</row>
    <row r="38" spans="1:53" x14ac:dyDescent="0.2">
      <c r="A38" s="453"/>
      <c r="B38" s="453"/>
      <c r="C38" s="453" t="s">
        <v>482</v>
      </c>
      <c r="D38" s="453"/>
      <c r="E38" s="242"/>
      <c r="F38" s="242"/>
      <c r="G38" s="242"/>
      <c r="H38" s="242"/>
      <c r="I38" s="242"/>
      <c r="J38" s="246">
        <f t="shared" si="0"/>
        <v>0</v>
      </c>
      <c r="K38" s="246">
        <f t="shared" si="1"/>
        <v>0</v>
      </c>
      <c r="L38" s="242"/>
      <c r="M38" s="242"/>
      <c r="N38" s="246">
        <f t="shared" si="2"/>
        <v>0</v>
      </c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</row>
    <row r="39" spans="1:53" x14ac:dyDescent="0.2">
      <c r="A39" s="453"/>
      <c r="B39" s="453"/>
      <c r="C39" s="453" t="s">
        <v>483</v>
      </c>
      <c r="D39" s="453"/>
      <c r="E39" s="242"/>
      <c r="F39" s="242"/>
      <c r="G39" s="242"/>
      <c r="H39" s="242"/>
      <c r="I39" s="242"/>
      <c r="J39" s="246">
        <f t="shared" si="0"/>
        <v>0</v>
      </c>
      <c r="K39" s="246">
        <f t="shared" si="1"/>
        <v>0</v>
      </c>
      <c r="L39" s="242"/>
      <c r="M39" s="242"/>
      <c r="N39" s="246">
        <f t="shared" si="2"/>
        <v>0</v>
      </c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</row>
    <row r="40" spans="1:53" x14ac:dyDescent="0.2">
      <c r="A40" s="453"/>
      <c r="B40" s="453" t="s">
        <v>484</v>
      </c>
      <c r="C40" s="453"/>
      <c r="D40" s="453"/>
      <c r="E40" s="242"/>
      <c r="F40" s="242"/>
      <c r="G40" s="242"/>
      <c r="H40" s="242"/>
      <c r="I40" s="242"/>
      <c r="J40" s="246">
        <f t="shared" si="0"/>
        <v>0</v>
      </c>
      <c r="K40" s="246">
        <f t="shared" si="1"/>
        <v>0</v>
      </c>
      <c r="L40" s="242"/>
      <c r="M40" s="242"/>
      <c r="N40" s="246">
        <f t="shared" si="2"/>
        <v>0</v>
      </c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</row>
  </sheetData>
  <mergeCells count="69">
    <mergeCell ref="A1:N2"/>
    <mergeCell ref="O1:BA1"/>
    <mergeCell ref="O2:AF2"/>
    <mergeCell ref="AG2:AO3"/>
    <mergeCell ref="AP2:AX3"/>
    <mergeCell ref="AY2:BA3"/>
    <mergeCell ref="A3:K3"/>
    <mergeCell ref="L3:N3"/>
    <mergeCell ref="O3:Z3"/>
    <mergeCell ref="AA3:AF3"/>
    <mergeCell ref="X4:Z4"/>
    <mergeCell ref="A4:D5"/>
    <mergeCell ref="E4:G4"/>
    <mergeCell ref="H4:I4"/>
    <mergeCell ref="J4:J5"/>
    <mergeCell ref="K4:K5"/>
    <mergeCell ref="L4:L5"/>
    <mergeCell ref="M4:M5"/>
    <mergeCell ref="N4:N5"/>
    <mergeCell ref="O4:Q4"/>
    <mergeCell ref="R4:T4"/>
    <mergeCell ref="U4:W4"/>
    <mergeCell ref="AS4:AU4"/>
    <mergeCell ref="AV4:AX4"/>
    <mergeCell ref="AY4:BA4"/>
    <mergeCell ref="A6:A12"/>
    <mergeCell ref="B6:B8"/>
    <mergeCell ref="C6:D6"/>
    <mergeCell ref="C7:D7"/>
    <mergeCell ref="C8:D8"/>
    <mergeCell ref="B9:B11"/>
    <mergeCell ref="C9:D9"/>
    <mergeCell ref="AA4:AC4"/>
    <mergeCell ref="AD4:AF4"/>
    <mergeCell ref="AG4:AI4"/>
    <mergeCell ref="AJ4:AL4"/>
    <mergeCell ref="AM4:AO4"/>
    <mergeCell ref="AP4:AR4"/>
    <mergeCell ref="C26:D26"/>
    <mergeCell ref="C10:C11"/>
    <mergeCell ref="B12:D12"/>
    <mergeCell ref="A13:A40"/>
    <mergeCell ref="C13:D13"/>
    <mergeCell ref="B14:B16"/>
    <mergeCell ref="C14:D14"/>
    <mergeCell ref="C15:D15"/>
    <mergeCell ref="C16:D16"/>
    <mergeCell ref="B17:B26"/>
    <mergeCell ref="C17:C20"/>
    <mergeCell ref="C21:D21"/>
    <mergeCell ref="C22:D22"/>
    <mergeCell ref="C23:D23"/>
    <mergeCell ref="C24:D24"/>
    <mergeCell ref="C25:D25"/>
    <mergeCell ref="C36:D36"/>
    <mergeCell ref="C37:D37"/>
    <mergeCell ref="C38:D38"/>
    <mergeCell ref="C39:D39"/>
    <mergeCell ref="B40:D40"/>
    <mergeCell ref="B27:B39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</mergeCells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2"/>
  <sheetViews>
    <sheetView workbookViewId="0">
      <selection activeCell="H26" sqref="H26"/>
    </sheetView>
  </sheetViews>
  <sheetFormatPr defaultColWidth="9" defaultRowHeight="15.75" x14ac:dyDescent="0.25"/>
  <cols>
    <col min="1" max="1" width="14.375" style="51" customWidth="1"/>
    <col min="2" max="2" width="9.5" style="51" bestFit="1" customWidth="1"/>
    <col min="3" max="5" width="9.125" style="51" bestFit="1" customWidth="1"/>
    <col min="6" max="6" width="9.375" style="51" bestFit="1" customWidth="1"/>
    <col min="7" max="7" width="9.625" style="51" bestFit="1" customWidth="1"/>
    <col min="8" max="8" width="12.875" style="51" bestFit="1" customWidth="1"/>
    <col min="9" max="9" width="12.75" style="51" bestFit="1" customWidth="1"/>
    <col min="10" max="12" width="9.125" style="51" bestFit="1" customWidth="1"/>
    <col min="13" max="13" width="9.125" style="51" customWidth="1"/>
    <col min="14" max="16" width="9.125" style="51" bestFit="1" customWidth="1"/>
    <col min="17" max="18" width="9.125" style="51" customWidth="1"/>
    <col min="19" max="19" width="13" style="51" bestFit="1" customWidth="1"/>
    <col min="20" max="16384" width="9" style="51"/>
  </cols>
  <sheetData>
    <row r="1" spans="1:20" x14ac:dyDescent="0.25">
      <c r="A1" s="61" t="s">
        <v>56</v>
      </c>
      <c r="B1" s="464" t="s">
        <v>57</v>
      </c>
      <c r="C1" s="464"/>
    </row>
    <row r="2" spans="1:20" x14ac:dyDescent="0.25">
      <c r="A2" s="61"/>
      <c r="B2" s="62"/>
      <c r="C2" s="62"/>
    </row>
    <row r="3" spans="1:20" ht="21" thickBot="1" x14ac:dyDescent="0.35">
      <c r="A3" s="78" t="s">
        <v>99</v>
      </c>
    </row>
    <row r="4" spans="1:20" x14ac:dyDescent="0.25">
      <c r="A4" s="52" t="s">
        <v>76</v>
      </c>
      <c r="B4" s="53" t="s">
        <v>79</v>
      </c>
      <c r="C4" s="53" t="s">
        <v>80</v>
      </c>
      <c r="D4" s="53" t="s">
        <v>81</v>
      </c>
      <c r="E4" s="53" t="s">
        <v>82</v>
      </c>
      <c r="F4" s="53" t="s">
        <v>83</v>
      </c>
      <c r="G4" s="53" t="s">
        <v>84</v>
      </c>
      <c r="H4" s="53" t="s">
        <v>85</v>
      </c>
      <c r="I4" s="53" t="s">
        <v>86</v>
      </c>
      <c r="J4" s="53" t="s">
        <v>87</v>
      </c>
      <c r="K4" s="53" t="s">
        <v>88</v>
      </c>
      <c r="L4" s="53" t="s">
        <v>89</v>
      </c>
      <c r="M4" s="53" t="s">
        <v>111</v>
      </c>
      <c r="N4" s="53" t="s">
        <v>90</v>
      </c>
      <c r="O4" s="53" t="s">
        <v>91</v>
      </c>
      <c r="P4" s="53" t="s">
        <v>92</v>
      </c>
      <c r="Q4" s="80" t="s">
        <v>113</v>
      </c>
      <c r="R4" s="80" t="s">
        <v>112</v>
      </c>
      <c r="S4" s="54" t="s">
        <v>93</v>
      </c>
      <c r="T4" s="50"/>
    </row>
    <row r="5" spans="1:20" x14ac:dyDescent="0.25">
      <c r="A5" s="55" t="s">
        <v>77</v>
      </c>
      <c r="B5" s="56">
        <v>1</v>
      </c>
      <c r="C5" s="56">
        <v>1</v>
      </c>
      <c r="D5" s="56">
        <v>1</v>
      </c>
      <c r="E5" s="56">
        <v>1</v>
      </c>
      <c r="F5" s="56">
        <v>1</v>
      </c>
      <c r="G5" s="63">
        <v>1</v>
      </c>
      <c r="H5" s="56">
        <v>1</v>
      </c>
      <c r="I5" s="56">
        <v>1</v>
      </c>
      <c r="J5" s="56">
        <v>1</v>
      </c>
      <c r="K5" s="56">
        <v>1</v>
      </c>
      <c r="L5" s="56">
        <v>1</v>
      </c>
      <c r="M5" s="56">
        <v>1</v>
      </c>
      <c r="N5" s="56">
        <v>1</v>
      </c>
      <c r="O5" s="56">
        <v>1</v>
      </c>
      <c r="P5" s="56">
        <v>1</v>
      </c>
      <c r="Q5" s="81">
        <v>1</v>
      </c>
      <c r="R5" s="81">
        <v>1</v>
      </c>
      <c r="S5" s="57">
        <v>1</v>
      </c>
      <c r="T5" s="50"/>
    </row>
    <row r="6" spans="1:20" ht="16.5" thickBot="1" x14ac:dyDescent="0.3">
      <c r="A6" s="58" t="s">
        <v>78</v>
      </c>
      <c r="B6" s="59">
        <f>B5*1000000</f>
        <v>1000000</v>
      </c>
      <c r="C6" s="59">
        <f>C5*1000</f>
        <v>1000</v>
      </c>
      <c r="D6" s="59">
        <f>D5*0.1</f>
        <v>0.1</v>
      </c>
      <c r="E6" s="59">
        <f>E5*0.01</f>
        <v>0.01</v>
      </c>
      <c r="F6" s="59">
        <f>F5*0.001</f>
        <v>1E-3</v>
      </c>
      <c r="G6" s="59">
        <f>G5*0.000001</f>
        <v>9.9999999999999995E-7</v>
      </c>
      <c r="H6" s="59">
        <f>H5*0.000000001</f>
        <v>1.0000000000000001E-9</v>
      </c>
      <c r="I6" s="59">
        <f>I5*0.0000000001</f>
        <v>1E-10</v>
      </c>
      <c r="J6" s="59">
        <f>J5*0.000000000001</f>
        <v>9.9999999999999998E-13</v>
      </c>
      <c r="K6" s="59">
        <f>K5*0.000000000000001</f>
        <v>1.0000000000000001E-15</v>
      </c>
      <c r="L6" s="59">
        <f>L5*0.000000000000000001</f>
        <v>1.0000000000000001E-18</v>
      </c>
      <c r="M6" s="59">
        <f>M5*500</f>
        <v>500</v>
      </c>
      <c r="N6" s="59">
        <f>N5*(1/0.3)</f>
        <v>3.3333333333333335</v>
      </c>
      <c r="O6" s="59">
        <f>O5*(1/3)</f>
        <v>0.33333333333333331</v>
      </c>
      <c r="P6" s="59">
        <f>P5*(1/30)</f>
        <v>3.3333333333333333E-2</v>
      </c>
      <c r="Q6" s="82">
        <f>Q5*(1/3.2808399)</f>
        <v>0.304799999536704</v>
      </c>
      <c r="R6" s="82">
        <f>R5*(1/39.3700787)</f>
        <v>2.5400000025908E-2</v>
      </c>
      <c r="S6" s="60">
        <f>S5*9046530000000000</f>
        <v>9046530000000000</v>
      </c>
      <c r="T6" s="50"/>
    </row>
    <row r="7" spans="1:20" ht="16.5" thickBot="1" x14ac:dyDescent="0.3">
      <c r="A7" s="466" t="s">
        <v>106</v>
      </c>
      <c r="B7" s="466"/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50"/>
    </row>
    <row r="8" spans="1:20" x14ac:dyDescent="0.25">
      <c r="A8" s="52" t="s">
        <v>21</v>
      </c>
      <c r="B8" s="73">
        <v>1</v>
      </c>
      <c r="C8" s="73">
        <v>1</v>
      </c>
      <c r="D8" s="73">
        <v>1</v>
      </c>
      <c r="E8" s="73">
        <v>1</v>
      </c>
      <c r="F8" s="73">
        <v>1</v>
      </c>
      <c r="G8" s="73">
        <v>1</v>
      </c>
      <c r="H8" s="73">
        <v>1</v>
      </c>
      <c r="I8" s="73">
        <v>1</v>
      </c>
      <c r="J8" s="73">
        <v>1</v>
      </c>
      <c r="K8" s="73">
        <v>1</v>
      </c>
      <c r="L8" s="73">
        <v>1</v>
      </c>
      <c r="M8" s="73">
        <v>1</v>
      </c>
      <c r="N8" s="73">
        <v>1</v>
      </c>
      <c r="O8" s="73">
        <v>1</v>
      </c>
      <c r="P8" s="73">
        <v>1</v>
      </c>
      <c r="Q8" s="73">
        <v>1</v>
      </c>
      <c r="R8" s="73">
        <v>1</v>
      </c>
      <c r="S8" s="74">
        <v>1</v>
      </c>
      <c r="T8" s="50"/>
    </row>
    <row r="9" spans="1:20" x14ac:dyDescent="0.25">
      <c r="A9" s="55" t="s">
        <v>108</v>
      </c>
      <c r="B9" s="64">
        <f>B8*0.000001</f>
        <v>9.9999999999999995E-7</v>
      </c>
      <c r="C9" s="64">
        <f>C8*0.001</f>
        <v>1E-3</v>
      </c>
      <c r="D9" s="64">
        <f>D8*10</f>
        <v>10</v>
      </c>
      <c r="E9" s="64">
        <f>E8*100</f>
        <v>100</v>
      </c>
      <c r="F9" s="64">
        <f>F8*1000</f>
        <v>1000</v>
      </c>
      <c r="G9" s="64">
        <f>G8*1000000</f>
        <v>1000000</v>
      </c>
      <c r="H9" s="64">
        <f>H8*1000000000</f>
        <v>1000000000</v>
      </c>
      <c r="I9" s="64">
        <f>I8*10000000000</f>
        <v>10000000000</v>
      </c>
      <c r="J9" s="64">
        <f>J8*1000000000000</f>
        <v>1000000000000</v>
      </c>
      <c r="K9" s="64">
        <f>K8*1000000000000000</f>
        <v>1000000000000000</v>
      </c>
      <c r="L9" s="64">
        <f>L8*1000000000000000000</f>
        <v>1E+18</v>
      </c>
      <c r="M9" s="66">
        <f>M8*(1/500)</f>
        <v>2E-3</v>
      </c>
      <c r="N9" s="64">
        <f>N8*0.3</f>
        <v>0.3</v>
      </c>
      <c r="O9" s="64">
        <f>O8*3</f>
        <v>3</v>
      </c>
      <c r="P9" s="64">
        <f>P8*30</f>
        <v>30</v>
      </c>
      <c r="Q9" s="64">
        <f>Q8*3.2808399</f>
        <v>3.2808399000000001</v>
      </c>
      <c r="R9" s="64">
        <f>R8*39.3700787</f>
        <v>39.370078700000001</v>
      </c>
      <c r="S9" s="72">
        <f>S8*(1/(9046530000000000))</f>
        <v>1.1053962126914961E-16</v>
      </c>
      <c r="T9" s="50"/>
    </row>
    <row r="10" spans="1:20" ht="16.5" thickBot="1" x14ac:dyDescent="0.3">
      <c r="A10" s="58" t="s">
        <v>110</v>
      </c>
      <c r="B10" s="76" t="s">
        <v>79</v>
      </c>
      <c r="C10" s="76" t="s">
        <v>80</v>
      </c>
      <c r="D10" s="76" t="s">
        <v>81</v>
      </c>
      <c r="E10" s="76" t="s">
        <v>82</v>
      </c>
      <c r="F10" s="76" t="s">
        <v>83</v>
      </c>
      <c r="G10" s="76" t="s">
        <v>84</v>
      </c>
      <c r="H10" s="76" t="s">
        <v>85</v>
      </c>
      <c r="I10" s="76" t="s">
        <v>86</v>
      </c>
      <c r="J10" s="76" t="s">
        <v>87</v>
      </c>
      <c r="K10" s="76" t="s">
        <v>88</v>
      </c>
      <c r="L10" s="76" t="s">
        <v>89</v>
      </c>
      <c r="M10" s="76" t="s">
        <v>111</v>
      </c>
      <c r="N10" s="76" t="s">
        <v>90</v>
      </c>
      <c r="O10" s="76" t="s">
        <v>91</v>
      </c>
      <c r="P10" s="76" t="s">
        <v>92</v>
      </c>
      <c r="Q10" s="76" t="s">
        <v>113</v>
      </c>
      <c r="R10" s="76" t="s">
        <v>112</v>
      </c>
      <c r="S10" s="77" t="s">
        <v>93</v>
      </c>
      <c r="T10" s="50"/>
    </row>
    <row r="11" spans="1:20" x14ac:dyDescent="0.25">
      <c r="A11" s="50" t="s">
        <v>94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0" x14ac:dyDescent="0.25">
      <c r="A12" s="50" t="s">
        <v>95</v>
      </c>
    </row>
    <row r="13" spans="1:20" x14ac:dyDescent="0.25">
      <c r="A13" s="50" t="s">
        <v>96</v>
      </c>
    </row>
    <row r="14" spans="1:20" x14ac:dyDescent="0.25">
      <c r="A14" s="50" t="s">
        <v>101</v>
      </c>
    </row>
    <row r="15" spans="1:20" x14ac:dyDescent="0.25">
      <c r="A15" s="50" t="s">
        <v>97</v>
      </c>
    </row>
    <row r="16" spans="1:20" x14ac:dyDescent="0.25">
      <c r="A16" s="50" t="s">
        <v>98</v>
      </c>
    </row>
    <row r="17" spans="1:20" x14ac:dyDescent="0.25">
      <c r="A17" s="50" t="s">
        <v>114</v>
      </c>
    </row>
    <row r="18" spans="1:20" x14ac:dyDescent="0.25">
      <c r="A18" s="50"/>
    </row>
    <row r="20" spans="1:20" ht="21" thickBot="1" x14ac:dyDescent="0.35">
      <c r="A20" s="79" t="s">
        <v>100</v>
      </c>
    </row>
    <row r="21" spans="1:20" ht="18.75" x14ac:dyDescent="0.25">
      <c r="A21" s="56" t="s">
        <v>76</v>
      </c>
      <c r="B21" s="65" t="s">
        <v>103</v>
      </c>
      <c r="C21" s="65" t="s">
        <v>104</v>
      </c>
      <c r="D21" s="65" t="s">
        <v>105</v>
      </c>
      <c r="F21" s="465" t="s">
        <v>106</v>
      </c>
      <c r="H21" s="67" t="s">
        <v>107</v>
      </c>
      <c r="I21" s="73">
        <v>1</v>
      </c>
      <c r="J21" s="73">
        <v>188748.6</v>
      </c>
      <c r="K21" s="74">
        <v>1</v>
      </c>
    </row>
    <row r="22" spans="1:20" x14ac:dyDescent="0.25">
      <c r="A22" s="56" t="s">
        <v>77</v>
      </c>
      <c r="B22" s="65">
        <v>1</v>
      </c>
      <c r="C22" s="65">
        <v>1</v>
      </c>
      <c r="D22" s="65">
        <v>1</v>
      </c>
      <c r="F22" s="465"/>
      <c r="H22" s="68" t="s">
        <v>108</v>
      </c>
      <c r="I22" s="66">
        <f>I21*0.0001</f>
        <v>1E-4</v>
      </c>
      <c r="J22" s="66">
        <f>J21*(15/10000)</f>
        <v>283.12290000000002</v>
      </c>
      <c r="K22" s="75">
        <f>K21*(1/100)</f>
        <v>0.01</v>
      </c>
    </row>
    <row r="23" spans="1:20" ht="17.25" thickBot="1" x14ac:dyDescent="0.3">
      <c r="A23" s="56" t="s">
        <v>102</v>
      </c>
      <c r="B23" s="66">
        <f>B22*10000</f>
        <v>10000</v>
      </c>
      <c r="C23" s="66">
        <f>C22*(10000/15)</f>
        <v>666.66666666666663</v>
      </c>
      <c r="D23" s="66">
        <f>D22*100</f>
        <v>100</v>
      </c>
      <c r="F23" s="465"/>
      <c r="H23" s="69" t="s">
        <v>109</v>
      </c>
      <c r="I23" s="70" t="s">
        <v>103</v>
      </c>
      <c r="J23" s="70" t="s">
        <v>104</v>
      </c>
      <c r="K23" s="71" t="s">
        <v>105</v>
      </c>
    </row>
    <row r="24" spans="1:20" x14ac:dyDescent="0.25">
      <c r="A24" s="51" t="s">
        <v>94</v>
      </c>
    </row>
    <row r="25" spans="1:20" x14ac:dyDescent="0.25">
      <c r="A25" s="51" t="s">
        <v>115</v>
      </c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</sheetData>
  <mergeCells count="3">
    <mergeCell ref="B1:C1"/>
    <mergeCell ref="F21:F23"/>
    <mergeCell ref="A7:S7"/>
  </mergeCells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C65B-D5A9-47B1-B9E6-E5025379BA49}">
  <dimension ref="A1:O35"/>
  <sheetViews>
    <sheetView showGridLines="0" zoomScale="85" zoomScaleNormal="85" workbookViewId="0">
      <selection activeCell="L4" sqref="L4"/>
    </sheetView>
  </sheetViews>
  <sheetFormatPr defaultColWidth="9" defaultRowHeight="14.25" x14ac:dyDescent="0.15"/>
  <cols>
    <col min="1" max="1" width="8.875" style="208" customWidth="1"/>
    <col min="2" max="2" width="17.625" style="208" customWidth="1"/>
    <col min="3" max="3" width="9" style="208"/>
    <col min="4" max="4" width="16.75" style="208" customWidth="1"/>
    <col min="5" max="5" width="8.375" style="208" customWidth="1"/>
    <col min="6" max="6" width="13.5" style="208" customWidth="1"/>
    <col min="7" max="7" width="10.5" style="208" customWidth="1"/>
    <col min="8" max="8" width="13.25" style="208" customWidth="1"/>
    <col min="9" max="9" width="13.375" style="208" customWidth="1"/>
    <col min="10" max="10" width="11.125" style="208" customWidth="1"/>
    <col min="11" max="11" width="14" style="208" customWidth="1"/>
    <col min="12" max="12" width="13.125" style="208" customWidth="1"/>
    <col min="13" max="13" width="9.125" style="208" customWidth="1"/>
    <col min="14" max="14" width="13.5" style="208" customWidth="1"/>
    <col min="15" max="15" width="14.25" style="208" customWidth="1"/>
    <col min="16" max="16384" width="9" style="208"/>
  </cols>
  <sheetData>
    <row r="1" spans="1:15" ht="27.95" customHeight="1" x14ac:dyDescent="0.15">
      <c r="A1" s="485" t="s">
        <v>326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7"/>
    </row>
    <row r="2" spans="1:15" ht="57" customHeight="1" x14ac:dyDescent="0.15">
      <c r="A2" s="488" t="s">
        <v>327</v>
      </c>
      <c r="B2" s="489"/>
      <c r="C2" s="472" t="s">
        <v>328</v>
      </c>
      <c r="D2" s="492" t="s">
        <v>329</v>
      </c>
      <c r="E2" s="493"/>
      <c r="F2" s="493"/>
      <c r="G2" s="493"/>
      <c r="H2" s="472" t="s">
        <v>330</v>
      </c>
      <c r="I2" s="472"/>
      <c r="J2" s="472"/>
      <c r="K2" s="472"/>
      <c r="L2" s="472"/>
      <c r="M2" s="472"/>
      <c r="N2" s="492" t="s">
        <v>331</v>
      </c>
      <c r="O2" s="494"/>
    </row>
    <row r="3" spans="1:15" ht="42.75" x14ac:dyDescent="0.15">
      <c r="A3" s="490"/>
      <c r="B3" s="491"/>
      <c r="C3" s="472"/>
      <c r="D3" s="209" t="s">
        <v>332</v>
      </c>
      <c r="E3" s="209" t="s">
        <v>333</v>
      </c>
      <c r="F3" s="209" t="s">
        <v>334</v>
      </c>
      <c r="G3" s="209" t="s">
        <v>335</v>
      </c>
      <c r="H3" s="209" t="s">
        <v>336</v>
      </c>
      <c r="I3" s="209" t="s">
        <v>337</v>
      </c>
      <c r="J3" s="209" t="s">
        <v>338</v>
      </c>
      <c r="K3" s="209" t="s">
        <v>339</v>
      </c>
      <c r="L3" s="209" t="s">
        <v>373</v>
      </c>
      <c r="M3" s="209" t="s">
        <v>335</v>
      </c>
      <c r="N3" s="209" t="s">
        <v>340</v>
      </c>
      <c r="O3" s="209" t="s">
        <v>335</v>
      </c>
    </row>
    <row r="4" spans="1:15" ht="24.95" customHeight="1" x14ac:dyDescent="0.15">
      <c r="A4" s="474" t="s">
        <v>341</v>
      </c>
      <c r="B4" s="210" t="s">
        <v>342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</row>
    <row r="5" spans="1:15" ht="24.95" customHeight="1" x14ac:dyDescent="0.15">
      <c r="A5" s="475"/>
      <c r="B5" s="210" t="s">
        <v>343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</row>
    <row r="6" spans="1:15" ht="24.95" customHeight="1" x14ac:dyDescent="0.15">
      <c r="A6" s="476"/>
      <c r="B6" s="210" t="s">
        <v>344</v>
      </c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15" ht="24.95" customHeight="1" x14ac:dyDescent="0.15">
      <c r="A7" s="477" t="s">
        <v>345</v>
      </c>
      <c r="B7" s="212" t="s">
        <v>346</v>
      </c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</row>
    <row r="8" spans="1:15" ht="24.95" customHeight="1" x14ac:dyDescent="0.15">
      <c r="A8" s="478"/>
      <c r="B8" s="212" t="s">
        <v>347</v>
      </c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</row>
    <row r="9" spans="1:15" ht="24.95" customHeight="1" x14ac:dyDescent="0.15">
      <c r="A9" s="479"/>
      <c r="B9" s="212" t="s">
        <v>348</v>
      </c>
      <c r="C9" s="211"/>
      <c r="D9" s="211"/>
      <c r="E9" s="211"/>
      <c r="F9" s="211"/>
      <c r="G9" s="211"/>
      <c r="H9" s="211" t="s">
        <v>349</v>
      </c>
      <c r="I9" s="211"/>
      <c r="J9" s="211"/>
      <c r="K9" s="211"/>
      <c r="L9" s="211"/>
      <c r="M9" s="211"/>
      <c r="N9" s="211"/>
      <c r="O9" s="211"/>
    </row>
    <row r="10" spans="1:15" ht="24.95" customHeight="1" x14ac:dyDescent="0.15">
      <c r="A10" s="474" t="s">
        <v>350</v>
      </c>
      <c r="B10" s="210" t="s">
        <v>351</v>
      </c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</row>
    <row r="11" spans="1:15" ht="24.95" customHeight="1" x14ac:dyDescent="0.15">
      <c r="A11" s="475"/>
      <c r="B11" s="210" t="s">
        <v>352</v>
      </c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</row>
    <row r="12" spans="1:15" ht="24.95" customHeight="1" x14ac:dyDescent="0.15">
      <c r="A12" s="475"/>
      <c r="B12" s="210" t="s">
        <v>353</v>
      </c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</row>
    <row r="13" spans="1:15" ht="24.95" customHeight="1" x14ac:dyDescent="0.15">
      <c r="A13" s="476"/>
      <c r="B13" s="210" t="s">
        <v>354</v>
      </c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</row>
    <row r="14" spans="1:15" ht="24.95" customHeight="1" x14ac:dyDescent="0.15">
      <c r="A14" s="477" t="s">
        <v>355</v>
      </c>
      <c r="B14" s="212" t="s">
        <v>356</v>
      </c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</row>
    <row r="15" spans="1:15" ht="24.95" customHeight="1" x14ac:dyDescent="0.15">
      <c r="A15" s="478"/>
      <c r="B15" s="212" t="s">
        <v>357</v>
      </c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</row>
    <row r="16" spans="1:15" ht="24.95" customHeight="1" x14ac:dyDescent="0.15">
      <c r="A16" s="478"/>
      <c r="B16" s="212" t="s">
        <v>358</v>
      </c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</row>
    <row r="17" spans="1:15" ht="24.95" customHeight="1" x14ac:dyDescent="0.15">
      <c r="A17" s="479"/>
      <c r="B17" s="212" t="s">
        <v>359</v>
      </c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</row>
    <row r="18" spans="1:15" ht="24.95" customHeight="1" x14ac:dyDescent="0.15">
      <c r="A18" s="480" t="s">
        <v>360</v>
      </c>
      <c r="B18" s="48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</row>
    <row r="19" spans="1:15" ht="15" thickBot="1" x14ac:dyDescent="0.2"/>
    <row r="20" spans="1:15" ht="27.95" customHeight="1" x14ac:dyDescent="0.2">
      <c r="A20" s="482" t="s">
        <v>361</v>
      </c>
      <c r="B20" s="483"/>
      <c r="C20" s="483"/>
      <c r="D20" s="483"/>
      <c r="E20" s="483"/>
      <c r="F20" s="483"/>
      <c r="G20" s="483"/>
      <c r="H20" s="484"/>
      <c r="J20" s="213" t="s">
        <v>362</v>
      </c>
      <c r="K20" s="213"/>
      <c r="L20" s="213"/>
      <c r="M20" s="213"/>
      <c r="N20" s="213"/>
      <c r="O20" s="213"/>
    </row>
    <row r="21" spans="1:15" ht="28.5" customHeight="1" x14ac:dyDescent="0.2">
      <c r="A21" s="471" t="s">
        <v>327</v>
      </c>
      <c r="B21" s="472"/>
      <c r="C21" s="472" t="s">
        <v>328</v>
      </c>
      <c r="D21" s="472" t="s">
        <v>363</v>
      </c>
      <c r="E21" s="472"/>
      <c r="F21" s="472"/>
      <c r="G21" s="472" t="s">
        <v>364</v>
      </c>
      <c r="H21" s="473" t="s">
        <v>365</v>
      </c>
      <c r="I21" s="213"/>
      <c r="J21" s="213"/>
      <c r="L21" s="213"/>
      <c r="M21" s="213"/>
      <c r="N21" s="213"/>
      <c r="O21" s="213"/>
    </row>
    <row r="22" spans="1:15" ht="28.5" x14ac:dyDescent="0.2">
      <c r="A22" s="471"/>
      <c r="B22" s="472"/>
      <c r="C22" s="472"/>
      <c r="D22" s="209" t="s">
        <v>366</v>
      </c>
      <c r="E22" s="209" t="s">
        <v>333</v>
      </c>
      <c r="F22" s="209" t="s">
        <v>367</v>
      </c>
      <c r="G22" s="472"/>
      <c r="H22" s="473"/>
      <c r="I22" s="213"/>
      <c r="J22" s="213"/>
      <c r="K22" s="213"/>
      <c r="L22" s="213"/>
      <c r="M22" s="213"/>
      <c r="N22" s="213"/>
      <c r="O22" s="213"/>
    </row>
    <row r="23" spans="1:15" ht="24.95" customHeight="1" x14ac:dyDescent="0.2">
      <c r="A23" s="468" t="s">
        <v>341</v>
      </c>
      <c r="B23" s="210" t="s">
        <v>342</v>
      </c>
      <c r="C23" s="211"/>
      <c r="D23" s="211"/>
      <c r="E23" s="211"/>
      <c r="F23" s="211"/>
      <c r="G23" s="211"/>
      <c r="H23" s="214"/>
      <c r="I23" s="213"/>
      <c r="J23" s="213"/>
      <c r="K23" s="213"/>
      <c r="L23" s="213"/>
      <c r="M23" s="213"/>
      <c r="N23" s="213"/>
      <c r="O23" s="213"/>
    </row>
    <row r="24" spans="1:15" ht="24.95" customHeight="1" x14ac:dyDescent="0.2">
      <c r="A24" s="468"/>
      <c r="B24" s="210" t="s">
        <v>343</v>
      </c>
      <c r="C24" s="211"/>
      <c r="D24" s="211"/>
      <c r="E24" s="211"/>
      <c r="F24" s="211"/>
      <c r="G24" s="211"/>
      <c r="H24" s="214"/>
      <c r="I24" s="213"/>
      <c r="J24" s="213"/>
      <c r="K24" s="213"/>
      <c r="L24" s="213"/>
      <c r="M24" s="213"/>
      <c r="N24" s="213"/>
      <c r="O24" s="213"/>
    </row>
    <row r="25" spans="1:15" ht="24.95" customHeight="1" x14ac:dyDescent="0.2">
      <c r="A25" s="468"/>
      <c r="B25" s="210" t="s">
        <v>344</v>
      </c>
      <c r="C25" s="211"/>
      <c r="D25" s="211"/>
      <c r="E25" s="211"/>
      <c r="F25" s="211"/>
      <c r="G25" s="211"/>
      <c r="H25" s="214"/>
      <c r="I25" s="213"/>
      <c r="J25" s="213"/>
      <c r="K25" s="213"/>
      <c r="L25" s="213"/>
      <c r="M25" s="213"/>
      <c r="N25" s="213"/>
      <c r="O25" s="213"/>
    </row>
    <row r="26" spans="1:15" ht="24.95" customHeight="1" x14ac:dyDescent="0.2">
      <c r="A26" s="467" t="s">
        <v>345</v>
      </c>
      <c r="B26" s="212" t="s">
        <v>346</v>
      </c>
      <c r="C26" s="211"/>
      <c r="D26" s="211"/>
      <c r="E26" s="211"/>
      <c r="F26" s="211"/>
      <c r="G26" s="211"/>
      <c r="H26" s="214"/>
      <c r="I26" s="213"/>
      <c r="J26" s="213"/>
      <c r="K26" s="213"/>
      <c r="L26" s="213"/>
      <c r="M26" s="213"/>
      <c r="N26" s="213"/>
      <c r="O26" s="213"/>
    </row>
    <row r="27" spans="1:15" ht="24.95" customHeight="1" x14ac:dyDescent="0.2">
      <c r="A27" s="467"/>
      <c r="B27" s="212" t="s">
        <v>345</v>
      </c>
      <c r="C27" s="211"/>
      <c r="D27" s="211"/>
      <c r="E27" s="211"/>
      <c r="F27" s="211"/>
      <c r="G27" s="211"/>
      <c r="H27" s="214"/>
      <c r="I27" s="213"/>
      <c r="J27" s="213"/>
      <c r="K27" s="213"/>
      <c r="L27" s="213"/>
      <c r="M27" s="213"/>
      <c r="N27" s="213"/>
      <c r="O27" s="213"/>
    </row>
    <row r="28" spans="1:15" ht="24.95" customHeight="1" x14ac:dyDescent="0.2">
      <c r="A28" s="467"/>
      <c r="B28" s="212" t="s">
        <v>348</v>
      </c>
      <c r="C28" s="211"/>
      <c r="D28" s="211"/>
      <c r="E28" s="211"/>
      <c r="F28" s="211"/>
      <c r="G28" s="211"/>
      <c r="H28" s="214"/>
      <c r="I28" s="213"/>
      <c r="J28" s="213"/>
      <c r="K28" s="213"/>
      <c r="L28" s="213"/>
      <c r="M28" s="213"/>
      <c r="N28" s="213"/>
      <c r="O28" s="213"/>
    </row>
    <row r="29" spans="1:15" ht="32.25" customHeight="1" x14ac:dyDescent="0.2">
      <c r="A29" s="468" t="s">
        <v>368</v>
      </c>
      <c r="B29" s="210" t="s">
        <v>369</v>
      </c>
      <c r="C29" s="211"/>
      <c r="D29" s="211"/>
      <c r="E29" s="211"/>
      <c r="F29" s="211"/>
      <c r="G29" s="211"/>
      <c r="H29" s="214"/>
      <c r="I29" s="213"/>
      <c r="J29" s="213"/>
      <c r="K29" s="213"/>
      <c r="L29" s="213"/>
      <c r="M29" s="213"/>
      <c r="N29" s="213"/>
      <c r="O29" s="213"/>
    </row>
    <row r="30" spans="1:15" ht="31.5" customHeight="1" x14ac:dyDescent="0.2">
      <c r="A30" s="468"/>
      <c r="B30" s="210" t="s">
        <v>370</v>
      </c>
      <c r="C30" s="211"/>
      <c r="D30" s="211"/>
      <c r="E30" s="211"/>
      <c r="F30" s="211"/>
      <c r="G30" s="211"/>
      <c r="H30" s="214"/>
      <c r="I30" s="213"/>
      <c r="J30" s="213"/>
      <c r="K30" s="213"/>
      <c r="L30" s="213"/>
      <c r="M30" s="213"/>
      <c r="N30" s="213"/>
      <c r="O30" s="213"/>
    </row>
    <row r="31" spans="1:15" ht="30.75" customHeight="1" x14ac:dyDescent="0.2">
      <c r="A31" s="468"/>
      <c r="B31" s="210" t="s">
        <v>371</v>
      </c>
      <c r="C31" s="211"/>
      <c r="D31" s="211"/>
      <c r="E31" s="211"/>
      <c r="F31" s="211"/>
      <c r="G31" s="211"/>
      <c r="H31" s="214"/>
      <c r="I31" s="213"/>
      <c r="J31" s="213"/>
      <c r="K31" s="213"/>
      <c r="L31" s="213"/>
      <c r="M31" s="213"/>
      <c r="N31" s="213"/>
      <c r="O31" s="213"/>
    </row>
    <row r="32" spans="1:15" ht="34.5" customHeight="1" x14ac:dyDescent="0.2">
      <c r="A32" s="468"/>
      <c r="B32" s="210" t="s">
        <v>372</v>
      </c>
      <c r="C32" s="211"/>
      <c r="D32" s="211"/>
      <c r="E32" s="211"/>
      <c r="F32" s="211"/>
      <c r="G32" s="211"/>
      <c r="H32" s="214"/>
      <c r="I32" s="213"/>
      <c r="J32" s="213"/>
      <c r="K32" s="213"/>
      <c r="L32" s="213"/>
      <c r="M32" s="213"/>
      <c r="N32" s="213"/>
      <c r="O32" s="213"/>
    </row>
    <row r="33" spans="1:15" ht="24.95" customHeight="1" thickBot="1" x14ac:dyDescent="0.25">
      <c r="A33" s="469" t="s">
        <v>360</v>
      </c>
      <c r="B33" s="470"/>
      <c r="C33" s="215"/>
      <c r="D33" s="215"/>
      <c r="E33" s="215"/>
      <c r="F33" s="215"/>
      <c r="G33" s="215"/>
      <c r="H33" s="216"/>
      <c r="I33" s="213"/>
      <c r="J33" s="213"/>
      <c r="K33" s="213"/>
      <c r="L33" s="213"/>
      <c r="M33" s="213"/>
      <c r="N33" s="213"/>
      <c r="O33" s="213"/>
    </row>
    <row r="34" spans="1:15" ht="33.75" customHeight="1" x14ac:dyDescent="0.2">
      <c r="A34" s="217"/>
      <c r="B34" s="217"/>
      <c r="C34" s="217"/>
      <c r="D34" s="217"/>
      <c r="E34" s="217"/>
      <c r="F34" s="217"/>
      <c r="G34" s="217"/>
      <c r="H34" s="217"/>
      <c r="I34" s="213"/>
      <c r="J34" s="213"/>
      <c r="K34" s="213"/>
      <c r="L34" s="213"/>
      <c r="M34" s="213"/>
      <c r="N34" s="213"/>
      <c r="O34" s="213"/>
    </row>
    <row r="35" spans="1:15" x14ac:dyDescent="0.2">
      <c r="H35" s="213"/>
      <c r="I35" s="213"/>
      <c r="J35" s="213"/>
      <c r="K35" s="213"/>
      <c r="L35" s="213"/>
      <c r="M35" s="213"/>
      <c r="N35" s="213"/>
      <c r="O35" s="213"/>
    </row>
  </sheetData>
  <mergeCells count="21">
    <mergeCell ref="A1:O1"/>
    <mergeCell ref="A2:B3"/>
    <mergeCell ref="C2:C3"/>
    <mergeCell ref="D2:G2"/>
    <mergeCell ref="H2:M2"/>
    <mergeCell ref="N2:O2"/>
    <mergeCell ref="D21:F21"/>
    <mergeCell ref="G21:G22"/>
    <mergeCell ref="H21:H22"/>
    <mergeCell ref="A23:A25"/>
    <mergeCell ref="A4:A6"/>
    <mergeCell ref="A7:A9"/>
    <mergeCell ref="A10:A13"/>
    <mergeCell ref="A14:A17"/>
    <mergeCell ref="A18:B18"/>
    <mergeCell ref="A20:H20"/>
    <mergeCell ref="A26:A28"/>
    <mergeCell ref="A29:A32"/>
    <mergeCell ref="A33:B33"/>
    <mergeCell ref="A21:B22"/>
    <mergeCell ref="C21:C22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9DCA-68E2-4442-BF2B-E9F14D637EA0}">
  <dimension ref="A1:Y282"/>
  <sheetViews>
    <sheetView topLeftCell="A97" zoomScaleNormal="100" workbookViewId="0">
      <selection activeCell="E122" sqref="E122"/>
    </sheetView>
  </sheetViews>
  <sheetFormatPr defaultRowHeight="14.25" x14ac:dyDescent="0.15"/>
  <cols>
    <col min="2" max="2" width="13.125" customWidth="1"/>
    <col min="3" max="3" width="25.625" customWidth="1"/>
    <col min="4" max="4" width="18.75" customWidth="1"/>
    <col min="5" max="5" width="13.25" customWidth="1"/>
    <col min="6" max="6" width="19.625" customWidth="1"/>
    <col min="7" max="7" width="12" customWidth="1"/>
    <col min="8" max="8" width="19.125" customWidth="1"/>
    <col min="9" max="9" width="12.375" customWidth="1"/>
    <col min="10" max="10" width="15.375" customWidth="1"/>
    <col min="11" max="11" width="14.875" customWidth="1"/>
    <col min="12" max="12" width="12.625" customWidth="1"/>
    <col min="14" max="14" width="12.75" customWidth="1"/>
    <col min="15" max="15" width="11.5" customWidth="1"/>
    <col min="16" max="16" width="15.5" customWidth="1"/>
    <col min="17" max="17" width="23.375" customWidth="1"/>
    <col min="18" max="18" width="9.25" customWidth="1"/>
    <col min="19" max="19" width="19.75" customWidth="1"/>
    <col min="20" max="20" width="10.875" customWidth="1"/>
    <col min="21" max="21" width="11.5" customWidth="1"/>
    <col min="22" max="22" width="16.5" customWidth="1"/>
    <col min="23" max="23" width="22.125" customWidth="1"/>
    <col min="24" max="24" width="24.125" customWidth="1"/>
    <col min="25" max="25" width="21.25" customWidth="1"/>
  </cols>
  <sheetData>
    <row r="1" spans="2:13" x14ac:dyDescent="0.15">
      <c r="B1" s="1" t="s">
        <v>56</v>
      </c>
      <c r="C1" s="417" t="s">
        <v>57</v>
      </c>
      <c r="D1" s="417"/>
    </row>
    <row r="2" spans="2:13" x14ac:dyDescent="0.15">
      <c r="B2" s="1"/>
    </row>
    <row r="3" spans="2:13" x14ac:dyDescent="0.15">
      <c r="B3" s="1" t="s">
        <v>547</v>
      </c>
    </row>
    <row r="4" spans="2:13" ht="43.5" x14ac:dyDescent="0.15">
      <c r="B4" s="2" t="s">
        <v>548</v>
      </c>
      <c r="C4" s="26" t="s">
        <v>550</v>
      </c>
      <c r="D4" s="26" t="s">
        <v>554</v>
      </c>
      <c r="E4" s="139" t="s">
        <v>704</v>
      </c>
      <c r="F4" s="139" t="s">
        <v>586</v>
      </c>
      <c r="G4" s="139" t="s">
        <v>587</v>
      </c>
      <c r="H4" s="139" t="s">
        <v>596</v>
      </c>
      <c r="I4" s="139" t="s">
        <v>576</v>
      </c>
    </row>
    <row r="5" spans="2:13" x14ac:dyDescent="0.15">
      <c r="B5" s="286">
        <v>9.81</v>
      </c>
      <c r="C5" s="287">
        <v>1</v>
      </c>
      <c r="D5" s="290">
        <v>1.4999999999999999E-2</v>
      </c>
      <c r="E5" s="121">
        <v>481.36</v>
      </c>
      <c r="F5" s="121">
        <v>454</v>
      </c>
      <c r="G5" s="26">
        <v>6</v>
      </c>
      <c r="H5" s="290">
        <v>0.32</v>
      </c>
      <c r="I5" s="26">
        <f>501.5-10</f>
        <v>491.5</v>
      </c>
    </row>
    <row r="6" spans="2:13" x14ac:dyDescent="0.15">
      <c r="B6" s="1"/>
      <c r="M6" s="253"/>
    </row>
    <row r="7" spans="2:13" ht="20.25" x14ac:dyDescent="0.15">
      <c r="B7" s="298" t="s">
        <v>538</v>
      </c>
    </row>
    <row r="8" spans="2:13" x14ac:dyDescent="0.15">
      <c r="B8" s="1" t="s">
        <v>558</v>
      </c>
    </row>
    <row r="9" spans="2:13" ht="45" x14ac:dyDescent="0.3">
      <c r="B9" s="139" t="s">
        <v>545</v>
      </c>
      <c r="C9" s="139" t="s">
        <v>695</v>
      </c>
      <c r="D9" s="139" t="s">
        <v>549</v>
      </c>
      <c r="E9" s="139" t="s">
        <v>546</v>
      </c>
      <c r="F9" s="281" t="s">
        <v>551</v>
      </c>
      <c r="G9" s="139" t="s">
        <v>552</v>
      </c>
      <c r="H9" s="139" t="s">
        <v>553</v>
      </c>
      <c r="I9" s="139" t="s">
        <v>555</v>
      </c>
      <c r="L9" s="282" t="s">
        <v>539</v>
      </c>
    </row>
    <row r="10" spans="2:13" ht="15" x14ac:dyDescent="0.2">
      <c r="B10" s="284">
        <v>1</v>
      </c>
      <c r="C10" s="255">
        <v>5</v>
      </c>
      <c r="D10" s="285">
        <f>B10*C10</f>
        <v>5</v>
      </c>
      <c r="E10" s="288">
        <f>SQRT($B$5*D10^3/($C$5*C10))</f>
        <v>15.660459763365825</v>
      </c>
      <c r="F10" s="289">
        <f>C10+2*B10</f>
        <v>7</v>
      </c>
      <c r="G10" s="288">
        <f>D10/F10</f>
        <v>0.7142857142857143</v>
      </c>
      <c r="H10" s="292">
        <f>G10^(1/6)/$D$5</f>
        <v>63.030981274522375</v>
      </c>
      <c r="I10" s="291">
        <f>E10^2/((D10^2)*(H10^2)*G10)</f>
        <v>3.4569166343728273E-3</v>
      </c>
      <c r="J10" s="452" t="s">
        <v>556</v>
      </c>
      <c r="K10" s="401" t="s">
        <v>563</v>
      </c>
      <c r="L10" s="282"/>
    </row>
    <row r="11" spans="2:13" ht="15" x14ac:dyDescent="0.2">
      <c r="B11" s="284">
        <v>1.5</v>
      </c>
      <c r="C11" s="255">
        <v>5</v>
      </c>
      <c r="D11" s="285">
        <f t="shared" ref="D11:D17" si="0">B11*C11</f>
        <v>7.5</v>
      </c>
      <c r="E11" s="288">
        <f t="shared" ref="E11:E17" si="1">SQRT($B$5*D11^3/($C$5*C11))</f>
        <v>28.77010166822495</v>
      </c>
      <c r="F11" s="289">
        <f t="shared" ref="F11:F17" si="2">C11+2*B11</f>
        <v>8</v>
      </c>
      <c r="G11" s="288">
        <f t="shared" ref="G11:G17" si="3">D11/F11</f>
        <v>0.9375</v>
      </c>
      <c r="H11" s="292">
        <f t="shared" ref="H11:H17" si="4">G11^(1/6)/$D$5</f>
        <v>65.953414882264212</v>
      </c>
      <c r="I11" s="291">
        <f t="shared" ref="I11:I17" si="5">E11^2/((D11^2)*(H11^2)*G11)</f>
        <v>3.6083978552547634E-3</v>
      </c>
      <c r="J11" s="452"/>
      <c r="K11" s="401"/>
      <c r="L11" s="282"/>
    </row>
    <row r="12" spans="2:13" ht="17.25" x14ac:dyDescent="0.3">
      <c r="B12" s="284">
        <v>2</v>
      </c>
      <c r="C12" s="255">
        <v>5</v>
      </c>
      <c r="D12" s="285">
        <f t="shared" si="0"/>
        <v>10</v>
      </c>
      <c r="E12" s="288">
        <f t="shared" si="1"/>
        <v>44.294469180700204</v>
      </c>
      <c r="F12" s="289">
        <f t="shared" si="2"/>
        <v>9</v>
      </c>
      <c r="G12" s="288">
        <f t="shared" si="3"/>
        <v>1.1111111111111112</v>
      </c>
      <c r="H12" s="292">
        <f t="shared" si="4"/>
        <v>67.847678045957778</v>
      </c>
      <c r="I12" s="291">
        <f t="shared" si="5"/>
        <v>3.8359375995073962E-3</v>
      </c>
      <c r="J12" s="452"/>
      <c r="K12" s="401"/>
      <c r="L12" s="283" t="s">
        <v>540</v>
      </c>
    </row>
    <row r="13" spans="2:13" ht="18" x14ac:dyDescent="0.3">
      <c r="B13" s="284">
        <v>2.5</v>
      </c>
      <c r="C13" s="255">
        <v>5</v>
      </c>
      <c r="D13" s="285">
        <f t="shared" si="0"/>
        <v>12.5</v>
      </c>
      <c r="E13" s="288">
        <f t="shared" si="1"/>
        <v>61.903402572071919</v>
      </c>
      <c r="F13" s="289">
        <f t="shared" si="2"/>
        <v>10</v>
      </c>
      <c r="G13" s="288">
        <f t="shared" si="3"/>
        <v>1.25</v>
      </c>
      <c r="H13" s="292">
        <f t="shared" si="4"/>
        <v>69.192721037080901</v>
      </c>
      <c r="I13" s="291">
        <f t="shared" si="5"/>
        <v>4.0980587811967209E-3</v>
      </c>
      <c r="J13" s="452"/>
      <c r="K13" s="401"/>
      <c r="L13" s="283" t="s">
        <v>541</v>
      </c>
    </row>
    <row r="14" spans="2:13" ht="17.25" x14ac:dyDescent="0.3">
      <c r="B14" s="284">
        <v>3</v>
      </c>
      <c r="C14" s="255">
        <v>5</v>
      </c>
      <c r="D14" s="285">
        <f t="shared" si="0"/>
        <v>15</v>
      </c>
      <c r="E14" s="288">
        <f t="shared" si="1"/>
        <v>81.374135940113064</v>
      </c>
      <c r="F14" s="289">
        <f t="shared" si="2"/>
        <v>11</v>
      </c>
      <c r="G14" s="288">
        <f t="shared" si="3"/>
        <v>1.3636363636363635</v>
      </c>
      <c r="H14" s="292">
        <f t="shared" si="4"/>
        <v>70.203457779051433</v>
      </c>
      <c r="I14" s="291">
        <f t="shared" si="5"/>
        <v>4.3789973430131482E-3</v>
      </c>
      <c r="J14" s="452"/>
      <c r="K14" s="401"/>
      <c r="L14" s="283" t="s">
        <v>542</v>
      </c>
    </row>
    <row r="15" spans="2:13" ht="15" x14ac:dyDescent="0.2">
      <c r="B15" s="284">
        <v>3.5</v>
      </c>
      <c r="C15" s="255">
        <v>5</v>
      </c>
      <c r="D15" s="285">
        <f t="shared" si="0"/>
        <v>17.5</v>
      </c>
      <c r="E15" s="288">
        <f t="shared" si="1"/>
        <v>102.54313116927921</v>
      </c>
      <c r="F15" s="289">
        <f t="shared" si="2"/>
        <v>12</v>
      </c>
      <c r="G15" s="288">
        <f t="shared" si="3"/>
        <v>1.4583333333333333</v>
      </c>
      <c r="H15" s="292">
        <f t="shared" si="4"/>
        <v>70.993437964642411</v>
      </c>
      <c r="I15" s="291">
        <f t="shared" si="5"/>
        <v>4.6713653281495121E-3</v>
      </c>
      <c r="J15" s="452"/>
      <c r="K15" s="401"/>
      <c r="L15" s="283"/>
    </row>
    <row r="16" spans="2:13" ht="15" x14ac:dyDescent="0.2">
      <c r="B16" s="284">
        <v>4</v>
      </c>
      <c r="C16" s="255">
        <v>5</v>
      </c>
      <c r="D16" s="285">
        <f t="shared" si="0"/>
        <v>20</v>
      </c>
      <c r="E16" s="288">
        <f t="shared" si="1"/>
        <v>125.2836781069266</v>
      </c>
      <c r="F16" s="289">
        <f t="shared" si="2"/>
        <v>13</v>
      </c>
      <c r="G16" s="288">
        <f t="shared" si="3"/>
        <v>1.5384615384615385</v>
      </c>
      <c r="H16" s="292">
        <f t="shared" si="4"/>
        <v>71.629158347834846</v>
      </c>
      <c r="I16" s="291">
        <f t="shared" si="5"/>
        <v>4.971216289685638E-3</v>
      </c>
      <c r="J16" s="452"/>
      <c r="K16" s="401"/>
      <c r="L16" s="283"/>
    </row>
    <row r="17" spans="2:12" ht="17.25" x14ac:dyDescent="0.3">
      <c r="B17" s="284">
        <v>4.5570000000000004</v>
      </c>
      <c r="C17" s="255">
        <v>5</v>
      </c>
      <c r="D17" s="285">
        <f t="shared" si="0"/>
        <v>22.785000000000004</v>
      </c>
      <c r="E17" s="288">
        <f t="shared" si="1"/>
        <v>152.34319196786663</v>
      </c>
      <c r="F17" s="289">
        <f t="shared" si="2"/>
        <v>14.114000000000001</v>
      </c>
      <c r="G17" s="288">
        <f t="shared" si="3"/>
        <v>1.614354541589911</v>
      </c>
      <c r="H17" s="292">
        <f t="shared" si="4"/>
        <v>72.206322638580787</v>
      </c>
      <c r="I17" s="291">
        <f t="shared" si="5"/>
        <v>5.3112734427662855E-3</v>
      </c>
      <c r="J17" s="452"/>
      <c r="K17" s="401"/>
      <c r="L17" s="283" t="s">
        <v>543</v>
      </c>
    </row>
    <row r="18" spans="2:12" ht="33.75" customHeight="1" x14ac:dyDescent="0.2">
      <c r="B18" s="284">
        <v>5.5</v>
      </c>
      <c r="C18" s="255">
        <v>3.2480000000000002</v>
      </c>
      <c r="D18" s="26">
        <v>26.798999999999999</v>
      </c>
      <c r="E18" s="288">
        <f>SQRT($B$5*D18^3/($C$5*C18))</f>
        <v>241.10397831145184</v>
      </c>
      <c r="F18" s="26">
        <v>16.71</v>
      </c>
      <c r="G18" s="288">
        <f>D18/F18</f>
        <v>1.6037701974865348</v>
      </c>
      <c r="H18" s="292">
        <f>G18^(1/6)/$D$5</f>
        <v>72.127204042534188</v>
      </c>
      <c r="I18" s="291">
        <f>E18^2/((D18^2)*(H18^2)*G18)</f>
        <v>9.7013291980399784E-3</v>
      </c>
      <c r="J18" s="139" t="s">
        <v>557</v>
      </c>
      <c r="K18" s="401"/>
      <c r="L18" s="283"/>
    </row>
    <row r="19" spans="2:12" ht="18" x14ac:dyDescent="0.3">
      <c r="B19" s="1" t="s">
        <v>559</v>
      </c>
      <c r="L19" s="283" t="s">
        <v>544</v>
      </c>
    </row>
    <row r="20" spans="2:12" ht="15" x14ac:dyDescent="0.2">
      <c r="B20" s="2" t="s">
        <v>560</v>
      </c>
      <c r="C20" s="26" t="s">
        <v>561</v>
      </c>
      <c r="D20" s="26" t="s">
        <v>562</v>
      </c>
      <c r="E20" s="26"/>
      <c r="F20" s="26"/>
      <c r="G20" s="26"/>
      <c r="L20" s="283"/>
    </row>
    <row r="21" spans="2:12" ht="15" x14ac:dyDescent="0.2">
      <c r="B21" s="293">
        <v>5.6829999999999999E-2</v>
      </c>
      <c r="C21" s="265" t="str">
        <f>IF(AND(ROUND($B$21,5)&gt;ROUND(I10,5),ROUND($B$21,5)&gt;ROUND(I11,5),ROUND($B$21,5)&gt;ROUND(I12,5),ROUND($B$21,5)&gt;ROUND(I13,5),ROUND($B$21,5)&gt;ROUND(I14,5),ROUND($B$21,5)&gt;ROUND(I15,5),ROUND($B$21,5)&gt;ROUND(I16,5),ROUND($B$21,5)&gt;ROUND(I17,5),ROUND($B$21,5)&gt;ROUND(I18,5)),"大于临界底坡",IF(AND(ROUND($B$21,5)&lt;ROUND(I10,5),ROUND($B$21,5)&lt;ROUND(I11,5),ROUND($B$21,5)&lt;ROUND(I12,5),ROUND($B$21,5)&lt;ROUND(I13,5),ROUND($B$21,5)&lt;ROUND(I14,5),ROUND($B$21,5)&lt;ROUND(I15,5),ROUND($B$21,5)&lt;ROUND(I16,5),ROUND($B$21,5)&lt;ROUND(I17,5),ROUND($B$21,5)&lt;ROUND(I18,5)),"小于临界底坡","等于临界底坡，或者不同流量下已有大于临界底坡的、也有小于临界底坡的"))</f>
        <v>大于临界底坡</v>
      </c>
      <c r="D21" s="265" t="str">
        <f>IF(C21="大于临界底坡","陡坡",IF(C21="小于临界底坡",IF(AND((ROUND(B21,2)&gt;ROUND(I10,2)),(ROUND(B21,2)&lt;ROUND(I18,2))),"缓坡且接近于临界坡",IF(ROUND(B21,2)&lt;ROUND(0.1%,2),"缓坡且趋于平坡","其他类型的缓坡")),"临界坡"))</f>
        <v>陡坡</v>
      </c>
      <c r="E21" s="26"/>
      <c r="F21" s="26"/>
      <c r="G21" s="26"/>
      <c r="L21" s="283"/>
    </row>
    <row r="22" spans="2:12" ht="15" x14ac:dyDescent="0.2">
      <c r="B22" s="1"/>
      <c r="L22" s="283"/>
    </row>
    <row r="23" spans="2:12" ht="20.25" x14ac:dyDescent="0.25">
      <c r="B23" s="297" t="s">
        <v>564</v>
      </c>
    </row>
    <row r="24" spans="2:12" ht="15" x14ac:dyDescent="0.2">
      <c r="B24" t="s">
        <v>565</v>
      </c>
    </row>
    <row r="25" spans="2:12" ht="61.5" x14ac:dyDescent="0.15">
      <c r="B25" s="139" t="s">
        <v>529</v>
      </c>
      <c r="C25" s="139" t="s">
        <v>532</v>
      </c>
      <c r="D25" s="139" t="s">
        <v>533</v>
      </c>
      <c r="E25" s="139" t="s">
        <v>531</v>
      </c>
    </row>
    <row r="26" spans="2:12" ht="18" customHeight="1" x14ac:dyDescent="0.15">
      <c r="B26" s="265">
        <f>$G$5</f>
        <v>6</v>
      </c>
      <c r="C26" s="265">
        <f>B26*1.2</f>
        <v>7.1999999999999993</v>
      </c>
      <c r="D26" s="288">
        <f>$E$5</f>
        <v>481.36</v>
      </c>
      <c r="E26" s="265">
        <f>D26+C26</f>
        <v>488.56</v>
      </c>
    </row>
    <row r="27" spans="2:12" x14ac:dyDescent="0.15">
      <c r="B27" s="190" t="s">
        <v>566</v>
      </c>
    </row>
    <row r="28" spans="2:12" ht="61.5" x14ac:dyDescent="0.15">
      <c r="B28" s="139" t="s">
        <v>529</v>
      </c>
      <c r="C28" s="139" t="s">
        <v>530</v>
      </c>
      <c r="D28" s="139" t="s">
        <v>533</v>
      </c>
      <c r="E28" s="139" t="s">
        <v>534</v>
      </c>
    </row>
    <row r="29" spans="2:12" s="26" customFormat="1" ht="18" customHeight="1" x14ac:dyDescent="0.15">
      <c r="B29" s="265">
        <f>$G$5</f>
        <v>6</v>
      </c>
      <c r="C29" s="265">
        <f>B29*1.5</f>
        <v>9</v>
      </c>
      <c r="D29" s="288">
        <f>$E$5</f>
        <v>481.36</v>
      </c>
      <c r="E29" s="265">
        <f>D29+C29</f>
        <v>490.36</v>
      </c>
    </row>
    <row r="30" spans="2:12" x14ac:dyDescent="0.15">
      <c r="B30" t="s">
        <v>567</v>
      </c>
    </row>
    <row r="31" spans="2:12" ht="44.25" x14ac:dyDescent="0.15">
      <c r="B31" s="139" t="s">
        <v>535</v>
      </c>
      <c r="C31" s="26" t="s">
        <v>536</v>
      </c>
      <c r="D31" t="s">
        <v>537</v>
      </c>
    </row>
    <row r="32" spans="2:12" x14ac:dyDescent="0.15">
      <c r="B32" s="26">
        <v>0.3</v>
      </c>
      <c r="C32" s="26">
        <v>9.81</v>
      </c>
    </row>
    <row r="34" spans="2:11" ht="20.25" x14ac:dyDescent="0.25">
      <c r="B34" s="297" t="s">
        <v>591</v>
      </c>
    </row>
    <row r="35" spans="2:11" x14ac:dyDescent="0.15">
      <c r="B35" s="295" t="s">
        <v>569</v>
      </c>
    </row>
    <row r="36" spans="2:11" ht="18.75" customHeight="1" x14ac:dyDescent="0.15">
      <c r="B36" s="192" t="s">
        <v>568</v>
      </c>
    </row>
    <row r="37" spans="2:11" ht="21.6" customHeight="1" x14ac:dyDescent="0.15">
      <c r="B37" s="401" t="s">
        <v>582</v>
      </c>
      <c r="C37" s="401" t="s">
        <v>727</v>
      </c>
      <c r="D37" s="452" t="s">
        <v>570</v>
      </c>
      <c r="E37" s="452" t="s">
        <v>571</v>
      </c>
      <c r="F37" s="452"/>
      <c r="G37" s="452"/>
      <c r="H37" s="452"/>
      <c r="I37" s="401" t="s">
        <v>583</v>
      </c>
      <c r="J37" s="26"/>
    </row>
    <row r="38" spans="2:11" ht="29.25" customHeight="1" x14ac:dyDescent="0.15">
      <c r="B38" s="401"/>
      <c r="C38" s="452"/>
      <c r="D38" s="452"/>
      <c r="E38" s="139" t="s">
        <v>574</v>
      </c>
      <c r="F38" s="139" t="s">
        <v>572</v>
      </c>
      <c r="G38" s="139" t="s">
        <v>573</v>
      </c>
      <c r="H38" s="139" t="s">
        <v>571</v>
      </c>
      <c r="I38" s="401"/>
      <c r="J38" s="26"/>
    </row>
    <row r="39" spans="2:11" ht="20.25" customHeight="1" x14ac:dyDescent="0.15">
      <c r="B39" s="401"/>
      <c r="C39" s="26">
        <v>0.1</v>
      </c>
      <c r="D39" s="26">
        <v>0.1</v>
      </c>
      <c r="E39" s="26">
        <v>5</v>
      </c>
      <c r="F39" s="26">
        <v>50</v>
      </c>
      <c r="G39" s="26">
        <v>15</v>
      </c>
      <c r="H39" s="292">
        <f>(0.131+0.1632*((E39/F39)^(7/2)))*((G39/90)^(1/2))</f>
        <v>5.3501595080169419E-2</v>
      </c>
      <c r="I39" s="292">
        <f>C39+D39+H39</f>
        <v>0.25350159508016945</v>
      </c>
      <c r="J39" s="26"/>
    </row>
    <row r="40" spans="2:11" ht="35.1" customHeight="1" x14ac:dyDescent="0.15">
      <c r="B40" s="401" t="s">
        <v>575</v>
      </c>
      <c r="C40" s="356" t="s">
        <v>576</v>
      </c>
      <c r="D40" s="139" t="s">
        <v>577</v>
      </c>
      <c r="E40" s="139" t="s">
        <v>578</v>
      </c>
      <c r="F40" s="139" t="s">
        <v>579</v>
      </c>
      <c r="G40" s="26" t="s">
        <v>580</v>
      </c>
      <c r="H40" s="284" t="s">
        <v>581</v>
      </c>
      <c r="I40" s="26"/>
      <c r="J40" s="26"/>
      <c r="K40" s="26"/>
    </row>
    <row r="41" spans="2:11" ht="24.95" customHeight="1" x14ac:dyDescent="0.15">
      <c r="B41" s="452"/>
      <c r="C41" s="26">
        <v>10</v>
      </c>
      <c r="D41" s="26">
        <v>27.901</v>
      </c>
      <c r="E41" s="26">
        <v>20.158999999999999</v>
      </c>
      <c r="F41" s="292">
        <f>D41/E41</f>
        <v>1.3840468277196289</v>
      </c>
      <c r="G41" s="292">
        <f>(F41^(1/6))/$D$5</f>
        <v>70.377505866137426</v>
      </c>
      <c r="H41" s="292">
        <f>2*$B$5*C41/((G41^2)*F41)</f>
        <v>2.862071476435914E-2</v>
      </c>
      <c r="I41" s="26"/>
      <c r="J41" s="26"/>
      <c r="K41" s="26"/>
    </row>
    <row r="42" spans="2:11" ht="32.25" customHeight="1" x14ac:dyDescent="0.15">
      <c r="B42" s="139" t="s">
        <v>584</v>
      </c>
      <c r="C42" s="292">
        <f>1/SQRT(1+I39+H41)</f>
        <v>0.88315162293036986</v>
      </c>
      <c r="F42" s="26"/>
      <c r="G42" s="26"/>
      <c r="H42" s="294"/>
      <c r="I42" s="294"/>
    </row>
    <row r="43" spans="2:11" ht="22.5" customHeight="1" x14ac:dyDescent="0.15">
      <c r="B43" s="192" t="s">
        <v>585</v>
      </c>
      <c r="F43" s="26"/>
      <c r="G43" s="26"/>
      <c r="H43" s="294"/>
    </row>
    <row r="44" spans="2:11" ht="22.5" customHeight="1" x14ac:dyDescent="0.15">
      <c r="B44" s="401" t="s">
        <v>728</v>
      </c>
      <c r="C44" s="401" t="s">
        <v>734</v>
      </c>
      <c r="D44" s="401" t="s">
        <v>729</v>
      </c>
      <c r="E44" s="401" t="s">
        <v>730</v>
      </c>
      <c r="F44" s="401" t="s">
        <v>732</v>
      </c>
      <c r="G44" s="401" t="s">
        <v>731</v>
      </c>
      <c r="H44" s="294"/>
    </row>
    <row r="45" spans="2:11" ht="60.75" customHeight="1" x14ac:dyDescent="0.15">
      <c r="B45" s="401"/>
      <c r="C45" s="401"/>
      <c r="D45" s="401"/>
      <c r="E45" s="401"/>
      <c r="F45" s="401"/>
      <c r="G45" s="401"/>
      <c r="H45" s="139" t="s">
        <v>733</v>
      </c>
      <c r="I45" s="139" t="s">
        <v>588</v>
      </c>
      <c r="J45" s="139" t="s">
        <v>589</v>
      </c>
    </row>
    <row r="46" spans="2:11" ht="21" customHeight="1" x14ac:dyDescent="0.15">
      <c r="B46" s="332">
        <v>27.901</v>
      </c>
      <c r="C46" s="334">
        <f>$E$5</f>
        <v>481.36</v>
      </c>
      <c r="D46" s="331">
        <f>E29</f>
        <v>490.36</v>
      </c>
      <c r="E46" s="334">
        <f>D46-C46</f>
        <v>9</v>
      </c>
      <c r="F46" s="334">
        <f>0.85*$G$5</f>
        <v>5.0999999999999996</v>
      </c>
      <c r="G46" s="334">
        <f>$C$42*B46*SQRT(2*$B$5*(E46-F46))</f>
        <v>215.54445034888954</v>
      </c>
      <c r="H46" s="121"/>
      <c r="I46" s="288">
        <f>$F$5+$G$5</f>
        <v>460</v>
      </c>
      <c r="J46" s="265" t="str">
        <f>IF(ROUND(H46,2)&lt;ROUND(I46,2),"自由出流,符合假定","非自由出流,不符合假定")</f>
        <v>自由出流,符合假定</v>
      </c>
    </row>
    <row r="47" spans="2:11" ht="14.25" customHeight="1" x14ac:dyDescent="0.15">
      <c r="B47" s="332">
        <v>27.901</v>
      </c>
      <c r="C47" s="334">
        <f t="shared" ref="C47:C89" si="6">$E$5</f>
        <v>481.36</v>
      </c>
      <c r="D47" s="333">
        <v>490.5</v>
      </c>
      <c r="E47" s="334">
        <f t="shared" ref="E47:E89" si="7">D47-C47</f>
        <v>9.1399999999999864</v>
      </c>
      <c r="F47" s="334">
        <f t="shared" ref="F47:F89" si="8">0.85*$G$5</f>
        <v>5.0999999999999996</v>
      </c>
      <c r="G47" s="334">
        <f t="shared" ref="G47:G89" si="9">$C$42*B47*SQRT(2*$B$5*(E47-F47))</f>
        <v>219.37908690494635</v>
      </c>
      <c r="H47" s="501" t="s">
        <v>590</v>
      </c>
      <c r="I47" s="501"/>
      <c r="J47" s="501"/>
    </row>
    <row r="48" spans="2:11" x14ac:dyDescent="0.15">
      <c r="B48" s="332">
        <v>27.901</v>
      </c>
      <c r="C48" s="334">
        <f t="shared" si="6"/>
        <v>481.36</v>
      </c>
      <c r="D48" s="333">
        <v>491</v>
      </c>
      <c r="E48" s="334">
        <f t="shared" si="7"/>
        <v>9.6399999999999864</v>
      </c>
      <c r="F48" s="334">
        <f t="shared" si="8"/>
        <v>5.0999999999999996</v>
      </c>
      <c r="G48" s="334">
        <f t="shared" si="9"/>
        <v>232.55863431918084</v>
      </c>
      <c r="H48" s="501"/>
      <c r="I48" s="501"/>
      <c r="J48" s="501"/>
    </row>
    <row r="49" spans="2:10" x14ac:dyDescent="0.15">
      <c r="B49" s="332">
        <v>27.901</v>
      </c>
      <c r="C49" s="334">
        <f t="shared" si="6"/>
        <v>481.36</v>
      </c>
      <c r="D49" s="333">
        <v>491.5</v>
      </c>
      <c r="E49" s="334">
        <f t="shared" si="7"/>
        <v>10.139999999999986</v>
      </c>
      <c r="F49" s="334">
        <f t="shared" si="8"/>
        <v>5.0999999999999996</v>
      </c>
      <c r="G49" s="334">
        <f t="shared" si="9"/>
        <v>245.03031041395053</v>
      </c>
      <c r="H49" s="501"/>
      <c r="I49" s="501"/>
      <c r="J49" s="501"/>
    </row>
    <row r="50" spans="2:10" x14ac:dyDescent="0.15">
      <c r="B50" s="332">
        <v>27.901</v>
      </c>
      <c r="C50" s="334">
        <f t="shared" si="6"/>
        <v>481.36</v>
      </c>
      <c r="D50" s="333">
        <v>492</v>
      </c>
      <c r="E50" s="334">
        <f t="shared" si="7"/>
        <v>10.639999999999986</v>
      </c>
      <c r="F50" s="334">
        <f t="shared" si="8"/>
        <v>5.0999999999999996</v>
      </c>
      <c r="G50" s="334">
        <f t="shared" si="9"/>
        <v>256.89723168362764</v>
      </c>
      <c r="H50" s="501"/>
      <c r="I50" s="501"/>
      <c r="J50" s="501"/>
    </row>
    <row r="51" spans="2:10" x14ac:dyDescent="0.15">
      <c r="B51" s="332">
        <v>27.901</v>
      </c>
      <c r="C51" s="334">
        <f t="shared" si="6"/>
        <v>481.36</v>
      </c>
      <c r="D51" s="333">
        <v>492.5</v>
      </c>
      <c r="E51" s="334">
        <f t="shared" si="7"/>
        <v>11.139999999999986</v>
      </c>
      <c r="F51" s="334">
        <f t="shared" si="8"/>
        <v>5.0999999999999996</v>
      </c>
      <c r="G51" s="334">
        <f t="shared" si="9"/>
        <v>268.23967318774066</v>
      </c>
      <c r="H51" s="501"/>
      <c r="I51" s="501"/>
      <c r="J51" s="501"/>
    </row>
    <row r="52" spans="2:10" x14ac:dyDescent="0.15">
      <c r="B52" s="332">
        <v>27.901</v>
      </c>
      <c r="C52" s="334">
        <f t="shared" si="6"/>
        <v>481.36</v>
      </c>
      <c r="D52" s="333">
        <v>493</v>
      </c>
      <c r="E52" s="334">
        <f t="shared" si="7"/>
        <v>11.639999999999986</v>
      </c>
      <c r="F52" s="334">
        <f t="shared" si="8"/>
        <v>5.0999999999999996</v>
      </c>
      <c r="G52" s="334">
        <f t="shared" si="9"/>
        <v>279.12158085146405</v>
      </c>
      <c r="H52" s="501"/>
      <c r="I52" s="501"/>
      <c r="J52" s="501"/>
    </row>
    <row r="53" spans="2:10" x14ac:dyDescent="0.15">
      <c r="B53" s="332">
        <v>27.901</v>
      </c>
      <c r="C53" s="334">
        <f t="shared" si="6"/>
        <v>481.36</v>
      </c>
      <c r="D53" s="333">
        <v>493.5</v>
      </c>
      <c r="E53" s="334">
        <f t="shared" si="7"/>
        <v>12.139999999999986</v>
      </c>
      <c r="F53" s="334">
        <f t="shared" si="8"/>
        <v>5.0999999999999996</v>
      </c>
      <c r="G53" s="334">
        <f t="shared" si="9"/>
        <v>289.59487482028209</v>
      </c>
      <c r="H53" s="501"/>
      <c r="I53" s="501"/>
      <c r="J53" s="501"/>
    </row>
    <row r="54" spans="2:10" x14ac:dyDescent="0.15">
      <c r="B54" s="332">
        <v>27.901</v>
      </c>
      <c r="C54" s="334">
        <f t="shared" si="6"/>
        <v>481.36</v>
      </c>
      <c r="D54" s="333">
        <v>494</v>
      </c>
      <c r="E54" s="334">
        <f t="shared" si="7"/>
        <v>12.639999999999986</v>
      </c>
      <c r="F54" s="334">
        <f t="shared" si="8"/>
        <v>5.0999999999999996</v>
      </c>
      <c r="G54" s="334">
        <f t="shared" si="9"/>
        <v>299.70239596527972</v>
      </c>
      <c r="H54" s="501"/>
      <c r="I54" s="501"/>
      <c r="J54" s="501"/>
    </row>
    <row r="55" spans="2:10" x14ac:dyDescent="0.15">
      <c r="B55" s="332">
        <v>27.901</v>
      </c>
      <c r="C55" s="334">
        <f t="shared" si="6"/>
        <v>481.36</v>
      </c>
      <c r="D55" s="333">
        <v>494.5</v>
      </c>
      <c r="E55" s="334">
        <f t="shared" si="7"/>
        <v>13.139999999999986</v>
      </c>
      <c r="F55" s="334">
        <f t="shared" si="8"/>
        <v>5.0999999999999996</v>
      </c>
      <c r="G55" s="334">
        <f t="shared" si="9"/>
        <v>309.4799844456565</v>
      </c>
      <c r="H55" s="501"/>
      <c r="I55" s="501"/>
      <c r="J55" s="501"/>
    </row>
    <row r="56" spans="2:10" x14ac:dyDescent="0.15">
      <c r="B56" s="332">
        <v>27.901</v>
      </c>
      <c r="C56" s="334">
        <f t="shared" si="6"/>
        <v>481.36</v>
      </c>
      <c r="D56" s="333">
        <v>495</v>
      </c>
      <c r="E56" s="334">
        <f t="shared" si="7"/>
        <v>13.639999999999986</v>
      </c>
      <c r="F56" s="334">
        <f t="shared" si="8"/>
        <v>5.0999999999999996</v>
      </c>
      <c r="G56" s="334">
        <f t="shared" si="9"/>
        <v>318.9579837496442</v>
      </c>
      <c r="H56" s="501"/>
      <c r="I56" s="501"/>
      <c r="J56" s="501"/>
    </row>
    <row r="57" spans="2:10" x14ac:dyDescent="0.15">
      <c r="B57" s="332">
        <v>27.901</v>
      </c>
      <c r="C57" s="334">
        <f t="shared" si="6"/>
        <v>481.36</v>
      </c>
      <c r="D57" s="333">
        <v>495.5</v>
      </c>
      <c r="E57" s="334">
        <f t="shared" si="7"/>
        <v>14.139999999999986</v>
      </c>
      <c r="F57" s="334">
        <f t="shared" si="8"/>
        <v>5.0999999999999996</v>
      </c>
      <c r="G57" s="334">
        <f t="shared" si="9"/>
        <v>328.16235314672031</v>
      </c>
      <c r="H57" s="501"/>
      <c r="I57" s="501"/>
      <c r="J57" s="501"/>
    </row>
    <row r="58" spans="2:10" x14ac:dyDescent="0.15">
      <c r="B58" s="332">
        <v>27.901</v>
      </c>
      <c r="C58" s="334">
        <f t="shared" si="6"/>
        <v>481.36</v>
      </c>
      <c r="D58" s="333">
        <v>496</v>
      </c>
      <c r="E58" s="334">
        <f t="shared" si="7"/>
        <v>14.639999999999986</v>
      </c>
      <c r="F58" s="334">
        <f t="shared" si="8"/>
        <v>5.0999999999999996</v>
      </c>
      <c r="G58" s="334">
        <f t="shared" si="9"/>
        <v>337.11550638905243</v>
      </c>
      <c r="H58" s="501"/>
      <c r="I58" s="501"/>
      <c r="J58" s="501"/>
    </row>
    <row r="59" spans="2:10" x14ac:dyDescent="0.15">
      <c r="B59" s="332">
        <v>27.901</v>
      </c>
      <c r="C59" s="334">
        <f t="shared" si="6"/>
        <v>481.36</v>
      </c>
      <c r="D59" s="333">
        <v>496.5</v>
      </c>
      <c r="E59" s="334">
        <f t="shared" si="7"/>
        <v>15.139999999999986</v>
      </c>
      <c r="F59" s="334">
        <f t="shared" si="8"/>
        <v>5.0999999999999996</v>
      </c>
      <c r="G59" s="334">
        <f t="shared" si="9"/>
        <v>345.83695475339493</v>
      </c>
      <c r="H59" s="501"/>
      <c r="I59" s="501"/>
      <c r="J59" s="501"/>
    </row>
    <row r="60" spans="2:10" x14ac:dyDescent="0.15">
      <c r="B60" s="332">
        <v>27.901</v>
      </c>
      <c r="C60" s="334">
        <f t="shared" si="6"/>
        <v>481.36</v>
      </c>
      <c r="D60" s="333">
        <v>497</v>
      </c>
      <c r="E60" s="334">
        <f t="shared" si="7"/>
        <v>15.639999999999986</v>
      </c>
      <c r="F60" s="334">
        <f t="shared" si="8"/>
        <v>5.0999999999999996</v>
      </c>
      <c r="G60" s="334">
        <f t="shared" si="9"/>
        <v>354.34380747835314</v>
      </c>
      <c r="H60" s="501"/>
      <c r="I60" s="501"/>
      <c r="J60" s="501"/>
    </row>
    <row r="61" spans="2:10" x14ac:dyDescent="0.15">
      <c r="B61" s="332">
        <v>27.901</v>
      </c>
      <c r="C61" s="334">
        <f t="shared" si="6"/>
        <v>481.36</v>
      </c>
      <c r="D61" s="333">
        <v>497.5</v>
      </c>
      <c r="E61" s="334">
        <f t="shared" si="7"/>
        <v>16.139999999999986</v>
      </c>
      <c r="F61" s="334">
        <f t="shared" si="8"/>
        <v>5.0999999999999996</v>
      </c>
      <c r="G61" s="334">
        <f t="shared" si="9"/>
        <v>362.65116644429901</v>
      </c>
      <c r="H61" s="501"/>
      <c r="I61" s="501"/>
      <c r="J61" s="501"/>
    </row>
    <row r="62" spans="2:10" x14ac:dyDescent="0.15">
      <c r="B62" s="332">
        <v>27.901</v>
      </c>
      <c r="C62" s="334">
        <f t="shared" si="6"/>
        <v>481.36</v>
      </c>
      <c r="D62" s="333">
        <v>498</v>
      </c>
      <c r="E62" s="334">
        <f t="shared" si="7"/>
        <v>16.639999999999986</v>
      </c>
      <c r="F62" s="334">
        <f t="shared" si="8"/>
        <v>5.0999999999999996</v>
      </c>
      <c r="G62" s="334">
        <f t="shared" si="9"/>
        <v>370.77244119347</v>
      </c>
      <c r="H62" s="501"/>
      <c r="I62" s="501"/>
      <c r="J62" s="501"/>
    </row>
    <row r="63" spans="2:10" x14ac:dyDescent="0.15">
      <c r="B63" s="332">
        <v>27.901</v>
      </c>
      <c r="C63" s="334">
        <f t="shared" si="6"/>
        <v>481.36</v>
      </c>
      <c r="D63" s="333">
        <v>498.5</v>
      </c>
      <c r="E63" s="334">
        <f t="shared" si="7"/>
        <v>17.139999999999986</v>
      </c>
      <c r="F63" s="334">
        <f t="shared" si="8"/>
        <v>5.0999999999999996</v>
      </c>
      <c r="G63" s="334">
        <f t="shared" si="9"/>
        <v>378.71960310197784</v>
      </c>
      <c r="H63" s="501"/>
      <c r="I63" s="501"/>
      <c r="J63" s="501"/>
    </row>
    <row r="64" spans="2:10" x14ac:dyDescent="0.15">
      <c r="B64" s="332">
        <v>27.901</v>
      </c>
      <c r="C64" s="334">
        <f t="shared" si="6"/>
        <v>481.36</v>
      </c>
      <c r="D64" s="333">
        <v>499</v>
      </c>
      <c r="E64" s="334">
        <f t="shared" si="7"/>
        <v>17.639999999999986</v>
      </c>
      <c r="F64" s="334">
        <f t="shared" si="8"/>
        <v>5.0999999999999996</v>
      </c>
      <c r="G64" s="334">
        <f t="shared" si="9"/>
        <v>386.5033924804207</v>
      </c>
      <c r="H64" s="501"/>
      <c r="I64" s="501"/>
      <c r="J64" s="501"/>
    </row>
    <row r="65" spans="2:10" x14ac:dyDescent="0.15">
      <c r="B65" s="332">
        <v>27.901</v>
      </c>
      <c r="C65" s="334">
        <f t="shared" si="6"/>
        <v>481.36</v>
      </c>
      <c r="D65" s="333">
        <v>499.5</v>
      </c>
      <c r="E65" s="334">
        <f t="shared" si="7"/>
        <v>18.139999999999986</v>
      </c>
      <c r="F65" s="334">
        <f t="shared" si="8"/>
        <v>5.0999999999999996</v>
      </c>
      <c r="G65" s="334">
        <f t="shared" si="9"/>
        <v>394.13348883852609</v>
      </c>
      <c r="H65" s="501"/>
      <c r="I65" s="501"/>
      <c r="J65" s="501"/>
    </row>
    <row r="66" spans="2:10" x14ac:dyDescent="0.15">
      <c r="B66" s="332">
        <v>27.901</v>
      </c>
      <c r="C66" s="334">
        <f t="shared" si="6"/>
        <v>481.36</v>
      </c>
      <c r="D66" s="333">
        <v>500</v>
      </c>
      <c r="E66" s="334">
        <f t="shared" si="7"/>
        <v>18.639999999999986</v>
      </c>
      <c r="F66" s="334">
        <f t="shared" si="8"/>
        <v>5.0999999999999996</v>
      </c>
      <c r="G66" s="334">
        <f t="shared" si="9"/>
        <v>401.61865201853237</v>
      </c>
      <c r="H66" s="501"/>
      <c r="I66" s="501"/>
      <c r="J66" s="501"/>
    </row>
    <row r="67" spans="2:10" x14ac:dyDescent="0.15">
      <c r="B67" s="332">
        <v>27.901</v>
      </c>
      <c r="C67" s="334">
        <f t="shared" si="6"/>
        <v>481.36</v>
      </c>
      <c r="D67" s="333">
        <v>500.5</v>
      </c>
      <c r="E67" s="334">
        <f t="shared" si="7"/>
        <v>19.139999999999986</v>
      </c>
      <c r="F67" s="334">
        <f t="shared" si="8"/>
        <v>5.0999999999999996</v>
      </c>
      <c r="G67" s="334">
        <f t="shared" si="9"/>
        <v>408.96684006693931</v>
      </c>
      <c r="H67" s="501"/>
      <c r="I67" s="501"/>
      <c r="J67" s="501"/>
    </row>
    <row r="68" spans="2:10" x14ac:dyDescent="0.15">
      <c r="B68" s="332">
        <v>27.901</v>
      </c>
      <c r="C68" s="334">
        <f t="shared" si="6"/>
        <v>481.36</v>
      </c>
      <c r="D68" s="333">
        <v>501</v>
      </c>
      <c r="E68" s="334">
        <f t="shared" si="7"/>
        <v>19.639999999999986</v>
      </c>
      <c r="F68" s="334">
        <f t="shared" si="8"/>
        <v>5.0999999999999996</v>
      </c>
      <c r="G68" s="334">
        <f t="shared" si="9"/>
        <v>416.18530836574712</v>
      </c>
      <c r="H68" s="501"/>
      <c r="I68" s="501"/>
      <c r="J68" s="501"/>
    </row>
    <row r="69" spans="2:10" x14ac:dyDescent="0.15">
      <c r="B69" s="332">
        <v>27.901</v>
      </c>
      <c r="C69" s="334">
        <f t="shared" si="6"/>
        <v>481.36</v>
      </c>
      <c r="D69" s="333">
        <v>501.5</v>
      </c>
      <c r="E69" s="334">
        <f t="shared" si="7"/>
        <v>20.139999999999986</v>
      </c>
      <c r="F69" s="334">
        <f t="shared" si="8"/>
        <v>5.0999999999999996</v>
      </c>
      <c r="G69" s="334">
        <f t="shared" si="9"/>
        <v>423.28069354111403</v>
      </c>
      <c r="H69" s="501"/>
      <c r="I69" s="501"/>
      <c r="J69" s="501"/>
    </row>
    <row r="70" spans="2:10" x14ac:dyDescent="0.15">
      <c r="B70" s="332">
        <v>27.901</v>
      </c>
      <c r="C70" s="334">
        <f t="shared" si="6"/>
        <v>481.36</v>
      </c>
      <c r="D70" s="333">
        <v>502</v>
      </c>
      <c r="E70" s="334">
        <f t="shared" si="7"/>
        <v>20.639999999999986</v>
      </c>
      <c r="F70" s="334">
        <f t="shared" si="8"/>
        <v>5.0999999999999996</v>
      </c>
      <c r="G70" s="334">
        <f t="shared" si="9"/>
        <v>430.2590849125686</v>
      </c>
      <c r="H70" s="501"/>
      <c r="I70" s="501"/>
      <c r="J70" s="501"/>
    </row>
    <row r="71" spans="2:10" x14ac:dyDescent="0.15">
      <c r="B71" s="332">
        <v>27.901</v>
      </c>
      <c r="C71" s="334">
        <f t="shared" si="6"/>
        <v>481.36</v>
      </c>
      <c r="D71" s="333">
        <v>502.5</v>
      </c>
      <c r="E71" s="334">
        <f t="shared" si="7"/>
        <v>21.139999999999986</v>
      </c>
      <c r="F71" s="334">
        <f t="shared" si="8"/>
        <v>5.0999999999999996</v>
      </c>
      <c r="G71" s="334">
        <f t="shared" si="9"/>
        <v>437.12608567203517</v>
      </c>
      <c r="H71" s="501"/>
      <c r="I71" s="501"/>
      <c r="J71" s="501"/>
    </row>
    <row r="72" spans="2:10" x14ac:dyDescent="0.15">
      <c r="B72" s="332">
        <v>27.901</v>
      </c>
      <c r="C72" s="334">
        <f t="shared" si="6"/>
        <v>481.36</v>
      </c>
      <c r="D72" s="333">
        <v>503</v>
      </c>
      <c r="E72" s="334">
        <f t="shared" si="7"/>
        <v>21.639999999999986</v>
      </c>
      <c r="F72" s="334">
        <f t="shared" si="8"/>
        <v>5.0999999999999996</v>
      </c>
      <c r="G72" s="334">
        <f t="shared" si="9"/>
        <v>443.88686554133346</v>
      </c>
      <c r="H72" s="501"/>
      <c r="I72" s="501"/>
      <c r="J72" s="501"/>
    </row>
    <row r="73" spans="2:10" x14ac:dyDescent="0.15">
      <c r="B73" s="332">
        <v>27.901</v>
      </c>
      <c r="C73" s="334">
        <f t="shared" si="6"/>
        <v>481.36</v>
      </c>
      <c r="D73" s="333">
        <v>503.5</v>
      </c>
      <c r="E73" s="334">
        <f t="shared" si="7"/>
        <v>22.139999999999986</v>
      </c>
      <c r="F73" s="334">
        <f t="shared" si="8"/>
        <v>5.0999999999999996</v>
      </c>
      <c r="G73" s="334">
        <f t="shared" si="9"/>
        <v>450.54620631547255</v>
      </c>
      <c r="H73" s="501"/>
      <c r="I73" s="501"/>
      <c r="J73" s="501"/>
    </row>
    <row r="74" spans="2:10" x14ac:dyDescent="0.15">
      <c r="B74" s="332">
        <v>27.901</v>
      </c>
      <c r="C74" s="334">
        <f t="shared" si="6"/>
        <v>481.36</v>
      </c>
      <c r="D74" s="333">
        <v>504</v>
      </c>
      <c r="E74" s="334">
        <f t="shared" si="7"/>
        <v>22.639999999999986</v>
      </c>
      <c r="F74" s="334">
        <f t="shared" si="8"/>
        <v>5.0999999999999996</v>
      </c>
      <c r="G74" s="334">
        <f t="shared" si="9"/>
        <v>457.10854143235917</v>
      </c>
      <c r="H74" s="501"/>
      <c r="I74" s="501"/>
      <c r="J74" s="501"/>
    </row>
    <row r="75" spans="2:10" x14ac:dyDescent="0.15">
      <c r="B75" s="332">
        <v>27.901</v>
      </c>
      <c r="C75" s="334">
        <f t="shared" si="6"/>
        <v>481.36</v>
      </c>
      <c r="D75" s="333">
        <v>504.5</v>
      </c>
      <c r="E75" s="334">
        <f t="shared" si="7"/>
        <v>23.139999999999986</v>
      </c>
      <c r="F75" s="334">
        <f t="shared" si="8"/>
        <v>5.0999999999999996</v>
      </c>
      <c r="G75" s="334">
        <f t="shared" si="9"/>
        <v>463.57799049952024</v>
      </c>
      <c r="H75" s="501"/>
      <c r="I75" s="501"/>
      <c r="J75" s="501"/>
    </row>
    <row r="76" spans="2:10" x14ac:dyDescent="0.15">
      <c r="B76" s="332">
        <v>27.901</v>
      </c>
      <c r="C76" s="334">
        <f t="shared" si="6"/>
        <v>481.36</v>
      </c>
      <c r="D76" s="333">
        <v>505</v>
      </c>
      <c r="E76" s="334">
        <f t="shared" si="7"/>
        <v>23.639999999999986</v>
      </c>
      <c r="F76" s="334">
        <f t="shared" si="8"/>
        <v>5.0999999999999996</v>
      </c>
      <c r="G76" s="334">
        <f t="shared" si="9"/>
        <v>469.9583895418059</v>
      </c>
      <c r="H76" s="501"/>
      <c r="I76" s="501"/>
      <c r="J76" s="501"/>
    </row>
    <row r="77" spans="2:10" x14ac:dyDescent="0.15">
      <c r="B77" s="332">
        <v>27.901</v>
      </c>
      <c r="C77" s="334">
        <f t="shared" si="6"/>
        <v>481.36</v>
      </c>
      <c r="D77" s="333">
        <v>505.5</v>
      </c>
      <c r="E77" s="334">
        <f t="shared" si="7"/>
        <v>24.139999999999986</v>
      </c>
      <c r="F77" s="334">
        <f t="shared" si="8"/>
        <v>5.0999999999999996</v>
      </c>
      <c r="G77" s="334">
        <f t="shared" si="9"/>
        <v>476.25331760091944</v>
      </c>
      <c r="H77" s="501"/>
      <c r="I77" s="501"/>
      <c r="J77" s="501"/>
    </row>
    <row r="78" spans="2:10" x14ac:dyDescent="0.15">
      <c r="B78" s="332">
        <v>27.901</v>
      </c>
      <c r="C78" s="334">
        <f t="shared" si="6"/>
        <v>481.36</v>
      </c>
      <c r="D78" s="333">
        <v>506</v>
      </c>
      <c r="E78" s="334">
        <f t="shared" si="7"/>
        <v>24.639999999999986</v>
      </c>
      <c r="F78" s="334">
        <f t="shared" si="8"/>
        <v>5.0999999999999996</v>
      </c>
      <c r="G78" s="334">
        <f t="shared" si="9"/>
        <v>482.46612021056649</v>
      </c>
      <c r="H78" s="501"/>
      <c r="I78" s="501"/>
      <c r="J78" s="501"/>
    </row>
    <row r="79" spans="2:10" x14ac:dyDescent="0.15">
      <c r="B79" s="332">
        <v>27.901</v>
      </c>
      <c r="C79" s="334">
        <f t="shared" si="6"/>
        <v>481.36</v>
      </c>
      <c r="D79" s="333">
        <v>506.5</v>
      </c>
      <c r="E79" s="334">
        <f t="shared" si="7"/>
        <v>25.139999999999986</v>
      </c>
      <c r="F79" s="334">
        <f t="shared" si="8"/>
        <v>5.0999999999999996</v>
      </c>
      <c r="G79" s="334">
        <f t="shared" si="9"/>
        <v>488.59993018439047</v>
      </c>
      <c r="H79" s="501"/>
      <c r="I79" s="501"/>
      <c r="J79" s="501"/>
    </row>
    <row r="80" spans="2:10" x14ac:dyDescent="0.15">
      <c r="B80" s="332">
        <v>27.901</v>
      </c>
      <c r="C80" s="334">
        <f t="shared" si="6"/>
        <v>481.36</v>
      </c>
      <c r="D80" s="333">
        <v>507</v>
      </c>
      <c r="E80" s="334">
        <f t="shared" si="7"/>
        <v>25.639999999999986</v>
      </c>
      <c r="F80" s="334">
        <f t="shared" si="8"/>
        <v>5.0999999999999996</v>
      </c>
      <c r="G80" s="334">
        <f t="shared" si="9"/>
        <v>494.6576860833618</v>
      </c>
      <c r="H80" s="501"/>
      <c r="I80" s="501"/>
      <c r="J80" s="501"/>
    </row>
    <row r="81" spans="2:10" x14ac:dyDescent="0.15">
      <c r="B81" s="332">
        <v>27.901</v>
      </c>
      <c r="C81" s="334">
        <f t="shared" si="6"/>
        <v>481.36</v>
      </c>
      <c r="D81" s="333">
        <v>507.5</v>
      </c>
      <c r="E81" s="334">
        <f t="shared" si="7"/>
        <v>26.139999999999986</v>
      </c>
      <c r="F81" s="334">
        <f t="shared" si="8"/>
        <v>5.0999999999999996</v>
      </c>
      <c r="G81" s="334">
        <f t="shared" si="9"/>
        <v>500.64214867158375</v>
      </c>
      <c r="H81" s="501"/>
      <c r="I81" s="501"/>
      <c r="J81" s="501"/>
    </row>
    <row r="82" spans="2:10" x14ac:dyDescent="0.15">
      <c r="B82" s="332">
        <v>27.901</v>
      </c>
      <c r="C82" s="334">
        <f t="shared" si="6"/>
        <v>481.36</v>
      </c>
      <c r="D82" s="333">
        <v>508</v>
      </c>
      <c r="E82" s="334">
        <f t="shared" si="7"/>
        <v>26.639999999999986</v>
      </c>
      <c r="F82" s="334">
        <f t="shared" si="8"/>
        <v>5.0999999999999996</v>
      </c>
      <c r="G82" s="334">
        <f t="shared" si="9"/>
        <v>506.5559156220117</v>
      </c>
      <c r="H82" s="501"/>
      <c r="I82" s="501"/>
      <c r="J82" s="501"/>
    </row>
    <row r="83" spans="2:10" x14ac:dyDescent="0.15">
      <c r="B83" s="332">
        <v>27.901</v>
      </c>
      <c r="C83" s="334">
        <f t="shared" si="6"/>
        <v>481.36</v>
      </c>
      <c r="D83" s="333">
        <v>508.5</v>
      </c>
      <c r="E83" s="334">
        <f t="shared" si="7"/>
        <v>27.139999999999986</v>
      </c>
      <c r="F83" s="334">
        <f t="shared" si="8"/>
        <v>5.0999999999999996</v>
      </c>
      <c r="G83" s="334">
        <f t="shared" si="9"/>
        <v>512.40143469433133</v>
      </c>
      <c r="H83" s="501"/>
      <c r="I83" s="501"/>
      <c r="J83" s="501"/>
    </row>
    <row r="84" spans="2:10" x14ac:dyDescent="0.15">
      <c r="B84" s="332">
        <v>27.901</v>
      </c>
      <c r="C84" s="334">
        <f t="shared" si="6"/>
        <v>481.36</v>
      </c>
      <c r="D84" s="333">
        <v>509</v>
      </c>
      <c r="E84" s="334">
        <f t="shared" si="7"/>
        <v>27.639999999999986</v>
      </c>
      <c r="F84" s="334">
        <f t="shared" si="8"/>
        <v>5.0999999999999996</v>
      </c>
      <c r="G84" s="334">
        <f t="shared" si="9"/>
        <v>518.18101557463831</v>
      </c>
      <c r="H84" s="501"/>
      <c r="I84" s="501"/>
      <c r="J84" s="501"/>
    </row>
    <row r="85" spans="2:10" x14ac:dyDescent="0.15">
      <c r="B85" s="332">
        <v>27.901</v>
      </c>
      <c r="C85" s="334">
        <f t="shared" si="6"/>
        <v>481.36</v>
      </c>
      <c r="D85" s="333">
        <v>509.5</v>
      </c>
      <c r="E85" s="334">
        <f t="shared" si="7"/>
        <v>28.139999999999986</v>
      </c>
      <c r="F85" s="334">
        <f t="shared" si="8"/>
        <v>5.0999999999999996</v>
      </c>
      <c r="G85" s="334">
        <f t="shared" si="9"/>
        <v>523.8968405393548</v>
      </c>
      <c r="H85" s="501"/>
      <c r="I85" s="501"/>
      <c r="J85" s="501"/>
    </row>
    <row r="86" spans="2:10" x14ac:dyDescent="0.15">
      <c r="B86" s="332">
        <v>27.901</v>
      </c>
      <c r="C86" s="334">
        <f t="shared" si="6"/>
        <v>481.36</v>
      </c>
      <c r="D86" s="333">
        <v>510</v>
      </c>
      <c r="E86" s="334">
        <f t="shared" si="7"/>
        <v>28.639999999999986</v>
      </c>
      <c r="F86" s="334">
        <f t="shared" si="8"/>
        <v>5.0999999999999996</v>
      </c>
      <c r="G86" s="334">
        <f t="shared" si="9"/>
        <v>529.55097408301742</v>
      </c>
      <c r="H86" s="501"/>
      <c r="I86" s="501"/>
      <c r="J86" s="501"/>
    </row>
    <row r="87" spans="2:10" x14ac:dyDescent="0.15">
      <c r="B87" s="332">
        <v>27.901</v>
      </c>
      <c r="C87" s="334">
        <f t="shared" si="6"/>
        <v>481.36</v>
      </c>
      <c r="D87" s="333">
        <v>510.5</v>
      </c>
      <c r="E87" s="334">
        <f t="shared" si="7"/>
        <v>29.139999999999986</v>
      </c>
      <c r="F87" s="334">
        <f t="shared" si="8"/>
        <v>5.0999999999999996</v>
      </c>
      <c r="G87" s="334">
        <f t="shared" si="9"/>
        <v>535.14537163038892</v>
      </c>
      <c r="H87" s="501"/>
      <c r="I87" s="501"/>
      <c r="J87" s="501"/>
    </row>
    <row r="88" spans="2:10" x14ac:dyDescent="0.15">
      <c r="B88" s="332">
        <v>27.901</v>
      </c>
      <c r="C88" s="334">
        <f t="shared" si="6"/>
        <v>481.36</v>
      </c>
      <c r="D88" s="333">
        <v>511</v>
      </c>
      <c r="E88" s="334">
        <f t="shared" si="7"/>
        <v>29.639999999999986</v>
      </c>
      <c r="F88" s="334">
        <f t="shared" si="8"/>
        <v>5.0999999999999996</v>
      </c>
      <c r="G88" s="334">
        <f t="shared" si="9"/>
        <v>540.68188743713392</v>
      </c>
      <c r="H88" s="501"/>
      <c r="I88" s="501"/>
      <c r="J88" s="501"/>
    </row>
    <row r="89" spans="2:10" x14ac:dyDescent="0.15">
      <c r="B89" s="332">
        <v>27.901</v>
      </c>
      <c r="C89" s="334">
        <f t="shared" si="6"/>
        <v>481.36</v>
      </c>
      <c r="D89" s="333">
        <v>511.5</v>
      </c>
      <c r="E89" s="334">
        <f t="shared" si="7"/>
        <v>30.139999999999986</v>
      </c>
      <c r="F89" s="334">
        <f t="shared" si="8"/>
        <v>5.0999999999999996</v>
      </c>
      <c r="G89" s="334">
        <f t="shared" si="9"/>
        <v>546.16228176956349</v>
      </c>
      <c r="H89" s="26"/>
      <c r="I89" s="288">
        <f t="shared" ref="I89" si="10">$F$5+$G$5</f>
        <v>460</v>
      </c>
      <c r="J89" s="265" t="str">
        <f t="shared" ref="J89" si="11">IF(ROUND(H89,2)&lt;ROUND(I89,2),"自由出流,符合假定","非自由出流,不符合假定")</f>
        <v>自由出流,符合假定</v>
      </c>
    </row>
    <row r="90" spans="2:10" x14ac:dyDescent="0.15">
      <c r="H90" s="26"/>
    </row>
    <row r="91" spans="2:10" ht="20.25" x14ac:dyDescent="0.25">
      <c r="B91" s="297" t="s">
        <v>592</v>
      </c>
    </row>
    <row r="92" spans="2:10" ht="19.5" customHeight="1" x14ac:dyDescent="0.15">
      <c r="B92" s="192" t="s">
        <v>593</v>
      </c>
    </row>
    <row r="93" spans="2:10" ht="19.5" customHeight="1" x14ac:dyDescent="0.15">
      <c r="B93" t="s">
        <v>594</v>
      </c>
      <c r="D93" s="265" t="str">
        <f>$D$21</f>
        <v>陡坡</v>
      </c>
      <c r="E93" t="s">
        <v>603</v>
      </c>
    </row>
    <row r="94" spans="2:10" ht="19.5" customHeight="1" x14ac:dyDescent="0.15">
      <c r="B94" t="s">
        <v>595</v>
      </c>
    </row>
    <row r="95" spans="2:10" ht="19.5" customHeight="1" x14ac:dyDescent="0.15">
      <c r="B95" t="s">
        <v>601</v>
      </c>
    </row>
    <row r="96" spans="2:10" ht="54" customHeight="1" x14ac:dyDescent="0.15">
      <c r="B96" s="139" t="s">
        <v>597</v>
      </c>
      <c r="C96" s="139" t="s">
        <v>694</v>
      </c>
      <c r="D96" s="139" t="s">
        <v>598</v>
      </c>
      <c r="E96" s="139" t="s">
        <v>599</v>
      </c>
      <c r="F96" s="139" t="s">
        <v>600</v>
      </c>
    </row>
    <row r="97" spans="1:19" ht="24.75" customHeight="1" x14ac:dyDescent="0.15">
      <c r="B97" s="265">
        <f>$H$5</f>
        <v>0.32</v>
      </c>
      <c r="C97" s="265">
        <f>1.2*G5</f>
        <v>7.1999999999999993</v>
      </c>
      <c r="D97" s="265">
        <f>(64-163*B97)*C97</f>
        <v>85.247999999999962</v>
      </c>
      <c r="E97" s="265">
        <f>$I$5</f>
        <v>491.5</v>
      </c>
      <c r="F97" s="265" t="str">
        <f>IF(ROUND(E97,2)&gt;ROUND(D97,2),"长洞","还要继续分析，在上游水深较高时为短洞，在上游水位较低时为长洞")</f>
        <v>长洞</v>
      </c>
    </row>
    <row r="98" spans="1:19" ht="19.5" customHeight="1" x14ac:dyDescent="0.15">
      <c r="B98" t="s">
        <v>602</v>
      </c>
    </row>
    <row r="99" spans="1:19" ht="54" customHeight="1" x14ac:dyDescent="0.15">
      <c r="B99" s="139" t="s">
        <v>598</v>
      </c>
      <c r="C99" s="139" t="s">
        <v>599</v>
      </c>
      <c r="D99" s="26" t="s">
        <v>600</v>
      </c>
    </row>
    <row r="100" spans="1:19" ht="19.5" customHeight="1" x14ac:dyDescent="0.15">
      <c r="B100" s="288">
        <f>1.3*D97</f>
        <v>110.82239999999996</v>
      </c>
      <c r="C100" s="265">
        <f>$I$5</f>
        <v>491.5</v>
      </c>
      <c r="D100" s="265" t="str">
        <f>IF(ROUND(C100,2)&gt;ROUND(B100,2),"长洞","还要继续分析，在上游水深较高时为短洞，在上游水位较低时为长洞")</f>
        <v>长洞</v>
      </c>
    </row>
    <row r="101" spans="1:19" ht="19.5" customHeight="1" x14ac:dyDescent="0.15">
      <c r="B101" t="s">
        <v>696</v>
      </c>
      <c r="E101" s="299"/>
    </row>
    <row r="102" spans="1:19" ht="19.5" customHeight="1" x14ac:dyDescent="0.15">
      <c r="B102" t="s">
        <v>722</v>
      </c>
      <c r="E102" s="299"/>
    </row>
    <row r="103" spans="1:19" ht="19.5" customHeight="1" x14ac:dyDescent="0.15">
      <c r="A103" s="408" t="s">
        <v>710</v>
      </c>
      <c r="B103" s="370" t="s">
        <v>698</v>
      </c>
      <c r="C103" s="370" t="s">
        <v>703</v>
      </c>
      <c r="D103" s="370"/>
      <c r="E103" s="370"/>
      <c r="F103" s="370"/>
      <c r="G103" s="370"/>
      <c r="H103" s="370"/>
      <c r="I103" s="370"/>
      <c r="J103" s="370" t="s">
        <v>708</v>
      </c>
      <c r="K103" s="370"/>
      <c r="L103" s="370"/>
      <c r="M103" s="370"/>
      <c r="N103" s="370"/>
      <c r="O103" s="370"/>
      <c r="P103" s="370"/>
      <c r="Q103" s="370"/>
      <c r="R103" s="370"/>
      <c r="S103" s="168"/>
    </row>
    <row r="104" spans="1:19" ht="45.75" customHeight="1" thickBot="1" x14ac:dyDescent="0.2">
      <c r="A104" s="500"/>
      <c r="B104" s="499"/>
      <c r="C104" s="338" t="s">
        <v>697</v>
      </c>
      <c r="D104" s="338" t="s">
        <v>699</v>
      </c>
      <c r="E104" s="338" t="s">
        <v>701</v>
      </c>
      <c r="F104" s="337" t="s">
        <v>702</v>
      </c>
      <c r="G104" s="337" t="s">
        <v>719</v>
      </c>
      <c r="H104" s="337" t="s">
        <v>720</v>
      </c>
      <c r="I104" s="337" t="s">
        <v>718</v>
      </c>
      <c r="J104" s="337" t="s">
        <v>705</v>
      </c>
      <c r="K104" s="337" t="s">
        <v>706</v>
      </c>
      <c r="L104" s="337" t="s">
        <v>707</v>
      </c>
      <c r="M104" s="337" t="s">
        <v>709</v>
      </c>
      <c r="N104" s="337" t="s">
        <v>712</v>
      </c>
      <c r="O104" s="337" t="s">
        <v>713</v>
      </c>
      <c r="P104" s="337" t="s">
        <v>714</v>
      </c>
      <c r="Q104" s="337" t="s">
        <v>715</v>
      </c>
      <c r="R104" s="337" t="s">
        <v>717</v>
      </c>
      <c r="S104" s="337" t="s">
        <v>716</v>
      </c>
    </row>
    <row r="105" spans="1:19" ht="19.5" customHeight="1" x14ac:dyDescent="0.15">
      <c r="A105" s="392" t="s">
        <v>711</v>
      </c>
      <c r="B105" s="110">
        <v>1</v>
      </c>
      <c r="C105" s="110" t="s">
        <v>700</v>
      </c>
      <c r="D105" s="339">
        <f>$H$5</f>
        <v>0.32</v>
      </c>
      <c r="E105" s="183">
        <v>1</v>
      </c>
      <c r="F105" s="183">
        <v>5</v>
      </c>
      <c r="G105" s="340">
        <v>0.5</v>
      </c>
      <c r="H105" s="341">
        <f>D105*E105*F105*SQRT(2*$B$5)*(G105^1.5)</f>
        <v>2.5056735621385324</v>
      </c>
      <c r="I105" s="341">
        <f>G105+$E$5</f>
        <v>481.86</v>
      </c>
      <c r="J105" s="110">
        <v>0.1285</v>
      </c>
      <c r="K105" s="341">
        <f>F105</f>
        <v>5</v>
      </c>
      <c r="L105" s="339">
        <f>J105*K105</f>
        <v>0.64250000000000007</v>
      </c>
      <c r="M105" s="339">
        <f>K105+2*J105</f>
        <v>5.2569999999999997</v>
      </c>
      <c r="N105" s="341">
        <f>L105/M105</f>
        <v>0.12221799505421345</v>
      </c>
      <c r="O105" s="341">
        <f>(N105^(1/6))/$D$5</f>
        <v>46.963948172293492</v>
      </c>
      <c r="P105" s="341">
        <f>L105*O105*SQRT(N105*$B$21)</f>
        <v>2.514746067181155</v>
      </c>
      <c r="Q105" s="342" t="str">
        <f>IF(ROUND(P105,2)&lt;ROUND(H105,2),"均匀流公式计算Q值小",IF(ROUND(P105,2)&gt;ROUND(H105,2),"均匀流公式计算Q值大","相等"))</f>
        <v>相等</v>
      </c>
      <c r="R105" s="341">
        <f>0.75*G105</f>
        <v>0.375</v>
      </c>
      <c r="S105" s="343" t="str">
        <f>IF(ROUND(J105,3)&lt;ROUND(R105,3),"假定正确","假定错误")</f>
        <v>假定正确</v>
      </c>
    </row>
    <row r="106" spans="1:19" ht="19.5" customHeight="1" x14ac:dyDescent="0.15">
      <c r="A106" s="399"/>
      <c r="B106" s="148">
        <v>2</v>
      </c>
      <c r="C106" s="148" t="s">
        <v>700</v>
      </c>
      <c r="D106" s="149">
        <f t="shared" ref="D106:D120" si="12">$H$5</f>
        <v>0.32</v>
      </c>
      <c r="E106" s="256">
        <v>1</v>
      </c>
      <c r="F106" s="256">
        <v>5</v>
      </c>
      <c r="G106" s="335">
        <v>1</v>
      </c>
      <c r="H106" s="182">
        <f t="shared" ref="H106:H112" si="13">D106*E106*F106*SQRT(2*$B$5)*(G106^1.5)</f>
        <v>7.0871150689120332</v>
      </c>
      <c r="I106" s="182">
        <f t="shared" ref="I106:I112" si="14">G106+$E$5</f>
        <v>482.36</v>
      </c>
      <c r="J106" s="148">
        <v>0.24349999999999999</v>
      </c>
      <c r="K106" s="182">
        <f t="shared" ref="K106:K114" si="15">F106</f>
        <v>5</v>
      </c>
      <c r="L106" s="149">
        <f t="shared" ref="L106:L114" si="16">J106*K106</f>
        <v>1.2175</v>
      </c>
      <c r="M106" s="149">
        <f t="shared" ref="M106:M114" si="17">K106+2*J106</f>
        <v>5.4870000000000001</v>
      </c>
      <c r="N106" s="182">
        <f t="shared" ref="N106:N114" si="18">L106/M106</f>
        <v>0.22188809914342994</v>
      </c>
      <c r="O106" s="182">
        <f t="shared" ref="O106:O120" si="19">(N106^(1/6))/$D$5</f>
        <v>51.871771001686248</v>
      </c>
      <c r="P106" s="182">
        <f t="shared" ref="P106:P114" si="20">L106*O106*SQRT(N106*$B$21)</f>
        <v>7.0917901915164787</v>
      </c>
      <c r="Q106" s="336" t="str">
        <f t="shared" ref="Q106:Q114" si="21">IF(ROUND(P106,2)&lt;ROUND(H106,2),"均匀流公式计算Q值小",IF(ROUND(P106,2)&gt;ROUND(H106,2),"均匀流公式计算Q值大","相等"))</f>
        <v>相等</v>
      </c>
      <c r="R106" s="182">
        <f t="shared" ref="R106:R114" si="22">0.75*G106</f>
        <v>0.75</v>
      </c>
      <c r="S106" s="344" t="str">
        <f t="shared" ref="S106:S114" si="23">IF(ROUND(J106,3)&lt;ROUND(R106,3),"假定正确","假定错误")</f>
        <v>假定正确</v>
      </c>
    </row>
    <row r="107" spans="1:19" ht="19.5" customHeight="1" x14ac:dyDescent="0.15">
      <c r="A107" s="399"/>
      <c r="B107" s="148">
        <v>3</v>
      </c>
      <c r="C107" s="148" t="s">
        <v>700</v>
      </c>
      <c r="D107" s="149">
        <f t="shared" si="12"/>
        <v>0.32</v>
      </c>
      <c r="E107" s="256">
        <v>1</v>
      </c>
      <c r="F107" s="256">
        <v>5</v>
      </c>
      <c r="G107" s="335">
        <v>1.5</v>
      </c>
      <c r="H107" s="182">
        <f t="shared" si="13"/>
        <v>13.019861750418093</v>
      </c>
      <c r="I107" s="182">
        <f t="shared" si="14"/>
        <v>482.86</v>
      </c>
      <c r="J107" s="148">
        <v>0.35630000000000001</v>
      </c>
      <c r="K107" s="182">
        <f t="shared" si="15"/>
        <v>5</v>
      </c>
      <c r="L107" s="149">
        <f t="shared" si="16"/>
        <v>1.7815000000000001</v>
      </c>
      <c r="M107" s="149">
        <f t="shared" si="17"/>
        <v>5.7126000000000001</v>
      </c>
      <c r="N107" s="182">
        <f t="shared" si="18"/>
        <v>0.31185449707663759</v>
      </c>
      <c r="O107" s="182">
        <f t="shared" si="19"/>
        <v>54.899376163066911</v>
      </c>
      <c r="P107" s="182">
        <f t="shared" si="20"/>
        <v>13.020212423173856</v>
      </c>
      <c r="Q107" s="336" t="str">
        <f t="shared" si="21"/>
        <v>相等</v>
      </c>
      <c r="R107" s="182">
        <f t="shared" si="22"/>
        <v>1.125</v>
      </c>
      <c r="S107" s="344" t="str">
        <f t="shared" si="23"/>
        <v>假定正确</v>
      </c>
    </row>
    <row r="108" spans="1:19" ht="19.5" customHeight="1" x14ac:dyDescent="0.15">
      <c r="A108" s="399"/>
      <c r="B108" s="148">
        <v>4</v>
      </c>
      <c r="C108" s="148" t="s">
        <v>700</v>
      </c>
      <c r="D108" s="149">
        <f t="shared" si="12"/>
        <v>0.32</v>
      </c>
      <c r="E108" s="256">
        <v>1</v>
      </c>
      <c r="F108" s="256">
        <v>5</v>
      </c>
      <c r="G108" s="335">
        <v>2</v>
      </c>
      <c r="H108" s="182">
        <f t="shared" si="13"/>
        <v>20.045388497108256</v>
      </c>
      <c r="I108" s="182">
        <f t="shared" si="14"/>
        <v>483.36</v>
      </c>
      <c r="J108" s="148">
        <v>0.46889999999999998</v>
      </c>
      <c r="K108" s="182">
        <f t="shared" si="15"/>
        <v>5</v>
      </c>
      <c r="L108" s="149">
        <f t="shared" si="16"/>
        <v>2.3445</v>
      </c>
      <c r="M108" s="149">
        <f t="shared" si="17"/>
        <v>5.9378000000000002</v>
      </c>
      <c r="N108" s="182">
        <f t="shared" si="18"/>
        <v>0.39484320792212602</v>
      </c>
      <c r="O108" s="182">
        <f t="shared" si="19"/>
        <v>57.101325044238799</v>
      </c>
      <c r="P108" s="182">
        <f t="shared" si="20"/>
        <v>20.053841920035865</v>
      </c>
      <c r="Q108" s="336" t="str">
        <f t="shared" si="21"/>
        <v>相等</v>
      </c>
      <c r="R108" s="182">
        <f t="shared" si="22"/>
        <v>1.5</v>
      </c>
      <c r="S108" s="344" t="str">
        <f t="shared" si="23"/>
        <v>假定正确</v>
      </c>
    </row>
    <row r="109" spans="1:19" ht="19.5" customHeight="1" x14ac:dyDescent="0.15">
      <c r="A109" s="399"/>
      <c r="B109" s="148">
        <v>5</v>
      </c>
      <c r="C109" s="148" t="s">
        <v>700</v>
      </c>
      <c r="D109" s="149">
        <f t="shared" si="12"/>
        <v>0.32</v>
      </c>
      <c r="E109" s="256">
        <v>1</v>
      </c>
      <c r="F109" s="256">
        <v>5</v>
      </c>
      <c r="G109" s="335">
        <v>2.5</v>
      </c>
      <c r="H109" s="182">
        <f t="shared" si="13"/>
        <v>28.014282071829012</v>
      </c>
      <c r="I109" s="182">
        <f t="shared" si="14"/>
        <v>483.86</v>
      </c>
      <c r="J109" s="148">
        <v>0.58160000000000001</v>
      </c>
      <c r="K109" s="182">
        <f t="shared" si="15"/>
        <v>5</v>
      </c>
      <c r="L109" s="149">
        <f t="shared" si="16"/>
        <v>2.9079999999999999</v>
      </c>
      <c r="M109" s="149">
        <f t="shared" si="17"/>
        <v>6.1631999999999998</v>
      </c>
      <c r="N109" s="182">
        <f t="shared" si="18"/>
        <v>0.47183281412253375</v>
      </c>
      <c r="O109" s="182">
        <f t="shared" si="19"/>
        <v>58.822042118936913</v>
      </c>
      <c r="P109" s="182">
        <f t="shared" si="20"/>
        <v>28.010276668341316</v>
      </c>
      <c r="Q109" s="336" t="str">
        <f t="shared" si="21"/>
        <v>相等</v>
      </c>
      <c r="R109" s="182">
        <f t="shared" si="22"/>
        <v>1.875</v>
      </c>
      <c r="S109" s="344" t="str">
        <f t="shared" si="23"/>
        <v>假定正确</v>
      </c>
    </row>
    <row r="110" spans="1:19" ht="19.5" customHeight="1" x14ac:dyDescent="0.15">
      <c r="A110" s="399"/>
      <c r="B110" s="148">
        <v>6</v>
      </c>
      <c r="C110" s="148" t="s">
        <v>700</v>
      </c>
      <c r="D110" s="149">
        <f t="shared" si="12"/>
        <v>0.32</v>
      </c>
      <c r="E110" s="256">
        <v>1</v>
      </c>
      <c r="F110" s="256">
        <v>5</v>
      </c>
      <c r="G110" s="335">
        <v>3</v>
      </c>
      <c r="H110" s="182">
        <f t="shared" si="13"/>
        <v>36.825730135327937</v>
      </c>
      <c r="I110" s="182">
        <f t="shared" si="14"/>
        <v>484.36</v>
      </c>
      <c r="J110" s="148">
        <v>0.69540000000000002</v>
      </c>
      <c r="K110" s="182">
        <f t="shared" si="15"/>
        <v>5</v>
      </c>
      <c r="L110" s="149">
        <f t="shared" si="16"/>
        <v>3.4770000000000003</v>
      </c>
      <c r="M110" s="149">
        <f t="shared" si="17"/>
        <v>6.3908000000000005</v>
      </c>
      <c r="N110" s="182">
        <f t="shared" si="18"/>
        <v>0.54406334105276333</v>
      </c>
      <c r="O110" s="182">
        <f t="shared" si="19"/>
        <v>60.235194678038702</v>
      </c>
      <c r="P110" s="182">
        <f t="shared" si="20"/>
        <v>36.827188867805773</v>
      </c>
      <c r="Q110" s="336" t="str">
        <f t="shared" si="21"/>
        <v>相等</v>
      </c>
      <c r="R110" s="182">
        <f t="shared" si="22"/>
        <v>2.25</v>
      </c>
      <c r="S110" s="344" t="str">
        <f t="shared" si="23"/>
        <v>假定正确</v>
      </c>
    </row>
    <row r="111" spans="1:19" ht="19.5" customHeight="1" x14ac:dyDescent="0.15">
      <c r="A111" s="399"/>
      <c r="B111" s="148">
        <v>7</v>
      </c>
      <c r="C111" s="148" t="s">
        <v>700</v>
      </c>
      <c r="D111" s="149">
        <f t="shared" si="12"/>
        <v>0.32</v>
      </c>
      <c r="E111" s="256">
        <v>1</v>
      </c>
      <c r="F111" s="256">
        <v>5</v>
      </c>
      <c r="G111" s="335">
        <v>3.5</v>
      </c>
      <c r="H111" s="182">
        <f t="shared" si="13"/>
        <v>46.405723784895343</v>
      </c>
      <c r="I111" s="182">
        <f t="shared" si="14"/>
        <v>484.86</v>
      </c>
      <c r="J111" s="148">
        <v>0.81030000000000002</v>
      </c>
      <c r="K111" s="182">
        <f t="shared" si="15"/>
        <v>5</v>
      </c>
      <c r="L111" s="149">
        <f t="shared" si="16"/>
        <v>4.0514999999999999</v>
      </c>
      <c r="M111" s="149">
        <f t="shared" si="17"/>
        <v>6.6205999999999996</v>
      </c>
      <c r="N111" s="182">
        <f t="shared" si="18"/>
        <v>0.61195359937165816</v>
      </c>
      <c r="O111" s="182">
        <f t="shared" si="19"/>
        <v>61.427356098028156</v>
      </c>
      <c r="P111" s="182">
        <f t="shared" si="20"/>
        <v>46.411514574813097</v>
      </c>
      <c r="Q111" s="336" t="str">
        <f t="shared" si="21"/>
        <v>相等</v>
      </c>
      <c r="R111" s="182">
        <f t="shared" si="22"/>
        <v>2.625</v>
      </c>
      <c r="S111" s="344" t="str">
        <f t="shared" si="23"/>
        <v>假定正确</v>
      </c>
    </row>
    <row r="112" spans="1:19" ht="19.5" customHeight="1" x14ac:dyDescent="0.15">
      <c r="A112" s="399"/>
      <c r="B112" s="148">
        <v>8</v>
      </c>
      <c r="C112" s="148" t="s">
        <v>700</v>
      </c>
      <c r="D112" s="149">
        <f t="shared" si="12"/>
        <v>0.32</v>
      </c>
      <c r="E112" s="256">
        <v>1</v>
      </c>
      <c r="F112" s="256">
        <v>5</v>
      </c>
      <c r="G112" s="335">
        <v>4</v>
      </c>
      <c r="H112" s="182">
        <f t="shared" si="13"/>
        <v>56.696920551296252</v>
      </c>
      <c r="I112" s="182">
        <f t="shared" si="14"/>
        <v>485.36</v>
      </c>
      <c r="J112" s="148">
        <v>0.9264</v>
      </c>
      <c r="K112" s="182">
        <f t="shared" si="15"/>
        <v>5</v>
      </c>
      <c r="L112" s="149">
        <f t="shared" si="16"/>
        <v>4.6319999999999997</v>
      </c>
      <c r="M112" s="149">
        <f t="shared" si="17"/>
        <v>6.8528000000000002</v>
      </c>
      <c r="N112" s="182">
        <f t="shared" si="18"/>
        <v>0.67592808778893287</v>
      </c>
      <c r="O112" s="182">
        <f t="shared" si="19"/>
        <v>62.453793538898061</v>
      </c>
      <c r="P112" s="182">
        <f t="shared" si="20"/>
        <v>56.697831484282624</v>
      </c>
      <c r="Q112" s="336" t="str">
        <f t="shared" si="21"/>
        <v>相等</v>
      </c>
      <c r="R112" s="182">
        <f t="shared" si="22"/>
        <v>3</v>
      </c>
      <c r="S112" s="344" t="str">
        <f t="shared" si="23"/>
        <v>假定正确</v>
      </c>
    </row>
    <row r="113" spans="1:25" ht="19.5" customHeight="1" x14ac:dyDescent="0.15">
      <c r="A113" s="399"/>
      <c r="B113" s="148">
        <v>9</v>
      </c>
      <c r="C113" s="148" t="s">
        <v>700</v>
      </c>
      <c r="D113" s="149">
        <f t="shared" si="12"/>
        <v>0.32</v>
      </c>
      <c r="E113" s="256">
        <v>1</v>
      </c>
      <c r="F113" s="256">
        <v>5</v>
      </c>
      <c r="G113" s="335">
        <v>4.5</v>
      </c>
      <c r="H113" s="182">
        <f t="shared" ref="H113:H120" si="24">D113*E113*F113*SQRT(2*$B$5)*(G113^1.5)</f>
        <v>67.653186177740366</v>
      </c>
      <c r="I113" s="182">
        <f t="shared" ref="I113:I120" si="25">G113+$E$5</f>
        <v>485.86</v>
      </c>
      <c r="J113" s="148">
        <v>1.044</v>
      </c>
      <c r="K113" s="182">
        <f t="shared" si="15"/>
        <v>5</v>
      </c>
      <c r="L113" s="149">
        <f t="shared" si="16"/>
        <v>5.2200000000000006</v>
      </c>
      <c r="M113" s="149">
        <f t="shared" si="17"/>
        <v>7.0880000000000001</v>
      </c>
      <c r="N113" s="182">
        <f t="shared" si="18"/>
        <v>0.73645598194130935</v>
      </c>
      <c r="O113" s="182">
        <f t="shared" si="19"/>
        <v>63.352905881187354</v>
      </c>
      <c r="P113" s="182">
        <f t="shared" si="20"/>
        <v>67.654901806742572</v>
      </c>
      <c r="Q113" s="336" t="str">
        <f t="shared" si="21"/>
        <v>相等</v>
      </c>
      <c r="R113" s="182">
        <f t="shared" si="22"/>
        <v>3.375</v>
      </c>
      <c r="S113" s="344" t="str">
        <f t="shared" si="23"/>
        <v>假定正确</v>
      </c>
      <c r="T113" s="497" t="s">
        <v>723</v>
      </c>
      <c r="U113" s="498"/>
      <c r="V113" s="498"/>
      <c r="W113" s="498"/>
      <c r="X113" s="498"/>
      <c r="Y113" s="498"/>
    </row>
    <row r="114" spans="1:25" ht="31.5" customHeight="1" thickBot="1" x14ac:dyDescent="0.2">
      <c r="A114" s="397"/>
      <c r="B114" s="114">
        <v>10</v>
      </c>
      <c r="C114" s="114" t="s">
        <v>700</v>
      </c>
      <c r="D114" s="138">
        <f t="shared" si="12"/>
        <v>0.32</v>
      </c>
      <c r="E114" s="234">
        <v>1</v>
      </c>
      <c r="F114" s="234">
        <v>5</v>
      </c>
      <c r="G114" s="345">
        <v>4.5570000000000004</v>
      </c>
      <c r="H114" s="188">
        <f t="shared" si="24"/>
        <v>68.942658629172769</v>
      </c>
      <c r="I114" s="188">
        <f t="shared" si="25"/>
        <v>485.91700000000003</v>
      </c>
      <c r="J114" s="114">
        <v>1.0575000000000001</v>
      </c>
      <c r="K114" s="188">
        <f t="shared" si="15"/>
        <v>5</v>
      </c>
      <c r="L114" s="138">
        <f t="shared" si="16"/>
        <v>5.2875000000000005</v>
      </c>
      <c r="M114" s="138">
        <f t="shared" si="17"/>
        <v>7.1150000000000002</v>
      </c>
      <c r="N114" s="188">
        <f t="shared" si="18"/>
        <v>0.74314827828531282</v>
      </c>
      <c r="O114" s="188">
        <f t="shared" si="19"/>
        <v>63.448494298053426</v>
      </c>
      <c r="P114" s="188">
        <f t="shared" si="20"/>
        <v>68.944284148410077</v>
      </c>
      <c r="Q114" s="346" t="str">
        <f t="shared" si="21"/>
        <v>相等</v>
      </c>
      <c r="R114" s="188">
        <f t="shared" si="22"/>
        <v>3.4177500000000003</v>
      </c>
      <c r="S114" s="347" t="str">
        <f t="shared" si="23"/>
        <v>假定正确</v>
      </c>
      <c r="T114" s="355" t="s">
        <v>545</v>
      </c>
      <c r="U114" s="337" t="s">
        <v>695</v>
      </c>
      <c r="V114" s="337" t="s">
        <v>549</v>
      </c>
      <c r="W114" s="337" t="s">
        <v>546</v>
      </c>
      <c r="X114" s="337" t="s">
        <v>724</v>
      </c>
      <c r="Y114" s="337" t="s">
        <v>726</v>
      </c>
    </row>
    <row r="115" spans="1:25" ht="19.5" customHeight="1" x14ac:dyDescent="0.15">
      <c r="A115" s="392" t="s">
        <v>721</v>
      </c>
      <c r="B115" s="110">
        <v>11</v>
      </c>
      <c r="C115" s="110" t="s">
        <v>700</v>
      </c>
      <c r="D115" s="339">
        <f t="shared" si="12"/>
        <v>0.32</v>
      </c>
      <c r="E115" s="183">
        <v>1</v>
      </c>
      <c r="F115" s="341">
        <f>V115/T115</f>
        <v>5</v>
      </c>
      <c r="G115" s="340">
        <v>5</v>
      </c>
      <c r="H115" s="341">
        <f t="shared" si="24"/>
        <v>79.236355292252043</v>
      </c>
      <c r="I115" s="341">
        <f t="shared" si="25"/>
        <v>486.36</v>
      </c>
      <c r="J115" s="110">
        <v>1.1631</v>
      </c>
      <c r="K115" s="341">
        <f t="shared" ref="K115:K120" si="26">F115</f>
        <v>5</v>
      </c>
      <c r="L115" s="339">
        <f t="shared" ref="L115:L120" si="27">J115*K115</f>
        <v>5.8155000000000001</v>
      </c>
      <c r="M115" s="339">
        <f t="shared" ref="M115:M120" si="28">K115+2*J115</f>
        <v>7.3262</v>
      </c>
      <c r="N115" s="341">
        <f t="shared" ref="N115:N120" si="29">L115/M115</f>
        <v>0.79379487319483499</v>
      </c>
      <c r="O115" s="341">
        <f t="shared" si="19"/>
        <v>64.149526614256231</v>
      </c>
      <c r="P115" s="341">
        <f t="shared" ref="P115:P120" si="30">L115*O115*SQRT(N115*$B$21)</f>
        <v>79.236172499364088</v>
      </c>
      <c r="Q115" s="342" t="str">
        <f t="shared" ref="Q115:Q120" si="31">IF(ROUND(P115,2)&lt;ROUND(H115,2),"均匀流公式计算Q值小",IF(ROUND(P115,2)&gt;ROUND(H115,2),"均匀流公式计算Q值大","相等"))</f>
        <v>相等</v>
      </c>
      <c r="R115" s="341">
        <f t="shared" ref="R115:R120" si="32">0.75*G115</f>
        <v>3.75</v>
      </c>
      <c r="S115" s="351" t="str">
        <f t="shared" ref="S115:S120" si="33">IF(ROUND(J115,3)&lt;ROUND(R115,3),"假定正确","假定错误")</f>
        <v>假定正确</v>
      </c>
      <c r="T115" s="352">
        <v>2.9472999999999998</v>
      </c>
      <c r="U115" s="110">
        <v>5</v>
      </c>
      <c r="V115" s="110">
        <f>T115*U115</f>
        <v>14.736499999999999</v>
      </c>
      <c r="W115" s="341">
        <f>SQRT($B$5*(V115^3)/($C$5*U115))</f>
        <v>79.239371860091552</v>
      </c>
      <c r="X115" s="342" t="str">
        <f>IF(ROUND(W115,2)&lt;ROUND(H115,2),"临界状态计算的流量小",IF(ROUND(W115,2)&gt;ROUND(H115,2),"临界状态计算的流量大","相等"))</f>
        <v>相等</v>
      </c>
      <c r="Y115" s="394" t="s">
        <v>725</v>
      </c>
    </row>
    <row r="116" spans="1:25" ht="19.5" customHeight="1" x14ac:dyDescent="0.15">
      <c r="A116" s="399"/>
      <c r="B116" s="148">
        <v>12</v>
      </c>
      <c r="C116" s="148" t="s">
        <v>700</v>
      </c>
      <c r="D116" s="149">
        <f t="shared" si="12"/>
        <v>0.32</v>
      </c>
      <c r="E116" s="256">
        <v>1</v>
      </c>
      <c r="F116" s="182">
        <f t="shared" ref="F116:F120" si="34">V116/T116</f>
        <v>5</v>
      </c>
      <c r="G116" s="335">
        <v>5.5</v>
      </c>
      <c r="H116" s="182">
        <f t="shared" si="24"/>
        <v>91.414169579994564</v>
      </c>
      <c r="I116" s="182">
        <f t="shared" si="25"/>
        <v>486.86</v>
      </c>
      <c r="J116" s="148">
        <v>1.2838000000000001</v>
      </c>
      <c r="K116" s="182">
        <f t="shared" si="26"/>
        <v>5</v>
      </c>
      <c r="L116" s="149">
        <f t="shared" si="27"/>
        <v>6.4190000000000005</v>
      </c>
      <c r="M116" s="149">
        <f t="shared" si="28"/>
        <v>7.5676000000000005</v>
      </c>
      <c r="N116" s="182">
        <f t="shared" si="29"/>
        <v>0.84822136476557963</v>
      </c>
      <c r="O116" s="182">
        <f t="shared" si="19"/>
        <v>64.862488813553995</v>
      </c>
      <c r="P116" s="182">
        <f t="shared" si="30"/>
        <v>91.412253659698393</v>
      </c>
      <c r="Q116" s="336" t="str">
        <f t="shared" si="31"/>
        <v>相等</v>
      </c>
      <c r="R116" s="182">
        <f t="shared" si="32"/>
        <v>4.125</v>
      </c>
      <c r="S116" s="348" t="str">
        <f t="shared" si="33"/>
        <v>假定正确</v>
      </c>
      <c r="T116" s="350">
        <v>3.2418999999999998</v>
      </c>
      <c r="U116" s="148">
        <v>5</v>
      </c>
      <c r="V116" s="148">
        <f t="shared" ref="V116:V120" si="35">T116*U116</f>
        <v>16.209499999999998</v>
      </c>
      <c r="W116" s="182">
        <f t="shared" ref="W116:W120" si="36">SQRT($B$5*(V116^3)/($C$5*U116))</f>
        <v>91.412151275355441</v>
      </c>
      <c r="X116" s="149" t="str">
        <f t="shared" ref="X116:X120" si="37">IF(ROUND(W116,2)&lt;ROUND(H116,2),"临界状态计算的流量小",IF(ROUND(W116,2)&gt;ROUND(H116,2),"临界状态计算的流量大","相等"))</f>
        <v>相等</v>
      </c>
      <c r="Y116" s="495"/>
    </row>
    <row r="117" spans="1:25" ht="19.5" customHeight="1" x14ac:dyDescent="0.15">
      <c r="A117" s="399"/>
      <c r="B117" s="148">
        <v>13</v>
      </c>
      <c r="C117" s="148" t="s">
        <v>700</v>
      </c>
      <c r="D117" s="149">
        <f t="shared" si="12"/>
        <v>0.32</v>
      </c>
      <c r="E117" s="256">
        <v>1</v>
      </c>
      <c r="F117" s="182">
        <f t="shared" si="34"/>
        <v>5</v>
      </c>
      <c r="G117" s="335">
        <v>6</v>
      </c>
      <c r="H117" s="182">
        <f t="shared" si="24"/>
        <v>104.15889400334474</v>
      </c>
      <c r="I117" s="182">
        <f t="shared" si="25"/>
        <v>487.36</v>
      </c>
      <c r="J117" s="148">
        <v>1.4061999999999999</v>
      </c>
      <c r="K117" s="182">
        <f t="shared" si="26"/>
        <v>5</v>
      </c>
      <c r="L117" s="149">
        <f t="shared" si="27"/>
        <v>7.0309999999999997</v>
      </c>
      <c r="M117" s="149">
        <f t="shared" si="28"/>
        <v>7.8124000000000002</v>
      </c>
      <c r="N117" s="182">
        <f t="shared" si="29"/>
        <v>0.89997951973785262</v>
      </c>
      <c r="O117" s="182">
        <f t="shared" si="19"/>
        <v>65.505964479599044</v>
      </c>
      <c r="P117" s="182">
        <f t="shared" si="30"/>
        <v>104.1605068741131</v>
      </c>
      <c r="Q117" s="336" t="str">
        <f t="shared" si="31"/>
        <v>相等</v>
      </c>
      <c r="R117" s="182">
        <f t="shared" si="32"/>
        <v>4.5</v>
      </c>
      <c r="S117" s="348" t="str">
        <f t="shared" si="33"/>
        <v>假定正确</v>
      </c>
      <c r="T117" s="350">
        <v>3.5367000000000002</v>
      </c>
      <c r="U117" s="148">
        <v>5</v>
      </c>
      <c r="V117" s="148">
        <f t="shared" si="35"/>
        <v>17.683500000000002</v>
      </c>
      <c r="W117" s="182">
        <f t="shared" si="36"/>
        <v>104.1602087616975</v>
      </c>
      <c r="X117" s="149" t="str">
        <f t="shared" si="37"/>
        <v>相等</v>
      </c>
      <c r="Y117" s="495"/>
    </row>
    <row r="118" spans="1:25" ht="19.5" customHeight="1" x14ac:dyDescent="0.15">
      <c r="A118" s="399"/>
      <c r="B118" s="148">
        <v>14</v>
      </c>
      <c r="C118" s="148" t="s">
        <v>700</v>
      </c>
      <c r="D118" s="149">
        <f t="shared" si="12"/>
        <v>0.32</v>
      </c>
      <c r="E118" s="256">
        <v>1</v>
      </c>
      <c r="F118" s="182">
        <f t="shared" si="34"/>
        <v>4.9999999999999991</v>
      </c>
      <c r="G118" s="335">
        <v>6.5</v>
      </c>
      <c r="H118" s="182">
        <f t="shared" si="24"/>
        <v>117.44634860224477</v>
      </c>
      <c r="I118" s="182">
        <f t="shared" si="25"/>
        <v>487.86</v>
      </c>
      <c r="J118" s="148">
        <v>1.5303</v>
      </c>
      <c r="K118" s="182">
        <f t="shared" si="26"/>
        <v>4.9999999999999991</v>
      </c>
      <c r="L118" s="149">
        <f t="shared" si="27"/>
        <v>7.6514999999999986</v>
      </c>
      <c r="M118" s="149">
        <f t="shared" si="28"/>
        <v>8.0605999999999991</v>
      </c>
      <c r="N118" s="182">
        <f t="shared" si="29"/>
        <v>0.94924695432101824</v>
      </c>
      <c r="O118" s="182">
        <f t="shared" si="19"/>
        <v>66.090434895651072</v>
      </c>
      <c r="P118" s="182">
        <f t="shared" si="30"/>
        <v>117.45286813229416</v>
      </c>
      <c r="Q118" s="336" t="str">
        <f t="shared" si="31"/>
        <v>相等</v>
      </c>
      <c r="R118" s="182">
        <f t="shared" si="32"/>
        <v>4.875</v>
      </c>
      <c r="S118" s="348" t="str">
        <f t="shared" si="33"/>
        <v>假定正确</v>
      </c>
      <c r="T118" s="350">
        <v>3.8315000000000001</v>
      </c>
      <c r="U118" s="148">
        <v>5</v>
      </c>
      <c r="V118" s="148">
        <f t="shared" si="35"/>
        <v>19.157499999999999</v>
      </c>
      <c r="W118" s="182">
        <f t="shared" si="36"/>
        <v>117.45127965529298</v>
      </c>
      <c r="X118" s="149" t="str">
        <f t="shared" si="37"/>
        <v>相等</v>
      </c>
      <c r="Y118" s="495"/>
    </row>
    <row r="119" spans="1:25" ht="19.5" customHeight="1" x14ac:dyDescent="0.15">
      <c r="A119" s="399"/>
      <c r="B119" s="148">
        <v>15</v>
      </c>
      <c r="C119" s="148" t="s">
        <v>700</v>
      </c>
      <c r="D119" s="149">
        <f t="shared" si="12"/>
        <v>0.32</v>
      </c>
      <c r="E119" s="256">
        <v>1</v>
      </c>
      <c r="F119" s="182">
        <f t="shared" si="34"/>
        <v>5</v>
      </c>
      <c r="G119" s="335">
        <v>7</v>
      </c>
      <c r="H119" s="182">
        <f t="shared" si="24"/>
        <v>131.25520789667735</v>
      </c>
      <c r="I119" s="182">
        <f t="shared" si="25"/>
        <v>488.36</v>
      </c>
      <c r="J119" s="148">
        <v>1.6560999999999999</v>
      </c>
      <c r="K119" s="182">
        <f t="shared" si="26"/>
        <v>5</v>
      </c>
      <c r="L119" s="149">
        <f t="shared" si="27"/>
        <v>8.2805</v>
      </c>
      <c r="M119" s="149">
        <f t="shared" si="28"/>
        <v>8.3122000000000007</v>
      </c>
      <c r="N119" s="182">
        <f t="shared" si="29"/>
        <v>0.99618632852914979</v>
      </c>
      <c r="O119" s="182">
        <f t="shared" si="19"/>
        <v>66.624225048110716</v>
      </c>
      <c r="P119" s="182">
        <f t="shared" si="30"/>
        <v>131.26466926464875</v>
      </c>
      <c r="Q119" s="336" t="str">
        <f t="shared" si="31"/>
        <v>相等</v>
      </c>
      <c r="R119" s="182">
        <f t="shared" si="32"/>
        <v>5.25</v>
      </c>
      <c r="S119" s="348" t="str">
        <f t="shared" si="33"/>
        <v>假定正确</v>
      </c>
      <c r="T119" s="350">
        <v>4.1262999999999996</v>
      </c>
      <c r="U119" s="148">
        <v>5</v>
      </c>
      <c r="V119" s="148">
        <f t="shared" si="35"/>
        <v>20.631499999999999</v>
      </c>
      <c r="W119" s="182">
        <f t="shared" si="36"/>
        <v>131.2640222165393</v>
      </c>
      <c r="X119" s="149" t="str">
        <f t="shared" si="37"/>
        <v>相等</v>
      </c>
      <c r="Y119" s="495"/>
    </row>
    <row r="120" spans="1:25" ht="19.5" customHeight="1" thickBot="1" x14ac:dyDescent="0.2">
      <c r="A120" s="397"/>
      <c r="B120" s="114">
        <v>16</v>
      </c>
      <c r="C120" s="114" t="s">
        <v>700</v>
      </c>
      <c r="D120" s="138">
        <f t="shared" si="12"/>
        <v>0.32</v>
      </c>
      <c r="E120" s="234">
        <v>1</v>
      </c>
      <c r="F120" s="188">
        <f t="shared" si="34"/>
        <v>5</v>
      </c>
      <c r="G120" s="353">
        <v>7.2</v>
      </c>
      <c r="H120" s="188">
        <f t="shared" si="24"/>
        <v>136.92042194501158</v>
      </c>
      <c r="I120" s="188">
        <f t="shared" si="25"/>
        <v>488.56</v>
      </c>
      <c r="J120" s="114">
        <v>1.7068000000000001</v>
      </c>
      <c r="K120" s="188">
        <f t="shared" si="26"/>
        <v>5</v>
      </c>
      <c r="L120" s="138">
        <f t="shared" si="27"/>
        <v>8.5340000000000007</v>
      </c>
      <c r="M120" s="138">
        <f t="shared" si="28"/>
        <v>8.4136000000000006</v>
      </c>
      <c r="N120" s="188">
        <f t="shared" si="29"/>
        <v>1.0143101644955785</v>
      </c>
      <c r="O120" s="188">
        <f t="shared" si="19"/>
        <v>66.824728642845542</v>
      </c>
      <c r="P120" s="188">
        <f t="shared" si="30"/>
        <v>136.91910739978906</v>
      </c>
      <c r="Q120" s="346" t="str">
        <f t="shared" si="31"/>
        <v>相等</v>
      </c>
      <c r="R120" s="188">
        <f t="shared" si="32"/>
        <v>5.4</v>
      </c>
      <c r="S120" s="349" t="str">
        <f t="shared" si="33"/>
        <v>假定正确</v>
      </c>
      <c r="T120" s="354">
        <v>4.2439999999999998</v>
      </c>
      <c r="U120" s="114">
        <v>5</v>
      </c>
      <c r="V120" s="114">
        <f t="shared" si="35"/>
        <v>21.22</v>
      </c>
      <c r="W120" s="188">
        <f t="shared" si="36"/>
        <v>136.92021451113783</v>
      </c>
      <c r="X120" s="346" t="str">
        <f t="shared" si="37"/>
        <v>相等</v>
      </c>
      <c r="Y120" s="496"/>
    </row>
    <row r="121" spans="1:25" ht="19.5" customHeight="1" x14ac:dyDescent="0.15">
      <c r="B121" s="26"/>
      <c r="C121" s="26"/>
    </row>
    <row r="122" spans="1:25" ht="19.5" customHeight="1" x14ac:dyDescent="0.25">
      <c r="B122" s="297" t="s">
        <v>735</v>
      </c>
      <c r="C122" s="26"/>
      <c r="H122" s="253"/>
    </row>
    <row r="123" spans="1:25" ht="19.5" customHeight="1" x14ac:dyDescent="0.15">
      <c r="B123" s="192" t="s">
        <v>738</v>
      </c>
      <c r="C123" s="26"/>
      <c r="F123" s="253"/>
      <c r="H123" s="253"/>
    </row>
    <row r="124" spans="1:25" ht="19.5" customHeight="1" x14ac:dyDescent="0.15">
      <c r="B124" s="192" t="s">
        <v>736</v>
      </c>
      <c r="C124" s="26"/>
    </row>
    <row r="125" spans="1:25" ht="19.5" customHeight="1" x14ac:dyDescent="0.15">
      <c r="B125" s="330" t="s">
        <v>737</v>
      </c>
      <c r="C125" s="330"/>
    </row>
    <row r="126" spans="1:25" ht="19.5" customHeight="1" x14ac:dyDescent="0.15"/>
    <row r="127" spans="1:25" ht="19.5" customHeight="1" x14ac:dyDescent="0.15"/>
    <row r="128" spans="1:25" ht="19.5" customHeight="1" x14ac:dyDescent="0.15"/>
    <row r="129" ht="19.5" customHeight="1" x14ac:dyDescent="0.15"/>
    <row r="130" ht="19.5" customHeight="1" x14ac:dyDescent="0.15"/>
    <row r="131" ht="19.5" customHeight="1" x14ac:dyDescent="0.15"/>
    <row r="132" ht="19.5" customHeight="1" x14ac:dyDescent="0.15"/>
    <row r="133" ht="19.5" customHeight="1" x14ac:dyDescent="0.15"/>
    <row r="134" ht="19.5" customHeight="1" x14ac:dyDescent="0.15"/>
    <row r="135" ht="19.5" customHeight="1" x14ac:dyDescent="0.15"/>
    <row r="136" ht="19.5" customHeight="1" x14ac:dyDescent="0.15"/>
    <row r="137" ht="19.5" customHeight="1" x14ac:dyDescent="0.15"/>
    <row r="138" ht="19.5" customHeight="1" x14ac:dyDescent="0.15"/>
    <row r="139" ht="19.5" customHeight="1" x14ac:dyDescent="0.15"/>
    <row r="140" ht="19.5" customHeight="1" x14ac:dyDescent="0.15"/>
    <row r="141" ht="19.5" customHeight="1" x14ac:dyDescent="0.15"/>
    <row r="142" ht="19.5" customHeight="1" x14ac:dyDescent="0.15"/>
    <row r="143" ht="19.5" customHeight="1" x14ac:dyDescent="0.15"/>
    <row r="144" ht="19.5" customHeight="1" x14ac:dyDescent="0.15"/>
    <row r="145" ht="19.5" customHeight="1" x14ac:dyDescent="0.15"/>
    <row r="146" ht="19.5" customHeight="1" x14ac:dyDescent="0.15"/>
    <row r="147" ht="19.5" customHeight="1" x14ac:dyDescent="0.15"/>
    <row r="148" ht="19.5" customHeight="1" x14ac:dyDescent="0.15"/>
    <row r="149" ht="19.5" customHeight="1" x14ac:dyDescent="0.15"/>
    <row r="150" ht="19.5" customHeight="1" x14ac:dyDescent="0.15"/>
    <row r="151" ht="19.5" customHeight="1" x14ac:dyDescent="0.15"/>
    <row r="152" ht="19.5" customHeight="1" x14ac:dyDescent="0.15"/>
    <row r="153" ht="19.5" customHeight="1" x14ac:dyDescent="0.15"/>
    <row r="154" ht="19.5" customHeight="1" x14ac:dyDescent="0.15"/>
    <row r="155" ht="19.5" customHeight="1" x14ac:dyDescent="0.15"/>
    <row r="156" ht="19.5" customHeight="1" x14ac:dyDescent="0.15"/>
    <row r="157" ht="19.5" customHeight="1" x14ac:dyDescent="0.15"/>
    <row r="158" ht="19.5" customHeight="1" x14ac:dyDescent="0.15"/>
    <row r="159" ht="19.5" customHeight="1" x14ac:dyDescent="0.15"/>
    <row r="160" ht="19.5" customHeight="1" x14ac:dyDescent="0.15"/>
    <row r="161" ht="19.5" customHeight="1" x14ac:dyDescent="0.15"/>
    <row r="162" ht="19.5" customHeight="1" x14ac:dyDescent="0.15"/>
    <row r="163" ht="19.5" customHeight="1" x14ac:dyDescent="0.15"/>
    <row r="164" ht="19.5" customHeight="1" x14ac:dyDescent="0.15"/>
    <row r="165" ht="19.5" customHeight="1" x14ac:dyDescent="0.15"/>
    <row r="166" ht="19.5" customHeight="1" x14ac:dyDescent="0.15"/>
    <row r="167" ht="19.5" customHeight="1" x14ac:dyDescent="0.15"/>
    <row r="168" ht="19.5" customHeight="1" x14ac:dyDescent="0.15"/>
    <row r="169" ht="19.5" customHeight="1" x14ac:dyDescent="0.15"/>
    <row r="170" ht="19.5" customHeight="1" x14ac:dyDescent="0.15"/>
    <row r="171" ht="19.5" customHeight="1" x14ac:dyDescent="0.15"/>
    <row r="172" ht="19.5" customHeight="1" x14ac:dyDescent="0.15"/>
    <row r="173" ht="19.5" customHeight="1" x14ac:dyDescent="0.15"/>
    <row r="174" ht="19.5" customHeight="1" x14ac:dyDescent="0.15"/>
    <row r="175" ht="19.5" customHeight="1" x14ac:dyDescent="0.15"/>
    <row r="176" ht="19.5" customHeight="1" x14ac:dyDescent="0.15"/>
    <row r="177" ht="19.5" customHeight="1" x14ac:dyDescent="0.15"/>
    <row r="178" ht="19.5" customHeight="1" x14ac:dyDescent="0.15"/>
    <row r="179" ht="19.5" customHeight="1" x14ac:dyDescent="0.15"/>
    <row r="180" ht="19.5" customHeight="1" x14ac:dyDescent="0.15"/>
    <row r="181" ht="19.5" customHeight="1" x14ac:dyDescent="0.15"/>
    <row r="182" ht="19.5" customHeight="1" x14ac:dyDescent="0.15"/>
    <row r="183" ht="19.5" customHeight="1" x14ac:dyDescent="0.15"/>
    <row r="184" ht="19.5" customHeight="1" x14ac:dyDescent="0.15"/>
    <row r="185" ht="19.5" customHeight="1" x14ac:dyDescent="0.15"/>
    <row r="186" ht="19.5" customHeight="1" x14ac:dyDescent="0.15"/>
    <row r="187" ht="19.5" customHeight="1" x14ac:dyDescent="0.15"/>
    <row r="188" ht="19.5" customHeight="1" x14ac:dyDescent="0.15"/>
    <row r="189" ht="19.5" customHeight="1" x14ac:dyDescent="0.15"/>
    <row r="190" ht="19.5" customHeight="1" x14ac:dyDescent="0.15"/>
    <row r="191" ht="19.5" customHeight="1" x14ac:dyDescent="0.15"/>
    <row r="192" ht="19.5" customHeight="1" x14ac:dyDescent="0.15"/>
    <row r="193" ht="19.5" customHeight="1" x14ac:dyDescent="0.15"/>
    <row r="194" ht="19.5" customHeight="1" x14ac:dyDescent="0.15"/>
    <row r="195" ht="19.5" customHeight="1" x14ac:dyDescent="0.15"/>
    <row r="196" ht="19.5" customHeight="1" x14ac:dyDescent="0.15"/>
    <row r="197" ht="19.5" customHeight="1" x14ac:dyDescent="0.15"/>
    <row r="198" ht="19.5" customHeight="1" x14ac:dyDescent="0.15"/>
    <row r="199" ht="19.5" customHeight="1" x14ac:dyDescent="0.15"/>
    <row r="200" ht="19.5" customHeight="1" x14ac:dyDescent="0.15"/>
    <row r="201" ht="19.5" customHeight="1" x14ac:dyDescent="0.15"/>
    <row r="202" ht="19.5" customHeight="1" x14ac:dyDescent="0.15"/>
    <row r="203" ht="19.5" customHeight="1" x14ac:dyDescent="0.15"/>
    <row r="204" ht="19.5" customHeight="1" x14ac:dyDescent="0.15"/>
    <row r="205" ht="19.5" customHeight="1" x14ac:dyDescent="0.15"/>
    <row r="206" ht="19.5" customHeight="1" x14ac:dyDescent="0.15"/>
    <row r="207" ht="19.5" customHeight="1" x14ac:dyDescent="0.15"/>
    <row r="208" ht="19.5" customHeight="1" x14ac:dyDescent="0.15"/>
    <row r="209" ht="19.5" customHeight="1" x14ac:dyDescent="0.15"/>
    <row r="210" ht="19.5" customHeight="1" x14ac:dyDescent="0.15"/>
    <row r="211" ht="19.5" customHeight="1" x14ac:dyDescent="0.15"/>
    <row r="212" ht="19.5" customHeight="1" x14ac:dyDescent="0.15"/>
    <row r="213" ht="19.5" customHeight="1" x14ac:dyDescent="0.15"/>
    <row r="214" ht="19.5" customHeight="1" x14ac:dyDescent="0.15"/>
    <row r="215" ht="19.5" customHeight="1" x14ac:dyDescent="0.15"/>
    <row r="216" ht="19.5" customHeight="1" x14ac:dyDescent="0.15"/>
    <row r="217" ht="19.5" customHeight="1" x14ac:dyDescent="0.15"/>
    <row r="218" ht="19.5" customHeight="1" x14ac:dyDescent="0.15"/>
    <row r="219" ht="19.5" customHeight="1" x14ac:dyDescent="0.15"/>
    <row r="220" ht="19.5" customHeight="1" x14ac:dyDescent="0.15"/>
    <row r="221" ht="19.5" customHeight="1" x14ac:dyDescent="0.15"/>
    <row r="222" ht="19.5" customHeight="1" x14ac:dyDescent="0.15"/>
    <row r="223" ht="19.5" customHeight="1" x14ac:dyDescent="0.15"/>
    <row r="224" ht="19.5" customHeight="1" x14ac:dyDescent="0.15"/>
    <row r="225" ht="19.5" customHeight="1" x14ac:dyDescent="0.15"/>
    <row r="226" ht="19.5" customHeight="1" x14ac:dyDescent="0.15"/>
    <row r="227" ht="19.5" customHeight="1" x14ac:dyDescent="0.15"/>
    <row r="228" ht="19.5" customHeight="1" x14ac:dyDescent="0.15"/>
    <row r="229" ht="19.5" customHeight="1" x14ac:dyDescent="0.15"/>
    <row r="230" ht="19.5" customHeight="1" x14ac:dyDescent="0.15"/>
    <row r="231" ht="19.5" customHeight="1" x14ac:dyDescent="0.15"/>
    <row r="232" ht="19.5" customHeight="1" x14ac:dyDescent="0.15"/>
    <row r="233" ht="19.5" customHeight="1" x14ac:dyDescent="0.15"/>
    <row r="234" ht="19.5" customHeight="1" x14ac:dyDescent="0.15"/>
    <row r="235" ht="19.5" customHeight="1" x14ac:dyDescent="0.15"/>
    <row r="236" ht="19.5" customHeight="1" x14ac:dyDescent="0.15"/>
    <row r="237" ht="19.5" customHeight="1" x14ac:dyDescent="0.15"/>
    <row r="238" ht="19.5" customHeight="1" x14ac:dyDescent="0.15"/>
    <row r="239" ht="19.5" customHeight="1" x14ac:dyDescent="0.15"/>
    <row r="240" ht="19.5" customHeight="1" x14ac:dyDescent="0.15"/>
    <row r="241" ht="19.5" customHeight="1" x14ac:dyDescent="0.15"/>
    <row r="242" ht="19.5" customHeight="1" x14ac:dyDescent="0.15"/>
    <row r="243" ht="19.5" customHeight="1" x14ac:dyDescent="0.15"/>
    <row r="244" ht="19.5" customHeight="1" x14ac:dyDescent="0.15"/>
    <row r="245" ht="19.5" customHeight="1" x14ac:dyDescent="0.15"/>
    <row r="246" ht="19.5" customHeight="1" x14ac:dyDescent="0.15"/>
    <row r="247" ht="19.5" customHeight="1" x14ac:dyDescent="0.15"/>
    <row r="248" ht="19.5" customHeight="1" x14ac:dyDescent="0.15"/>
    <row r="249" ht="19.5" customHeight="1" x14ac:dyDescent="0.15"/>
    <row r="250" ht="19.5" customHeight="1" x14ac:dyDescent="0.15"/>
    <row r="251" ht="19.5" customHeight="1" x14ac:dyDescent="0.15"/>
    <row r="252" ht="19.5" customHeight="1" x14ac:dyDescent="0.15"/>
    <row r="253" ht="19.5" customHeight="1" x14ac:dyDescent="0.15"/>
    <row r="254" ht="19.5" customHeight="1" x14ac:dyDescent="0.15"/>
    <row r="255" ht="19.5" customHeight="1" x14ac:dyDescent="0.15"/>
    <row r="256" ht="19.5" customHeight="1" x14ac:dyDescent="0.15"/>
    <row r="257" ht="19.5" customHeight="1" x14ac:dyDescent="0.15"/>
    <row r="258" ht="19.5" customHeight="1" x14ac:dyDescent="0.15"/>
    <row r="259" ht="19.5" customHeight="1" x14ac:dyDescent="0.15"/>
    <row r="260" ht="19.5" customHeight="1" x14ac:dyDescent="0.15"/>
    <row r="261" ht="19.5" customHeight="1" x14ac:dyDescent="0.15"/>
    <row r="262" ht="19.5" customHeight="1" x14ac:dyDescent="0.15"/>
    <row r="263" ht="19.5" customHeight="1" x14ac:dyDescent="0.15"/>
    <row r="264" ht="19.5" customHeight="1" x14ac:dyDescent="0.15"/>
    <row r="265" ht="19.5" customHeight="1" x14ac:dyDescent="0.15"/>
    <row r="266" ht="19.5" customHeight="1" x14ac:dyDescent="0.15"/>
    <row r="267" ht="19.5" customHeight="1" x14ac:dyDescent="0.15"/>
    <row r="268" ht="19.5" customHeight="1" x14ac:dyDescent="0.15"/>
    <row r="269" ht="19.5" customHeight="1" x14ac:dyDescent="0.15"/>
    <row r="270" ht="19.5" customHeight="1" x14ac:dyDescent="0.15"/>
    <row r="271" ht="19.5" customHeight="1" x14ac:dyDescent="0.15"/>
    <row r="272" ht="19.5" customHeight="1" x14ac:dyDescent="0.15"/>
    <row r="273" ht="19.5" customHeight="1" x14ac:dyDescent="0.15"/>
    <row r="274" ht="19.5" customHeight="1" x14ac:dyDescent="0.15"/>
    <row r="275" ht="19.5" customHeight="1" x14ac:dyDescent="0.15"/>
    <row r="276" ht="19.5" customHeight="1" x14ac:dyDescent="0.15"/>
    <row r="277" ht="19.5" customHeight="1" x14ac:dyDescent="0.15"/>
    <row r="278" ht="19.5" customHeight="1" x14ac:dyDescent="0.15"/>
    <row r="279" ht="19.5" customHeight="1" x14ac:dyDescent="0.15"/>
    <row r="280" ht="19.5" customHeight="1" x14ac:dyDescent="0.15"/>
    <row r="281" ht="19.5" customHeight="1" x14ac:dyDescent="0.15"/>
    <row r="282" ht="19.5" customHeight="1" x14ac:dyDescent="0.15"/>
  </sheetData>
  <mergeCells count="24">
    <mergeCell ref="B40:B41"/>
    <mergeCell ref="C1:D1"/>
    <mergeCell ref="J10:J17"/>
    <mergeCell ref="K10:K18"/>
    <mergeCell ref="E37:H37"/>
    <mergeCell ref="B37:B39"/>
    <mergeCell ref="C37:C38"/>
    <mergeCell ref="D37:D38"/>
    <mergeCell ref="I37:I38"/>
    <mergeCell ref="G44:G45"/>
    <mergeCell ref="H47:J88"/>
    <mergeCell ref="B44:B45"/>
    <mergeCell ref="C44:C45"/>
    <mergeCell ref="D44:D45"/>
    <mergeCell ref="E44:E45"/>
    <mergeCell ref="F44:F45"/>
    <mergeCell ref="A115:A120"/>
    <mergeCell ref="Y115:Y120"/>
    <mergeCell ref="T113:Y113"/>
    <mergeCell ref="B103:B104"/>
    <mergeCell ref="C103:I103"/>
    <mergeCell ref="A105:A114"/>
    <mergeCell ref="A103:A104"/>
    <mergeCell ref="J103:R103"/>
  </mergeCells>
  <phoneticPr fontId="3" type="noConversion"/>
  <conditionalFormatting sqref="B94:E94">
    <cfRule type="expression" dxfId="2" priority="4">
      <formula>$D$93="陡坡"</formula>
    </cfRule>
  </conditionalFormatting>
  <conditionalFormatting sqref="B95:C95">
    <cfRule type="expression" dxfId="1" priority="3">
      <formula>$D$93="缓坡且趋于平坡"</formula>
    </cfRule>
  </conditionalFormatting>
  <conditionalFormatting sqref="B98:C98">
    <cfRule type="expression" dxfId="0" priority="1">
      <formula>$D$93="缓坡且接近于临界坡"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EBAE-215B-4F12-869E-DE3A3C991662}">
  <dimension ref="B1:M17"/>
  <sheetViews>
    <sheetView showGridLines="0" zoomScale="115" zoomScaleNormal="115" workbookViewId="0">
      <selection activeCell="N26" sqref="N26"/>
    </sheetView>
  </sheetViews>
  <sheetFormatPr defaultColWidth="9" defaultRowHeight="15" customHeight="1" x14ac:dyDescent="0.15"/>
  <cols>
    <col min="1" max="1" width="9" style="26"/>
    <col min="2" max="2" width="6.5" style="26" customWidth="1"/>
    <col min="3" max="3" width="7.875" style="26" customWidth="1"/>
    <col min="4" max="4" width="3.5" style="26" customWidth="1"/>
    <col min="5" max="5" width="3.375" style="26" customWidth="1"/>
    <col min="6" max="6" width="3.875" style="26" customWidth="1"/>
    <col min="7" max="7" width="4" style="26" customWidth="1"/>
    <col min="8" max="8" width="9.375" style="26" customWidth="1"/>
    <col min="9" max="9" width="9" style="26"/>
    <col min="10" max="10" width="13.625" style="26" customWidth="1"/>
    <col min="11" max="13" width="15.5" style="26" customWidth="1"/>
    <col min="14" max="16384" width="9" style="26"/>
  </cols>
  <sheetData>
    <row r="1" spans="2:13" ht="15" customHeight="1" thickBot="1" x14ac:dyDescent="0.2"/>
    <row r="2" spans="2:13" ht="15" customHeight="1" x14ac:dyDescent="0.15">
      <c r="B2" s="521" t="s">
        <v>296</v>
      </c>
      <c r="C2" s="502">
        <v>2022</v>
      </c>
      <c r="D2" s="522" t="s">
        <v>297</v>
      </c>
      <c r="E2" s="502">
        <v>11</v>
      </c>
      <c r="F2" s="522" t="s">
        <v>298</v>
      </c>
      <c r="G2" s="502">
        <v>19</v>
      </c>
      <c r="H2" s="504" t="s">
        <v>299</v>
      </c>
      <c r="J2" s="26" t="s">
        <v>300</v>
      </c>
      <c r="K2" s="506" t="s">
        <v>295</v>
      </c>
      <c r="L2" s="507"/>
      <c r="M2" s="508"/>
    </row>
    <row r="3" spans="2:13" ht="15" customHeight="1" thickBot="1" x14ac:dyDescent="0.2">
      <c r="B3" s="523"/>
      <c r="C3" s="503"/>
      <c r="D3" s="524"/>
      <c r="E3" s="503"/>
      <c r="F3" s="524"/>
      <c r="G3" s="503"/>
      <c r="H3" s="505"/>
      <c r="K3" s="509"/>
      <c r="L3" s="510"/>
      <c r="M3" s="511"/>
    </row>
    <row r="4" spans="2:13" ht="15" customHeight="1" x14ac:dyDescent="0.15">
      <c r="B4" s="515">
        <f ca="1">DATE(C2,E2,G2)-TODAY()</f>
        <v>-1433</v>
      </c>
      <c r="C4" s="516"/>
      <c r="D4" s="516"/>
      <c r="E4" s="516"/>
      <c r="F4" s="516"/>
      <c r="G4" s="516"/>
      <c r="H4" s="517"/>
      <c r="K4" s="512">
        <f ca="1">DATE(2022,11,19)-TODAY()</f>
        <v>-1433</v>
      </c>
      <c r="L4" s="513"/>
      <c r="M4" s="514"/>
    </row>
    <row r="5" spans="2:13" ht="15" customHeight="1" x14ac:dyDescent="0.15">
      <c r="B5" s="515"/>
      <c r="C5" s="516"/>
      <c r="D5" s="516"/>
      <c r="E5" s="516"/>
      <c r="F5" s="516"/>
      <c r="G5" s="516"/>
      <c r="H5" s="517"/>
      <c r="K5" s="515"/>
      <c r="L5" s="516"/>
      <c r="M5" s="517"/>
    </row>
    <row r="6" spans="2:13" ht="15" customHeight="1" x14ac:dyDescent="0.15">
      <c r="B6" s="515"/>
      <c r="C6" s="516"/>
      <c r="D6" s="516"/>
      <c r="E6" s="516"/>
      <c r="F6" s="516"/>
      <c r="G6" s="516"/>
      <c r="H6" s="517"/>
      <c r="K6" s="515"/>
      <c r="L6" s="516"/>
      <c r="M6" s="517"/>
    </row>
    <row r="7" spans="2:13" ht="15" customHeight="1" thickBot="1" x14ac:dyDescent="0.2">
      <c r="B7" s="518"/>
      <c r="C7" s="519"/>
      <c r="D7" s="519"/>
      <c r="E7" s="519"/>
      <c r="F7" s="519"/>
      <c r="G7" s="519"/>
      <c r="H7" s="520"/>
      <c r="K7" s="518"/>
      <c r="L7" s="519"/>
      <c r="M7" s="520"/>
    </row>
    <row r="8" spans="2:13" ht="15" customHeight="1" x14ac:dyDescent="0.15">
      <c r="B8" s="521" t="s">
        <v>292</v>
      </c>
      <c r="C8" s="522"/>
      <c r="D8" s="522"/>
      <c r="E8" s="522"/>
      <c r="F8" s="522"/>
      <c r="G8" s="522"/>
      <c r="H8" s="504"/>
      <c r="K8" s="506" t="s">
        <v>292</v>
      </c>
      <c r="L8" s="507"/>
      <c r="M8" s="508"/>
    </row>
    <row r="9" spans="2:13" ht="15" customHeight="1" thickBot="1" x14ac:dyDescent="0.2">
      <c r="B9" s="523"/>
      <c r="C9" s="524"/>
      <c r="D9" s="524"/>
      <c r="E9" s="524"/>
      <c r="F9" s="524"/>
      <c r="G9" s="524"/>
      <c r="H9" s="505"/>
      <c r="K9" s="509"/>
      <c r="L9" s="510"/>
      <c r="M9" s="511"/>
    </row>
    <row r="10" spans="2:13" ht="15" customHeight="1" x14ac:dyDescent="0.15">
      <c r="B10" s="192" t="s">
        <v>301</v>
      </c>
      <c r="K10" s="191" t="s">
        <v>293</v>
      </c>
      <c r="L10" s="191"/>
      <c r="M10" s="191"/>
    </row>
    <row r="11" spans="2:13" ht="15" customHeight="1" x14ac:dyDescent="0.15">
      <c r="K11" s="191" t="s">
        <v>294</v>
      </c>
      <c r="L11" s="191"/>
      <c r="M11" s="191"/>
    </row>
    <row r="17" spans="10:10" ht="15" customHeight="1" x14ac:dyDescent="0.15">
      <c r="J17" s="192"/>
    </row>
  </sheetData>
  <mergeCells count="12">
    <mergeCell ref="G2:G3"/>
    <mergeCell ref="H2:H3"/>
    <mergeCell ref="K2:M3"/>
    <mergeCell ref="K4:M7"/>
    <mergeCell ref="K8:M9"/>
    <mergeCell ref="B4:H7"/>
    <mergeCell ref="B8:H9"/>
    <mergeCell ref="B2:B3"/>
    <mergeCell ref="C2:C3"/>
    <mergeCell ref="D2:D3"/>
    <mergeCell ref="E2:E3"/>
    <mergeCell ref="F2:F3"/>
  </mergeCells>
  <phoneticPr fontId="3" type="noConversion"/>
  <dataValidations count="3">
    <dataValidation type="list" allowBlank="1" showInputMessage="1" showErrorMessage="1" sqref="C2" xr:uid="{62BEDBC5-0F1C-4642-B572-6D526467EFC6}">
      <formula1>"2022,2023,2024,2025,2026,2027,2028,2029,2030,2031,2032"</formula1>
    </dataValidation>
    <dataValidation type="list" allowBlank="1" showInputMessage="1" showErrorMessage="1" sqref="E2:E3" xr:uid="{AE72B1BA-51FF-4C31-B842-E337D690AF8B}">
      <formula1>"1,2,3,4,5,6,7,8,9,10,11,12"</formula1>
    </dataValidation>
    <dataValidation type="list" allowBlank="1" showInputMessage="1" showErrorMessage="1" sqref="G2:G3" xr:uid="{12D15937-6EB4-4738-98FC-6A880AB61698}">
      <formula1>"1,2,3,4,5,6,7,8,9,10,11,12,13,14,15,16,17,18,19,20,21,22,23,24,25,26,27,28,29,30,31"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��o:ydkY:No:y�vN�N�c���VB\
</file>

<file path=customXml/item2.xml>��o:ydkY:No:y�vN�N�c��
</file>

<file path=customXml/itemProps1.xml><?xml version="1.0" encoding="utf-8"?>
<ds:datastoreItem xmlns:ds="http://schemas.openxmlformats.org/officeDocument/2006/customXml" ds:itemID="{F327BAC8-B077-4C86-B008-4F12BFB4827F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DFF8298-6B1B-40B4-B4C8-E9809372D62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单位换算等前期杂乱部分</vt:lpstr>
      <vt:lpstr>钢筋表查询</vt:lpstr>
      <vt:lpstr>典型通用计算书</vt:lpstr>
      <vt:lpstr>外来物资和设备运输量</vt:lpstr>
      <vt:lpstr>(场内土石方)运距表</vt:lpstr>
      <vt:lpstr>单位换算</vt:lpstr>
      <vt:lpstr>导流特性表</vt:lpstr>
      <vt:lpstr>水工隧洞水力计算</vt:lpstr>
      <vt:lpstr>倒计时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何海志</dc:creator>
  <cp:lastModifiedBy>陈俊</cp:lastModifiedBy>
  <cp:lastPrinted>2025-08-18T16:44:35Z</cp:lastPrinted>
  <dcterms:created xsi:type="dcterms:W3CDTF">2019-05-22T13:01:11Z</dcterms:created>
  <dcterms:modified xsi:type="dcterms:W3CDTF">2026-10-21T16:06:24Z</dcterms:modified>
</cp:coreProperties>
</file>